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EstaPastaDeTrabalho" defaultThemeVersion="166925"/>
  <mc:AlternateContent xmlns:mc="http://schemas.openxmlformats.org/markup-compatibility/2006">
    <mc:Choice Requires="x15">
      <x15ac:absPath xmlns:x15ac="http://schemas.microsoft.com/office/spreadsheetml/2010/11/ac" url="C:\Users\ACER\Documents\Circuito Escolar 2026\"/>
    </mc:Choice>
  </mc:AlternateContent>
  <xr:revisionPtr revIDLastSave="0" documentId="13_ncr:1_{B7F05A49-A72D-4303-A470-58B9DD74CCAC}" xr6:coauthVersionLast="47" xr6:coauthVersionMax="47" xr10:uidLastSave="{00000000-0000-0000-0000-000000000000}"/>
  <bookViews>
    <workbookView xWindow="-120" yWindow="-120" windowWidth="20730" windowHeight="11040" tabRatio="601" firstSheet="15" activeTab="21" xr2:uid="{00000000-000D-0000-FFFF-FFFF00000000}"/>
  </bookViews>
  <sheets>
    <sheet name="09F GRP" sheetId="14" r:id="rId1"/>
    <sheet name="09F" sheetId="1" r:id="rId2"/>
    <sheet name="09M GRP" sheetId="41" r:id="rId3"/>
    <sheet name="09M" sheetId="42" r:id="rId4"/>
    <sheet name="11F GRP" sheetId="33" r:id="rId5"/>
    <sheet name="11F" sheetId="34" r:id="rId6"/>
    <sheet name="11M GRP" sheetId="43" r:id="rId7"/>
    <sheet name="11M" sheetId="44" r:id="rId8"/>
    <sheet name="13F GRP" sheetId="35" r:id="rId9"/>
    <sheet name="13F" sheetId="36" r:id="rId10"/>
    <sheet name="13M GRP" sheetId="45" r:id="rId11"/>
    <sheet name="13M" sheetId="46" r:id="rId12"/>
    <sheet name="15F GRP" sheetId="37" r:id="rId13"/>
    <sheet name="15F" sheetId="38" r:id="rId14"/>
    <sheet name="15M GRP" sheetId="47" r:id="rId15"/>
    <sheet name="15M" sheetId="48" r:id="rId16"/>
    <sheet name="17F GRP" sheetId="39" r:id="rId17"/>
    <sheet name="17F" sheetId="40" r:id="rId18"/>
    <sheet name="17M GRP" sheetId="49" r:id="rId19"/>
    <sheet name="17M" sheetId="50" r:id="rId20"/>
    <sheet name="LISTAS" sheetId="9" r:id="rId21"/>
    <sheet name="EFICIÊNCIA 1º ETAPA" sheetId="7" r:id="rId22"/>
  </sheets>
  <definedNames>
    <definedName name="_xlnm._FilterDatabase" localSheetId="20" hidden="1">LISTAS!$F$3:$I$496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6" i="7" l="1"/>
  <c r="AQ172" i="46"/>
  <c r="AP185" i="44"/>
  <c r="AT185" i="44" s="1"/>
  <c r="AQ118" i="44"/>
  <c r="AU118" i="44"/>
  <c r="C136" i="44"/>
  <c r="AQ39" i="44"/>
  <c r="AQ40" i="44"/>
  <c r="AQ41" i="44"/>
  <c r="AQ42" i="44"/>
  <c r="AQ43" i="44"/>
  <c r="AQ44" i="44"/>
  <c r="AQ45" i="44"/>
  <c r="AQ46" i="44"/>
  <c r="AQ47" i="44"/>
  <c r="AQ48" i="44"/>
  <c r="AQ49" i="44"/>
  <c r="AQ50" i="44"/>
  <c r="AQ51" i="44"/>
  <c r="AQ52" i="44"/>
  <c r="AQ53" i="44"/>
  <c r="AQ54" i="44"/>
  <c r="AQ55" i="44"/>
  <c r="AG184" i="48"/>
  <c r="K181" i="48"/>
  <c r="C177" i="34"/>
  <c r="AT172" i="46" l="1"/>
  <c r="AQ168" i="46"/>
  <c r="AU168" i="46"/>
  <c r="AU172" i="46"/>
  <c r="AQ104" i="46"/>
  <c r="AU104" i="46"/>
  <c r="AU185" i="44"/>
  <c r="AQ185" i="44"/>
  <c r="AU169" i="44"/>
  <c r="AQ169" i="44"/>
  <c r="AQ178" i="44"/>
  <c r="AU178" i="44"/>
  <c r="AT180" i="44"/>
  <c r="AQ180" i="44"/>
  <c r="AU180" i="44"/>
  <c r="AQ168" i="44"/>
  <c r="AU168" i="44"/>
  <c r="AQ104" i="44"/>
  <c r="AU104" i="44"/>
  <c r="I498" i="45"/>
  <c r="J498" i="45" s="1"/>
  <c r="K498" i="45" s="1"/>
  <c r="C498" i="45"/>
  <c r="I497" i="45"/>
  <c r="J497" i="45" s="1"/>
  <c r="K497" i="45" s="1"/>
  <c r="E497" i="45"/>
  <c r="C497" i="45"/>
  <c r="I496" i="45"/>
  <c r="J496" i="45" s="1"/>
  <c r="K496" i="45" s="1"/>
  <c r="H496" i="45"/>
  <c r="L498" i="45" s="1"/>
  <c r="E496" i="45"/>
  <c r="C496" i="45"/>
  <c r="I486" i="45"/>
  <c r="J486" i="45" s="1"/>
  <c r="K486" i="45" s="1"/>
  <c r="C486" i="45"/>
  <c r="I485" i="45"/>
  <c r="J485" i="45" s="1"/>
  <c r="K485" i="45" s="1"/>
  <c r="C485" i="45"/>
  <c r="I484" i="45"/>
  <c r="J484" i="45" s="1"/>
  <c r="K484" i="45" s="1"/>
  <c r="H484" i="45"/>
  <c r="L486" i="45" s="1"/>
  <c r="C484" i="45"/>
  <c r="I474" i="45"/>
  <c r="J474" i="45" s="1"/>
  <c r="K474" i="45" s="1"/>
  <c r="C474" i="45"/>
  <c r="I473" i="45"/>
  <c r="J473" i="45" s="1"/>
  <c r="K473" i="45" s="1"/>
  <c r="C473" i="45"/>
  <c r="I472" i="45"/>
  <c r="J472" i="45" s="1"/>
  <c r="K472" i="45" s="1"/>
  <c r="H472" i="45"/>
  <c r="L474" i="45" s="1"/>
  <c r="C472" i="45"/>
  <c r="C436" i="45"/>
  <c r="C437" i="45"/>
  <c r="C438" i="45"/>
  <c r="I462" i="45"/>
  <c r="J462" i="45" s="1"/>
  <c r="K462" i="45" s="1"/>
  <c r="C462" i="45"/>
  <c r="I461" i="45"/>
  <c r="J461" i="45" s="1"/>
  <c r="K461" i="45" s="1"/>
  <c r="C461" i="45"/>
  <c r="I460" i="45"/>
  <c r="J460" i="45" s="1"/>
  <c r="K460" i="45" s="1"/>
  <c r="H460" i="45"/>
  <c r="L462" i="45" s="1"/>
  <c r="C460" i="45"/>
  <c r="I450" i="45"/>
  <c r="J450" i="45" s="1"/>
  <c r="K450" i="45" s="1"/>
  <c r="C450" i="45"/>
  <c r="I449" i="45"/>
  <c r="J449" i="45" s="1"/>
  <c r="K449" i="45" s="1"/>
  <c r="C449" i="45"/>
  <c r="I448" i="45"/>
  <c r="J448" i="45" s="1"/>
  <c r="K448" i="45" s="1"/>
  <c r="H448" i="45"/>
  <c r="L450" i="45" s="1"/>
  <c r="C448" i="45"/>
  <c r="I438" i="45"/>
  <c r="J438" i="45" s="1"/>
  <c r="K438" i="45" s="1"/>
  <c r="I437" i="45"/>
  <c r="J437" i="45" s="1"/>
  <c r="K437" i="45" s="1"/>
  <c r="I436" i="45"/>
  <c r="J436" i="45" s="1"/>
  <c r="K436" i="45" s="1"/>
  <c r="H436" i="45"/>
  <c r="L438" i="45" s="1"/>
  <c r="L620" i="43"/>
  <c r="I620" i="43"/>
  <c r="J620" i="43" s="1"/>
  <c r="K620" i="43" s="1"/>
  <c r="C620" i="43"/>
  <c r="J619" i="43"/>
  <c r="K619" i="43" s="1"/>
  <c r="I619" i="43"/>
  <c r="C619" i="43"/>
  <c r="I618" i="43"/>
  <c r="J618" i="43" s="1"/>
  <c r="K618" i="43" s="1"/>
  <c r="H618" i="43"/>
  <c r="L618" i="43" s="1"/>
  <c r="C618" i="43"/>
  <c r="I608" i="43"/>
  <c r="J608" i="43" s="1"/>
  <c r="K608" i="43" s="1"/>
  <c r="C608" i="43"/>
  <c r="I607" i="43"/>
  <c r="J607" i="43" s="1"/>
  <c r="K607" i="43" s="1"/>
  <c r="C607" i="43"/>
  <c r="I606" i="43"/>
  <c r="J606" i="43" s="1"/>
  <c r="K606" i="43" s="1"/>
  <c r="H606" i="43"/>
  <c r="L608" i="43" s="1"/>
  <c r="C606" i="43"/>
  <c r="I596" i="43"/>
  <c r="J596" i="43" s="1"/>
  <c r="K596" i="43" s="1"/>
  <c r="C596" i="43"/>
  <c r="I595" i="43"/>
  <c r="J595" i="43" s="1"/>
  <c r="K595" i="43" s="1"/>
  <c r="C595" i="43"/>
  <c r="I594" i="43"/>
  <c r="J594" i="43" s="1"/>
  <c r="K594" i="43" s="1"/>
  <c r="H594" i="43"/>
  <c r="L594" i="43" s="1"/>
  <c r="C594" i="43"/>
  <c r="I584" i="43"/>
  <c r="J584" i="43" s="1"/>
  <c r="K584" i="43" s="1"/>
  <c r="C584" i="43"/>
  <c r="I583" i="43"/>
  <c r="J583" i="43" s="1"/>
  <c r="K583" i="43" s="1"/>
  <c r="C583" i="43"/>
  <c r="I582" i="43"/>
  <c r="J582" i="43" s="1"/>
  <c r="K582" i="43" s="1"/>
  <c r="H582" i="43"/>
  <c r="L584" i="43" s="1"/>
  <c r="C582" i="43"/>
  <c r="I572" i="43"/>
  <c r="J572" i="43" s="1"/>
  <c r="K572" i="43" s="1"/>
  <c r="C572" i="43"/>
  <c r="I571" i="43"/>
  <c r="J571" i="43" s="1"/>
  <c r="K571" i="43" s="1"/>
  <c r="C571" i="43"/>
  <c r="I570" i="43"/>
  <c r="J570" i="43" s="1"/>
  <c r="K570" i="43" s="1"/>
  <c r="H570" i="43"/>
  <c r="L570" i="43" s="1"/>
  <c r="C570" i="43"/>
  <c r="I560" i="43"/>
  <c r="J560" i="43" s="1"/>
  <c r="K560" i="43" s="1"/>
  <c r="C560" i="43"/>
  <c r="I559" i="43"/>
  <c r="J559" i="43" s="1"/>
  <c r="K559" i="43" s="1"/>
  <c r="C559" i="43"/>
  <c r="I558" i="43"/>
  <c r="J558" i="43" s="1"/>
  <c r="K558" i="43" s="1"/>
  <c r="H558" i="43"/>
  <c r="L560" i="43" s="1"/>
  <c r="C558" i="43"/>
  <c r="I548" i="43"/>
  <c r="J548" i="43" s="1"/>
  <c r="K548" i="43" s="1"/>
  <c r="C548" i="43"/>
  <c r="I547" i="43"/>
  <c r="J547" i="43" s="1"/>
  <c r="K547" i="43" s="1"/>
  <c r="C547" i="43"/>
  <c r="I546" i="43"/>
  <c r="J546" i="43" s="1"/>
  <c r="K546" i="43" s="1"/>
  <c r="H546" i="43"/>
  <c r="L546" i="43" s="1"/>
  <c r="C546" i="43"/>
  <c r="I535" i="43"/>
  <c r="J535" i="43" s="1"/>
  <c r="K535" i="43" s="1"/>
  <c r="C535" i="43"/>
  <c r="I534" i="43"/>
  <c r="J534" i="43" s="1"/>
  <c r="K534" i="43" s="1"/>
  <c r="C534" i="43"/>
  <c r="I533" i="43"/>
  <c r="J533" i="43" s="1"/>
  <c r="K533" i="43" s="1"/>
  <c r="H533" i="43"/>
  <c r="L535" i="43" s="1"/>
  <c r="C533" i="43"/>
  <c r="I522" i="43"/>
  <c r="J522" i="43" s="1"/>
  <c r="K522" i="43" s="1"/>
  <c r="C522" i="43"/>
  <c r="I521" i="43"/>
  <c r="J521" i="43" s="1"/>
  <c r="K521" i="43" s="1"/>
  <c r="C521" i="43"/>
  <c r="I520" i="43"/>
  <c r="J520" i="43" s="1"/>
  <c r="K520" i="43" s="1"/>
  <c r="H520" i="43"/>
  <c r="L520" i="43" s="1"/>
  <c r="C520" i="43"/>
  <c r="I510" i="43"/>
  <c r="J510" i="43" s="1"/>
  <c r="K510" i="43" s="1"/>
  <c r="C510" i="43"/>
  <c r="I509" i="43"/>
  <c r="J509" i="43" s="1"/>
  <c r="K509" i="43" s="1"/>
  <c r="C509" i="43"/>
  <c r="I508" i="43"/>
  <c r="J508" i="43" s="1"/>
  <c r="K508" i="43" s="1"/>
  <c r="H508" i="43"/>
  <c r="L510" i="43" s="1"/>
  <c r="C508" i="43"/>
  <c r="I498" i="43"/>
  <c r="J498" i="43" s="1"/>
  <c r="K498" i="43" s="1"/>
  <c r="C498" i="43"/>
  <c r="I497" i="43"/>
  <c r="J497" i="43" s="1"/>
  <c r="K497" i="43" s="1"/>
  <c r="C497" i="43"/>
  <c r="I496" i="43"/>
  <c r="J496" i="43" s="1"/>
  <c r="K496" i="43" s="1"/>
  <c r="H496" i="43"/>
  <c r="L498" i="43" s="1"/>
  <c r="C496" i="43"/>
  <c r="I486" i="43"/>
  <c r="J486" i="43" s="1"/>
  <c r="K486" i="43" s="1"/>
  <c r="C486" i="43"/>
  <c r="I485" i="43"/>
  <c r="J485" i="43" s="1"/>
  <c r="K485" i="43" s="1"/>
  <c r="C485" i="43"/>
  <c r="I484" i="43"/>
  <c r="J484" i="43" s="1"/>
  <c r="K484" i="43" s="1"/>
  <c r="H484" i="43"/>
  <c r="L486" i="43" s="1"/>
  <c r="C484" i="43"/>
  <c r="I474" i="43"/>
  <c r="J474" i="43" s="1"/>
  <c r="K474" i="43" s="1"/>
  <c r="C474" i="43"/>
  <c r="I473" i="43"/>
  <c r="J473" i="43" s="1"/>
  <c r="K473" i="43" s="1"/>
  <c r="C473" i="43"/>
  <c r="I472" i="43"/>
  <c r="J472" i="43" s="1"/>
  <c r="K472" i="43" s="1"/>
  <c r="H472" i="43"/>
  <c r="L474" i="43" s="1"/>
  <c r="C472" i="43"/>
  <c r="I462" i="43"/>
  <c r="J462" i="43" s="1"/>
  <c r="K462" i="43" s="1"/>
  <c r="C462" i="43"/>
  <c r="I461" i="43"/>
  <c r="J461" i="43" s="1"/>
  <c r="K461" i="43" s="1"/>
  <c r="C461" i="43"/>
  <c r="I460" i="43"/>
  <c r="J460" i="43" s="1"/>
  <c r="K460" i="43" s="1"/>
  <c r="H460" i="43"/>
  <c r="L462" i="43" s="1"/>
  <c r="C460" i="43"/>
  <c r="I450" i="43"/>
  <c r="J450" i="43" s="1"/>
  <c r="K450" i="43" s="1"/>
  <c r="C450" i="43"/>
  <c r="I449" i="43"/>
  <c r="J449" i="43" s="1"/>
  <c r="K449" i="43" s="1"/>
  <c r="C449" i="43"/>
  <c r="I448" i="43"/>
  <c r="J448" i="43" s="1"/>
  <c r="K448" i="43" s="1"/>
  <c r="H448" i="43"/>
  <c r="L450" i="43" s="1"/>
  <c r="C448" i="43"/>
  <c r="I438" i="43"/>
  <c r="J438" i="43" s="1"/>
  <c r="K438" i="43" s="1"/>
  <c r="C438" i="43"/>
  <c r="I437" i="43"/>
  <c r="J437" i="43" s="1"/>
  <c r="K437" i="43" s="1"/>
  <c r="C437" i="43"/>
  <c r="I436" i="43"/>
  <c r="J436" i="43" s="1"/>
  <c r="K436" i="43" s="1"/>
  <c r="H436" i="43"/>
  <c r="L438" i="43" s="1"/>
  <c r="C436" i="43"/>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Q169" i="46" l="1"/>
  <c r="AU169" i="46"/>
  <c r="AQ105" i="46"/>
  <c r="AU105" i="46"/>
  <c r="AQ40" i="46"/>
  <c r="AU40" i="46"/>
  <c r="AQ170" i="44"/>
  <c r="AU170" i="44"/>
  <c r="AQ105" i="44"/>
  <c r="AU105" i="44"/>
  <c r="D618" i="43"/>
  <c r="D619" i="43"/>
  <c r="D620" i="43"/>
  <c r="B502" i="45"/>
  <c r="C502" i="45" s="1"/>
  <c r="L497" i="45"/>
  <c r="B503" i="45"/>
  <c r="C503" i="45" s="1"/>
  <c r="B504" i="45"/>
  <c r="C504" i="45" s="1"/>
  <c r="B490" i="45"/>
  <c r="C490" i="45" s="1"/>
  <c r="B492" i="45"/>
  <c r="C492" i="45" s="1"/>
  <c r="L485" i="45"/>
  <c r="B491" i="45"/>
  <c r="C491" i="45" s="1"/>
  <c r="E484" i="45"/>
  <c r="E485" i="45"/>
  <c r="B479" i="45"/>
  <c r="C479" i="45" s="1"/>
  <c r="L473" i="45"/>
  <c r="B480" i="45"/>
  <c r="C480" i="45" s="1"/>
  <c r="E472" i="45"/>
  <c r="E473" i="45"/>
  <c r="B478" i="45"/>
  <c r="C478" i="45" s="1"/>
  <c r="B468" i="45"/>
  <c r="C468" i="45" s="1"/>
  <c r="L496" i="45"/>
  <c r="D498" i="45"/>
  <c r="J502" i="45"/>
  <c r="K502" i="45" s="1"/>
  <c r="J503" i="45"/>
  <c r="K503" i="45" s="1"/>
  <c r="J504" i="45"/>
  <c r="K504" i="45" s="1"/>
  <c r="D496" i="45"/>
  <c r="D497" i="45"/>
  <c r="E498" i="45"/>
  <c r="L484" i="45"/>
  <c r="D486" i="45"/>
  <c r="J490" i="45"/>
  <c r="K490" i="45" s="1"/>
  <c r="J491" i="45"/>
  <c r="K491" i="45" s="1"/>
  <c r="J492" i="45"/>
  <c r="K492" i="45" s="1"/>
  <c r="D484" i="45"/>
  <c r="D485" i="45"/>
  <c r="E486" i="45"/>
  <c r="L472" i="45"/>
  <c r="D474" i="45"/>
  <c r="J478" i="45"/>
  <c r="K478" i="45" s="1"/>
  <c r="J479" i="45"/>
  <c r="K479" i="45" s="1"/>
  <c r="J480" i="45"/>
  <c r="K480" i="45" s="1"/>
  <c r="D472" i="45"/>
  <c r="D473" i="45"/>
  <c r="E474" i="45"/>
  <c r="E460" i="45"/>
  <c r="E461" i="45"/>
  <c r="B466" i="45"/>
  <c r="C466" i="45" s="1"/>
  <c r="L461" i="45"/>
  <c r="B467" i="45"/>
  <c r="C467" i="45" s="1"/>
  <c r="B455" i="45"/>
  <c r="C455" i="45" s="1"/>
  <c r="B456" i="45"/>
  <c r="C456" i="45" s="1"/>
  <c r="B454" i="45"/>
  <c r="C454" i="45" s="1"/>
  <c r="L449" i="45"/>
  <c r="E448" i="45"/>
  <c r="E449" i="45"/>
  <c r="L437" i="45"/>
  <c r="B444" i="45"/>
  <c r="C444" i="45" s="1"/>
  <c r="E437" i="45"/>
  <c r="B442" i="45"/>
  <c r="C442" i="45" s="1"/>
  <c r="E436" i="45"/>
  <c r="B443" i="45"/>
  <c r="C443" i="45" s="1"/>
  <c r="L460" i="45"/>
  <c r="D462" i="45"/>
  <c r="J466" i="45"/>
  <c r="K466" i="45" s="1"/>
  <c r="J467" i="45"/>
  <c r="K467" i="45" s="1"/>
  <c r="J468" i="45"/>
  <c r="K468" i="45" s="1"/>
  <c r="D460" i="45"/>
  <c r="D461" i="45"/>
  <c r="E462" i="45"/>
  <c r="L448" i="45"/>
  <c r="D450" i="45"/>
  <c r="J454" i="45"/>
  <c r="K454" i="45" s="1"/>
  <c r="J455" i="45"/>
  <c r="K455" i="45" s="1"/>
  <c r="J456" i="45"/>
  <c r="K456" i="45" s="1"/>
  <c r="D448" i="45"/>
  <c r="D449" i="45"/>
  <c r="E450" i="45"/>
  <c r="L436" i="45"/>
  <c r="D438" i="45"/>
  <c r="J442" i="45"/>
  <c r="K442" i="45" s="1"/>
  <c r="J443" i="45"/>
  <c r="K443" i="45" s="1"/>
  <c r="J444" i="45"/>
  <c r="K444" i="45" s="1"/>
  <c r="D436" i="45"/>
  <c r="D437" i="45"/>
  <c r="E438" i="45"/>
  <c r="E594" i="43"/>
  <c r="D595" i="43"/>
  <c r="L583" i="43"/>
  <c r="E582" i="43"/>
  <c r="E583" i="43"/>
  <c r="B590" i="43"/>
  <c r="C590" i="43" s="1"/>
  <c r="J552" i="43"/>
  <c r="K552" i="43" s="1"/>
  <c r="D546" i="43"/>
  <c r="L547" i="43"/>
  <c r="B553" i="43"/>
  <c r="C553" i="43" s="1"/>
  <c r="E546" i="43"/>
  <c r="D547" i="43"/>
  <c r="B526" i="43"/>
  <c r="C526" i="43" s="1"/>
  <c r="D520" i="43"/>
  <c r="J528" i="43"/>
  <c r="K528" i="43" s="1"/>
  <c r="E484" i="43"/>
  <c r="E485" i="43"/>
  <c r="B492" i="43"/>
  <c r="C492" i="43" s="1"/>
  <c r="L485" i="43"/>
  <c r="E472" i="43"/>
  <c r="E473" i="43"/>
  <c r="B480" i="43"/>
  <c r="C480" i="43" s="1"/>
  <c r="B455" i="43"/>
  <c r="C455" i="43" s="1"/>
  <c r="E436" i="43"/>
  <c r="E437" i="43"/>
  <c r="B444" i="43"/>
  <c r="C444" i="43" s="1"/>
  <c r="L449" i="43"/>
  <c r="B456" i="43"/>
  <c r="C456" i="43" s="1"/>
  <c r="B491" i="43"/>
  <c r="C491" i="43" s="1"/>
  <c r="E520" i="43"/>
  <c r="D521" i="43"/>
  <c r="D522" i="43"/>
  <c r="J526" i="43"/>
  <c r="K526" i="43" s="1"/>
  <c r="E558" i="43"/>
  <c r="E559" i="43"/>
  <c r="E570" i="43"/>
  <c r="D571" i="43"/>
  <c r="B589" i="43"/>
  <c r="C589" i="43" s="1"/>
  <c r="J600" i="43"/>
  <c r="K600" i="43" s="1"/>
  <c r="E522" i="43"/>
  <c r="B527" i="43"/>
  <c r="C527" i="43" s="1"/>
  <c r="B565" i="43"/>
  <c r="C565" i="43" s="1"/>
  <c r="J578" i="43"/>
  <c r="K578" i="43" s="1"/>
  <c r="E448" i="43"/>
  <c r="E449" i="43"/>
  <c r="E508" i="43"/>
  <c r="E509" i="43"/>
  <c r="L521" i="43"/>
  <c r="B528" i="43"/>
  <c r="C528" i="43" s="1"/>
  <c r="E548" i="43"/>
  <c r="J554" i="43"/>
  <c r="K554" i="43" s="1"/>
  <c r="L559" i="43"/>
  <c r="B566" i="43"/>
  <c r="C566" i="43" s="1"/>
  <c r="L571" i="43"/>
  <c r="D596" i="43"/>
  <c r="E606" i="43"/>
  <c r="E607" i="43"/>
  <c r="J624" i="43"/>
  <c r="K624" i="43" s="1"/>
  <c r="L461" i="43"/>
  <c r="L497" i="43"/>
  <c r="B540" i="43"/>
  <c r="C540" i="43" s="1"/>
  <c r="E596" i="43"/>
  <c r="B442" i="43"/>
  <c r="C442" i="43" s="1"/>
  <c r="B468" i="43"/>
  <c r="C468" i="43" s="1"/>
  <c r="B478" i="43"/>
  <c r="C478" i="43" s="1"/>
  <c r="B504" i="43"/>
  <c r="C504" i="43" s="1"/>
  <c r="L509" i="43"/>
  <c r="B515" i="43"/>
  <c r="C515" i="43" s="1"/>
  <c r="B541" i="43"/>
  <c r="C541" i="43" s="1"/>
  <c r="E547" i="43"/>
  <c r="L548" i="43"/>
  <c r="J553" i="43"/>
  <c r="K553" i="43" s="1"/>
  <c r="D572" i="43"/>
  <c r="J576" i="43"/>
  <c r="K576" i="43" s="1"/>
  <c r="J602" i="43"/>
  <c r="K602" i="43" s="1"/>
  <c r="L607" i="43"/>
  <c r="B613" i="43"/>
  <c r="C613" i="43" s="1"/>
  <c r="E620" i="43"/>
  <c r="J625" i="43"/>
  <c r="K625" i="43" s="1"/>
  <c r="B466" i="43"/>
  <c r="C466" i="43" s="1"/>
  <c r="B502" i="43"/>
  <c r="C502" i="43" s="1"/>
  <c r="B539" i="43"/>
  <c r="C539" i="43" s="1"/>
  <c r="B467" i="43"/>
  <c r="C467" i="43" s="1"/>
  <c r="B503" i="43"/>
  <c r="C503" i="43" s="1"/>
  <c r="B514" i="43"/>
  <c r="C514" i="43" s="1"/>
  <c r="L534" i="43"/>
  <c r="E571" i="43"/>
  <c r="L572" i="43"/>
  <c r="J601" i="43"/>
  <c r="K601" i="43" s="1"/>
  <c r="B612" i="43"/>
  <c r="C612" i="43" s="1"/>
  <c r="L437" i="43"/>
  <c r="B443" i="43"/>
  <c r="C443" i="43" s="1"/>
  <c r="B454" i="43"/>
  <c r="C454" i="43" s="1"/>
  <c r="E460" i="43"/>
  <c r="E461" i="43"/>
  <c r="L473" i="43"/>
  <c r="B479" i="43"/>
  <c r="C479" i="43" s="1"/>
  <c r="B490" i="43"/>
  <c r="C490" i="43" s="1"/>
  <c r="E496" i="43"/>
  <c r="E497" i="43"/>
  <c r="B516" i="43"/>
  <c r="C516" i="43" s="1"/>
  <c r="E521" i="43"/>
  <c r="L522" i="43"/>
  <c r="J527" i="43"/>
  <c r="K527" i="43" s="1"/>
  <c r="E533" i="43"/>
  <c r="E534" i="43"/>
  <c r="D548" i="43"/>
  <c r="B552" i="43"/>
  <c r="C552" i="43" s="1"/>
  <c r="B554" i="43"/>
  <c r="C554" i="43" s="1"/>
  <c r="B564" i="43"/>
  <c r="C564" i="43" s="1"/>
  <c r="D570" i="43"/>
  <c r="E572" i="43"/>
  <c r="J577" i="43"/>
  <c r="K577" i="43" s="1"/>
  <c r="B588" i="43"/>
  <c r="C588" i="43" s="1"/>
  <c r="D594" i="43"/>
  <c r="L596" i="43"/>
  <c r="B614" i="43"/>
  <c r="C614" i="43" s="1"/>
  <c r="J626" i="43"/>
  <c r="K626" i="43" s="1"/>
  <c r="L533" i="43"/>
  <c r="L558" i="43"/>
  <c r="L582" i="43"/>
  <c r="L606" i="43"/>
  <c r="D535" i="43"/>
  <c r="J539" i="43"/>
  <c r="K539" i="43" s="1"/>
  <c r="J540" i="43"/>
  <c r="K540" i="43" s="1"/>
  <c r="J541" i="43"/>
  <c r="K541" i="43" s="1"/>
  <c r="D560" i="43"/>
  <c r="J564" i="43"/>
  <c r="K564" i="43" s="1"/>
  <c r="J565" i="43"/>
  <c r="K565" i="43" s="1"/>
  <c r="J566" i="43"/>
  <c r="K566" i="43" s="1"/>
  <c r="B576" i="43"/>
  <c r="C576" i="43" s="1"/>
  <c r="B577" i="43"/>
  <c r="C577" i="43" s="1"/>
  <c r="B578" i="43"/>
  <c r="C578" i="43" s="1"/>
  <c r="D584" i="43"/>
  <c r="J588" i="43"/>
  <c r="K588" i="43" s="1"/>
  <c r="J589" i="43"/>
  <c r="K589" i="43" s="1"/>
  <c r="J590" i="43"/>
  <c r="K590" i="43" s="1"/>
  <c r="E595" i="43"/>
  <c r="L595" i="43"/>
  <c r="B600" i="43"/>
  <c r="C600" i="43" s="1"/>
  <c r="B601" i="43"/>
  <c r="C601" i="43" s="1"/>
  <c r="B602" i="43"/>
  <c r="C602" i="43" s="1"/>
  <c r="D608" i="43"/>
  <c r="J612" i="43"/>
  <c r="K612" i="43" s="1"/>
  <c r="J613" i="43"/>
  <c r="K613" i="43" s="1"/>
  <c r="J614" i="43"/>
  <c r="K614" i="43" s="1"/>
  <c r="E618" i="43"/>
  <c r="E619" i="43"/>
  <c r="L619" i="43"/>
  <c r="B624" i="43"/>
  <c r="C624" i="43" s="1"/>
  <c r="B625" i="43"/>
  <c r="C625" i="43" s="1"/>
  <c r="B626" i="43"/>
  <c r="C626" i="43" s="1"/>
  <c r="D533" i="43"/>
  <c r="D534" i="43"/>
  <c r="E535" i="43"/>
  <c r="D558" i="43"/>
  <c r="D559" i="43"/>
  <c r="E560" i="43"/>
  <c r="D582" i="43"/>
  <c r="D583" i="43"/>
  <c r="E584" i="43"/>
  <c r="D606" i="43"/>
  <c r="D607" i="43"/>
  <c r="E608" i="43"/>
  <c r="L508" i="43"/>
  <c r="D510" i="43"/>
  <c r="J514" i="43"/>
  <c r="K514" i="43" s="1"/>
  <c r="J515" i="43"/>
  <c r="K515" i="43" s="1"/>
  <c r="J516" i="43"/>
  <c r="K516" i="43" s="1"/>
  <c r="D508" i="43"/>
  <c r="D509" i="43"/>
  <c r="E510" i="43"/>
  <c r="L496" i="43"/>
  <c r="D498" i="43"/>
  <c r="J502" i="43"/>
  <c r="K502" i="43" s="1"/>
  <c r="J503" i="43"/>
  <c r="K503" i="43" s="1"/>
  <c r="J504" i="43"/>
  <c r="K504" i="43" s="1"/>
  <c r="D496" i="43"/>
  <c r="D497" i="43"/>
  <c r="E498" i="43"/>
  <c r="L484" i="43"/>
  <c r="D486" i="43"/>
  <c r="J490" i="43"/>
  <c r="K490" i="43" s="1"/>
  <c r="J491" i="43"/>
  <c r="K491" i="43" s="1"/>
  <c r="J492" i="43"/>
  <c r="K492" i="43" s="1"/>
  <c r="D484" i="43"/>
  <c r="D485" i="43"/>
  <c r="E486" i="43"/>
  <c r="L472" i="43"/>
  <c r="D474" i="43"/>
  <c r="J478" i="43"/>
  <c r="K478" i="43" s="1"/>
  <c r="J479" i="43"/>
  <c r="K479" i="43" s="1"/>
  <c r="J480" i="43"/>
  <c r="K480" i="43" s="1"/>
  <c r="D472" i="43"/>
  <c r="D473" i="43"/>
  <c r="E474" i="43"/>
  <c r="L460" i="43"/>
  <c r="D462" i="43"/>
  <c r="J466" i="43"/>
  <c r="K466" i="43" s="1"/>
  <c r="J467" i="43"/>
  <c r="K467" i="43" s="1"/>
  <c r="J468" i="43"/>
  <c r="K468" i="43" s="1"/>
  <c r="D460" i="43"/>
  <c r="D461" i="43"/>
  <c r="E462" i="43"/>
  <c r="L448" i="43"/>
  <c r="D450" i="43"/>
  <c r="J454" i="43"/>
  <c r="K454" i="43" s="1"/>
  <c r="J455" i="43"/>
  <c r="K455" i="43" s="1"/>
  <c r="J456" i="43"/>
  <c r="K456" i="43" s="1"/>
  <c r="D448" i="43"/>
  <c r="D449" i="43"/>
  <c r="E450" i="43"/>
  <c r="L436" i="43"/>
  <c r="D438" i="43"/>
  <c r="J442" i="43"/>
  <c r="K442" i="43" s="1"/>
  <c r="J443" i="43"/>
  <c r="K443" i="43" s="1"/>
  <c r="J444" i="43"/>
  <c r="K444" i="43" s="1"/>
  <c r="D436" i="43"/>
  <c r="D437" i="43"/>
  <c r="E438" i="43"/>
  <c r="C11" i="14"/>
  <c r="C8" i="14"/>
  <c r="C12" i="14"/>
  <c r="C10" i="14"/>
  <c r="C9" i="14"/>
  <c r="AB37" i="7"/>
  <c r="AB38" i="7"/>
  <c r="AB39" i="7"/>
  <c r="AB40" i="7"/>
  <c r="AB41" i="7"/>
  <c r="AB42" i="7"/>
  <c r="AB43" i="7"/>
  <c r="AB44" i="7"/>
  <c r="AB45" i="7"/>
  <c r="AB46" i="7"/>
  <c r="AA37" i="7"/>
  <c r="AA38" i="7"/>
  <c r="AA39" i="7"/>
  <c r="AA40" i="7"/>
  <c r="AA41" i="7"/>
  <c r="AA42" i="7"/>
  <c r="AA43" i="7"/>
  <c r="AA44" i="7"/>
  <c r="AA45" i="7"/>
  <c r="AA46" i="7"/>
  <c r="V37" i="7"/>
  <c r="V38" i="7"/>
  <c r="V39" i="7"/>
  <c r="V40" i="7"/>
  <c r="V41" i="7"/>
  <c r="V42" i="7"/>
  <c r="V43" i="7"/>
  <c r="V44" i="7"/>
  <c r="V45" i="7"/>
  <c r="V46" i="7"/>
  <c r="U37" i="7"/>
  <c r="U38" i="7"/>
  <c r="U39" i="7"/>
  <c r="U40" i="7"/>
  <c r="U41" i="7"/>
  <c r="U42" i="7"/>
  <c r="U43" i="7"/>
  <c r="U44" i="7"/>
  <c r="U45" i="7"/>
  <c r="U46" i="7"/>
  <c r="P37" i="7"/>
  <c r="P38" i="7"/>
  <c r="P39" i="7"/>
  <c r="P40" i="7"/>
  <c r="P41" i="7"/>
  <c r="P42" i="7"/>
  <c r="P43" i="7"/>
  <c r="P44" i="7"/>
  <c r="P45" i="7"/>
  <c r="P46" i="7"/>
  <c r="O37" i="7"/>
  <c r="O38" i="7"/>
  <c r="O39" i="7"/>
  <c r="O40" i="7"/>
  <c r="O41" i="7"/>
  <c r="O42" i="7"/>
  <c r="O43" i="7"/>
  <c r="O44" i="7"/>
  <c r="O45" i="7"/>
  <c r="O46" i="7"/>
  <c r="J37" i="7"/>
  <c r="J38" i="7"/>
  <c r="J39" i="7"/>
  <c r="J40" i="7"/>
  <c r="J41" i="7"/>
  <c r="J42" i="7"/>
  <c r="J43" i="7"/>
  <c r="J44" i="7"/>
  <c r="J45" i="7"/>
  <c r="J46" i="7"/>
  <c r="I37" i="7"/>
  <c r="I38" i="7"/>
  <c r="I39" i="7"/>
  <c r="I40" i="7"/>
  <c r="I41" i="7"/>
  <c r="I42" i="7"/>
  <c r="I43" i="7"/>
  <c r="I44" i="7"/>
  <c r="I45" i="7"/>
  <c r="I46" i="7"/>
  <c r="D37" i="7"/>
  <c r="D38" i="7"/>
  <c r="D39" i="7"/>
  <c r="D40" i="7"/>
  <c r="D41" i="7"/>
  <c r="D42" i="7"/>
  <c r="D43" i="7"/>
  <c r="D44" i="7"/>
  <c r="D45" i="7"/>
  <c r="D46" i="7"/>
  <c r="C37" i="7"/>
  <c r="C38" i="7"/>
  <c r="C39" i="7"/>
  <c r="C40" i="7"/>
  <c r="C41" i="7"/>
  <c r="C42" i="7"/>
  <c r="C43" i="7"/>
  <c r="C44" i="7"/>
  <c r="C45" i="7"/>
  <c r="C46" i="7"/>
  <c r="AG192" i="50"/>
  <c r="E192" i="50"/>
  <c r="AG190" i="50"/>
  <c r="E190" i="50"/>
  <c r="I188" i="50"/>
  <c r="I186" i="50"/>
  <c r="AG184" i="50"/>
  <c r="E184" i="50"/>
  <c r="AG182" i="50"/>
  <c r="E182" i="50"/>
  <c r="M180" i="50"/>
  <c r="M178" i="50"/>
  <c r="AG176" i="50"/>
  <c r="E176" i="50"/>
  <c r="AG174" i="50"/>
  <c r="N174" i="50"/>
  <c r="E174" i="50"/>
  <c r="N172" i="50"/>
  <c r="I172" i="50"/>
  <c r="N170" i="50"/>
  <c r="I170" i="50"/>
  <c r="AG168" i="50"/>
  <c r="N168" i="50"/>
  <c r="E168" i="50"/>
  <c r="AG166" i="50"/>
  <c r="E166" i="50"/>
  <c r="AG162" i="50"/>
  <c r="E162" i="50"/>
  <c r="AG160" i="50"/>
  <c r="E160" i="50"/>
  <c r="I158" i="50"/>
  <c r="I156" i="50"/>
  <c r="AG154" i="50"/>
  <c r="E154" i="50"/>
  <c r="AG152" i="50"/>
  <c r="AI152" i="50" s="1"/>
  <c r="E152" i="50"/>
  <c r="M150" i="50"/>
  <c r="M148" i="50"/>
  <c r="AG146" i="50"/>
  <c r="E146" i="50"/>
  <c r="AG144" i="50"/>
  <c r="E144" i="50"/>
  <c r="I142" i="50"/>
  <c r="I140" i="50"/>
  <c r="AG138" i="50"/>
  <c r="E138" i="50"/>
  <c r="AG136" i="50"/>
  <c r="AI136" i="50" s="1"/>
  <c r="E136" i="50"/>
  <c r="AG128" i="50"/>
  <c r="E128" i="50"/>
  <c r="AG126" i="50"/>
  <c r="E126" i="50"/>
  <c r="I124" i="50"/>
  <c r="I122" i="50"/>
  <c r="AG120" i="50"/>
  <c r="E120" i="50"/>
  <c r="AG118" i="50"/>
  <c r="E118" i="50"/>
  <c r="M116" i="50"/>
  <c r="M114" i="50"/>
  <c r="AG112" i="50"/>
  <c r="E112" i="50"/>
  <c r="AG110" i="50"/>
  <c r="N110" i="50"/>
  <c r="E110" i="50"/>
  <c r="N108" i="50"/>
  <c r="I108" i="50"/>
  <c r="N106" i="50"/>
  <c r="I106" i="50"/>
  <c r="AG104" i="50"/>
  <c r="N104" i="50"/>
  <c r="E104" i="50"/>
  <c r="AG102" i="50"/>
  <c r="E102" i="50"/>
  <c r="AG98" i="50"/>
  <c r="E98" i="50"/>
  <c r="AG96" i="50"/>
  <c r="E96" i="50"/>
  <c r="I94" i="50"/>
  <c r="I92" i="50"/>
  <c r="AG90" i="50"/>
  <c r="E90" i="50"/>
  <c r="AG88" i="50"/>
  <c r="E88" i="50"/>
  <c r="M86" i="50"/>
  <c r="M84" i="50"/>
  <c r="AG82" i="50"/>
  <c r="E82" i="50"/>
  <c r="AG80" i="50"/>
  <c r="E80" i="50"/>
  <c r="I78" i="50"/>
  <c r="I76" i="50"/>
  <c r="AG74" i="50"/>
  <c r="E74" i="50"/>
  <c r="AG72" i="50"/>
  <c r="AI72" i="50" s="1"/>
  <c r="E72" i="50"/>
  <c r="AG64" i="50"/>
  <c r="E64" i="50"/>
  <c r="AG62" i="50"/>
  <c r="E62" i="50"/>
  <c r="I60" i="50"/>
  <c r="I58" i="50"/>
  <c r="AG56" i="50"/>
  <c r="E56" i="50"/>
  <c r="AG54" i="50"/>
  <c r="E54" i="50"/>
  <c r="M52" i="50"/>
  <c r="M50" i="50"/>
  <c r="AG48" i="50"/>
  <c r="E48" i="50"/>
  <c r="AG46" i="50"/>
  <c r="AI46" i="50" s="1"/>
  <c r="N46" i="50"/>
  <c r="E46" i="50"/>
  <c r="N44" i="50"/>
  <c r="I44" i="50"/>
  <c r="N42" i="50"/>
  <c r="I42" i="50"/>
  <c r="AG40" i="50"/>
  <c r="N40" i="50"/>
  <c r="E40" i="50"/>
  <c r="AG38" i="50"/>
  <c r="E38" i="50"/>
  <c r="AG34" i="50"/>
  <c r="E34" i="50"/>
  <c r="AG32" i="50"/>
  <c r="E32" i="50"/>
  <c r="I30" i="50"/>
  <c r="I28" i="50"/>
  <c r="AG26" i="50"/>
  <c r="E26" i="50"/>
  <c r="AG24" i="50"/>
  <c r="E24" i="50"/>
  <c r="M22" i="50"/>
  <c r="M20" i="50"/>
  <c r="AG18" i="50"/>
  <c r="E18" i="50"/>
  <c r="AG16" i="50"/>
  <c r="E16" i="50"/>
  <c r="I14" i="50"/>
  <c r="I12" i="50"/>
  <c r="AG10" i="50"/>
  <c r="E10" i="50"/>
  <c r="AG8" i="50"/>
  <c r="E8" i="50"/>
  <c r="N426" i="49"/>
  <c r="I426" i="49"/>
  <c r="C426" i="49"/>
  <c r="N425" i="49"/>
  <c r="I425" i="49"/>
  <c r="C425" i="49"/>
  <c r="N424" i="49"/>
  <c r="I424" i="49"/>
  <c r="H424" i="49"/>
  <c r="L426" i="49" s="1"/>
  <c r="C424" i="49"/>
  <c r="N413" i="49"/>
  <c r="I413" i="49"/>
  <c r="C413" i="49"/>
  <c r="N412" i="49"/>
  <c r="I412" i="49"/>
  <c r="C412" i="49"/>
  <c r="N411" i="49"/>
  <c r="I411" i="49"/>
  <c r="H411" i="49"/>
  <c r="J418" i="49" s="1"/>
  <c r="K418" i="49" s="1"/>
  <c r="C411" i="49"/>
  <c r="N400" i="49"/>
  <c r="I400" i="49"/>
  <c r="C400" i="49"/>
  <c r="N399" i="49"/>
  <c r="I399" i="49"/>
  <c r="C399" i="49"/>
  <c r="N398" i="49"/>
  <c r="I398" i="49"/>
  <c r="H398" i="49"/>
  <c r="E400" i="49" s="1"/>
  <c r="C398" i="49"/>
  <c r="N387" i="49"/>
  <c r="I387" i="49"/>
  <c r="C387" i="49"/>
  <c r="N386" i="49"/>
  <c r="I386" i="49"/>
  <c r="C386" i="49"/>
  <c r="N385" i="49"/>
  <c r="I385" i="49"/>
  <c r="H385" i="49"/>
  <c r="J393" i="49" s="1"/>
  <c r="K393" i="49" s="1"/>
  <c r="C385" i="49"/>
  <c r="N374" i="49"/>
  <c r="I374" i="49"/>
  <c r="C374" i="49"/>
  <c r="N373" i="49"/>
  <c r="I373" i="49"/>
  <c r="C373" i="49"/>
  <c r="N372" i="49"/>
  <c r="I372" i="49"/>
  <c r="H372" i="49"/>
  <c r="E373" i="49" s="1"/>
  <c r="C372" i="49"/>
  <c r="N361" i="49"/>
  <c r="I361" i="49"/>
  <c r="C361" i="49"/>
  <c r="N360" i="49"/>
  <c r="I360" i="49"/>
  <c r="C360" i="49"/>
  <c r="N359" i="49"/>
  <c r="I359" i="49"/>
  <c r="H359" i="49"/>
  <c r="J366" i="49" s="1"/>
  <c r="K366" i="49" s="1"/>
  <c r="C359" i="49"/>
  <c r="N348" i="49"/>
  <c r="I348" i="49"/>
  <c r="C348" i="49"/>
  <c r="N347" i="49"/>
  <c r="I347" i="49"/>
  <c r="C347" i="49"/>
  <c r="N346" i="49"/>
  <c r="I346" i="49"/>
  <c r="H346" i="49"/>
  <c r="B354" i="49" s="1"/>
  <c r="C354" i="49" s="1"/>
  <c r="C346" i="49"/>
  <c r="N335" i="49"/>
  <c r="I335" i="49"/>
  <c r="C335" i="49"/>
  <c r="N334" i="49"/>
  <c r="I334" i="49"/>
  <c r="C334" i="49"/>
  <c r="N333" i="49"/>
  <c r="I333" i="49"/>
  <c r="H333" i="49"/>
  <c r="B341" i="49" s="1"/>
  <c r="C341" i="49" s="1"/>
  <c r="C333" i="49"/>
  <c r="N322" i="49"/>
  <c r="I322" i="49"/>
  <c r="C322" i="49"/>
  <c r="N321" i="49"/>
  <c r="I321" i="49"/>
  <c r="C321" i="49"/>
  <c r="N320" i="49"/>
  <c r="I320" i="49"/>
  <c r="H320" i="49"/>
  <c r="C320" i="49"/>
  <c r="N309" i="49"/>
  <c r="I309" i="49"/>
  <c r="C309" i="49"/>
  <c r="N308" i="49"/>
  <c r="I308" i="49"/>
  <c r="C308" i="49"/>
  <c r="N307" i="49"/>
  <c r="I307" i="49"/>
  <c r="H307" i="49"/>
  <c r="C307" i="49"/>
  <c r="N296" i="49"/>
  <c r="I296" i="49"/>
  <c r="C296" i="49"/>
  <c r="N295" i="49"/>
  <c r="L295" i="49"/>
  <c r="I295" i="49"/>
  <c r="C295" i="49"/>
  <c r="N294" i="49"/>
  <c r="L294" i="49"/>
  <c r="I294" i="49"/>
  <c r="H294" i="49"/>
  <c r="J301" i="49" s="1"/>
  <c r="K301" i="49" s="1"/>
  <c r="C294" i="49"/>
  <c r="N283" i="49"/>
  <c r="M283" i="49"/>
  <c r="I283" i="49"/>
  <c r="C283" i="49"/>
  <c r="N282" i="49"/>
  <c r="I282" i="49"/>
  <c r="C282" i="49"/>
  <c r="N281" i="49"/>
  <c r="I281" i="49"/>
  <c r="H281" i="49"/>
  <c r="J289" i="49" s="1"/>
  <c r="K289" i="49" s="1"/>
  <c r="C281" i="49"/>
  <c r="N270" i="49"/>
  <c r="I270" i="49"/>
  <c r="C270" i="49"/>
  <c r="N269" i="49"/>
  <c r="I269" i="49"/>
  <c r="C269" i="49"/>
  <c r="N268" i="49"/>
  <c r="I268" i="49"/>
  <c r="H268" i="49"/>
  <c r="E268" i="49" s="1"/>
  <c r="C268" i="49"/>
  <c r="N257" i="49"/>
  <c r="I257" i="49"/>
  <c r="C257" i="49"/>
  <c r="N256" i="49"/>
  <c r="I256" i="49"/>
  <c r="C256" i="49"/>
  <c r="N255" i="49"/>
  <c r="I255" i="49"/>
  <c r="H255" i="49"/>
  <c r="L255" i="49" s="1"/>
  <c r="C255" i="49"/>
  <c r="N244" i="49"/>
  <c r="I244" i="49"/>
  <c r="C244" i="49"/>
  <c r="N243" i="49"/>
  <c r="I243" i="49"/>
  <c r="C243" i="49"/>
  <c r="N242" i="49"/>
  <c r="I242" i="49"/>
  <c r="H242" i="49"/>
  <c r="J248" i="49" s="1"/>
  <c r="K248" i="49" s="1"/>
  <c r="C242" i="49"/>
  <c r="N231" i="49"/>
  <c r="I231" i="49"/>
  <c r="C231" i="49"/>
  <c r="N230" i="49"/>
  <c r="I230" i="49"/>
  <c r="C230" i="49"/>
  <c r="N229" i="49"/>
  <c r="M229" i="49"/>
  <c r="I229" i="49"/>
  <c r="H229" i="49"/>
  <c r="J235" i="49" s="1"/>
  <c r="K235" i="49" s="1"/>
  <c r="C229" i="49"/>
  <c r="N218" i="49"/>
  <c r="I218" i="49"/>
  <c r="C218" i="49"/>
  <c r="N217" i="49"/>
  <c r="I217" i="49"/>
  <c r="C217" i="49"/>
  <c r="N216" i="49"/>
  <c r="I216" i="49"/>
  <c r="H216" i="49"/>
  <c r="J224" i="49" s="1"/>
  <c r="K224" i="49" s="1"/>
  <c r="C216" i="49"/>
  <c r="N205" i="49"/>
  <c r="I205" i="49"/>
  <c r="C205" i="49"/>
  <c r="N204" i="49"/>
  <c r="I204" i="49"/>
  <c r="C204" i="49"/>
  <c r="N203" i="49"/>
  <c r="I203" i="49"/>
  <c r="H203" i="49"/>
  <c r="L203" i="49" s="1"/>
  <c r="C203" i="49"/>
  <c r="N192" i="49"/>
  <c r="I192" i="49"/>
  <c r="C192" i="49"/>
  <c r="N191" i="49"/>
  <c r="I191" i="49"/>
  <c r="C191" i="49"/>
  <c r="N190" i="49"/>
  <c r="I190" i="49"/>
  <c r="H190" i="49"/>
  <c r="E190" i="49" s="1"/>
  <c r="C190" i="49"/>
  <c r="N179" i="49"/>
  <c r="I179" i="49"/>
  <c r="C179" i="49"/>
  <c r="N178" i="49"/>
  <c r="I178" i="49"/>
  <c r="C178" i="49"/>
  <c r="N177" i="49"/>
  <c r="I177" i="49"/>
  <c r="H177" i="49"/>
  <c r="B183" i="49" s="1"/>
  <c r="C183" i="49" s="1"/>
  <c r="C177" i="49"/>
  <c r="N166" i="49"/>
  <c r="I166" i="49"/>
  <c r="C166" i="49"/>
  <c r="N165" i="49"/>
  <c r="I165" i="49"/>
  <c r="C165" i="49"/>
  <c r="N164" i="49"/>
  <c r="I164" i="49"/>
  <c r="H164" i="49"/>
  <c r="L166" i="49" s="1"/>
  <c r="C164" i="49"/>
  <c r="N153" i="49"/>
  <c r="I153" i="49"/>
  <c r="C153" i="49"/>
  <c r="N152" i="49"/>
  <c r="I152" i="49"/>
  <c r="C152" i="49"/>
  <c r="N151" i="49"/>
  <c r="I151" i="49"/>
  <c r="H151" i="49"/>
  <c r="L153" i="49" s="1"/>
  <c r="C151" i="49"/>
  <c r="N140" i="49"/>
  <c r="I140" i="49"/>
  <c r="C140" i="49"/>
  <c r="N139" i="49"/>
  <c r="I139" i="49"/>
  <c r="C139" i="49"/>
  <c r="N138" i="49"/>
  <c r="I138" i="49"/>
  <c r="H138" i="49"/>
  <c r="L138" i="49" s="1"/>
  <c r="C138" i="49"/>
  <c r="N127" i="49"/>
  <c r="I127" i="49"/>
  <c r="C127" i="49"/>
  <c r="N126" i="49"/>
  <c r="I126" i="49"/>
  <c r="C126" i="49"/>
  <c r="N125" i="49"/>
  <c r="I125" i="49"/>
  <c r="H125" i="49"/>
  <c r="J133" i="49" s="1"/>
  <c r="K133" i="49" s="1"/>
  <c r="C125" i="49"/>
  <c r="N114" i="49"/>
  <c r="I114" i="49"/>
  <c r="C114" i="49"/>
  <c r="N113" i="49"/>
  <c r="I113" i="49"/>
  <c r="C113" i="49"/>
  <c r="N112" i="49"/>
  <c r="I112" i="49"/>
  <c r="H112" i="49"/>
  <c r="C112" i="49"/>
  <c r="N101" i="49"/>
  <c r="I101" i="49"/>
  <c r="C101" i="49"/>
  <c r="N100" i="49"/>
  <c r="I100" i="49"/>
  <c r="C100" i="49"/>
  <c r="N99" i="49"/>
  <c r="I99" i="49"/>
  <c r="H99" i="49"/>
  <c r="L101" i="49" s="1"/>
  <c r="C99" i="49"/>
  <c r="N88" i="49"/>
  <c r="I88" i="49"/>
  <c r="C88" i="49"/>
  <c r="N87" i="49"/>
  <c r="I87" i="49"/>
  <c r="C87" i="49"/>
  <c r="N86" i="49"/>
  <c r="I86" i="49"/>
  <c r="H86" i="49"/>
  <c r="J92" i="49" s="1"/>
  <c r="C86" i="49"/>
  <c r="N75" i="49"/>
  <c r="I75" i="49"/>
  <c r="C75" i="49"/>
  <c r="N74" i="49"/>
  <c r="I74" i="49"/>
  <c r="C74" i="49"/>
  <c r="N73" i="49"/>
  <c r="I73" i="49"/>
  <c r="H73" i="49"/>
  <c r="J81" i="49" s="1"/>
  <c r="K81" i="49" s="1"/>
  <c r="C73" i="49"/>
  <c r="N62" i="49"/>
  <c r="I62" i="49"/>
  <c r="C62" i="49"/>
  <c r="N61" i="49"/>
  <c r="I61" i="49"/>
  <c r="C61" i="49"/>
  <c r="N60" i="49"/>
  <c r="I60" i="49"/>
  <c r="H60" i="49"/>
  <c r="J68" i="49" s="1"/>
  <c r="K68" i="49" s="1"/>
  <c r="C60" i="49"/>
  <c r="N49" i="49"/>
  <c r="I49" i="49"/>
  <c r="C49" i="49"/>
  <c r="N48" i="49"/>
  <c r="I48" i="49"/>
  <c r="C48" i="49"/>
  <c r="N47" i="49"/>
  <c r="I47" i="49"/>
  <c r="H47" i="49"/>
  <c r="B55" i="49" s="1"/>
  <c r="C55" i="49" s="1"/>
  <c r="C47" i="49"/>
  <c r="N33" i="49"/>
  <c r="L33" i="49"/>
  <c r="I33" i="49"/>
  <c r="C33" i="49"/>
  <c r="N32" i="49"/>
  <c r="L32" i="49"/>
  <c r="I32" i="49"/>
  <c r="C32" i="49"/>
  <c r="N31" i="49"/>
  <c r="L31" i="49"/>
  <c r="I31" i="49"/>
  <c r="C31" i="49"/>
  <c r="N30" i="49"/>
  <c r="L30" i="49"/>
  <c r="I30" i="49"/>
  <c r="H30" i="49"/>
  <c r="F32" i="49" s="1"/>
  <c r="C30" i="49"/>
  <c r="N12" i="49"/>
  <c r="L12" i="49"/>
  <c r="I12" i="49"/>
  <c r="C12" i="49"/>
  <c r="N11" i="49"/>
  <c r="L11" i="49"/>
  <c r="I11" i="49"/>
  <c r="C11" i="49"/>
  <c r="N10" i="49"/>
  <c r="L10" i="49"/>
  <c r="I10" i="49"/>
  <c r="C10" i="49"/>
  <c r="N9" i="49"/>
  <c r="L9" i="49"/>
  <c r="I9" i="49"/>
  <c r="C9" i="49"/>
  <c r="N8" i="49"/>
  <c r="L8" i="49"/>
  <c r="I8" i="49"/>
  <c r="H8" i="49"/>
  <c r="E10" i="49" s="1"/>
  <c r="C8" i="49"/>
  <c r="AG192" i="40"/>
  <c r="E192" i="40"/>
  <c r="AG190" i="40"/>
  <c r="E190" i="40"/>
  <c r="I188" i="40"/>
  <c r="I186" i="40"/>
  <c r="AG184" i="40"/>
  <c r="E184" i="40"/>
  <c r="AG182" i="40"/>
  <c r="E182" i="40"/>
  <c r="M180" i="40"/>
  <c r="M178" i="40"/>
  <c r="AG176" i="40"/>
  <c r="E176" i="40"/>
  <c r="AG174" i="40"/>
  <c r="AI174" i="40" s="1"/>
  <c r="N174" i="40"/>
  <c r="E174" i="40"/>
  <c r="N172" i="40"/>
  <c r="I172" i="40"/>
  <c r="N170" i="40"/>
  <c r="I170" i="40"/>
  <c r="AG168" i="40"/>
  <c r="N168" i="40"/>
  <c r="E168" i="40"/>
  <c r="AG166" i="40"/>
  <c r="E166" i="40"/>
  <c r="AG162" i="40"/>
  <c r="E162" i="40"/>
  <c r="AG160" i="40"/>
  <c r="E160" i="40"/>
  <c r="I158" i="40"/>
  <c r="I156" i="40"/>
  <c r="AG154" i="40"/>
  <c r="E154" i="40"/>
  <c r="AG152" i="40"/>
  <c r="E152" i="40"/>
  <c r="G152" i="40" s="1"/>
  <c r="M150" i="40"/>
  <c r="M148" i="40"/>
  <c r="AG146" i="40"/>
  <c r="E146" i="40"/>
  <c r="AG144" i="40"/>
  <c r="E144" i="40"/>
  <c r="I142" i="40"/>
  <c r="I140" i="40"/>
  <c r="AG138" i="40"/>
  <c r="E138" i="40"/>
  <c r="AG136" i="40"/>
  <c r="E136" i="40"/>
  <c r="AG128" i="40"/>
  <c r="E128" i="40"/>
  <c r="AG126" i="40"/>
  <c r="E126" i="40"/>
  <c r="I124" i="40"/>
  <c r="I122" i="40"/>
  <c r="AG120" i="40"/>
  <c r="E120" i="40"/>
  <c r="AG118" i="40"/>
  <c r="E118" i="40"/>
  <c r="M116" i="40"/>
  <c r="M114" i="40"/>
  <c r="AG112" i="40"/>
  <c r="E112" i="40"/>
  <c r="AG110" i="40"/>
  <c r="AI110" i="40" s="1"/>
  <c r="N110" i="40"/>
  <c r="E110" i="40"/>
  <c r="N108" i="40"/>
  <c r="I108" i="40"/>
  <c r="N106" i="40"/>
  <c r="I106" i="40"/>
  <c r="AG104" i="40"/>
  <c r="N104" i="40"/>
  <c r="E104" i="40"/>
  <c r="AG102" i="40"/>
  <c r="E102" i="40"/>
  <c r="AG98" i="40"/>
  <c r="E98" i="40"/>
  <c r="AG96" i="40"/>
  <c r="E96" i="40"/>
  <c r="I94" i="40"/>
  <c r="I92" i="40"/>
  <c r="AG90" i="40"/>
  <c r="E90" i="40"/>
  <c r="AG88" i="40"/>
  <c r="E88" i="40"/>
  <c r="G88" i="40" s="1"/>
  <c r="M86" i="40"/>
  <c r="M84" i="40"/>
  <c r="AG82" i="40"/>
  <c r="E82" i="40"/>
  <c r="AG80" i="40"/>
  <c r="E80" i="40"/>
  <c r="I78" i="40"/>
  <c r="I76" i="40"/>
  <c r="AG74" i="40"/>
  <c r="E74" i="40"/>
  <c r="AG72" i="40"/>
  <c r="AI72" i="40" s="1"/>
  <c r="E72" i="40"/>
  <c r="AG64" i="40"/>
  <c r="E64" i="40"/>
  <c r="AG62" i="40"/>
  <c r="E62" i="40"/>
  <c r="I60" i="40"/>
  <c r="I58" i="40"/>
  <c r="AG56" i="40"/>
  <c r="E56" i="40"/>
  <c r="AG54" i="40"/>
  <c r="E54" i="40"/>
  <c r="M52" i="40"/>
  <c r="M50" i="40"/>
  <c r="AG48" i="40"/>
  <c r="E48" i="40"/>
  <c r="AG46" i="40"/>
  <c r="N46" i="40"/>
  <c r="E46" i="40"/>
  <c r="N44" i="40"/>
  <c r="I44" i="40"/>
  <c r="N42" i="40"/>
  <c r="I42" i="40"/>
  <c r="AG40" i="40"/>
  <c r="N40" i="40"/>
  <c r="E40" i="40"/>
  <c r="AG38" i="40"/>
  <c r="E38" i="40"/>
  <c r="AG34" i="40"/>
  <c r="E34" i="40"/>
  <c r="AG32" i="40"/>
  <c r="E32" i="40"/>
  <c r="I30" i="40"/>
  <c r="I28" i="40"/>
  <c r="AG26" i="40"/>
  <c r="E26" i="40"/>
  <c r="AG24" i="40"/>
  <c r="E24" i="40"/>
  <c r="G24" i="40" s="1"/>
  <c r="M22" i="40"/>
  <c r="M20" i="40"/>
  <c r="AG18" i="40"/>
  <c r="E18" i="40"/>
  <c r="AG16" i="40"/>
  <c r="E16" i="40"/>
  <c r="I14" i="40"/>
  <c r="I12" i="40"/>
  <c r="AG10" i="40"/>
  <c r="E10" i="40"/>
  <c r="AG8" i="40"/>
  <c r="AI8" i="40" s="1"/>
  <c r="E8" i="40"/>
  <c r="G8" i="40" s="1"/>
  <c r="N426" i="39"/>
  <c r="I426" i="39"/>
  <c r="C426" i="39"/>
  <c r="N425" i="39"/>
  <c r="I425" i="39"/>
  <c r="C425" i="39"/>
  <c r="N424" i="39"/>
  <c r="I424" i="39"/>
  <c r="H424" i="39"/>
  <c r="L426" i="39" s="1"/>
  <c r="C424" i="39"/>
  <c r="N413" i="39"/>
  <c r="I413" i="39"/>
  <c r="C413" i="39"/>
  <c r="N412" i="39"/>
  <c r="I412" i="39"/>
  <c r="C412" i="39"/>
  <c r="N411" i="39"/>
  <c r="I411" i="39"/>
  <c r="H411" i="39"/>
  <c r="B419" i="39" s="1"/>
  <c r="C419" i="39" s="1"/>
  <c r="C411" i="39"/>
  <c r="N400" i="39"/>
  <c r="I400" i="39"/>
  <c r="C400" i="39"/>
  <c r="N399" i="39"/>
  <c r="I399" i="39"/>
  <c r="C399" i="39"/>
  <c r="N398" i="39"/>
  <c r="I398" i="39"/>
  <c r="H398" i="39"/>
  <c r="E400" i="39" s="1"/>
  <c r="C398" i="39"/>
  <c r="N387" i="39"/>
  <c r="I387" i="39"/>
  <c r="C387" i="39"/>
  <c r="N386" i="39"/>
  <c r="I386" i="39"/>
  <c r="C386" i="39"/>
  <c r="N385" i="39"/>
  <c r="I385" i="39"/>
  <c r="H385" i="39"/>
  <c r="E387" i="39" s="1"/>
  <c r="C385" i="39"/>
  <c r="N374" i="39"/>
  <c r="I374" i="39"/>
  <c r="C374" i="39"/>
  <c r="N373" i="39"/>
  <c r="I373" i="39"/>
  <c r="C373" i="39"/>
  <c r="N372" i="39"/>
  <c r="I372" i="39"/>
  <c r="H372" i="39"/>
  <c r="E373" i="39" s="1"/>
  <c r="C372" i="39"/>
  <c r="N361" i="39"/>
  <c r="I361" i="39"/>
  <c r="C361" i="39"/>
  <c r="N360" i="39"/>
  <c r="I360" i="39"/>
  <c r="C360" i="39"/>
  <c r="N359" i="39"/>
  <c r="I359" i="39"/>
  <c r="H359" i="39"/>
  <c r="J366" i="39" s="1"/>
  <c r="K366" i="39" s="1"/>
  <c r="C359" i="39"/>
  <c r="N348" i="39"/>
  <c r="I348" i="39"/>
  <c r="C348" i="39"/>
  <c r="N347" i="39"/>
  <c r="I347" i="39"/>
  <c r="C347" i="39"/>
  <c r="N346" i="39"/>
  <c r="I346" i="39"/>
  <c r="H346" i="39"/>
  <c r="C346" i="39"/>
  <c r="N335" i="39"/>
  <c r="I335" i="39"/>
  <c r="C335" i="39"/>
  <c r="N334" i="39"/>
  <c r="I334" i="39"/>
  <c r="C334" i="39"/>
  <c r="N333" i="39"/>
  <c r="I333" i="39"/>
  <c r="H333" i="39"/>
  <c r="E333" i="39" s="1"/>
  <c r="C333" i="39"/>
  <c r="N322" i="39"/>
  <c r="I322" i="39"/>
  <c r="C322" i="39"/>
  <c r="N321" i="39"/>
  <c r="I321" i="39"/>
  <c r="C321" i="39"/>
  <c r="N320" i="39"/>
  <c r="I320" i="39"/>
  <c r="H320" i="39"/>
  <c r="E321" i="39" s="1"/>
  <c r="C320" i="39"/>
  <c r="N309" i="39"/>
  <c r="I309" i="39"/>
  <c r="C309" i="39"/>
  <c r="N308" i="39"/>
  <c r="L308" i="39"/>
  <c r="I308" i="39"/>
  <c r="C308" i="39"/>
  <c r="N307" i="39"/>
  <c r="I307" i="39"/>
  <c r="H307" i="39"/>
  <c r="L307" i="39" s="1"/>
  <c r="C307" i="39"/>
  <c r="B300" i="39"/>
  <c r="C300" i="39" s="1"/>
  <c r="N296" i="39"/>
  <c r="I296" i="39"/>
  <c r="C296" i="39"/>
  <c r="N295" i="39"/>
  <c r="I295" i="39"/>
  <c r="C295" i="39"/>
  <c r="N294" i="39"/>
  <c r="I294" i="39"/>
  <c r="H294" i="39"/>
  <c r="L296" i="39" s="1"/>
  <c r="C294" i="39"/>
  <c r="N283" i="39"/>
  <c r="I283" i="39"/>
  <c r="C283" i="39"/>
  <c r="N282" i="39"/>
  <c r="I282" i="39"/>
  <c r="C282" i="39"/>
  <c r="N281" i="39"/>
  <c r="I281" i="39"/>
  <c r="H281" i="39"/>
  <c r="L282" i="39" s="1"/>
  <c r="C281" i="39"/>
  <c r="N270" i="39"/>
  <c r="I270" i="39"/>
  <c r="C270" i="39"/>
  <c r="N269" i="39"/>
  <c r="I269" i="39"/>
  <c r="C269" i="39"/>
  <c r="N268" i="39"/>
  <c r="I268" i="39"/>
  <c r="H268" i="39"/>
  <c r="J275" i="39" s="1"/>
  <c r="K275" i="39" s="1"/>
  <c r="C268" i="39"/>
  <c r="J261" i="39"/>
  <c r="K261" i="39" s="1"/>
  <c r="N257" i="39"/>
  <c r="I257" i="39"/>
  <c r="C257" i="39"/>
  <c r="N256" i="39"/>
  <c r="I256" i="39"/>
  <c r="C256" i="39"/>
  <c r="N255" i="39"/>
  <c r="I255" i="39"/>
  <c r="H255" i="39"/>
  <c r="L257" i="39" s="1"/>
  <c r="C255" i="39"/>
  <c r="B249" i="39"/>
  <c r="C249" i="39" s="1"/>
  <c r="N244" i="39"/>
  <c r="I244" i="39"/>
  <c r="C244" i="39"/>
  <c r="N243" i="39"/>
  <c r="I243" i="39"/>
  <c r="C243" i="39"/>
  <c r="N242" i="39"/>
  <c r="I242" i="39"/>
  <c r="H242" i="39"/>
  <c r="E244" i="39" s="1"/>
  <c r="C242" i="39"/>
  <c r="N231" i="39"/>
  <c r="I231" i="39"/>
  <c r="C231" i="39"/>
  <c r="N230" i="39"/>
  <c r="I230" i="39"/>
  <c r="C230" i="39"/>
  <c r="N229" i="39"/>
  <c r="I229" i="39"/>
  <c r="H229" i="39"/>
  <c r="B237" i="39" s="1"/>
  <c r="C237" i="39" s="1"/>
  <c r="C229" i="39"/>
  <c r="N218" i="39"/>
  <c r="I218" i="39"/>
  <c r="C218" i="39"/>
  <c r="N217" i="39"/>
  <c r="I217" i="39"/>
  <c r="C217" i="39"/>
  <c r="N216" i="39"/>
  <c r="I216" i="39"/>
  <c r="H216" i="39"/>
  <c r="E216" i="39" s="1"/>
  <c r="C216" i="39"/>
  <c r="B209" i="39"/>
  <c r="C209" i="39" s="1"/>
  <c r="N205" i="39"/>
  <c r="I205" i="39"/>
  <c r="C205" i="39"/>
  <c r="N204" i="39"/>
  <c r="I204" i="39"/>
  <c r="C204" i="39"/>
  <c r="N203" i="39"/>
  <c r="I203" i="39"/>
  <c r="H203" i="39"/>
  <c r="B210" i="39" s="1"/>
  <c r="C210" i="39" s="1"/>
  <c r="C203" i="39"/>
  <c r="N192" i="39"/>
  <c r="I192" i="39"/>
  <c r="C192" i="39"/>
  <c r="N191" i="39"/>
  <c r="I191" i="39"/>
  <c r="C191" i="39"/>
  <c r="N190" i="39"/>
  <c r="I190" i="39"/>
  <c r="H190" i="39"/>
  <c r="J197" i="39" s="1"/>
  <c r="K197" i="39" s="1"/>
  <c r="C190" i="39"/>
  <c r="N179" i="39"/>
  <c r="I179" i="39"/>
  <c r="C179" i="39"/>
  <c r="N178" i="39"/>
  <c r="I178" i="39"/>
  <c r="C178" i="39"/>
  <c r="N177" i="39"/>
  <c r="I177" i="39"/>
  <c r="H177" i="39"/>
  <c r="J185" i="39" s="1"/>
  <c r="K185" i="39" s="1"/>
  <c r="C177" i="39"/>
  <c r="N166" i="39"/>
  <c r="I166" i="39"/>
  <c r="C166" i="39"/>
  <c r="N165" i="39"/>
  <c r="I165" i="39"/>
  <c r="C165" i="39"/>
  <c r="N164" i="39"/>
  <c r="I164" i="39"/>
  <c r="H164" i="39"/>
  <c r="C164" i="39"/>
  <c r="N153" i="39"/>
  <c r="I153" i="39"/>
  <c r="C153" i="39"/>
  <c r="N152" i="39"/>
  <c r="I152" i="39"/>
  <c r="C152" i="39"/>
  <c r="N151" i="39"/>
  <c r="I151" i="39"/>
  <c r="H151" i="39"/>
  <c r="L153" i="39" s="1"/>
  <c r="C151" i="39"/>
  <c r="N140" i="39"/>
  <c r="I140" i="39"/>
  <c r="C140" i="39"/>
  <c r="N139" i="39"/>
  <c r="I139" i="39"/>
  <c r="C139" i="39"/>
  <c r="N138" i="39"/>
  <c r="I138" i="39"/>
  <c r="H138" i="39"/>
  <c r="C138" i="39"/>
  <c r="N127" i="39"/>
  <c r="I127" i="39"/>
  <c r="C127" i="39"/>
  <c r="N126" i="39"/>
  <c r="I126" i="39"/>
  <c r="C126" i="39"/>
  <c r="N125" i="39"/>
  <c r="I125" i="39"/>
  <c r="H125" i="39"/>
  <c r="E126" i="39" s="1"/>
  <c r="C125" i="39"/>
  <c r="N114" i="39"/>
  <c r="I114" i="39"/>
  <c r="C114" i="39"/>
  <c r="N113" i="39"/>
  <c r="I113" i="39"/>
  <c r="C113" i="39"/>
  <c r="N112" i="39"/>
  <c r="I112" i="39"/>
  <c r="H112" i="39"/>
  <c r="B119" i="39" s="1"/>
  <c r="C119" i="39" s="1"/>
  <c r="C112" i="39"/>
  <c r="N101" i="39"/>
  <c r="I101" i="39"/>
  <c r="C101" i="39"/>
  <c r="N100" i="39"/>
  <c r="I100" i="39"/>
  <c r="C100" i="39"/>
  <c r="N99" i="39"/>
  <c r="I99" i="39"/>
  <c r="H99" i="39"/>
  <c r="L100" i="39" s="1"/>
  <c r="C99" i="39"/>
  <c r="N88" i="39"/>
  <c r="I88" i="39"/>
  <c r="C88" i="39"/>
  <c r="N87" i="39"/>
  <c r="I87" i="39"/>
  <c r="C87" i="39"/>
  <c r="N86" i="39"/>
  <c r="I86" i="39"/>
  <c r="H86" i="39"/>
  <c r="L86" i="39" s="1"/>
  <c r="C86" i="39"/>
  <c r="N75" i="39"/>
  <c r="I75" i="39"/>
  <c r="C75" i="39"/>
  <c r="N74" i="39"/>
  <c r="I74" i="39"/>
  <c r="C74" i="39"/>
  <c r="N73" i="39"/>
  <c r="I73" i="39"/>
  <c r="H73" i="39"/>
  <c r="C73" i="39"/>
  <c r="N62" i="39"/>
  <c r="I62" i="39"/>
  <c r="C62" i="39"/>
  <c r="N61" i="39"/>
  <c r="I61" i="39"/>
  <c r="C61" i="39"/>
  <c r="N60" i="39"/>
  <c r="I60" i="39"/>
  <c r="H60" i="39"/>
  <c r="B66" i="39" s="1"/>
  <c r="C66" i="39" s="1"/>
  <c r="D60" i="39"/>
  <c r="C60" i="39"/>
  <c r="N49" i="39"/>
  <c r="I49" i="39"/>
  <c r="C49" i="39"/>
  <c r="N48" i="39"/>
  <c r="I48" i="39"/>
  <c r="C48" i="39"/>
  <c r="N47" i="39"/>
  <c r="I47" i="39"/>
  <c r="H47" i="39"/>
  <c r="J53" i="39" s="1"/>
  <c r="K53" i="39" s="1"/>
  <c r="E47" i="39"/>
  <c r="C47" i="39"/>
  <c r="N33" i="39"/>
  <c r="L33" i="39"/>
  <c r="I33" i="39"/>
  <c r="C33" i="39"/>
  <c r="N32" i="39"/>
  <c r="L32" i="39"/>
  <c r="I32" i="39"/>
  <c r="C32" i="39"/>
  <c r="N31" i="39"/>
  <c r="L31" i="39"/>
  <c r="I31" i="39"/>
  <c r="C31" i="39"/>
  <c r="N30" i="39"/>
  <c r="L30" i="39"/>
  <c r="I30" i="39"/>
  <c r="H30" i="39"/>
  <c r="J41" i="39" s="1"/>
  <c r="K41" i="39" s="1"/>
  <c r="C30" i="39"/>
  <c r="O12" i="39"/>
  <c r="N12" i="39"/>
  <c r="M12" i="39"/>
  <c r="L12" i="39"/>
  <c r="I12" i="39"/>
  <c r="J12" i="39" s="1"/>
  <c r="K12" i="39" s="1"/>
  <c r="C12" i="39"/>
  <c r="N11" i="39"/>
  <c r="L11" i="39"/>
  <c r="I11" i="39"/>
  <c r="C11" i="39"/>
  <c r="N10" i="39"/>
  <c r="L10" i="39"/>
  <c r="I10" i="39"/>
  <c r="C10" i="39"/>
  <c r="N9" i="39"/>
  <c r="L9" i="39"/>
  <c r="I9" i="39"/>
  <c r="C9" i="39"/>
  <c r="N8" i="39"/>
  <c r="L8" i="39"/>
  <c r="I8" i="39"/>
  <c r="H8" i="39"/>
  <c r="B20" i="39" s="1"/>
  <c r="C20" i="39" s="1"/>
  <c r="C8" i="39"/>
  <c r="AG192" i="38"/>
  <c r="E192" i="38"/>
  <c r="AG190" i="38"/>
  <c r="E190" i="38"/>
  <c r="I188" i="38"/>
  <c r="I186" i="38"/>
  <c r="AG184" i="38"/>
  <c r="E184" i="38"/>
  <c r="AG182" i="38"/>
  <c r="E182" i="38"/>
  <c r="M180" i="38"/>
  <c r="AG176" i="38"/>
  <c r="E176" i="38"/>
  <c r="AG174" i="38"/>
  <c r="N174" i="38"/>
  <c r="E174" i="38"/>
  <c r="N172" i="38"/>
  <c r="I172" i="38"/>
  <c r="N170" i="38"/>
  <c r="I170" i="38"/>
  <c r="AG168" i="38"/>
  <c r="N168" i="38"/>
  <c r="E168" i="38"/>
  <c r="AG166" i="38"/>
  <c r="E166" i="38"/>
  <c r="AG162" i="38"/>
  <c r="E162" i="38"/>
  <c r="AG160" i="38"/>
  <c r="E160" i="38"/>
  <c r="I158" i="38"/>
  <c r="I156" i="38"/>
  <c r="AG154" i="38"/>
  <c r="E154" i="38"/>
  <c r="AG152" i="38"/>
  <c r="E152" i="38"/>
  <c r="M150" i="38"/>
  <c r="M148" i="38"/>
  <c r="AG146" i="38"/>
  <c r="E146" i="38"/>
  <c r="AG144" i="38"/>
  <c r="E144" i="38"/>
  <c r="I142" i="38"/>
  <c r="I140" i="38"/>
  <c r="AG138" i="38"/>
  <c r="E138" i="38"/>
  <c r="AG136" i="38"/>
  <c r="E136" i="38"/>
  <c r="AG128" i="38"/>
  <c r="E128" i="38"/>
  <c r="AG126" i="38"/>
  <c r="E126" i="38"/>
  <c r="I124" i="38"/>
  <c r="I122" i="38"/>
  <c r="AG120" i="38"/>
  <c r="E120" i="38"/>
  <c r="AG118" i="38"/>
  <c r="E118" i="38"/>
  <c r="M116" i="38"/>
  <c r="M114" i="38"/>
  <c r="AG112" i="38"/>
  <c r="E112" i="38"/>
  <c r="AG110" i="38"/>
  <c r="N110" i="38"/>
  <c r="E110" i="38"/>
  <c r="N108" i="38"/>
  <c r="I108" i="38"/>
  <c r="N106" i="38"/>
  <c r="I106" i="38"/>
  <c r="AG104" i="38"/>
  <c r="N104" i="38"/>
  <c r="E104" i="38"/>
  <c r="AG102" i="38"/>
  <c r="E102" i="38"/>
  <c r="AG98" i="38"/>
  <c r="E98" i="38"/>
  <c r="AG96" i="38"/>
  <c r="E96" i="38"/>
  <c r="I94" i="38"/>
  <c r="I92" i="38"/>
  <c r="AG90" i="38"/>
  <c r="E90" i="38"/>
  <c r="AG88" i="38"/>
  <c r="E88" i="38"/>
  <c r="G88" i="38" s="1"/>
  <c r="M86" i="38"/>
  <c r="M84" i="38"/>
  <c r="AG82" i="38"/>
  <c r="E82" i="38"/>
  <c r="AG80" i="38"/>
  <c r="E80" i="38"/>
  <c r="I78" i="38"/>
  <c r="I76" i="38"/>
  <c r="AG74" i="38"/>
  <c r="E74" i="38"/>
  <c r="AG72" i="38"/>
  <c r="E72" i="38"/>
  <c r="G72" i="38" s="1"/>
  <c r="AG64" i="38"/>
  <c r="E64" i="38"/>
  <c r="AG62" i="38"/>
  <c r="E62" i="38"/>
  <c r="I60" i="38"/>
  <c r="I58" i="38"/>
  <c r="AG56" i="38"/>
  <c r="E56" i="38"/>
  <c r="AG54" i="38"/>
  <c r="E54" i="38"/>
  <c r="M52" i="38"/>
  <c r="M50" i="38"/>
  <c r="AG48" i="38"/>
  <c r="E48" i="38"/>
  <c r="AG46" i="38"/>
  <c r="N46" i="38"/>
  <c r="P44" i="38" s="1"/>
  <c r="E46" i="38"/>
  <c r="N44" i="38"/>
  <c r="I44" i="38"/>
  <c r="N42" i="38"/>
  <c r="I42" i="38"/>
  <c r="AG40" i="38"/>
  <c r="N40" i="38"/>
  <c r="E40" i="38"/>
  <c r="AG38" i="38"/>
  <c r="E38" i="38"/>
  <c r="AG34" i="38"/>
  <c r="E34" i="38"/>
  <c r="AG32" i="38"/>
  <c r="E32" i="38"/>
  <c r="I30" i="38"/>
  <c r="I28" i="38"/>
  <c r="AG26" i="38"/>
  <c r="E26" i="38"/>
  <c r="AG24" i="38"/>
  <c r="E24" i="38"/>
  <c r="M22" i="38"/>
  <c r="M20" i="38"/>
  <c r="AG18" i="38"/>
  <c r="E18" i="38"/>
  <c r="AG16" i="38"/>
  <c r="E16" i="38"/>
  <c r="I14" i="38"/>
  <c r="I12" i="38"/>
  <c r="AG10" i="38"/>
  <c r="E10" i="38"/>
  <c r="AG8" i="38"/>
  <c r="E8" i="38"/>
  <c r="G8" i="38" s="1"/>
  <c r="N426" i="37"/>
  <c r="I426" i="37"/>
  <c r="C426" i="37"/>
  <c r="N425" i="37"/>
  <c r="I425" i="37"/>
  <c r="C425" i="37"/>
  <c r="N424" i="37"/>
  <c r="I424" i="37"/>
  <c r="H424" i="37"/>
  <c r="C424" i="37"/>
  <c r="N413" i="37"/>
  <c r="I413" i="37"/>
  <c r="C413" i="37"/>
  <c r="N412" i="37"/>
  <c r="I412" i="37"/>
  <c r="C412" i="37"/>
  <c r="N411" i="37"/>
  <c r="I411" i="37"/>
  <c r="H411" i="37"/>
  <c r="B419" i="37" s="1"/>
  <c r="C419" i="37" s="1"/>
  <c r="C411" i="37"/>
  <c r="N400" i="37"/>
  <c r="I400" i="37"/>
  <c r="C400" i="37"/>
  <c r="N399" i="37"/>
  <c r="I399" i="37"/>
  <c r="C399" i="37"/>
  <c r="N398" i="37"/>
  <c r="I398" i="37"/>
  <c r="H398" i="37"/>
  <c r="E398" i="37" s="1"/>
  <c r="C398" i="37"/>
  <c r="N387" i="37"/>
  <c r="I387" i="37"/>
  <c r="C387" i="37"/>
  <c r="N386" i="37"/>
  <c r="I386" i="37"/>
  <c r="C386" i="37"/>
  <c r="N385" i="37"/>
  <c r="I385" i="37"/>
  <c r="H385" i="37"/>
  <c r="C385" i="37"/>
  <c r="N374" i="37"/>
  <c r="I374" i="37"/>
  <c r="C374" i="37"/>
  <c r="N373" i="37"/>
  <c r="I373" i="37"/>
  <c r="C373" i="37"/>
  <c r="N372" i="37"/>
  <c r="I372" i="37"/>
  <c r="H372" i="37"/>
  <c r="E373" i="37" s="1"/>
  <c r="C372" i="37"/>
  <c r="N361" i="37"/>
  <c r="I361" i="37"/>
  <c r="C361" i="37"/>
  <c r="N360" i="37"/>
  <c r="I360" i="37"/>
  <c r="C360" i="37"/>
  <c r="N359" i="37"/>
  <c r="I359" i="37"/>
  <c r="H359" i="37"/>
  <c r="B365" i="37" s="1"/>
  <c r="C365" i="37" s="1"/>
  <c r="C359" i="37"/>
  <c r="N348" i="37"/>
  <c r="I348" i="37"/>
  <c r="C348" i="37"/>
  <c r="N347" i="37"/>
  <c r="I347" i="37"/>
  <c r="C347" i="37"/>
  <c r="N346" i="37"/>
  <c r="I346" i="37"/>
  <c r="H346" i="37"/>
  <c r="C346" i="37"/>
  <c r="N335" i="37"/>
  <c r="I335" i="37"/>
  <c r="C335" i="37"/>
  <c r="N334" i="37"/>
  <c r="I334" i="37"/>
  <c r="C334" i="37"/>
  <c r="N333" i="37"/>
  <c r="I333" i="37"/>
  <c r="H333" i="37"/>
  <c r="E335" i="37" s="1"/>
  <c r="C333" i="37"/>
  <c r="N322" i="37"/>
  <c r="I322" i="37"/>
  <c r="C322" i="37"/>
  <c r="N321" i="37"/>
  <c r="I321" i="37"/>
  <c r="C321" i="37"/>
  <c r="N320" i="37"/>
  <c r="I320" i="37"/>
  <c r="H320" i="37"/>
  <c r="C320" i="37"/>
  <c r="N309" i="37"/>
  <c r="I309" i="37"/>
  <c r="C309" i="37"/>
  <c r="N308" i="37"/>
  <c r="I308" i="37"/>
  <c r="C308" i="37"/>
  <c r="N307" i="37"/>
  <c r="I307" i="37"/>
  <c r="H307" i="37"/>
  <c r="B313" i="37" s="1"/>
  <c r="C313" i="37" s="1"/>
  <c r="C307" i="37"/>
  <c r="N296" i="37"/>
  <c r="I296" i="37"/>
  <c r="C296" i="37"/>
  <c r="N295" i="37"/>
  <c r="I295" i="37"/>
  <c r="C295" i="37"/>
  <c r="N294" i="37"/>
  <c r="I294" i="37"/>
  <c r="H294" i="37"/>
  <c r="J301" i="37" s="1"/>
  <c r="K301" i="37" s="1"/>
  <c r="C294" i="37"/>
  <c r="N283" i="37"/>
  <c r="I283" i="37"/>
  <c r="C283" i="37"/>
  <c r="N282" i="37"/>
  <c r="I282" i="37"/>
  <c r="C282" i="37"/>
  <c r="N281" i="37"/>
  <c r="I281" i="37"/>
  <c r="H281" i="37"/>
  <c r="J287" i="37" s="1"/>
  <c r="K287" i="37" s="1"/>
  <c r="C281" i="37"/>
  <c r="N270" i="37"/>
  <c r="I270" i="37"/>
  <c r="C270" i="37"/>
  <c r="N269" i="37"/>
  <c r="I269" i="37"/>
  <c r="C269" i="37"/>
  <c r="N268" i="37"/>
  <c r="I268" i="37"/>
  <c r="H268" i="37"/>
  <c r="C268" i="37"/>
  <c r="N257" i="37"/>
  <c r="I257" i="37"/>
  <c r="C257" i="37"/>
  <c r="N256" i="37"/>
  <c r="I256" i="37"/>
  <c r="C256" i="37"/>
  <c r="N255" i="37"/>
  <c r="I255" i="37"/>
  <c r="H255" i="37"/>
  <c r="B263" i="37" s="1"/>
  <c r="C263" i="37" s="1"/>
  <c r="C255" i="37"/>
  <c r="N244" i="37"/>
  <c r="I244" i="37"/>
  <c r="C244" i="37"/>
  <c r="N243" i="37"/>
  <c r="I243" i="37"/>
  <c r="C243" i="37"/>
  <c r="N242" i="37"/>
  <c r="I242" i="37"/>
  <c r="H242" i="37"/>
  <c r="B250" i="37" s="1"/>
  <c r="C250" i="37" s="1"/>
  <c r="C242" i="37"/>
  <c r="N231" i="37"/>
  <c r="I231" i="37"/>
  <c r="C231" i="37"/>
  <c r="N230" i="37"/>
  <c r="I230" i="37"/>
  <c r="C230" i="37"/>
  <c r="N229" i="37"/>
  <c r="I229" i="37"/>
  <c r="H229" i="37"/>
  <c r="C229" i="37"/>
  <c r="N218" i="37"/>
  <c r="I218" i="37"/>
  <c r="C218" i="37"/>
  <c r="N217" i="37"/>
  <c r="I217" i="37"/>
  <c r="C217" i="37"/>
  <c r="N216" i="37"/>
  <c r="I216" i="37"/>
  <c r="H216" i="37"/>
  <c r="J224" i="37" s="1"/>
  <c r="K224" i="37" s="1"/>
  <c r="C216" i="37"/>
  <c r="N205" i="37"/>
  <c r="I205" i="37"/>
  <c r="C205" i="37"/>
  <c r="N204" i="37"/>
  <c r="I204" i="37"/>
  <c r="C204" i="37"/>
  <c r="N203" i="37"/>
  <c r="I203" i="37"/>
  <c r="H203" i="37"/>
  <c r="B209" i="37" s="1"/>
  <c r="C209" i="37" s="1"/>
  <c r="C203" i="37"/>
  <c r="N192" i="37"/>
  <c r="I192" i="37"/>
  <c r="C192" i="37"/>
  <c r="N191" i="37"/>
  <c r="I191" i="37"/>
  <c r="C191" i="37"/>
  <c r="N190" i="37"/>
  <c r="I190" i="37"/>
  <c r="H190" i="37"/>
  <c r="J198" i="37" s="1"/>
  <c r="K198" i="37" s="1"/>
  <c r="C190" i="37"/>
  <c r="N179" i="37"/>
  <c r="I179" i="37"/>
  <c r="C179" i="37"/>
  <c r="N178" i="37"/>
  <c r="I178" i="37"/>
  <c r="C178" i="37"/>
  <c r="N177" i="37"/>
  <c r="I177" i="37"/>
  <c r="H177" i="37"/>
  <c r="J185" i="37" s="1"/>
  <c r="K185" i="37" s="1"/>
  <c r="C177" i="37"/>
  <c r="N166" i="37"/>
  <c r="I166" i="37"/>
  <c r="C166" i="37"/>
  <c r="N165" i="37"/>
  <c r="I165" i="37"/>
  <c r="C165" i="37"/>
  <c r="N164" i="37"/>
  <c r="I164" i="37"/>
  <c r="H164" i="37"/>
  <c r="B171" i="37" s="1"/>
  <c r="C171" i="37" s="1"/>
  <c r="C164" i="37"/>
  <c r="N153" i="37"/>
  <c r="I153" i="37"/>
  <c r="C153" i="37"/>
  <c r="N152" i="37"/>
  <c r="I152" i="37"/>
  <c r="C152" i="37"/>
  <c r="N151" i="37"/>
  <c r="I151" i="37"/>
  <c r="H151" i="37"/>
  <c r="J158" i="37" s="1"/>
  <c r="K158" i="37" s="1"/>
  <c r="C151" i="37"/>
  <c r="N140" i="37"/>
  <c r="I140" i="37"/>
  <c r="C140" i="37"/>
  <c r="N139" i="37"/>
  <c r="I139" i="37"/>
  <c r="C139" i="37"/>
  <c r="N138" i="37"/>
  <c r="I138" i="37"/>
  <c r="H138" i="37"/>
  <c r="B146" i="37" s="1"/>
  <c r="C146" i="37" s="1"/>
  <c r="C138" i="37"/>
  <c r="N127" i="37"/>
  <c r="I127" i="37"/>
  <c r="C127" i="37"/>
  <c r="N126" i="37"/>
  <c r="I126" i="37"/>
  <c r="C126" i="37"/>
  <c r="N125" i="37"/>
  <c r="I125" i="37"/>
  <c r="H125" i="37"/>
  <c r="L127" i="37" s="1"/>
  <c r="C125" i="37"/>
  <c r="N114" i="37"/>
  <c r="I114" i="37"/>
  <c r="C114" i="37"/>
  <c r="N113" i="37"/>
  <c r="I113" i="37"/>
  <c r="C113" i="37"/>
  <c r="N112" i="37"/>
  <c r="I112" i="37"/>
  <c r="H112" i="37"/>
  <c r="B119" i="37" s="1"/>
  <c r="C119" i="37" s="1"/>
  <c r="C112" i="37"/>
  <c r="N101" i="37"/>
  <c r="I101" i="37"/>
  <c r="C101" i="37"/>
  <c r="N100" i="37"/>
  <c r="I100" i="37"/>
  <c r="C100" i="37"/>
  <c r="N99" i="37"/>
  <c r="I99" i="37"/>
  <c r="H99" i="37"/>
  <c r="J105" i="37" s="1"/>
  <c r="K105" i="37" s="1"/>
  <c r="C99" i="37"/>
  <c r="N88" i="37"/>
  <c r="I88" i="37"/>
  <c r="C88" i="37"/>
  <c r="N87" i="37"/>
  <c r="I87" i="37"/>
  <c r="C87" i="37"/>
  <c r="N86" i="37"/>
  <c r="I86" i="37"/>
  <c r="H86" i="37"/>
  <c r="B94" i="37" s="1"/>
  <c r="C94" i="37" s="1"/>
  <c r="C86" i="37"/>
  <c r="N75" i="37"/>
  <c r="I75" i="37"/>
  <c r="C75" i="37"/>
  <c r="N74" i="37"/>
  <c r="I74" i="37"/>
  <c r="C74" i="37"/>
  <c r="N73" i="37"/>
  <c r="I73" i="37"/>
  <c r="H73" i="37"/>
  <c r="L74" i="37" s="1"/>
  <c r="C73" i="37"/>
  <c r="N62" i="37"/>
  <c r="I62" i="37"/>
  <c r="C62" i="37"/>
  <c r="N61" i="37"/>
  <c r="I61" i="37"/>
  <c r="C61" i="37"/>
  <c r="N60" i="37"/>
  <c r="I60" i="37"/>
  <c r="H60" i="37"/>
  <c r="B67" i="37" s="1"/>
  <c r="C67" i="37" s="1"/>
  <c r="C60" i="37"/>
  <c r="N49" i="37"/>
  <c r="I49" i="37"/>
  <c r="C49" i="37"/>
  <c r="N48" i="37"/>
  <c r="I48" i="37"/>
  <c r="C48" i="37"/>
  <c r="N47" i="37"/>
  <c r="I47" i="37"/>
  <c r="H47" i="37"/>
  <c r="L48" i="37" s="1"/>
  <c r="C47" i="37"/>
  <c r="N33" i="37"/>
  <c r="L33" i="37"/>
  <c r="I33" i="37"/>
  <c r="C33" i="37"/>
  <c r="N32" i="37"/>
  <c r="L32" i="37"/>
  <c r="I32" i="37"/>
  <c r="C32" i="37"/>
  <c r="N31" i="37"/>
  <c r="L31" i="37"/>
  <c r="I31" i="37"/>
  <c r="C31" i="37"/>
  <c r="N30" i="37"/>
  <c r="L30" i="37"/>
  <c r="I30" i="37"/>
  <c r="H30" i="37"/>
  <c r="F33" i="37" s="1"/>
  <c r="C30" i="37"/>
  <c r="O12" i="37"/>
  <c r="N12" i="37"/>
  <c r="M12" i="37"/>
  <c r="L12" i="37"/>
  <c r="I12" i="37"/>
  <c r="J12" i="37" s="1"/>
  <c r="K12" i="37" s="1"/>
  <c r="C12" i="37"/>
  <c r="N11" i="37"/>
  <c r="L11" i="37"/>
  <c r="I11" i="37"/>
  <c r="C11" i="37"/>
  <c r="N10" i="37"/>
  <c r="L10" i="37"/>
  <c r="I10" i="37"/>
  <c r="C10" i="37"/>
  <c r="N9" i="37"/>
  <c r="L9" i="37"/>
  <c r="I9" i="37"/>
  <c r="C9" i="37"/>
  <c r="N8" i="37"/>
  <c r="L8" i="37"/>
  <c r="I8" i="37"/>
  <c r="H8" i="37"/>
  <c r="F8" i="37" s="1"/>
  <c r="C8" i="37"/>
  <c r="AG192" i="48"/>
  <c r="E192" i="48"/>
  <c r="AG190" i="48"/>
  <c r="E190" i="48"/>
  <c r="I188" i="48"/>
  <c r="I186" i="48"/>
  <c r="E184" i="48"/>
  <c r="AG182" i="48"/>
  <c r="E182" i="48"/>
  <c r="M180" i="48"/>
  <c r="M178" i="48"/>
  <c r="AG176" i="48"/>
  <c r="E176" i="48"/>
  <c r="AG174" i="48"/>
  <c r="N174" i="48"/>
  <c r="E174" i="48"/>
  <c r="N172" i="48"/>
  <c r="I172" i="48"/>
  <c r="N170" i="48"/>
  <c r="I170" i="48"/>
  <c r="AG168" i="48"/>
  <c r="N168" i="48"/>
  <c r="E168" i="48"/>
  <c r="AG166" i="48"/>
  <c r="E166" i="48"/>
  <c r="AG162" i="48"/>
  <c r="E162" i="48"/>
  <c r="AG160" i="48"/>
  <c r="E160" i="48"/>
  <c r="I158" i="48"/>
  <c r="I156" i="48"/>
  <c r="AG154" i="48"/>
  <c r="E154" i="48"/>
  <c r="AG152" i="48"/>
  <c r="E152" i="48"/>
  <c r="M150" i="48"/>
  <c r="M148" i="48"/>
  <c r="AG146" i="48"/>
  <c r="E146" i="48"/>
  <c r="AG144" i="48"/>
  <c r="E144" i="48"/>
  <c r="I142" i="48"/>
  <c r="I140" i="48"/>
  <c r="AG138" i="48"/>
  <c r="E138" i="48"/>
  <c r="AG136" i="48"/>
  <c r="E136" i="48"/>
  <c r="AG128" i="48"/>
  <c r="E128" i="48"/>
  <c r="AG126" i="48"/>
  <c r="E126" i="48"/>
  <c r="I124" i="48"/>
  <c r="I122" i="48"/>
  <c r="AG120" i="48"/>
  <c r="E120" i="48"/>
  <c r="AG118" i="48"/>
  <c r="E118" i="48"/>
  <c r="M116" i="48"/>
  <c r="M114" i="48"/>
  <c r="AG112" i="48"/>
  <c r="E112" i="48"/>
  <c r="AG110" i="48"/>
  <c r="N110" i="48"/>
  <c r="E110" i="48"/>
  <c r="N108" i="48"/>
  <c r="I108" i="48"/>
  <c r="N106" i="48"/>
  <c r="I106" i="48"/>
  <c r="AG104" i="48"/>
  <c r="N104" i="48"/>
  <c r="E104" i="48"/>
  <c r="AG102" i="48"/>
  <c r="E102" i="48"/>
  <c r="AG98" i="48"/>
  <c r="E98" i="48"/>
  <c r="AG96" i="48"/>
  <c r="E96" i="48"/>
  <c r="I94" i="48"/>
  <c r="I92" i="48"/>
  <c r="AG90" i="48"/>
  <c r="E90" i="48"/>
  <c r="AG88" i="48"/>
  <c r="E88" i="48"/>
  <c r="M86" i="48"/>
  <c r="M84" i="48"/>
  <c r="AG82" i="48"/>
  <c r="E82" i="48"/>
  <c r="AG80" i="48"/>
  <c r="E80" i="48"/>
  <c r="I78" i="48"/>
  <c r="I76" i="48"/>
  <c r="AG74" i="48"/>
  <c r="E74" i="48"/>
  <c r="AG72" i="48"/>
  <c r="E72" i="48"/>
  <c r="AG64" i="48"/>
  <c r="E64" i="48"/>
  <c r="AG62" i="48"/>
  <c r="E62" i="48"/>
  <c r="I60" i="48"/>
  <c r="I58" i="48"/>
  <c r="AG56" i="48"/>
  <c r="E56" i="48"/>
  <c r="AG54" i="48"/>
  <c r="E54" i="48"/>
  <c r="M52" i="48"/>
  <c r="M50" i="48"/>
  <c r="AG48" i="48"/>
  <c r="E48" i="48"/>
  <c r="AG46" i="48"/>
  <c r="N46" i="48"/>
  <c r="E46" i="48"/>
  <c r="N44" i="48"/>
  <c r="I44" i="48"/>
  <c r="N42" i="48"/>
  <c r="I42" i="48"/>
  <c r="AG40" i="48"/>
  <c r="N40" i="48"/>
  <c r="E40" i="48"/>
  <c r="AG38" i="48"/>
  <c r="E38" i="48"/>
  <c r="AG34" i="48"/>
  <c r="E34" i="48"/>
  <c r="AG32" i="48"/>
  <c r="E32" i="48"/>
  <c r="I30" i="48"/>
  <c r="I28" i="48"/>
  <c r="AG26" i="48"/>
  <c r="E26" i="48"/>
  <c r="AG24" i="48"/>
  <c r="E24" i="48"/>
  <c r="M22" i="48"/>
  <c r="M20" i="48"/>
  <c r="AG18" i="48"/>
  <c r="E18" i="48"/>
  <c r="AG16" i="48"/>
  <c r="E16" i="48"/>
  <c r="I14" i="48"/>
  <c r="I12" i="48"/>
  <c r="AG10" i="48"/>
  <c r="E10" i="48"/>
  <c r="AG8" i="48"/>
  <c r="E8" i="48"/>
  <c r="N426" i="47"/>
  <c r="I426" i="47"/>
  <c r="C426" i="47"/>
  <c r="N425" i="47"/>
  <c r="I425" i="47"/>
  <c r="C425" i="47"/>
  <c r="N424" i="47"/>
  <c r="I424" i="47"/>
  <c r="H424" i="47"/>
  <c r="C424" i="47"/>
  <c r="N413" i="47"/>
  <c r="I413" i="47"/>
  <c r="C413" i="47"/>
  <c r="N412" i="47"/>
  <c r="I412" i="47"/>
  <c r="C412" i="47"/>
  <c r="N411" i="47"/>
  <c r="I411" i="47"/>
  <c r="H411" i="47"/>
  <c r="J417" i="47" s="1"/>
  <c r="K417" i="47" s="1"/>
  <c r="C411" i="47"/>
  <c r="N400" i="47"/>
  <c r="I400" i="47"/>
  <c r="C400" i="47"/>
  <c r="N399" i="47"/>
  <c r="I399" i="47"/>
  <c r="C399" i="47"/>
  <c r="N398" i="47"/>
  <c r="I398" i="47"/>
  <c r="H398" i="47"/>
  <c r="E400" i="47" s="1"/>
  <c r="C398" i="47"/>
  <c r="N387" i="47"/>
  <c r="I387" i="47"/>
  <c r="C387" i="47"/>
  <c r="N386" i="47"/>
  <c r="I386" i="47"/>
  <c r="C386" i="47"/>
  <c r="N385" i="47"/>
  <c r="I385" i="47"/>
  <c r="H385" i="47"/>
  <c r="D386" i="47" s="1"/>
  <c r="C385" i="47"/>
  <c r="N374" i="47"/>
  <c r="I374" i="47"/>
  <c r="C374" i="47"/>
  <c r="N373" i="47"/>
  <c r="I373" i="47"/>
  <c r="C373" i="47"/>
  <c r="N372" i="47"/>
  <c r="I372" i="47"/>
  <c r="H372" i="47"/>
  <c r="J378" i="47" s="1"/>
  <c r="K378" i="47" s="1"/>
  <c r="C372" i="47"/>
  <c r="N361" i="47"/>
  <c r="I361" i="47"/>
  <c r="C361" i="47"/>
  <c r="N360" i="47"/>
  <c r="I360" i="47"/>
  <c r="C360" i="47"/>
  <c r="N359" i="47"/>
  <c r="I359" i="47"/>
  <c r="H359" i="47"/>
  <c r="J365" i="47" s="1"/>
  <c r="K365" i="47" s="1"/>
  <c r="C359" i="47"/>
  <c r="N348" i="47"/>
  <c r="I348" i="47"/>
  <c r="C348" i="47"/>
  <c r="N347" i="47"/>
  <c r="I347" i="47"/>
  <c r="C347" i="47"/>
  <c r="N346" i="47"/>
  <c r="I346" i="47"/>
  <c r="H346" i="47"/>
  <c r="C346" i="47"/>
  <c r="N335" i="47"/>
  <c r="I335" i="47"/>
  <c r="C335" i="47"/>
  <c r="N334" i="47"/>
  <c r="I334" i="47"/>
  <c r="C334" i="47"/>
  <c r="N333" i="47"/>
  <c r="I333" i="47"/>
  <c r="H333" i="47"/>
  <c r="B340" i="47" s="1"/>
  <c r="C340" i="47" s="1"/>
  <c r="C333" i="47"/>
  <c r="N322" i="47"/>
  <c r="I322" i="47"/>
  <c r="C322" i="47"/>
  <c r="N321" i="47"/>
  <c r="I321" i="47"/>
  <c r="C321" i="47"/>
  <c r="N320" i="47"/>
  <c r="I320" i="47"/>
  <c r="H320" i="47"/>
  <c r="L322" i="47" s="1"/>
  <c r="C320" i="47"/>
  <c r="N309" i="47"/>
  <c r="I309" i="47"/>
  <c r="C309" i="47"/>
  <c r="N308" i="47"/>
  <c r="I308" i="47"/>
  <c r="C308" i="47"/>
  <c r="N307" i="47"/>
  <c r="I307" i="47"/>
  <c r="H307" i="47"/>
  <c r="L309" i="47" s="1"/>
  <c r="C307" i="47"/>
  <c r="N296" i="47"/>
  <c r="I296" i="47"/>
  <c r="C296" i="47"/>
  <c r="N295" i="47"/>
  <c r="I295" i="47"/>
  <c r="C295" i="47"/>
  <c r="N294" i="47"/>
  <c r="I294" i="47"/>
  <c r="H294" i="47"/>
  <c r="C294" i="47"/>
  <c r="N283" i="47"/>
  <c r="I283" i="47"/>
  <c r="C283" i="47"/>
  <c r="N282" i="47"/>
  <c r="I282" i="47"/>
  <c r="C282" i="47"/>
  <c r="N281" i="47"/>
  <c r="I281" i="47"/>
  <c r="H281" i="47"/>
  <c r="L281" i="47" s="1"/>
  <c r="C281" i="47"/>
  <c r="N270" i="47"/>
  <c r="I270" i="47"/>
  <c r="C270" i="47"/>
  <c r="N269" i="47"/>
  <c r="I269" i="47"/>
  <c r="C269" i="47"/>
  <c r="N268" i="47"/>
  <c r="I268" i="47"/>
  <c r="H268" i="47"/>
  <c r="C268" i="47"/>
  <c r="N257" i="47"/>
  <c r="I257" i="47"/>
  <c r="C257" i="47"/>
  <c r="N256" i="47"/>
  <c r="I256" i="47"/>
  <c r="C256" i="47"/>
  <c r="N255" i="47"/>
  <c r="I255" i="47"/>
  <c r="H255" i="47"/>
  <c r="L255" i="47" s="1"/>
  <c r="C255" i="47"/>
  <c r="N244" i="47"/>
  <c r="I244" i="47"/>
  <c r="C244" i="47"/>
  <c r="N243" i="47"/>
  <c r="I243" i="47"/>
  <c r="C243" i="47"/>
  <c r="N242" i="47"/>
  <c r="I242" i="47"/>
  <c r="H242" i="47"/>
  <c r="D244" i="47" s="1"/>
  <c r="E242" i="47"/>
  <c r="C242" i="47"/>
  <c r="N231" i="47"/>
  <c r="I231" i="47"/>
  <c r="C231" i="47"/>
  <c r="N230" i="47"/>
  <c r="I230" i="47"/>
  <c r="C230" i="47"/>
  <c r="N229" i="47"/>
  <c r="I229" i="47"/>
  <c r="H229" i="47"/>
  <c r="C229" i="47"/>
  <c r="N218" i="47"/>
  <c r="I218" i="47"/>
  <c r="C218" i="47"/>
  <c r="N217" i="47"/>
  <c r="I217" i="47"/>
  <c r="C217" i="47"/>
  <c r="N216" i="47"/>
  <c r="I216" i="47"/>
  <c r="H216" i="47"/>
  <c r="C216" i="47"/>
  <c r="N205" i="47"/>
  <c r="I205" i="47"/>
  <c r="C205" i="47"/>
  <c r="N204" i="47"/>
  <c r="I204" i="47"/>
  <c r="C204" i="47"/>
  <c r="N203" i="47"/>
  <c r="I203" i="47"/>
  <c r="H203" i="47"/>
  <c r="L203" i="47" s="1"/>
  <c r="C203" i="47"/>
  <c r="N192" i="47"/>
  <c r="I192" i="47"/>
  <c r="C192" i="47"/>
  <c r="N191" i="47"/>
  <c r="I191" i="47"/>
  <c r="C191" i="47"/>
  <c r="N190" i="47"/>
  <c r="I190" i="47"/>
  <c r="H190" i="47"/>
  <c r="E190" i="47" s="1"/>
  <c r="C190" i="47"/>
  <c r="N179" i="47"/>
  <c r="I179" i="47"/>
  <c r="C179" i="47"/>
  <c r="N178" i="47"/>
  <c r="I178" i="47"/>
  <c r="C178" i="47"/>
  <c r="N177" i="47"/>
  <c r="I177" i="47"/>
  <c r="H177" i="47"/>
  <c r="L177" i="47" s="1"/>
  <c r="C177" i="47"/>
  <c r="N166" i="47"/>
  <c r="I166" i="47"/>
  <c r="C166" i="47"/>
  <c r="N165" i="47"/>
  <c r="I165" i="47"/>
  <c r="C165" i="47"/>
  <c r="N164" i="47"/>
  <c r="I164" i="47"/>
  <c r="H164" i="47"/>
  <c r="C164" i="47"/>
  <c r="N153" i="47"/>
  <c r="I153" i="47"/>
  <c r="C153" i="47"/>
  <c r="N152" i="47"/>
  <c r="I152" i="47"/>
  <c r="C152" i="47"/>
  <c r="N151" i="47"/>
  <c r="I151" i="47"/>
  <c r="H151" i="47"/>
  <c r="B159" i="47" s="1"/>
  <c r="C159" i="47" s="1"/>
  <c r="C151" i="47"/>
  <c r="N140" i="47"/>
  <c r="I140" i="47"/>
  <c r="C140" i="47"/>
  <c r="N139" i="47"/>
  <c r="I139" i="47"/>
  <c r="C139" i="47"/>
  <c r="N138" i="47"/>
  <c r="I138" i="47"/>
  <c r="H138" i="47"/>
  <c r="E139" i="47" s="1"/>
  <c r="C138" i="47"/>
  <c r="N127" i="47"/>
  <c r="I127" i="47"/>
  <c r="C127" i="47"/>
  <c r="N126" i="47"/>
  <c r="I126" i="47"/>
  <c r="C126" i="47"/>
  <c r="N125" i="47"/>
  <c r="I125" i="47"/>
  <c r="H125" i="47"/>
  <c r="J132" i="47" s="1"/>
  <c r="K132" i="47" s="1"/>
  <c r="C125" i="47"/>
  <c r="N114" i="47"/>
  <c r="I114" i="47"/>
  <c r="C114" i="47"/>
  <c r="N113" i="47"/>
  <c r="I113" i="47"/>
  <c r="C113" i="47"/>
  <c r="N112" i="47"/>
  <c r="I112" i="47"/>
  <c r="H112" i="47"/>
  <c r="L114" i="47" s="1"/>
  <c r="C112" i="47"/>
  <c r="N101" i="47"/>
  <c r="I101" i="47"/>
  <c r="C101" i="47"/>
  <c r="N100" i="47"/>
  <c r="I100" i="47"/>
  <c r="C100" i="47"/>
  <c r="N99" i="47"/>
  <c r="I99" i="47"/>
  <c r="H99" i="47"/>
  <c r="B107" i="47" s="1"/>
  <c r="C107" i="47" s="1"/>
  <c r="C99" i="47"/>
  <c r="N88" i="47"/>
  <c r="I88" i="47"/>
  <c r="C88" i="47"/>
  <c r="N87" i="47"/>
  <c r="I87" i="47"/>
  <c r="C87" i="47"/>
  <c r="N86" i="47"/>
  <c r="I86" i="47"/>
  <c r="H86" i="47"/>
  <c r="E86" i="47" s="1"/>
  <c r="C86" i="47"/>
  <c r="N75" i="47"/>
  <c r="I75" i="47"/>
  <c r="C75" i="47"/>
  <c r="N74" i="47"/>
  <c r="I74" i="47"/>
  <c r="C74" i="47"/>
  <c r="N73" i="47"/>
  <c r="I73" i="47"/>
  <c r="H73" i="47"/>
  <c r="E75" i="47" s="1"/>
  <c r="C73" i="47"/>
  <c r="N62" i="47"/>
  <c r="I62" i="47"/>
  <c r="C62" i="47"/>
  <c r="N61" i="47"/>
  <c r="I61" i="47"/>
  <c r="C61" i="47"/>
  <c r="N60" i="47"/>
  <c r="I60" i="47"/>
  <c r="H60" i="47"/>
  <c r="L62" i="47" s="1"/>
  <c r="C60" i="47"/>
  <c r="N49" i="47"/>
  <c r="I49" i="47"/>
  <c r="C49" i="47"/>
  <c r="N48" i="47"/>
  <c r="I48" i="47"/>
  <c r="C48" i="47"/>
  <c r="N47" i="47"/>
  <c r="I47" i="47"/>
  <c r="H47" i="47"/>
  <c r="C47" i="47"/>
  <c r="N33" i="47"/>
  <c r="L33" i="47"/>
  <c r="I33" i="47"/>
  <c r="C33" i="47"/>
  <c r="N32" i="47"/>
  <c r="L32" i="47"/>
  <c r="I32" i="47"/>
  <c r="C32" i="47"/>
  <c r="N31" i="47"/>
  <c r="L31" i="47"/>
  <c r="I31" i="47"/>
  <c r="C31" i="47"/>
  <c r="N30" i="47"/>
  <c r="L30" i="47"/>
  <c r="I30" i="47"/>
  <c r="H30" i="47"/>
  <c r="F32" i="47" s="1"/>
  <c r="C30" i="47"/>
  <c r="O12" i="47"/>
  <c r="N12" i="47"/>
  <c r="M12" i="47"/>
  <c r="L12" i="47"/>
  <c r="I12" i="47"/>
  <c r="J12" i="47" s="1"/>
  <c r="K12" i="47" s="1"/>
  <c r="C12" i="47"/>
  <c r="N11" i="47"/>
  <c r="L11" i="47"/>
  <c r="I11" i="47"/>
  <c r="C11" i="47"/>
  <c r="N10" i="47"/>
  <c r="L10" i="47"/>
  <c r="I10" i="47"/>
  <c r="C10" i="47"/>
  <c r="N9" i="47"/>
  <c r="L9" i="47"/>
  <c r="I9" i="47"/>
  <c r="C9" i="47"/>
  <c r="N8" i="47"/>
  <c r="L8" i="47"/>
  <c r="I8" i="47"/>
  <c r="H8" i="47"/>
  <c r="B25" i="47" s="1"/>
  <c r="C25" i="47" s="1"/>
  <c r="C8" i="47"/>
  <c r="AG192" i="46"/>
  <c r="E192" i="46"/>
  <c r="AG190" i="46"/>
  <c r="E190" i="46"/>
  <c r="I188" i="46"/>
  <c r="I186" i="46"/>
  <c r="AG184" i="46"/>
  <c r="E184" i="46"/>
  <c r="AG182" i="46"/>
  <c r="E182" i="46"/>
  <c r="M180" i="46"/>
  <c r="M178" i="46"/>
  <c r="AG176" i="46"/>
  <c r="E176" i="46"/>
  <c r="AG174" i="46"/>
  <c r="N174" i="46"/>
  <c r="E174" i="46"/>
  <c r="N172" i="46"/>
  <c r="I172" i="46"/>
  <c r="N170" i="46"/>
  <c r="I170" i="46"/>
  <c r="AG168" i="46"/>
  <c r="N168" i="46"/>
  <c r="E168" i="46"/>
  <c r="AG166" i="46"/>
  <c r="E166" i="46"/>
  <c r="AG162" i="46"/>
  <c r="E162" i="46"/>
  <c r="AG160" i="46"/>
  <c r="E160" i="46"/>
  <c r="I158" i="46"/>
  <c r="I156" i="46"/>
  <c r="AG154" i="46"/>
  <c r="E154" i="46"/>
  <c r="AG152" i="46"/>
  <c r="E152" i="46"/>
  <c r="M150" i="46"/>
  <c r="M148" i="46"/>
  <c r="AG146" i="46"/>
  <c r="E146" i="46"/>
  <c r="AG144" i="46"/>
  <c r="E144" i="46"/>
  <c r="I142" i="46"/>
  <c r="I140" i="46"/>
  <c r="AG138" i="46"/>
  <c r="E138" i="46"/>
  <c r="AG136" i="46"/>
  <c r="E136" i="46"/>
  <c r="AG128" i="46"/>
  <c r="E128" i="46"/>
  <c r="AG126" i="46"/>
  <c r="E126" i="46"/>
  <c r="I124" i="46"/>
  <c r="I122" i="46"/>
  <c r="AG120" i="46"/>
  <c r="E120" i="46"/>
  <c r="AG118" i="46"/>
  <c r="E118" i="46"/>
  <c r="M116" i="46"/>
  <c r="M114" i="46"/>
  <c r="AG112" i="46"/>
  <c r="E112" i="46"/>
  <c r="AG110" i="46"/>
  <c r="N110" i="46"/>
  <c r="E110" i="46"/>
  <c r="G110" i="46" s="1"/>
  <c r="N108" i="46"/>
  <c r="I108" i="46"/>
  <c r="N106" i="46"/>
  <c r="I106" i="46"/>
  <c r="AG104" i="46"/>
  <c r="N104" i="46"/>
  <c r="E104" i="46"/>
  <c r="AG102" i="46"/>
  <c r="AI102" i="46" s="1"/>
  <c r="E102" i="46"/>
  <c r="AG98" i="46"/>
  <c r="E98" i="46"/>
  <c r="AG96" i="46"/>
  <c r="E96" i="46"/>
  <c r="I94" i="46"/>
  <c r="I92" i="46"/>
  <c r="AG90" i="46"/>
  <c r="E90" i="46"/>
  <c r="AG88" i="46"/>
  <c r="E88" i="46"/>
  <c r="M86" i="46"/>
  <c r="M84" i="46"/>
  <c r="AG82" i="46"/>
  <c r="E82" i="46"/>
  <c r="AG80" i="46"/>
  <c r="E80" i="46"/>
  <c r="I78" i="46"/>
  <c r="I76" i="46"/>
  <c r="AG74" i="46"/>
  <c r="E74" i="46"/>
  <c r="AG72" i="46"/>
  <c r="E72" i="46"/>
  <c r="AG64" i="46"/>
  <c r="E64" i="46"/>
  <c r="AG62" i="46"/>
  <c r="E62" i="46"/>
  <c r="I60" i="46"/>
  <c r="I58" i="46"/>
  <c r="AG56" i="46"/>
  <c r="E56" i="46"/>
  <c r="AG54" i="46"/>
  <c r="E54" i="46"/>
  <c r="M52" i="46"/>
  <c r="M50" i="46"/>
  <c r="AG48" i="46"/>
  <c r="E48" i="46"/>
  <c r="AG46" i="46"/>
  <c r="N46" i="46"/>
  <c r="E46" i="46"/>
  <c r="N44" i="46"/>
  <c r="I44" i="46"/>
  <c r="N42" i="46"/>
  <c r="I42" i="46"/>
  <c r="AG40" i="46"/>
  <c r="N40" i="46"/>
  <c r="E40" i="46"/>
  <c r="AG38" i="46"/>
  <c r="E38" i="46"/>
  <c r="AG34" i="46"/>
  <c r="E34" i="46"/>
  <c r="AG32" i="46"/>
  <c r="E32" i="46"/>
  <c r="I30" i="46"/>
  <c r="I28" i="46"/>
  <c r="AG26" i="46"/>
  <c r="E26" i="46"/>
  <c r="AG24" i="46"/>
  <c r="E24" i="46"/>
  <c r="M22" i="46"/>
  <c r="M20" i="46"/>
  <c r="AG18" i="46"/>
  <c r="E18" i="46"/>
  <c r="AG16" i="46"/>
  <c r="E16" i="46"/>
  <c r="I14" i="46"/>
  <c r="I12" i="46"/>
  <c r="AG10" i="46"/>
  <c r="E10" i="46"/>
  <c r="AG8" i="46"/>
  <c r="E8" i="46"/>
  <c r="N426" i="45"/>
  <c r="I426" i="45"/>
  <c r="C426" i="45"/>
  <c r="N425" i="45"/>
  <c r="I425" i="45"/>
  <c r="C425" i="45"/>
  <c r="N424" i="45"/>
  <c r="I424" i="45"/>
  <c r="H424" i="45"/>
  <c r="L426" i="45" s="1"/>
  <c r="C424" i="45"/>
  <c r="N413" i="45"/>
  <c r="I413" i="45"/>
  <c r="C413" i="45"/>
  <c r="N412" i="45"/>
  <c r="I412" i="45"/>
  <c r="C412" i="45"/>
  <c r="N411" i="45"/>
  <c r="I411" i="45"/>
  <c r="H411" i="45"/>
  <c r="D411" i="45" s="1"/>
  <c r="C411" i="45"/>
  <c r="N400" i="45"/>
  <c r="I400" i="45"/>
  <c r="C400" i="45"/>
  <c r="N399" i="45"/>
  <c r="I399" i="45"/>
  <c r="C399" i="45"/>
  <c r="N398" i="45"/>
  <c r="I398" i="45"/>
  <c r="H398" i="45"/>
  <c r="C398" i="45"/>
  <c r="N387" i="45"/>
  <c r="I387" i="45"/>
  <c r="C387" i="45"/>
  <c r="N386" i="45"/>
  <c r="I386" i="45"/>
  <c r="C386" i="45"/>
  <c r="N385" i="45"/>
  <c r="I385" i="45"/>
  <c r="H385" i="45"/>
  <c r="E385" i="45" s="1"/>
  <c r="C385" i="45"/>
  <c r="N374" i="45"/>
  <c r="I374" i="45"/>
  <c r="C374" i="45"/>
  <c r="N373" i="45"/>
  <c r="I373" i="45"/>
  <c r="C373" i="45"/>
  <c r="N372" i="45"/>
  <c r="I372" i="45"/>
  <c r="H372" i="45"/>
  <c r="C372" i="45"/>
  <c r="N361" i="45"/>
  <c r="I361" i="45"/>
  <c r="C361" i="45"/>
  <c r="N360" i="45"/>
  <c r="I360" i="45"/>
  <c r="C360" i="45"/>
  <c r="N359" i="45"/>
  <c r="I359" i="45"/>
  <c r="H359" i="45"/>
  <c r="C359" i="45"/>
  <c r="N348" i="45"/>
  <c r="I348" i="45"/>
  <c r="C348" i="45"/>
  <c r="N347" i="45"/>
  <c r="I347" i="45"/>
  <c r="C347" i="45"/>
  <c r="N346" i="45"/>
  <c r="I346" i="45"/>
  <c r="H346" i="45"/>
  <c r="E348" i="45" s="1"/>
  <c r="C346" i="45"/>
  <c r="N335" i="45"/>
  <c r="I335" i="45"/>
  <c r="C335" i="45"/>
  <c r="N334" i="45"/>
  <c r="I334" i="45"/>
  <c r="C334" i="45"/>
  <c r="N333" i="45"/>
  <c r="I333" i="45"/>
  <c r="H333" i="45"/>
  <c r="J341" i="45" s="1"/>
  <c r="K341" i="45" s="1"/>
  <c r="C333" i="45"/>
  <c r="N322" i="45"/>
  <c r="I322" i="45"/>
  <c r="C322" i="45"/>
  <c r="N321" i="45"/>
  <c r="I321" i="45"/>
  <c r="C321" i="45"/>
  <c r="N320" i="45"/>
  <c r="I320" i="45"/>
  <c r="H320" i="45"/>
  <c r="J327" i="45" s="1"/>
  <c r="K327" i="45" s="1"/>
  <c r="C320" i="45"/>
  <c r="N309" i="45"/>
  <c r="I309" i="45"/>
  <c r="C309" i="45"/>
  <c r="N308" i="45"/>
  <c r="I308" i="45"/>
  <c r="C308" i="45"/>
  <c r="N307" i="45"/>
  <c r="I307" i="45"/>
  <c r="H307" i="45"/>
  <c r="D307" i="45" s="1"/>
  <c r="C307" i="45"/>
  <c r="N296" i="45"/>
  <c r="I296" i="45"/>
  <c r="C296" i="45"/>
  <c r="N295" i="45"/>
  <c r="I295" i="45"/>
  <c r="C295" i="45"/>
  <c r="N294" i="45"/>
  <c r="I294" i="45"/>
  <c r="H294" i="45"/>
  <c r="C294" i="45"/>
  <c r="N283" i="45"/>
  <c r="I283" i="45"/>
  <c r="C283" i="45"/>
  <c r="N282" i="45"/>
  <c r="I282" i="45"/>
  <c r="C282" i="45"/>
  <c r="N281" i="45"/>
  <c r="I281" i="45"/>
  <c r="H281" i="45"/>
  <c r="B287" i="45" s="1"/>
  <c r="C287" i="45" s="1"/>
  <c r="C281" i="45"/>
  <c r="N270" i="45"/>
  <c r="I270" i="45"/>
  <c r="C270" i="45"/>
  <c r="N269" i="45"/>
  <c r="I269" i="45"/>
  <c r="C269" i="45"/>
  <c r="N268" i="45"/>
  <c r="I268" i="45"/>
  <c r="H268" i="45"/>
  <c r="E268" i="45" s="1"/>
  <c r="C268" i="45"/>
  <c r="N257" i="45"/>
  <c r="I257" i="45"/>
  <c r="C257" i="45"/>
  <c r="N256" i="45"/>
  <c r="I256" i="45"/>
  <c r="C256" i="45"/>
  <c r="N255" i="45"/>
  <c r="I255" i="45"/>
  <c r="H255" i="45"/>
  <c r="J261" i="45" s="1"/>
  <c r="K261" i="45" s="1"/>
  <c r="C255" i="45"/>
  <c r="N244" i="45"/>
  <c r="I244" i="45"/>
  <c r="C244" i="45"/>
  <c r="N243" i="45"/>
  <c r="I243" i="45"/>
  <c r="C243" i="45"/>
  <c r="N242" i="45"/>
  <c r="I242" i="45"/>
  <c r="H242" i="45"/>
  <c r="E242" i="45" s="1"/>
  <c r="C242" i="45"/>
  <c r="N231" i="45"/>
  <c r="I231" i="45"/>
  <c r="C231" i="45"/>
  <c r="N230" i="45"/>
  <c r="I230" i="45"/>
  <c r="C230" i="45"/>
  <c r="N229" i="45"/>
  <c r="I229" i="45"/>
  <c r="H229" i="45"/>
  <c r="B235" i="45" s="1"/>
  <c r="C235" i="45" s="1"/>
  <c r="C229" i="45"/>
  <c r="N218" i="45"/>
  <c r="I218" i="45"/>
  <c r="C218" i="45"/>
  <c r="N217" i="45"/>
  <c r="I217" i="45"/>
  <c r="C217" i="45"/>
  <c r="N216" i="45"/>
  <c r="I216" i="45"/>
  <c r="H216" i="45"/>
  <c r="E216" i="45" s="1"/>
  <c r="C216" i="45"/>
  <c r="N205" i="45"/>
  <c r="I205" i="45"/>
  <c r="C205" i="45"/>
  <c r="N204" i="45"/>
  <c r="I204" i="45"/>
  <c r="C204" i="45"/>
  <c r="N203" i="45"/>
  <c r="I203" i="45"/>
  <c r="H203" i="45"/>
  <c r="J210" i="45" s="1"/>
  <c r="K210" i="45" s="1"/>
  <c r="C203" i="45"/>
  <c r="N192" i="45"/>
  <c r="I192" i="45"/>
  <c r="C192" i="45"/>
  <c r="N191" i="45"/>
  <c r="I191" i="45"/>
  <c r="C191" i="45"/>
  <c r="N190" i="45"/>
  <c r="I190" i="45"/>
  <c r="H190" i="45"/>
  <c r="C190" i="45"/>
  <c r="N179" i="45"/>
  <c r="I179" i="45"/>
  <c r="C179" i="45"/>
  <c r="N178" i="45"/>
  <c r="I178" i="45"/>
  <c r="C178" i="45"/>
  <c r="N177" i="45"/>
  <c r="I177" i="45"/>
  <c r="H177" i="45"/>
  <c r="L179" i="45" s="1"/>
  <c r="C177" i="45"/>
  <c r="N166" i="45"/>
  <c r="I166" i="45"/>
  <c r="C166" i="45"/>
  <c r="N165" i="45"/>
  <c r="I165" i="45"/>
  <c r="C165" i="45"/>
  <c r="N164" i="45"/>
  <c r="I164" i="45"/>
  <c r="H164" i="45"/>
  <c r="B172" i="45" s="1"/>
  <c r="C172" i="45" s="1"/>
  <c r="C164" i="45"/>
  <c r="N153" i="45"/>
  <c r="I153" i="45"/>
  <c r="C153" i="45"/>
  <c r="N152" i="45"/>
  <c r="I152" i="45"/>
  <c r="C152" i="45"/>
  <c r="N151" i="45"/>
  <c r="I151" i="45"/>
  <c r="H151" i="45"/>
  <c r="B158" i="45" s="1"/>
  <c r="C158" i="45" s="1"/>
  <c r="C151" i="45"/>
  <c r="N140" i="45"/>
  <c r="I140" i="45"/>
  <c r="C140" i="45"/>
  <c r="N139" i="45"/>
  <c r="I139" i="45"/>
  <c r="C139" i="45"/>
  <c r="N138" i="45"/>
  <c r="I138" i="45"/>
  <c r="H138" i="45"/>
  <c r="J145" i="45" s="1"/>
  <c r="K145" i="45" s="1"/>
  <c r="C138" i="45"/>
  <c r="N127" i="45"/>
  <c r="I127" i="45"/>
  <c r="C127" i="45"/>
  <c r="N126" i="45"/>
  <c r="I126" i="45"/>
  <c r="C126" i="45"/>
  <c r="N125" i="45"/>
  <c r="I125" i="45"/>
  <c r="H125" i="45"/>
  <c r="B132" i="45" s="1"/>
  <c r="C132" i="45" s="1"/>
  <c r="C125" i="45"/>
  <c r="N114" i="45"/>
  <c r="I114" i="45"/>
  <c r="C114" i="45"/>
  <c r="N113" i="45"/>
  <c r="I113" i="45"/>
  <c r="C113" i="45"/>
  <c r="N112" i="45"/>
  <c r="I112" i="45"/>
  <c r="H112" i="45"/>
  <c r="E113" i="45" s="1"/>
  <c r="C112" i="45"/>
  <c r="N101" i="45"/>
  <c r="I101" i="45"/>
  <c r="C101" i="45"/>
  <c r="N100" i="45"/>
  <c r="I100" i="45"/>
  <c r="C100" i="45"/>
  <c r="N99" i="45"/>
  <c r="I99" i="45"/>
  <c r="H99" i="45"/>
  <c r="J106" i="45" s="1"/>
  <c r="K106" i="45" s="1"/>
  <c r="C99" i="45"/>
  <c r="N88" i="45"/>
  <c r="I88" i="45"/>
  <c r="C88" i="45"/>
  <c r="N87" i="45"/>
  <c r="I87" i="45"/>
  <c r="C87" i="45"/>
  <c r="N86" i="45"/>
  <c r="I86" i="45"/>
  <c r="H86" i="45"/>
  <c r="L88" i="45" s="1"/>
  <c r="C86" i="45"/>
  <c r="N75" i="45"/>
  <c r="I75" i="45"/>
  <c r="C75" i="45"/>
  <c r="N74" i="45"/>
  <c r="I74" i="45"/>
  <c r="C74" i="45"/>
  <c r="N73" i="45"/>
  <c r="I73" i="45"/>
  <c r="H73" i="45"/>
  <c r="J79" i="45" s="1"/>
  <c r="K79" i="45" s="1"/>
  <c r="C73" i="45"/>
  <c r="N62" i="45"/>
  <c r="I62" i="45"/>
  <c r="C62" i="45"/>
  <c r="N61" i="45"/>
  <c r="I61" i="45"/>
  <c r="C61" i="45"/>
  <c r="N60" i="45"/>
  <c r="I60" i="45"/>
  <c r="H60" i="45"/>
  <c r="J67" i="45" s="1"/>
  <c r="K67" i="45" s="1"/>
  <c r="C60" i="45"/>
  <c r="N49" i="45"/>
  <c r="I49" i="45"/>
  <c r="C49" i="45"/>
  <c r="N48" i="45"/>
  <c r="I48" i="45"/>
  <c r="C48" i="45"/>
  <c r="N47" i="45"/>
  <c r="I47" i="45"/>
  <c r="H47" i="45"/>
  <c r="B54" i="45" s="1"/>
  <c r="C54" i="45" s="1"/>
  <c r="C47" i="45"/>
  <c r="N33" i="45"/>
  <c r="L33" i="45"/>
  <c r="I33" i="45"/>
  <c r="C33" i="45"/>
  <c r="N32" i="45"/>
  <c r="L32" i="45"/>
  <c r="I32" i="45"/>
  <c r="C32" i="45"/>
  <c r="N31" i="45"/>
  <c r="L31" i="45"/>
  <c r="I31" i="45"/>
  <c r="C31" i="45"/>
  <c r="N30" i="45"/>
  <c r="L30" i="45"/>
  <c r="I30" i="45"/>
  <c r="H30" i="45"/>
  <c r="F32" i="45" s="1"/>
  <c r="C30" i="45"/>
  <c r="O12" i="45"/>
  <c r="N12" i="45"/>
  <c r="M12" i="45"/>
  <c r="L12" i="45"/>
  <c r="I12" i="45"/>
  <c r="J12" i="45" s="1"/>
  <c r="K12" i="45" s="1"/>
  <c r="C12" i="45"/>
  <c r="N11" i="45"/>
  <c r="L11" i="45"/>
  <c r="I11" i="45"/>
  <c r="C11" i="45"/>
  <c r="N10" i="45"/>
  <c r="L10" i="45"/>
  <c r="I10" i="45"/>
  <c r="C10" i="45"/>
  <c r="N9" i="45"/>
  <c r="L9" i="45"/>
  <c r="I9" i="45"/>
  <c r="C9" i="45"/>
  <c r="N8" i="45"/>
  <c r="L8" i="45"/>
  <c r="I8" i="45"/>
  <c r="H8" i="45"/>
  <c r="E10" i="45" s="1"/>
  <c r="C8" i="45"/>
  <c r="AG192" i="36"/>
  <c r="E192" i="36"/>
  <c r="AG190" i="36"/>
  <c r="E190" i="36"/>
  <c r="I188" i="36"/>
  <c r="I186" i="36"/>
  <c r="AG184" i="36"/>
  <c r="E184" i="36"/>
  <c r="AG182" i="36"/>
  <c r="E182" i="36"/>
  <c r="M180" i="36"/>
  <c r="M178" i="36"/>
  <c r="AG176" i="36"/>
  <c r="E176" i="36"/>
  <c r="AG174" i="36"/>
  <c r="N174" i="36"/>
  <c r="E174" i="36"/>
  <c r="G174" i="36" s="1"/>
  <c r="N172" i="36"/>
  <c r="I172" i="36"/>
  <c r="N170" i="36"/>
  <c r="I170" i="36"/>
  <c r="AG168" i="36"/>
  <c r="N168" i="36"/>
  <c r="E168" i="36"/>
  <c r="AG166" i="36"/>
  <c r="E166" i="36"/>
  <c r="AG162" i="36"/>
  <c r="E162" i="36"/>
  <c r="AG160" i="36"/>
  <c r="E160" i="36"/>
  <c r="I158" i="36"/>
  <c r="I156" i="36"/>
  <c r="AG154" i="36"/>
  <c r="E154" i="36"/>
  <c r="AG152" i="36"/>
  <c r="E152" i="36"/>
  <c r="M150" i="36"/>
  <c r="M148" i="36"/>
  <c r="AG146" i="36"/>
  <c r="E146" i="36"/>
  <c r="AG144" i="36"/>
  <c r="E144" i="36"/>
  <c r="I142" i="36"/>
  <c r="I140" i="36"/>
  <c r="AG138" i="36"/>
  <c r="E138" i="36"/>
  <c r="AG136" i="36"/>
  <c r="E136" i="36"/>
  <c r="AG128" i="36"/>
  <c r="E128" i="36"/>
  <c r="AG126" i="36"/>
  <c r="E126" i="36"/>
  <c r="I124" i="36"/>
  <c r="I122" i="36"/>
  <c r="AG120" i="36"/>
  <c r="E120" i="36"/>
  <c r="AG118" i="36"/>
  <c r="E118" i="36"/>
  <c r="M116" i="36"/>
  <c r="M114" i="36"/>
  <c r="AG112" i="36"/>
  <c r="E112" i="36"/>
  <c r="AG110" i="36"/>
  <c r="N110" i="36"/>
  <c r="E110" i="36"/>
  <c r="N108" i="36"/>
  <c r="I108" i="36"/>
  <c r="N106" i="36"/>
  <c r="I106" i="36"/>
  <c r="AG104" i="36"/>
  <c r="N104" i="36"/>
  <c r="E104" i="36"/>
  <c r="AG102" i="36"/>
  <c r="E102" i="36"/>
  <c r="AG98" i="36"/>
  <c r="E98" i="36"/>
  <c r="AG96" i="36"/>
  <c r="E96" i="36"/>
  <c r="I94" i="36"/>
  <c r="I92" i="36"/>
  <c r="AG90" i="36"/>
  <c r="E90" i="36"/>
  <c r="AG88" i="36"/>
  <c r="E88" i="36"/>
  <c r="M86" i="36"/>
  <c r="M84" i="36"/>
  <c r="AG82" i="36"/>
  <c r="E82" i="36"/>
  <c r="AG80" i="36"/>
  <c r="E80" i="36"/>
  <c r="I78" i="36"/>
  <c r="I76" i="36"/>
  <c r="AG74" i="36"/>
  <c r="E74" i="36"/>
  <c r="AG72" i="36"/>
  <c r="E72" i="36"/>
  <c r="AG64" i="36"/>
  <c r="E64" i="36"/>
  <c r="G62" i="36" s="1"/>
  <c r="AG62" i="36"/>
  <c r="E62" i="36"/>
  <c r="I60" i="36"/>
  <c r="I58" i="36"/>
  <c r="AG56" i="36"/>
  <c r="E56" i="36"/>
  <c r="AG54" i="36"/>
  <c r="E54" i="36"/>
  <c r="M52" i="36"/>
  <c r="M50" i="36"/>
  <c r="AG48" i="36"/>
  <c r="E48" i="36"/>
  <c r="AG46" i="36"/>
  <c r="N46" i="36"/>
  <c r="E46" i="36"/>
  <c r="N44" i="36"/>
  <c r="I44" i="36"/>
  <c r="N42" i="36"/>
  <c r="I42" i="36"/>
  <c r="AG40" i="36"/>
  <c r="N40" i="36"/>
  <c r="E40" i="36"/>
  <c r="AG38" i="36"/>
  <c r="E38" i="36"/>
  <c r="AG34" i="36"/>
  <c r="E34" i="36"/>
  <c r="AG32" i="36"/>
  <c r="E32" i="36"/>
  <c r="G32" i="36" s="1"/>
  <c r="I30" i="36"/>
  <c r="I28" i="36"/>
  <c r="AG26" i="36"/>
  <c r="E26" i="36"/>
  <c r="AG24" i="36"/>
  <c r="E24" i="36"/>
  <c r="M22" i="36"/>
  <c r="M20" i="36"/>
  <c r="AG18" i="36"/>
  <c r="E18" i="36"/>
  <c r="AG16" i="36"/>
  <c r="E16" i="36"/>
  <c r="I14" i="36"/>
  <c r="I12" i="36"/>
  <c r="AG10" i="36"/>
  <c r="E10" i="36"/>
  <c r="AG8" i="36"/>
  <c r="E8" i="36"/>
  <c r="N426" i="35"/>
  <c r="I426" i="35"/>
  <c r="C426" i="35"/>
  <c r="N425" i="35"/>
  <c r="I425" i="35"/>
  <c r="C425" i="35"/>
  <c r="N424" i="35"/>
  <c r="I424" i="35"/>
  <c r="H424" i="35"/>
  <c r="L426" i="35" s="1"/>
  <c r="C424" i="35"/>
  <c r="N413" i="35"/>
  <c r="I413" i="35"/>
  <c r="C413" i="35"/>
  <c r="N412" i="35"/>
  <c r="I412" i="35"/>
  <c r="C412" i="35"/>
  <c r="N411" i="35"/>
  <c r="I411" i="35"/>
  <c r="H411" i="35"/>
  <c r="B419" i="35" s="1"/>
  <c r="C419" i="35" s="1"/>
  <c r="C411" i="35"/>
  <c r="N400" i="35"/>
  <c r="I400" i="35"/>
  <c r="C400" i="35"/>
  <c r="N399" i="35"/>
  <c r="I399" i="35"/>
  <c r="C399" i="35"/>
  <c r="N398" i="35"/>
  <c r="I398" i="35"/>
  <c r="H398" i="35"/>
  <c r="E400" i="35" s="1"/>
  <c r="C398" i="35"/>
  <c r="N387" i="35"/>
  <c r="I387" i="35"/>
  <c r="C387" i="35"/>
  <c r="N386" i="35"/>
  <c r="I386" i="35"/>
  <c r="C386" i="35"/>
  <c r="N385" i="35"/>
  <c r="I385" i="35"/>
  <c r="H385" i="35"/>
  <c r="J393" i="35" s="1"/>
  <c r="K393" i="35" s="1"/>
  <c r="C385" i="35"/>
  <c r="N374" i="35"/>
  <c r="I374" i="35"/>
  <c r="C374" i="35"/>
  <c r="N373" i="35"/>
  <c r="I373" i="35"/>
  <c r="C373" i="35"/>
  <c r="N372" i="35"/>
  <c r="I372" i="35"/>
  <c r="H372" i="35"/>
  <c r="L374" i="35" s="1"/>
  <c r="C372" i="35"/>
  <c r="N361" i="35"/>
  <c r="I361" i="35"/>
  <c r="C361" i="35"/>
  <c r="N360" i="35"/>
  <c r="I360" i="35"/>
  <c r="C360" i="35"/>
  <c r="N359" i="35"/>
  <c r="I359" i="35"/>
  <c r="H359" i="35"/>
  <c r="C359" i="35"/>
  <c r="N348" i="35"/>
  <c r="I348" i="35"/>
  <c r="C348" i="35"/>
  <c r="N347" i="35"/>
  <c r="L347" i="35"/>
  <c r="I347" i="35"/>
  <c r="C347" i="35"/>
  <c r="N346" i="35"/>
  <c r="L346" i="35"/>
  <c r="I346" i="35"/>
  <c r="H346" i="35"/>
  <c r="L348" i="35" s="1"/>
  <c r="E346" i="35"/>
  <c r="D346" i="35"/>
  <c r="C346" i="35"/>
  <c r="N335" i="35"/>
  <c r="I335" i="35"/>
  <c r="C335" i="35"/>
  <c r="N334" i="35"/>
  <c r="I334" i="35"/>
  <c r="C334" i="35"/>
  <c r="N333" i="35"/>
  <c r="I333" i="35"/>
  <c r="H333" i="35"/>
  <c r="E335" i="35" s="1"/>
  <c r="C333" i="35"/>
  <c r="N322" i="35"/>
  <c r="I322" i="35"/>
  <c r="C322" i="35"/>
  <c r="N321" i="35"/>
  <c r="I321" i="35"/>
  <c r="C321" i="35"/>
  <c r="N320" i="35"/>
  <c r="I320" i="35"/>
  <c r="H320" i="35"/>
  <c r="L322" i="35" s="1"/>
  <c r="C320" i="35"/>
  <c r="N309" i="35"/>
  <c r="I309" i="35"/>
  <c r="C309" i="35"/>
  <c r="N308" i="35"/>
  <c r="I308" i="35"/>
  <c r="C308" i="35"/>
  <c r="N307" i="35"/>
  <c r="I307" i="35"/>
  <c r="H307" i="35"/>
  <c r="L307" i="35" s="1"/>
  <c r="C307" i="35"/>
  <c r="N296" i="35"/>
  <c r="I296" i="35"/>
  <c r="C296" i="35"/>
  <c r="N295" i="35"/>
  <c r="I295" i="35"/>
  <c r="C295" i="35"/>
  <c r="N294" i="35"/>
  <c r="I294" i="35"/>
  <c r="H294" i="35"/>
  <c r="J302" i="35" s="1"/>
  <c r="K302" i="35" s="1"/>
  <c r="C294" i="35"/>
  <c r="N283" i="35"/>
  <c r="I283" i="35"/>
  <c r="C283" i="35"/>
  <c r="N282" i="35"/>
  <c r="I282" i="35"/>
  <c r="C282" i="35"/>
  <c r="N281" i="35"/>
  <c r="I281" i="35"/>
  <c r="H281" i="35"/>
  <c r="E283" i="35" s="1"/>
  <c r="C281" i="35"/>
  <c r="N270" i="35"/>
  <c r="I270" i="35"/>
  <c r="C270" i="35"/>
  <c r="N269" i="35"/>
  <c r="I269" i="35"/>
  <c r="C269" i="35"/>
  <c r="N268" i="35"/>
  <c r="I268" i="35"/>
  <c r="H268" i="35"/>
  <c r="E268" i="35" s="1"/>
  <c r="C268" i="35"/>
  <c r="N257" i="35"/>
  <c r="I257" i="35"/>
  <c r="C257" i="35"/>
  <c r="N256" i="35"/>
  <c r="I256" i="35"/>
  <c r="C256" i="35"/>
  <c r="N255" i="35"/>
  <c r="I255" i="35"/>
  <c r="H255" i="35"/>
  <c r="C255" i="35"/>
  <c r="N244" i="35"/>
  <c r="I244" i="35"/>
  <c r="C244" i="35"/>
  <c r="N243" i="35"/>
  <c r="I243" i="35"/>
  <c r="C243" i="35"/>
  <c r="N242" i="35"/>
  <c r="I242" i="35"/>
  <c r="H242" i="35"/>
  <c r="C242" i="35"/>
  <c r="N231" i="35"/>
  <c r="I231" i="35"/>
  <c r="C231" i="35"/>
  <c r="N230" i="35"/>
  <c r="I230" i="35"/>
  <c r="C230" i="35"/>
  <c r="N229" i="35"/>
  <c r="I229" i="35"/>
  <c r="H229" i="35"/>
  <c r="E231" i="35" s="1"/>
  <c r="C229" i="35"/>
  <c r="N218" i="35"/>
  <c r="I218" i="35"/>
  <c r="C218" i="35"/>
  <c r="N217" i="35"/>
  <c r="I217" i="35"/>
  <c r="C217" i="35"/>
  <c r="N216" i="35"/>
  <c r="I216" i="35"/>
  <c r="H216" i="35"/>
  <c r="B222" i="35" s="1"/>
  <c r="C222" i="35" s="1"/>
  <c r="C216" i="35"/>
  <c r="N205" i="35"/>
  <c r="I205" i="35"/>
  <c r="C205" i="35"/>
  <c r="N204" i="35"/>
  <c r="I204" i="35"/>
  <c r="C204" i="35"/>
  <c r="N203" i="35"/>
  <c r="I203" i="35"/>
  <c r="H203" i="35"/>
  <c r="L203" i="35" s="1"/>
  <c r="C203" i="35"/>
  <c r="J196" i="35"/>
  <c r="K196" i="35" s="1"/>
  <c r="N192" i="35"/>
  <c r="I192" i="35"/>
  <c r="C192" i="35"/>
  <c r="N191" i="35"/>
  <c r="I191" i="35"/>
  <c r="C191" i="35"/>
  <c r="N190" i="35"/>
  <c r="I190" i="35"/>
  <c r="H190" i="35"/>
  <c r="B196" i="35" s="1"/>
  <c r="C196" i="35" s="1"/>
  <c r="C190" i="35"/>
  <c r="N179" i="35"/>
  <c r="I179" i="35"/>
  <c r="C179" i="35"/>
  <c r="N178" i="35"/>
  <c r="I178" i="35"/>
  <c r="C178" i="35"/>
  <c r="N177" i="35"/>
  <c r="I177" i="35"/>
  <c r="H177" i="35"/>
  <c r="J183" i="35" s="1"/>
  <c r="K183" i="35" s="1"/>
  <c r="C177" i="35"/>
  <c r="N166" i="35"/>
  <c r="I166" i="35"/>
  <c r="C166" i="35"/>
  <c r="N165" i="35"/>
  <c r="I165" i="35"/>
  <c r="C165" i="35"/>
  <c r="N164" i="35"/>
  <c r="I164" i="35"/>
  <c r="H164" i="35"/>
  <c r="E166" i="35" s="1"/>
  <c r="C164" i="35"/>
  <c r="N153" i="35"/>
  <c r="I153" i="35"/>
  <c r="C153" i="35"/>
  <c r="N152" i="35"/>
  <c r="I152" i="35"/>
  <c r="C152" i="35"/>
  <c r="N151" i="35"/>
  <c r="I151" i="35"/>
  <c r="H151" i="35"/>
  <c r="C151" i="35"/>
  <c r="N140" i="35"/>
  <c r="I140" i="35"/>
  <c r="C140" i="35"/>
  <c r="N139" i="35"/>
  <c r="I139" i="35"/>
  <c r="C139" i="35"/>
  <c r="N138" i="35"/>
  <c r="I138" i="35"/>
  <c r="H138" i="35"/>
  <c r="J144" i="35" s="1"/>
  <c r="K144" i="35" s="1"/>
  <c r="C138" i="35"/>
  <c r="N127" i="35"/>
  <c r="I127" i="35"/>
  <c r="C127" i="35"/>
  <c r="N126" i="35"/>
  <c r="I126" i="35"/>
  <c r="C126" i="35"/>
  <c r="N125" i="35"/>
  <c r="I125" i="35"/>
  <c r="H125" i="35"/>
  <c r="E126" i="35" s="1"/>
  <c r="C125" i="35"/>
  <c r="N114" i="35"/>
  <c r="I114" i="35"/>
  <c r="C114" i="35"/>
  <c r="N113" i="35"/>
  <c r="I113" i="35"/>
  <c r="C113" i="35"/>
  <c r="N112" i="35"/>
  <c r="I112" i="35"/>
  <c r="H112" i="35"/>
  <c r="J119" i="35" s="1"/>
  <c r="K119" i="35" s="1"/>
  <c r="C112" i="35"/>
  <c r="N101" i="35"/>
  <c r="I101" i="35"/>
  <c r="C101" i="35"/>
  <c r="N100" i="35"/>
  <c r="I100" i="35"/>
  <c r="C100" i="35"/>
  <c r="N99" i="35"/>
  <c r="I99" i="35"/>
  <c r="H99" i="35"/>
  <c r="E101" i="35" s="1"/>
  <c r="C99" i="35"/>
  <c r="N88" i="35"/>
  <c r="I88" i="35"/>
  <c r="C88" i="35"/>
  <c r="N87" i="35"/>
  <c r="I87" i="35"/>
  <c r="C87" i="35"/>
  <c r="N86" i="35"/>
  <c r="I86" i="35"/>
  <c r="H86" i="35"/>
  <c r="B94" i="35" s="1"/>
  <c r="C94" i="35" s="1"/>
  <c r="C86" i="35"/>
  <c r="N75" i="35"/>
  <c r="I75" i="35"/>
  <c r="C75" i="35"/>
  <c r="N74" i="35"/>
  <c r="I74" i="35"/>
  <c r="C74" i="35"/>
  <c r="N73" i="35"/>
  <c r="I73" i="35"/>
  <c r="H73" i="35"/>
  <c r="E73" i="35" s="1"/>
  <c r="C73" i="35"/>
  <c r="N62" i="35"/>
  <c r="I62" i="35"/>
  <c r="C62" i="35"/>
  <c r="N61" i="35"/>
  <c r="I61" i="35"/>
  <c r="C61" i="35"/>
  <c r="N60" i="35"/>
  <c r="I60" i="35"/>
  <c r="H60" i="35"/>
  <c r="D60" i="35" s="1"/>
  <c r="C60" i="35"/>
  <c r="N49" i="35"/>
  <c r="I49" i="35"/>
  <c r="C49" i="35"/>
  <c r="N48" i="35"/>
  <c r="I48" i="35"/>
  <c r="C48" i="35"/>
  <c r="N47" i="35"/>
  <c r="I47" i="35"/>
  <c r="H47" i="35"/>
  <c r="E49" i="35" s="1"/>
  <c r="C47" i="35"/>
  <c r="N33" i="35"/>
  <c r="L33" i="35"/>
  <c r="I33" i="35"/>
  <c r="C33" i="35"/>
  <c r="N32" i="35"/>
  <c r="L32" i="35"/>
  <c r="I32" i="35"/>
  <c r="C32" i="35"/>
  <c r="N31" i="35"/>
  <c r="L31" i="35"/>
  <c r="I31" i="35"/>
  <c r="C31" i="35"/>
  <c r="N30" i="35"/>
  <c r="L30" i="35"/>
  <c r="I30" i="35"/>
  <c r="H30" i="35"/>
  <c r="F32" i="35" s="1"/>
  <c r="C30" i="35"/>
  <c r="O12" i="35"/>
  <c r="N12" i="35"/>
  <c r="M12" i="35"/>
  <c r="L12" i="35"/>
  <c r="I12" i="35"/>
  <c r="J12" i="35" s="1"/>
  <c r="K12" i="35" s="1"/>
  <c r="C12" i="35"/>
  <c r="N11" i="35"/>
  <c r="L11" i="35"/>
  <c r="I11" i="35"/>
  <c r="C11" i="35"/>
  <c r="N10" i="35"/>
  <c r="L10" i="35"/>
  <c r="I10" i="35"/>
  <c r="C10" i="35"/>
  <c r="N9" i="35"/>
  <c r="L9" i="35"/>
  <c r="I9" i="35"/>
  <c r="C9" i="35"/>
  <c r="N8" i="35"/>
  <c r="L8" i="35"/>
  <c r="I8" i="35"/>
  <c r="H8" i="35"/>
  <c r="D11" i="35" s="1"/>
  <c r="C8" i="35"/>
  <c r="AG192" i="44"/>
  <c r="E192" i="44"/>
  <c r="AG190" i="44"/>
  <c r="E190" i="44"/>
  <c r="I188" i="44"/>
  <c r="I186" i="44"/>
  <c r="AG184" i="44"/>
  <c r="E184" i="44"/>
  <c r="AG182" i="44"/>
  <c r="E182" i="44"/>
  <c r="M180" i="44"/>
  <c r="M178" i="44"/>
  <c r="AG176" i="44"/>
  <c r="E176" i="44"/>
  <c r="AG174" i="44"/>
  <c r="N174" i="44"/>
  <c r="E174" i="44"/>
  <c r="N172" i="44"/>
  <c r="I172" i="44"/>
  <c r="N170" i="44"/>
  <c r="I170" i="44"/>
  <c r="AG168" i="44"/>
  <c r="N168" i="44"/>
  <c r="E168" i="44"/>
  <c r="AG166" i="44"/>
  <c r="E166" i="44"/>
  <c r="AG162" i="44"/>
  <c r="E162" i="44"/>
  <c r="AG160" i="44"/>
  <c r="E160" i="44"/>
  <c r="I158" i="44"/>
  <c r="I156" i="44"/>
  <c r="AG154" i="44"/>
  <c r="E154" i="44"/>
  <c r="AG152" i="44"/>
  <c r="E152" i="44"/>
  <c r="M150" i="44"/>
  <c r="M148" i="44"/>
  <c r="AG146" i="44"/>
  <c r="E146" i="44"/>
  <c r="AG144" i="44"/>
  <c r="E144" i="44"/>
  <c r="I142" i="44"/>
  <c r="I140" i="44"/>
  <c r="AG138" i="44"/>
  <c r="E138" i="44"/>
  <c r="AG136" i="44"/>
  <c r="E136" i="44"/>
  <c r="AG128" i="44"/>
  <c r="E128" i="44"/>
  <c r="AG126" i="44"/>
  <c r="E126" i="44"/>
  <c r="I124" i="44"/>
  <c r="I122" i="44"/>
  <c r="AG120" i="44"/>
  <c r="E120" i="44"/>
  <c r="AG118" i="44"/>
  <c r="E118" i="44"/>
  <c r="M116" i="44"/>
  <c r="M114" i="44"/>
  <c r="AG112" i="44"/>
  <c r="E112" i="44"/>
  <c r="AG110" i="44"/>
  <c r="N110" i="44"/>
  <c r="E110" i="44"/>
  <c r="N108" i="44"/>
  <c r="I108" i="44"/>
  <c r="N106" i="44"/>
  <c r="I106" i="44"/>
  <c r="AG104" i="44"/>
  <c r="N104" i="44"/>
  <c r="P104" i="44" s="1"/>
  <c r="E104" i="44"/>
  <c r="AG102" i="44"/>
  <c r="E102" i="44"/>
  <c r="AG98" i="44"/>
  <c r="E98" i="44"/>
  <c r="AG96" i="44"/>
  <c r="E96" i="44"/>
  <c r="I94" i="44"/>
  <c r="I92" i="44"/>
  <c r="AG90" i="44"/>
  <c r="E90" i="44"/>
  <c r="AG88" i="44"/>
  <c r="E88" i="44"/>
  <c r="M86" i="44"/>
  <c r="M84" i="44"/>
  <c r="AG82" i="44"/>
  <c r="E82" i="44"/>
  <c r="AG80" i="44"/>
  <c r="E80" i="44"/>
  <c r="I78" i="44"/>
  <c r="I76" i="44"/>
  <c r="AG74" i="44"/>
  <c r="E74" i="44"/>
  <c r="AG72" i="44"/>
  <c r="E72" i="44"/>
  <c r="AG64" i="44"/>
  <c r="E64" i="44"/>
  <c r="AG62" i="44"/>
  <c r="E62" i="44"/>
  <c r="I60" i="44"/>
  <c r="I58" i="44"/>
  <c r="AG56" i="44"/>
  <c r="E56" i="44"/>
  <c r="AG54" i="44"/>
  <c r="E54" i="44"/>
  <c r="M52" i="44"/>
  <c r="M50" i="44"/>
  <c r="AG48" i="44"/>
  <c r="E48" i="44"/>
  <c r="AG46" i="44"/>
  <c r="N46" i="44"/>
  <c r="E46" i="44"/>
  <c r="N44" i="44"/>
  <c r="I44" i="44"/>
  <c r="N42" i="44"/>
  <c r="I42" i="44"/>
  <c r="AG40" i="44"/>
  <c r="N40" i="44"/>
  <c r="E40" i="44"/>
  <c r="AG38" i="44"/>
  <c r="E38" i="44"/>
  <c r="AG34" i="44"/>
  <c r="E34" i="44"/>
  <c r="AG32" i="44"/>
  <c r="E32" i="44"/>
  <c r="G32" i="44" s="1"/>
  <c r="I30" i="44"/>
  <c r="I28" i="44"/>
  <c r="AG26" i="44"/>
  <c r="E26" i="44"/>
  <c r="AG24" i="44"/>
  <c r="E24" i="44"/>
  <c r="M22" i="44"/>
  <c r="M20" i="44"/>
  <c r="AG18" i="44"/>
  <c r="E18" i="44"/>
  <c r="AG16" i="44"/>
  <c r="E16" i="44"/>
  <c r="I14" i="44"/>
  <c r="I12" i="44"/>
  <c r="AG10" i="44"/>
  <c r="E10" i="44"/>
  <c r="AG8" i="44"/>
  <c r="E8" i="44"/>
  <c r="N426" i="43"/>
  <c r="I426" i="43"/>
  <c r="C426" i="43"/>
  <c r="N425" i="43"/>
  <c r="I425" i="43"/>
  <c r="C425" i="43"/>
  <c r="N424" i="43"/>
  <c r="I424" i="43"/>
  <c r="H424" i="43"/>
  <c r="L426" i="43" s="1"/>
  <c r="C424" i="43"/>
  <c r="N413" i="43"/>
  <c r="I413" i="43"/>
  <c r="C413" i="43"/>
  <c r="N412" i="43"/>
  <c r="I412" i="43"/>
  <c r="C412" i="43"/>
  <c r="N411" i="43"/>
  <c r="I411" i="43"/>
  <c r="H411" i="43"/>
  <c r="J418" i="43" s="1"/>
  <c r="K418" i="43" s="1"/>
  <c r="C411" i="43"/>
  <c r="N400" i="43"/>
  <c r="I400" i="43"/>
  <c r="C400" i="43"/>
  <c r="N399" i="43"/>
  <c r="I399" i="43"/>
  <c r="C399" i="43"/>
  <c r="N398" i="43"/>
  <c r="I398" i="43"/>
  <c r="H398" i="43"/>
  <c r="E400" i="43" s="1"/>
  <c r="C398" i="43"/>
  <c r="N387" i="43"/>
  <c r="I387" i="43"/>
  <c r="C387" i="43"/>
  <c r="N386" i="43"/>
  <c r="I386" i="43"/>
  <c r="C386" i="43"/>
  <c r="N385" i="43"/>
  <c r="I385" i="43"/>
  <c r="H385" i="43"/>
  <c r="J393" i="43" s="1"/>
  <c r="K393" i="43" s="1"/>
  <c r="C385" i="43"/>
  <c r="N374" i="43"/>
  <c r="I374" i="43"/>
  <c r="C374" i="43"/>
  <c r="N373" i="43"/>
  <c r="I373" i="43"/>
  <c r="C373" i="43"/>
  <c r="N372" i="43"/>
  <c r="I372" i="43"/>
  <c r="H372" i="43"/>
  <c r="L374" i="43" s="1"/>
  <c r="C372" i="43"/>
  <c r="N361" i="43"/>
  <c r="I361" i="43"/>
  <c r="C361" i="43"/>
  <c r="N360" i="43"/>
  <c r="I360" i="43"/>
  <c r="C360" i="43"/>
  <c r="N359" i="43"/>
  <c r="I359" i="43"/>
  <c r="H359" i="43"/>
  <c r="J366" i="43" s="1"/>
  <c r="K366" i="43" s="1"/>
  <c r="C359" i="43"/>
  <c r="N348" i="43"/>
  <c r="I348" i="43"/>
  <c r="C348" i="43"/>
  <c r="N347" i="43"/>
  <c r="I347" i="43"/>
  <c r="C347" i="43"/>
  <c r="N346" i="43"/>
  <c r="I346" i="43"/>
  <c r="H346" i="43"/>
  <c r="L348" i="43" s="1"/>
  <c r="C346" i="43"/>
  <c r="N335" i="43"/>
  <c r="I335" i="43"/>
  <c r="C335" i="43"/>
  <c r="N334" i="43"/>
  <c r="I334" i="43"/>
  <c r="C334" i="43"/>
  <c r="N333" i="43"/>
  <c r="I333" i="43"/>
  <c r="H333" i="43"/>
  <c r="E335" i="43" s="1"/>
  <c r="C333" i="43"/>
  <c r="N322" i="43"/>
  <c r="I322" i="43"/>
  <c r="C322" i="43"/>
  <c r="N321" i="43"/>
  <c r="I321" i="43"/>
  <c r="C321" i="43"/>
  <c r="N320" i="43"/>
  <c r="I320" i="43"/>
  <c r="H320" i="43"/>
  <c r="J326" i="43" s="1"/>
  <c r="K326" i="43" s="1"/>
  <c r="C320" i="43"/>
  <c r="N309" i="43"/>
  <c r="I309" i="43"/>
  <c r="C309" i="43"/>
  <c r="N308" i="43"/>
  <c r="I308" i="43"/>
  <c r="C308" i="43"/>
  <c r="N307" i="43"/>
  <c r="I307" i="43"/>
  <c r="H307" i="43"/>
  <c r="L307" i="43" s="1"/>
  <c r="C307" i="43"/>
  <c r="N296" i="43"/>
  <c r="I296" i="43"/>
  <c r="C296" i="43"/>
  <c r="N295" i="43"/>
  <c r="I295" i="43"/>
  <c r="C295" i="43"/>
  <c r="N294" i="43"/>
  <c r="I294" i="43"/>
  <c r="H294" i="43"/>
  <c r="L296" i="43" s="1"/>
  <c r="C294" i="43"/>
  <c r="N283" i="43"/>
  <c r="I283" i="43"/>
  <c r="C283" i="43"/>
  <c r="N282" i="43"/>
  <c r="I282" i="43"/>
  <c r="C282" i="43"/>
  <c r="N281" i="43"/>
  <c r="I281" i="43"/>
  <c r="H281" i="43"/>
  <c r="E283" i="43" s="1"/>
  <c r="C281" i="43"/>
  <c r="N270" i="43"/>
  <c r="I270" i="43"/>
  <c r="C270" i="43"/>
  <c r="N269" i="43"/>
  <c r="I269" i="43"/>
  <c r="C269" i="43"/>
  <c r="N268" i="43"/>
  <c r="I268" i="43"/>
  <c r="H268" i="43"/>
  <c r="B274" i="43" s="1"/>
  <c r="C274" i="43" s="1"/>
  <c r="C268" i="43"/>
  <c r="N257" i="43"/>
  <c r="I257" i="43"/>
  <c r="C257" i="43"/>
  <c r="N256" i="43"/>
  <c r="I256" i="43"/>
  <c r="C256" i="43"/>
  <c r="N255" i="43"/>
  <c r="I255" i="43"/>
  <c r="H255" i="43"/>
  <c r="L255" i="43" s="1"/>
  <c r="C255" i="43"/>
  <c r="N244" i="43"/>
  <c r="I244" i="43"/>
  <c r="C244" i="43"/>
  <c r="N243" i="43"/>
  <c r="I243" i="43"/>
  <c r="C243" i="43"/>
  <c r="N242" i="43"/>
  <c r="I242" i="43"/>
  <c r="H242" i="43"/>
  <c r="L244" i="43" s="1"/>
  <c r="C242" i="43"/>
  <c r="N231" i="43"/>
  <c r="I231" i="43"/>
  <c r="C231" i="43"/>
  <c r="N230" i="43"/>
  <c r="I230" i="43"/>
  <c r="C230" i="43"/>
  <c r="N229" i="43"/>
  <c r="I229" i="43"/>
  <c r="H229" i="43"/>
  <c r="E231" i="43" s="1"/>
  <c r="C229" i="43"/>
  <c r="N218" i="43"/>
  <c r="I218" i="43"/>
  <c r="C218" i="43"/>
  <c r="N217" i="43"/>
  <c r="I217" i="43"/>
  <c r="C217" i="43"/>
  <c r="N216" i="43"/>
  <c r="I216" i="43"/>
  <c r="H216" i="43"/>
  <c r="B223" i="43" s="1"/>
  <c r="C223" i="43" s="1"/>
  <c r="C216" i="43"/>
  <c r="N205" i="43"/>
  <c r="I205" i="43"/>
  <c r="C205" i="43"/>
  <c r="N204" i="43"/>
  <c r="I204" i="43"/>
  <c r="C204" i="43"/>
  <c r="N203" i="43"/>
  <c r="I203" i="43"/>
  <c r="H203" i="43"/>
  <c r="J209" i="43" s="1"/>
  <c r="K209" i="43" s="1"/>
  <c r="C203" i="43"/>
  <c r="N192" i="43"/>
  <c r="I192" i="43"/>
  <c r="C192" i="43"/>
  <c r="N191" i="43"/>
  <c r="I191" i="43"/>
  <c r="C191" i="43"/>
  <c r="N190" i="43"/>
  <c r="I190" i="43"/>
  <c r="H190" i="43"/>
  <c r="L192" i="43" s="1"/>
  <c r="C190" i="43"/>
  <c r="N179" i="43"/>
  <c r="I179" i="43"/>
  <c r="C179" i="43"/>
  <c r="N178" i="43"/>
  <c r="I178" i="43"/>
  <c r="C178" i="43"/>
  <c r="N177" i="43"/>
  <c r="I177" i="43"/>
  <c r="H177" i="43"/>
  <c r="C177" i="43"/>
  <c r="N166" i="43"/>
  <c r="I166" i="43"/>
  <c r="C166" i="43"/>
  <c r="N165" i="43"/>
  <c r="I165" i="43"/>
  <c r="C165" i="43"/>
  <c r="N164" i="43"/>
  <c r="I164" i="43"/>
  <c r="H164" i="43"/>
  <c r="C164" i="43"/>
  <c r="N153" i="43"/>
  <c r="I153" i="43"/>
  <c r="C153" i="43"/>
  <c r="N152" i="43"/>
  <c r="I152" i="43"/>
  <c r="C152" i="43"/>
  <c r="N151" i="43"/>
  <c r="I151" i="43"/>
  <c r="H151" i="43"/>
  <c r="E153" i="43" s="1"/>
  <c r="C151" i="43"/>
  <c r="N140" i="43"/>
  <c r="I140" i="43"/>
  <c r="C140" i="43"/>
  <c r="N139" i="43"/>
  <c r="I139" i="43"/>
  <c r="C139" i="43"/>
  <c r="N138" i="43"/>
  <c r="I138" i="43"/>
  <c r="H138" i="43"/>
  <c r="L138" i="43" s="1"/>
  <c r="C138" i="43"/>
  <c r="N127" i="43"/>
  <c r="I127" i="43"/>
  <c r="C127" i="43"/>
  <c r="N126" i="43"/>
  <c r="I126" i="43"/>
  <c r="C126" i="43"/>
  <c r="N125" i="43"/>
  <c r="I125" i="43"/>
  <c r="H125" i="43"/>
  <c r="L127" i="43" s="1"/>
  <c r="C125" i="43"/>
  <c r="N114" i="43"/>
  <c r="I114" i="43"/>
  <c r="C114" i="43"/>
  <c r="N113" i="43"/>
  <c r="I113" i="43"/>
  <c r="C113" i="43"/>
  <c r="N112" i="43"/>
  <c r="I112" i="43"/>
  <c r="H112" i="43"/>
  <c r="J120" i="43" s="1"/>
  <c r="K120" i="43" s="1"/>
  <c r="C112" i="43"/>
  <c r="N101" i="43"/>
  <c r="I101" i="43"/>
  <c r="C101" i="43"/>
  <c r="N100" i="43"/>
  <c r="I100" i="43"/>
  <c r="C100" i="43"/>
  <c r="N99" i="43"/>
  <c r="I99" i="43"/>
  <c r="H99" i="43"/>
  <c r="E101" i="43" s="1"/>
  <c r="C99" i="43"/>
  <c r="N88" i="43"/>
  <c r="I88" i="43"/>
  <c r="C88" i="43"/>
  <c r="N87" i="43"/>
  <c r="I87" i="43"/>
  <c r="C87" i="43"/>
  <c r="N86" i="43"/>
  <c r="I86" i="43"/>
  <c r="H86" i="43"/>
  <c r="B93" i="43" s="1"/>
  <c r="C93" i="43" s="1"/>
  <c r="C86" i="43"/>
  <c r="N75" i="43"/>
  <c r="I75" i="43"/>
  <c r="C75" i="43"/>
  <c r="N74" i="43"/>
  <c r="I74" i="43"/>
  <c r="C74" i="43"/>
  <c r="N73" i="43"/>
  <c r="I73" i="43"/>
  <c r="H73" i="43"/>
  <c r="C73" i="43"/>
  <c r="N62" i="43"/>
  <c r="I62" i="43"/>
  <c r="C62" i="43"/>
  <c r="N61" i="43"/>
  <c r="I61" i="43"/>
  <c r="C61" i="43"/>
  <c r="N60" i="43"/>
  <c r="I60" i="43"/>
  <c r="H60" i="43"/>
  <c r="B68" i="43" s="1"/>
  <c r="C68" i="43" s="1"/>
  <c r="C60" i="43"/>
  <c r="N49" i="43"/>
  <c r="I49" i="43"/>
  <c r="C49" i="43"/>
  <c r="N48" i="43"/>
  <c r="I48" i="43"/>
  <c r="C48" i="43"/>
  <c r="N47" i="43"/>
  <c r="I47" i="43"/>
  <c r="H47" i="43"/>
  <c r="L47" i="43" s="1"/>
  <c r="C47" i="43"/>
  <c r="N33" i="43"/>
  <c r="L33" i="43"/>
  <c r="I33" i="43"/>
  <c r="C33" i="43"/>
  <c r="N32" i="43"/>
  <c r="L32" i="43"/>
  <c r="I32" i="43"/>
  <c r="C32" i="43"/>
  <c r="N31" i="43"/>
  <c r="L31" i="43"/>
  <c r="I31" i="43"/>
  <c r="C31" i="43"/>
  <c r="N30" i="43"/>
  <c r="L30" i="43"/>
  <c r="I30" i="43"/>
  <c r="H30" i="43"/>
  <c r="F33" i="43" s="1"/>
  <c r="C30" i="43"/>
  <c r="O12" i="43"/>
  <c r="N12" i="43"/>
  <c r="M12" i="43"/>
  <c r="L12" i="43"/>
  <c r="I12" i="43"/>
  <c r="J12" i="43" s="1"/>
  <c r="K12" i="43" s="1"/>
  <c r="C12" i="43"/>
  <c r="N11" i="43"/>
  <c r="L11" i="43"/>
  <c r="I11" i="43"/>
  <c r="C11" i="43"/>
  <c r="N10" i="43"/>
  <c r="L10" i="43"/>
  <c r="I10" i="43"/>
  <c r="C10" i="43"/>
  <c r="N9" i="43"/>
  <c r="L9" i="43"/>
  <c r="I9" i="43"/>
  <c r="C9" i="43"/>
  <c r="N8" i="43"/>
  <c r="L8" i="43"/>
  <c r="I8" i="43"/>
  <c r="H8" i="43"/>
  <c r="J25" i="43" s="1"/>
  <c r="K25" i="43" s="1"/>
  <c r="C8" i="43"/>
  <c r="AG192" i="34"/>
  <c r="E192" i="34"/>
  <c r="AG190" i="34"/>
  <c r="E190" i="34"/>
  <c r="I188" i="34"/>
  <c r="I186" i="34"/>
  <c r="AG184" i="34"/>
  <c r="E184" i="34"/>
  <c r="AG182" i="34"/>
  <c r="E182" i="34"/>
  <c r="M180" i="34"/>
  <c r="M178" i="34"/>
  <c r="AG176" i="34"/>
  <c r="E176" i="34"/>
  <c r="AG174" i="34"/>
  <c r="N174" i="34"/>
  <c r="E174" i="34"/>
  <c r="N172" i="34"/>
  <c r="I172" i="34"/>
  <c r="N170" i="34"/>
  <c r="I170" i="34"/>
  <c r="AG168" i="34"/>
  <c r="N168" i="34"/>
  <c r="E168" i="34"/>
  <c r="AG166" i="34"/>
  <c r="E166" i="34"/>
  <c r="AG162" i="34"/>
  <c r="E162" i="34"/>
  <c r="AG160" i="34"/>
  <c r="E160" i="34"/>
  <c r="I158" i="34"/>
  <c r="I156" i="34"/>
  <c r="AG154" i="34"/>
  <c r="E154" i="34"/>
  <c r="AG152" i="34"/>
  <c r="E152" i="34"/>
  <c r="M150" i="34"/>
  <c r="M148" i="34"/>
  <c r="AG146" i="34"/>
  <c r="E146" i="34"/>
  <c r="AG144" i="34"/>
  <c r="E144" i="34"/>
  <c r="I142" i="34"/>
  <c r="I140" i="34"/>
  <c r="AG138" i="34"/>
  <c r="E138" i="34"/>
  <c r="AG136" i="34"/>
  <c r="E136" i="34"/>
  <c r="AG128" i="34"/>
  <c r="E128" i="34"/>
  <c r="AG126" i="34"/>
  <c r="E126" i="34"/>
  <c r="I124" i="34"/>
  <c r="I122" i="34"/>
  <c r="AG120" i="34"/>
  <c r="E120" i="34"/>
  <c r="AG118" i="34"/>
  <c r="E118" i="34"/>
  <c r="M116" i="34"/>
  <c r="M114" i="34"/>
  <c r="AG112" i="34"/>
  <c r="E112" i="34"/>
  <c r="AG110" i="34"/>
  <c r="N110" i="34"/>
  <c r="E110" i="34"/>
  <c r="N108" i="34"/>
  <c r="I108" i="34"/>
  <c r="N106" i="34"/>
  <c r="I106" i="34"/>
  <c r="AG104" i="34"/>
  <c r="N104" i="34"/>
  <c r="E104" i="34"/>
  <c r="AG102" i="34"/>
  <c r="E102" i="34"/>
  <c r="AG98" i="34"/>
  <c r="E98" i="34"/>
  <c r="AG96" i="34"/>
  <c r="E96" i="34"/>
  <c r="I94" i="34"/>
  <c r="I92" i="34"/>
  <c r="AG90" i="34"/>
  <c r="E90" i="34"/>
  <c r="AG88" i="34"/>
  <c r="E88" i="34"/>
  <c r="M86" i="34"/>
  <c r="M84" i="34"/>
  <c r="AG82" i="34"/>
  <c r="E82" i="34"/>
  <c r="AG80" i="34"/>
  <c r="E80" i="34"/>
  <c r="I78" i="34"/>
  <c r="I76" i="34"/>
  <c r="AG74" i="34"/>
  <c r="E74" i="34"/>
  <c r="AG72" i="34"/>
  <c r="E72" i="34"/>
  <c r="AG64" i="34"/>
  <c r="E64" i="34"/>
  <c r="AG62" i="34"/>
  <c r="E62" i="34"/>
  <c r="I60" i="34"/>
  <c r="I58" i="34"/>
  <c r="AG56" i="34"/>
  <c r="E56" i="34"/>
  <c r="AG54" i="34"/>
  <c r="E54" i="34"/>
  <c r="M52" i="34"/>
  <c r="M50" i="34"/>
  <c r="AG48" i="34"/>
  <c r="E48" i="34"/>
  <c r="AG46" i="34"/>
  <c r="N46" i="34"/>
  <c r="E46" i="34"/>
  <c r="N44" i="34"/>
  <c r="I44" i="34"/>
  <c r="N42" i="34"/>
  <c r="I42" i="34"/>
  <c r="AG40" i="34"/>
  <c r="N40" i="34"/>
  <c r="E40" i="34"/>
  <c r="AG38" i="34"/>
  <c r="E38" i="34"/>
  <c r="AG34" i="34"/>
  <c r="E34" i="34"/>
  <c r="AG32" i="34"/>
  <c r="E32" i="34"/>
  <c r="I30" i="34"/>
  <c r="I28" i="34"/>
  <c r="AG26" i="34"/>
  <c r="E26" i="34"/>
  <c r="AG24" i="34"/>
  <c r="E24" i="34"/>
  <c r="M22" i="34"/>
  <c r="M20" i="34"/>
  <c r="AG18" i="34"/>
  <c r="E18" i="34"/>
  <c r="AG16" i="34"/>
  <c r="E16" i="34"/>
  <c r="I14" i="34"/>
  <c r="I12" i="34"/>
  <c r="AG10" i="34"/>
  <c r="E10" i="34"/>
  <c r="AG8" i="34"/>
  <c r="E8" i="34"/>
  <c r="N426" i="33"/>
  <c r="I426" i="33"/>
  <c r="C426" i="33"/>
  <c r="N425" i="33"/>
  <c r="I425" i="33"/>
  <c r="C425" i="33"/>
  <c r="N424" i="33"/>
  <c r="I424" i="33"/>
  <c r="H424" i="33"/>
  <c r="L426" i="33" s="1"/>
  <c r="C424" i="33"/>
  <c r="N413" i="33"/>
  <c r="I413" i="33"/>
  <c r="C413" i="33"/>
  <c r="N412" i="33"/>
  <c r="I412" i="33"/>
  <c r="C412" i="33"/>
  <c r="N411" i="33"/>
  <c r="I411" i="33"/>
  <c r="H411" i="33"/>
  <c r="J418" i="33" s="1"/>
  <c r="K418" i="33" s="1"/>
  <c r="C411" i="33"/>
  <c r="N400" i="33"/>
  <c r="I400" i="33"/>
  <c r="C400" i="33"/>
  <c r="N399" i="33"/>
  <c r="I399" i="33"/>
  <c r="C399" i="33"/>
  <c r="N398" i="33"/>
  <c r="I398" i="33"/>
  <c r="H398" i="33"/>
  <c r="E398" i="33" s="1"/>
  <c r="C398" i="33"/>
  <c r="N387" i="33"/>
  <c r="I387" i="33"/>
  <c r="C387" i="33"/>
  <c r="N386" i="33"/>
  <c r="I386" i="33"/>
  <c r="C386" i="33"/>
  <c r="N385" i="33"/>
  <c r="I385" i="33"/>
  <c r="H385" i="33"/>
  <c r="J393" i="33" s="1"/>
  <c r="K393" i="33" s="1"/>
  <c r="C385" i="33"/>
  <c r="N374" i="33"/>
  <c r="I374" i="33"/>
  <c r="C374" i="33"/>
  <c r="N373" i="33"/>
  <c r="I373" i="33"/>
  <c r="C373" i="33"/>
  <c r="N372" i="33"/>
  <c r="I372" i="33"/>
  <c r="H372" i="33"/>
  <c r="L374" i="33" s="1"/>
  <c r="C372" i="33"/>
  <c r="N361" i="33"/>
  <c r="I361" i="33"/>
  <c r="C361" i="33"/>
  <c r="N360" i="33"/>
  <c r="I360" i="33"/>
  <c r="C360" i="33"/>
  <c r="N359" i="33"/>
  <c r="I359" i="33"/>
  <c r="H359" i="33"/>
  <c r="J366" i="33" s="1"/>
  <c r="K366" i="33" s="1"/>
  <c r="C359" i="33"/>
  <c r="N348" i="33"/>
  <c r="I348" i="33"/>
  <c r="C348" i="33"/>
  <c r="N347" i="33"/>
  <c r="I347" i="33"/>
  <c r="C347" i="33"/>
  <c r="N346" i="33"/>
  <c r="I346" i="33"/>
  <c r="H346" i="33"/>
  <c r="B354" i="33" s="1"/>
  <c r="C354" i="33" s="1"/>
  <c r="C346" i="33"/>
  <c r="N335" i="33"/>
  <c r="I335" i="33"/>
  <c r="C335" i="33"/>
  <c r="N334" i="33"/>
  <c r="I334" i="33"/>
  <c r="C334" i="33"/>
  <c r="N333" i="33"/>
  <c r="I333" i="33"/>
  <c r="H333" i="33"/>
  <c r="D333" i="33" s="1"/>
  <c r="C333" i="33"/>
  <c r="N322" i="33"/>
  <c r="I322" i="33"/>
  <c r="C322" i="33"/>
  <c r="N321" i="33"/>
  <c r="I321" i="33"/>
  <c r="C321" i="33"/>
  <c r="N320" i="33"/>
  <c r="I320" i="33"/>
  <c r="H320" i="33"/>
  <c r="J328" i="33" s="1"/>
  <c r="K328" i="33" s="1"/>
  <c r="C320" i="33"/>
  <c r="N309" i="33"/>
  <c r="I309" i="33"/>
  <c r="C309" i="33"/>
  <c r="N308" i="33"/>
  <c r="I308" i="33"/>
  <c r="C308" i="33"/>
  <c r="N307" i="33"/>
  <c r="I307" i="33"/>
  <c r="H307" i="33"/>
  <c r="B315" i="33" s="1"/>
  <c r="C315" i="33" s="1"/>
  <c r="C307" i="33"/>
  <c r="N296" i="33"/>
  <c r="I296" i="33"/>
  <c r="C296" i="33"/>
  <c r="N295" i="33"/>
  <c r="I295" i="33"/>
  <c r="C295" i="33"/>
  <c r="N294" i="33"/>
  <c r="I294" i="33"/>
  <c r="H294" i="33"/>
  <c r="C294" i="33"/>
  <c r="N283" i="33"/>
  <c r="I283" i="33"/>
  <c r="C283" i="33"/>
  <c r="N282" i="33"/>
  <c r="I282" i="33"/>
  <c r="C282" i="33"/>
  <c r="N281" i="33"/>
  <c r="I281" i="33"/>
  <c r="H281" i="33"/>
  <c r="D281" i="33" s="1"/>
  <c r="C281" i="33"/>
  <c r="N270" i="33"/>
  <c r="I270" i="33"/>
  <c r="C270" i="33"/>
  <c r="N269" i="33"/>
  <c r="I269" i="33"/>
  <c r="C269" i="33"/>
  <c r="N268" i="33"/>
  <c r="I268" i="33"/>
  <c r="H268" i="33"/>
  <c r="L270" i="33" s="1"/>
  <c r="C268" i="33"/>
  <c r="N257" i="33"/>
  <c r="I257" i="33"/>
  <c r="C257" i="33"/>
  <c r="N256" i="33"/>
  <c r="I256" i="33"/>
  <c r="C256" i="33"/>
  <c r="N255" i="33"/>
  <c r="I255" i="33"/>
  <c r="H255" i="33"/>
  <c r="E257" i="33" s="1"/>
  <c r="C255" i="33"/>
  <c r="N244" i="33"/>
  <c r="I244" i="33"/>
  <c r="C244" i="33"/>
  <c r="N243" i="33"/>
  <c r="I243" i="33"/>
  <c r="C243" i="33"/>
  <c r="N242" i="33"/>
  <c r="I242" i="33"/>
  <c r="H242" i="33"/>
  <c r="L244" i="33" s="1"/>
  <c r="C242" i="33"/>
  <c r="N231" i="33"/>
  <c r="I231" i="33"/>
  <c r="C231" i="33"/>
  <c r="N230" i="33"/>
  <c r="I230" i="33"/>
  <c r="C230" i="33"/>
  <c r="N229" i="33"/>
  <c r="I229" i="33"/>
  <c r="H229" i="33"/>
  <c r="J236" i="33" s="1"/>
  <c r="K236" i="33" s="1"/>
  <c r="C229" i="33"/>
  <c r="N218" i="33"/>
  <c r="I218" i="33"/>
  <c r="C218" i="33"/>
  <c r="N217" i="33"/>
  <c r="I217" i="33"/>
  <c r="C217" i="33"/>
  <c r="N216" i="33"/>
  <c r="I216" i="33"/>
  <c r="H216" i="33"/>
  <c r="L218" i="33" s="1"/>
  <c r="C216" i="33"/>
  <c r="B211" i="33"/>
  <c r="N205" i="33"/>
  <c r="I205" i="33"/>
  <c r="C205" i="33"/>
  <c r="N204" i="33"/>
  <c r="I204" i="33"/>
  <c r="C204" i="33"/>
  <c r="N203" i="33"/>
  <c r="I203" i="33"/>
  <c r="H203" i="33"/>
  <c r="E205" i="33" s="1"/>
  <c r="C203" i="33"/>
  <c r="N192" i="33"/>
  <c r="I192" i="33"/>
  <c r="C192" i="33"/>
  <c r="N191" i="33"/>
  <c r="I191" i="33"/>
  <c r="C191" i="33"/>
  <c r="N190" i="33"/>
  <c r="I190" i="33"/>
  <c r="H190" i="33"/>
  <c r="E192" i="33" s="1"/>
  <c r="C190" i="33"/>
  <c r="N179" i="33"/>
  <c r="I179" i="33"/>
  <c r="C179" i="33"/>
  <c r="N178" i="33"/>
  <c r="I178" i="33"/>
  <c r="C178" i="33"/>
  <c r="N177" i="33"/>
  <c r="I177" i="33"/>
  <c r="H177" i="33"/>
  <c r="J184" i="33" s="1"/>
  <c r="K184" i="33" s="1"/>
  <c r="C177" i="33"/>
  <c r="N166" i="33"/>
  <c r="I166" i="33"/>
  <c r="C166" i="33"/>
  <c r="N165" i="33"/>
  <c r="I165" i="33"/>
  <c r="C165" i="33"/>
  <c r="N164" i="33"/>
  <c r="I164" i="33"/>
  <c r="H164" i="33"/>
  <c r="J172" i="33" s="1"/>
  <c r="K172" i="33" s="1"/>
  <c r="C164" i="33"/>
  <c r="N153" i="33"/>
  <c r="I153" i="33"/>
  <c r="C153" i="33"/>
  <c r="N152" i="33"/>
  <c r="I152" i="33"/>
  <c r="C152" i="33"/>
  <c r="N151" i="33"/>
  <c r="I151" i="33"/>
  <c r="H151" i="33"/>
  <c r="B159" i="33" s="1"/>
  <c r="C159" i="33" s="1"/>
  <c r="C151" i="33"/>
  <c r="N140" i="33"/>
  <c r="I140" i="33"/>
  <c r="C140" i="33"/>
  <c r="N139" i="33"/>
  <c r="I139" i="33"/>
  <c r="C139" i="33"/>
  <c r="N138" i="33"/>
  <c r="I138" i="33"/>
  <c r="H138" i="33"/>
  <c r="B144" i="33" s="1"/>
  <c r="C144" i="33" s="1"/>
  <c r="C138" i="33"/>
  <c r="N127" i="33"/>
  <c r="I127" i="33"/>
  <c r="C127" i="33"/>
  <c r="N126" i="33"/>
  <c r="I126" i="33"/>
  <c r="C126" i="33"/>
  <c r="N125" i="33"/>
  <c r="I125" i="33"/>
  <c r="H125" i="33"/>
  <c r="B131" i="33" s="1"/>
  <c r="C125" i="33"/>
  <c r="N114" i="33"/>
  <c r="I114" i="33"/>
  <c r="C114" i="33"/>
  <c r="N113" i="33"/>
  <c r="I113" i="33"/>
  <c r="C113" i="33"/>
  <c r="N112" i="33"/>
  <c r="I112" i="33"/>
  <c r="H112" i="33"/>
  <c r="D113" i="33" s="1"/>
  <c r="C112" i="33"/>
  <c r="N101" i="33"/>
  <c r="I101" i="33"/>
  <c r="C101" i="33"/>
  <c r="N100" i="33"/>
  <c r="I100" i="33"/>
  <c r="C100" i="33"/>
  <c r="N99" i="33"/>
  <c r="I99" i="33"/>
  <c r="H99" i="33"/>
  <c r="J107" i="33" s="1"/>
  <c r="K107" i="33" s="1"/>
  <c r="C99" i="33"/>
  <c r="N88" i="33"/>
  <c r="I88" i="33"/>
  <c r="C88" i="33"/>
  <c r="N87" i="33"/>
  <c r="I87" i="33"/>
  <c r="C87" i="33"/>
  <c r="N86" i="33"/>
  <c r="I86" i="33"/>
  <c r="H86" i="33"/>
  <c r="L86" i="33" s="1"/>
  <c r="C86" i="33"/>
  <c r="N75" i="33"/>
  <c r="I75" i="33"/>
  <c r="C75" i="33"/>
  <c r="N74" i="33"/>
  <c r="I74" i="33"/>
  <c r="C74" i="33"/>
  <c r="N73" i="33"/>
  <c r="I73" i="33"/>
  <c r="H73" i="33"/>
  <c r="B80" i="33" s="1"/>
  <c r="C80" i="33" s="1"/>
  <c r="C73" i="33"/>
  <c r="N62" i="33"/>
  <c r="I62" i="33"/>
  <c r="C62" i="33"/>
  <c r="N61" i="33"/>
  <c r="I61" i="33"/>
  <c r="C61" i="33"/>
  <c r="N60" i="33"/>
  <c r="I60" i="33"/>
  <c r="H60" i="33"/>
  <c r="J68" i="33" s="1"/>
  <c r="K68" i="33" s="1"/>
  <c r="C60" i="33"/>
  <c r="N49" i="33"/>
  <c r="I49" i="33"/>
  <c r="C49" i="33"/>
  <c r="N48" i="33"/>
  <c r="I48" i="33"/>
  <c r="C48" i="33"/>
  <c r="N47" i="33"/>
  <c r="I47" i="33"/>
  <c r="H47" i="33"/>
  <c r="B53" i="33" s="1"/>
  <c r="C53" i="33" s="1"/>
  <c r="C47" i="33"/>
  <c r="N33" i="33"/>
  <c r="L33" i="33"/>
  <c r="I33" i="33"/>
  <c r="C33" i="33"/>
  <c r="N32" i="33"/>
  <c r="L32" i="33"/>
  <c r="I32" i="33"/>
  <c r="C32" i="33"/>
  <c r="N31" i="33"/>
  <c r="L31" i="33"/>
  <c r="I31" i="33"/>
  <c r="C31" i="33"/>
  <c r="N30" i="33"/>
  <c r="L30" i="33"/>
  <c r="I30" i="33"/>
  <c r="H30" i="33"/>
  <c r="J38" i="33" s="1"/>
  <c r="K38" i="33" s="1"/>
  <c r="C30" i="33"/>
  <c r="O12" i="33"/>
  <c r="N12" i="33"/>
  <c r="M12" i="33"/>
  <c r="L12" i="33"/>
  <c r="I12" i="33"/>
  <c r="J12" i="33" s="1"/>
  <c r="K12" i="33" s="1"/>
  <c r="C12" i="33"/>
  <c r="N11" i="33"/>
  <c r="L11" i="33"/>
  <c r="I11" i="33"/>
  <c r="C11" i="33"/>
  <c r="N10" i="33"/>
  <c r="L10" i="33"/>
  <c r="I10" i="33"/>
  <c r="C10" i="33"/>
  <c r="N9" i="33"/>
  <c r="L9" i="33"/>
  <c r="I9" i="33"/>
  <c r="C9" i="33"/>
  <c r="N8" i="33"/>
  <c r="L8" i="33"/>
  <c r="I8" i="33"/>
  <c r="H8" i="33"/>
  <c r="B24" i="33" s="1"/>
  <c r="C24" i="33" s="1"/>
  <c r="C8" i="33"/>
  <c r="C426" i="41"/>
  <c r="C425" i="41"/>
  <c r="C424" i="41"/>
  <c r="C413" i="41"/>
  <c r="C412" i="41"/>
  <c r="C411" i="41"/>
  <c r="C400" i="41"/>
  <c r="C399" i="41"/>
  <c r="C398" i="41"/>
  <c r="C387" i="41"/>
  <c r="C386" i="41"/>
  <c r="C385" i="41"/>
  <c r="C374" i="41"/>
  <c r="C373" i="41"/>
  <c r="C372" i="41"/>
  <c r="C361" i="41"/>
  <c r="C360" i="41"/>
  <c r="C359" i="41"/>
  <c r="C348" i="41"/>
  <c r="C347" i="41"/>
  <c r="C346" i="41"/>
  <c r="C335" i="41"/>
  <c r="C334" i="41"/>
  <c r="C333" i="41"/>
  <c r="C322" i="41"/>
  <c r="C321" i="41"/>
  <c r="C320" i="41"/>
  <c r="C309" i="41"/>
  <c r="C308" i="41"/>
  <c r="C307" i="41"/>
  <c r="C296" i="41"/>
  <c r="C295" i="41"/>
  <c r="C294" i="41"/>
  <c r="C283" i="41"/>
  <c r="C282" i="41"/>
  <c r="C281" i="41"/>
  <c r="C270" i="41"/>
  <c r="C269" i="41"/>
  <c r="C268" i="41"/>
  <c r="C257" i="41"/>
  <c r="C256" i="41"/>
  <c r="C255" i="41"/>
  <c r="C244" i="41"/>
  <c r="C243" i="41"/>
  <c r="C242" i="41"/>
  <c r="C231" i="41"/>
  <c r="C230" i="41"/>
  <c r="C229" i="41"/>
  <c r="C218" i="41"/>
  <c r="C217" i="41"/>
  <c r="C216" i="41"/>
  <c r="C205" i="41"/>
  <c r="C204" i="41"/>
  <c r="C203" i="41"/>
  <c r="C192" i="41"/>
  <c r="C191" i="41"/>
  <c r="C190" i="41"/>
  <c r="C179" i="41"/>
  <c r="C178" i="41"/>
  <c r="C177" i="41"/>
  <c r="C166" i="41"/>
  <c r="C165" i="41"/>
  <c r="C164" i="41"/>
  <c r="C153" i="41"/>
  <c r="C152" i="41"/>
  <c r="C151" i="41"/>
  <c r="C140" i="41"/>
  <c r="C139" i="41"/>
  <c r="C138" i="41"/>
  <c r="C127" i="41"/>
  <c r="C126" i="41"/>
  <c r="C125" i="41"/>
  <c r="C114" i="41"/>
  <c r="C113" i="41"/>
  <c r="C112" i="41"/>
  <c r="C101" i="41"/>
  <c r="C100" i="41"/>
  <c r="C99" i="41"/>
  <c r="C88" i="41"/>
  <c r="C87" i="41"/>
  <c r="C86" i="41"/>
  <c r="C75" i="41"/>
  <c r="C74" i="41"/>
  <c r="C73" i="41"/>
  <c r="C62" i="41"/>
  <c r="C61" i="41"/>
  <c r="C60" i="41"/>
  <c r="C49" i="41"/>
  <c r="C48" i="41"/>
  <c r="C47" i="41"/>
  <c r="C33" i="41"/>
  <c r="C32" i="41"/>
  <c r="C31" i="41"/>
  <c r="C30" i="41"/>
  <c r="C12" i="41"/>
  <c r="C11" i="41"/>
  <c r="C10" i="41"/>
  <c r="C9" i="41"/>
  <c r="C8" i="41"/>
  <c r="C411" i="14"/>
  <c r="C426" i="14"/>
  <c r="C425" i="14"/>
  <c r="C424" i="14"/>
  <c r="C413" i="14"/>
  <c r="C412" i="14"/>
  <c r="C400" i="14"/>
  <c r="C399" i="14"/>
  <c r="C398" i="14"/>
  <c r="C387" i="14"/>
  <c r="C386" i="14"/>
  <c r="C385" i="14"/>
  <c r="C374" i="14"/>
  <c r="C373" i="14"/>
  <c r="C372" i="14"/>
  <c r="C361" i="14"/>
  <c r="C360" i="14"/>
  <c r="C359" i="14"/>
  <c r="C348" i="14"/>
  <c r="C347" i="14"/>
  <c r="C346" i="14"/>
  <c r="C335" i="14"/>
  <c r="C334" i="14"/>
  <c r="C333" i="14"/>
  <c r="C322" i="14"/>
  <c r="C321" i="14"/>
  <c r="C320" i="14"/>
  <c r="C309" i="14"/>
  <c r="C308" i="14"/>
  <c r="C307" i="14"/>
  <c r="C296" i="14"/>
  <c r="C295" i="14"/>
  <c r="C294" i="14"/>
  <c r="C283" i="14"/>
  <c r="C282" i="14"/>
  <c r="C281" i="14"/>
  <c r="C270" i="14"/>
  <c r="C269" i="14"/>
  <c r="C268" i="14"/>
  <c r="C257" i="14"/>
  <c r="C256" i="14"/>
  <c r="C255" i="14"/>
  <c r="C244" i="14"/>
  <c r="C243" i="14"/>
  <c r="C242" i="14"/>
  <c r="C231" i="14"/>
  <c r="C230" i="14"/>
  <c r="C229" i="14"/>
  <c r="C218" i="14"/>
  <c r="C217" i="14"/>
  <c r="C216" i="14"/>
  <c r="C205" i="14"/>
  <c r="C204" i="14"/>
  <c r="C203" i="14"/>
  <c r="C192" i="14"/>
  <c r="C191" i="14"/>
  <c r="C190" i="14"/>
  <c r="C179" i="14"/>
  <c r="C178" i="14"/>
  <c r="C177" i="14"/>
  <c r="C166" i="14"/>
  <c r="C165" i="14"/>
  <c r="C164" i="14"/>
  <c r="C153" i="14"/>
  <c r="C152" i="14"/>
  <c r="C151" i="14"/>
  <c r="C140" i="14"/>
  <c r="C139" i="14"/>
  <c r="C138" i="14"/>
  <c r="C127" i="14"/>
  <c r="C126" i="14"/>
  <c r="C125" i="14"/>
  <c r="C114" i="14"/>
  <c r="C113" i="14"/>
  <c r="C112" i="14"/>
  <c r="C101" i="14"/>
  <c r="C100" i="14"/>
  <c r="C99" i="14"/>
  <c r="C88" i="14"/>
  <c r="C87" i="14"/>
  <c r="C86" i="14"/>
  <c r="C75" i="14"/>
  <c r="C74" i="14"/>
  <c r="C73" i="14"/>
  <c r="C62" i="14"/>
  <c r="C61" i="14"/>
  <c r="C60" i="14"/>
  <c r="C49" i="14"/>
  <c r="C48" i="14"/>
  <c r="C47" i="14"/>
  <c r="C33" i="14"/>
  <c r="C32" i="14"/>
  <c r="C31" i="14"/>
  <c r="C30" i="14"/>
  <c r="AQ170" i="46" l="1"/>
  <c r="AU170" i="46"/>
  <c r="AQ106" i="46"/>
  <c r="AU106" i="46"/>
  <c r="AQ42" i="46"/>
  <c r="AU42" i="46"/>
  <c r="AQ41" i="46"/>
  <c r="AU41" i="46"/>
  <c r="AQ171" i="44"/>
  <c r="AU171" i="44"/>
  <c r="AQ106" i="44"/>
  <c r="AU106" i="44"/>
  <c r="AI102" i="34"/>
  <c r="G110" i="34"/>
  <c r="AI16" i="44"/>
  <c r="G174" i="44"/>
  <c r="D190" i="35"/>
  <c r="G72" i="36"/>
  <c r="G88" i="36"/>
  <c r="G136" i="36"/>
  <c r="G144" i="36"/>
  <c r="G152" i="36"/>
  <c r="G160" i="36"/>
  <c r="G118" i="46"/>
  <c r="G136" i="46"/>
  <c r="G152" i="46"/>
  <c r="J302" i="39"/>
  <c r="K302" i="39" s="1"/>
  <c r="J315" i="39"/>
  <c r="K315" i="39" s="1"/>
  <c r="E203" i="33"/>
  <c r="E216" i="33"/>
  <c r="G8" i="34"/>
  <c r="G88" i="34"/>
  <c r="G136" i="34"/>
  <c r="D348" i="35"/>
  <c r="B367" i="45"/>
  <c r="C367" i="45" s="1"/>
  <c r="D359" i="45"/>
  <c r="D360" i="45"/>
  <c r="D361" i="45"/>
  <c r="AI8" i="46"/>
  <c r="AI152" i="46"/>
  <c r="J339" i="37"/>
  <c r="K339" i="37" s="1"/>
  <c r="AI136" i="38"/>
  <c r="AI160" i="38"/>
  <c r="E242" i="39"/>
  <c r="E255" i="39"/>
  <c r="D294" i="39"/>
  <c r="D217" i="33"/>
  <c r="D218" i="33"/>
  <c r="D296" i="37"/>
  <c r="E333" i="37"/>
  <c r="E333" i="49"/>
  <c r="B406" i="49"/>
  <c r="C406" i="49" s="1"/>
  <c r="G38" i="44"/>
  <c r="G118" i="44"/>
  <c r="G72" i="44"/>
  <c r="P40" i="46"/>
  <c r="AI96" i="46"/>
  <c r="AI72" i="46"/>
  <c r="G174" i="46"/>
  <c r="AI174" i="46"/>
  <c r="AI144" i="46"/>
  <c r="G174" i="34"/>
  <c r="L125" i="33"/>
  <c r="J131" i="33"/>
  <c r="B132" i="33"/>
  <c r="J132" i="33"/>
  <c r="G102" i="38"/>
  <c r="G190" i="34"/>
  <c r="L242" i="47"/>
  <c r="E43" i="7"/>
  <c r="E39" i="7"/>
  <c r="K45" i="7"/>
  <c r="K41" i="7"/>
  <c r="K37" i="7"/>
  <c r="Q43" i="7"/>
  <c r="Q39" i="7"/>
  <c r="W45" i="7"/>
  <c r="E385" i="43"/>
  <c r="E281" i="43"/>
  <c r="J301" i="43"/>
  <c r="K301" i="43" s="1"/>
  <c r="B365" i="43"/>
  <c r="C365" i="43" s="1"/>
  <c r="L399" i="43"/>
  <c r="E359" i="43"/>
  <c r="J237" i="45"/>
  <c r="K237" i="45" s="1"/>
  <c r="J313" i="45"/>
  <c r="D9" i="45"/>
  <c r="E9" i="45"/>
  <c r="B25" i="45"/>
  <c r="C25" i="45" s="1"/>
  <c r="J17" i="45"/>
  <c r="K17" i="45" s="1"/>
  <c r="W41" i="7"/>
  <c r="W37" i="7"/>
  <c r="AC43" i="7"/>
  <c r="AC39" i="7"/>
  <c r="Q45" i="7"/>
  <c r="Q41" i="7"/>
  <c r="W43" i="7"/>
  <c r="W39" i="7"/>
  <c r="AC45" i="7"/>
  <c r="AC41" i="7"/>
  <c r="AC37" i="7"/>
  <c r="L151" i="47"/>
  <c r="D151" i="47"/>
  <c r="L320" i="47"/>
  <c r="J405" i="47"/>
  <c r="K405" i="47" s="1"/>
  <c r="D400" i="47"/>
  <c r="E62" i="47"/>
  <c r="B327" i="47"/>
  <c r="C327" i="47" s="1"/>
  <c r="L60" i="47"/>
  <c r="L61" i="47"/>
  <c r="J66" i="39"/>
  <c r="K66" i="39" s="1"/>
  <c r="F30" i="39"/>
  <c r="E45" i="7"/>
  <c r="E41" i="7"/>
  <c r="E37" i="7"/>
  <c r="E46" i="7"/>
  <c r="E42" i="7"/>
  <c r="E38" i="7"/>
  <c r="K44" i="7"/>
  <c r="K40" i="7"/>
  <c r="Q46" i="7"/>
  <c r="Q42" i="7"/>
  <c r="Q38" i="7"/>
  <c r="W44" i="7"/>
  <c r="W40" i="7"/>
  <c r="AC46" i="7"/>
  <c r="AC42" i="7"/>
  <c r="AC38" i="7"/>
  <c r="Q37" i="7"/>
  <c r="E44" i="7"/>
  <c r="E40" i="7"/>
  <c r="Q44" i="7"/>
  <c r="Q40" i="7"/>
  <c r="W46" i="7"/>
  <c r="W42" i="7"/>
  <c r="W38" i="7"/>
  <c r="AC44" i="7"/>
  <c r="AC40" i="7"/>
  <c r="K43" i="7"/>
  <c r="K39" i="7"/>
  <c r="K46" i="7"/>
  <c r="K42" i="7"/>
  <c r="K38" i="7"/>
  <c r="L216" i="33"/>
  <c r="B327" i="33"/>
  <c r="C327" i="33" s="1"/>
  <c r="E346" i="33"/>
  <c r="L48" i="43"/>
  <c r="D31" i="35"/>
  <c r="E47" i="35"/>
  <c r="D112" i="35"/>
  <c r="J353" i="35"/>
  <c r="K353" i="35" s="1"/>
  <c r="AI16" i="36"/>
  <c r="G38" i="36"/>
  <c r="P44" i="36"/>
  <c r="AI62" i="36"/>
  <c r="AI110" i="36"/>
  <c r="AI136" i="36"/>
  <c r="AI174" i="36"/>
  <c r="E8" i="45"/>
  <c r="E11" i="45"/>
  <c r="J287" i="45"/>
  <c r="K287" i="45" s="1"/>
  <c r="G38" i="46"/>
  <c r="P44" i="46"/>
  <c r="G54" i="46"/>
  <c r="G96" i="46"/>
  <c r="E112" i="47"/>
  <c r="B391" i="47"/>
  <c r="C391" i="47" s="1"/>
  <c r="J263" i="37"/>
  <c r="K263" i="37" s="1"/>
  <c r="P168" i="38"/>
  <c r="B249" i="49"/>
  <c r="C249" i="49" s="1"/>
  <c r="AI80" i="34"/>
  <c r="L112" i="43"/>
  <c r="AI72" i="44"/>
  <c r="L294" i="35"/>
  <c r="E387" i="45"/>
  <c r="AI182" i="46"/>
  <c r="B379" i="47"/>
  <c r="C379" i="47" s="1"/>
  <c r="G8" i="48"/>
  <c r="G24" i="48"/>
  <c r="G72" i="48"/>
  <c r="G88" i="48"/>
  <c r="J17" i="37"/>
  <c r="K17" i="37" s="1"/>
  <c r="B107" i="37"/>
  <c r="C107" i="37" s="1"/>
  <c r="B248" i="37"/>
  <c r="C248" i="37" s="1"/>
  <c r="AI16" i="50"/>
  <c r="AI38" i="50"/>
  <c r="G46" i="50"/>
  <c r="AI182" i="50"/>
  <c r="E49" i="43"/>
  <c r="AI16" i="34"/>
  <c r="AI118" i="34"/>
  <c r="AI144" i="34"/>
  <c r="AI182" i="34"/>
  <c r="AI190" i="34"/>
  <c r="L99" i="43"/>
  <c r="J105" i="43"/>
  <c r="K105" i="43" s="1"/>
  <c r="AI136" i="44"/>
  <c r="AI160" i="44"/>
  <c r="D30" i="35"/>
  <c r="F31" i="35"/>
  <c r="B39" i="35"/>
  <c r="C39" i="35" s="1"/>
  <c r="L333" i="35"/>
  <c r="D30" i="33"/>
  <c r="D164" i="33"/>
  <c r="B224" i="33"/>
  <c r="C224" i="33" s="1"/>
  <c r="E242" i="33"/>
  <c r="G160" i="34"/>
  <c r="B55" i="43"/>
  <c r="C55" i="43" s="1"/>
  <c r="E99" i="43"/>
  <c r="AI38" i="44"/>
  <c r="G88" i="44"/>
  <c r="F30" i="35"/>
  <c r="B42" i="35"/>
  <c r="C42" i="35" s="1"/>
  <c r="D257" i="47"/>
  <c r="AI24" i="48"/>
  <c r="AI46" i="48"/>
  <c r="AI62" i="48"/>
  <c r="AI88" i="48"/>
  <c r="AI126" i="48"/>
  <c r="AI152" i="48"/>
  <c r="AI160" i="48"/>
  <c r="AI174" i="48"/>
  <c r="E32" i="39"/>
  <c r="B41" i="39"/>
  <c r="C41" i="39" s="1"/>
  <c r="B53" i="39"/>
  <c r="C53" i="39" s="1"/>
  <c r="L61" i="39"/>
  <c r="L178" i="39"/>
  <c r="G46" i="40"/>
  <c r="AI102" i="40"/>
  <c r="F31" i="49"/>
  <c r="B40" i="49"/>
  <c r="C40" i="49" s="1"/>
  <c r="G8" i="50"/>
  <c r="G72" i="50"/>
  <c r="G96" i="50"/>
  <c r="G152" i="50"/>
  <c r="D139" i="33"/>
  <c r="E140" i="33"/>
  <c r="J144" i="33"/>
  <c r="K144" i="33" s="1"/>
  <c r="L361" i="33"/>
  <c r="B170" i="43"/>
  <c r="C170" i="43" s="1"/>
  <c r="L164" i="43"/>
  <c r="E165" i="43"/>
  <c r="J159" i="35"/>
  <c r="K159" i="35" s="1"/>
  <c r="B157" i="35"/>
  <c r="C157" i="35" s="1"/>
  <c r="L151" i="35"/>
  <c r="D204" i="45"/>
  <c r="J170" i="39"/>
  <c r="K170" i="39" s="1"/>
  <c r="B170" i="39"/>
  <c r="C170" i="39" s="1"/>
  <c r="D33" i="43"/>
  <c r="J39" i="43"/>
  <c r="K39" i="43" s="1"/>
  <c r="J81" i="43"/>
  <c r="K81" i="43" s="1"/>
  <c r="E75" i="43"/>
  <c r="B131" i="43"/>
  <c r="C131" i="43" s="1"/>
  <c r="L179" i="43"/>
  <c r="D179" i="43"/>
  <c r="E177" i="43"/>
  <c r="L217" i="43"/>
  <c r="B431" i="43"/>
  <c r="C431" i="43" s="1"/>
  <c r="P168" i="44"/>
  <c r="J53" i="35"/>
  <c r="K53" i="35" s="1"/>
  <c r="J55" i="35"/>
  <c r="K55" i="35" s="1"/>
  <c r="J67" i="35"/>
  <c r="K67" i="35" s="1"/>
  <c r="AI38" i="36"/>
  <c r="G46" i="36"/>
  <c r="P168" i="36"/>
  <c r="L48" i="47"/>
  <c r="E47" i="47"/>
  <c r="J133" i="47"/>
  <c r="K133" i="47" s="1"/>
  <c r="E268" i="47"/>
  <c r="J275" i="47"/>
  <c r="K275" i="47" s="1"/>
  <c r="P168" i="48"/>
  <c r="B80" i="37"/>
  <c r="C80" i="37" s="1"/>
  <c r="D101" i="37"/>
  <c r="J367" i="37"/>
  <c r="K367" i="37" s="1"/>
  <c r="J393" i="37"/>
  <c r="K393" i="37" s="1"/>
  <c r="L387" i="37"/>
  <c r="D386" i="37"/>
  <c r="L348" i="39"/>
  <c r="J352" i="39"/>
  <c r="K352" i="39" s="1"/>
  <c r="E347" i="39"/>
  <c r="J417" i="39"/>
  <c r="K417" i="39" s="1"/>
  <c r="P168" i="40"/>
  <c r="B392" i="33"/>
  <c r="C392" i="33" s="1"/>
  <c r="E31" i="33"/>
  <c r="J41" i="33"/>
  <c r="K41" i="33" s="1"/>
  <c r="L73" i="33"/>
  <c r="B93" i="33"/>
  <c r="C93" i="33" s="1"/>
  <c r="L140" i="33"/>
  <c r="J146" i="33"/>
  <c r="K146" i="33" s="1"/>
  <c r="L205" i="33"/>
  <c r="B249" i="33"/>
  <c r="C249" i="33" s="1"/>
  <c r="J367" i="33"/>
  <c r="K367" i="33" s="1"/>
  <c r="L372" i="33"/>
  <c r="AI8" i="34"/>
  <c r="AI32" i="34"/>
  <c r="AI72" i="34"/>
  <c r="AI110" i="34"/>
  <c r="AI126" i="34"/>
  <c r="AI136" i="34"/>
  <c r="P168" i="34"/>
  <c r="AI174" i="34"/>
  <c r="D30" i="43"/>
  <c r="B79" i="43"/>
  <c r="C79" i="43" s="1"/>
  <c r="J184" i="43"/>
  <c r="K184" i="43" s="1"/>
  <c r="J222" i="43"/>
  <c r="K222" i="43" s="1"/>
  <c r="G8" i="44"/>
  <c r="AI24" i="44"/>
  <c r="AI54" i="44"/>
  <c r="AI80" i="44"/>
  <c r="AI102" i="44"/>
  <c r="AI118" i="44"/>
  <c r="AI126" i="44"/>
  <c r="G166" i="44"/>
  <c r="P172" i="44"/>
  <c r="AI174" i="44"/>
  <c r="D164" i="35"/>
  <c r="L296" i="35"/>
  <c r="B300" i="35"/>
  <c r="C300" i="35" s="1"/>
  <c r="D294" i="35"/>
  <c r="D296" i="35"/>
  <c r="J366" i="35"/>
  <c r="K366" i="35" s="1"/>
  <c r="L360" i="35"/>
  <c r="B209" i="45"/>
  <c r="C209" i="45" s="1"/>
  <c r="D230" i="45"/>
  <c r="J431" i="45"/>
  <c r="K431" i="45" s="1"/>
  <c r="G46" i="46"/>
  <c r="AI54" i="46"/>
  <c r="J53" i="47"/>
  <c r="K53" i="47" s="1"/>
  <c r="L74" i="47"/>
  <c r="L113" i="47"/>
  <c r="G80" i="48"/>
  <c r="G102" i="48"/>
  <c r="G126" i="48"/>
  <c r="G166" i="48"/>
  <c r="P172" i="48"/>
  <c r="B22" i="37"/>
  <c r="C22" i="37" s="1"/>
  <c r="F12" i="37"/>
  <c r="B339" i="37"/>
  <c r="C339" i="37" s="1"/>
  <c r="L334" i="37"/>
  <c r="E413" i="37"/>
  <c r="AI54" i="38"/>
  <c r="AI80" i="38"/>
  <c r="AI118" i="38"/>
  <c r="AI144" i="38"/>
  <c r="AI152" i="38"/>
  <c r="L307" i="49"/>
  <c r="E307" i="49"/>
  <c r="D166" i="43"/>
  <c r="J131" i="45"/>
  <c r="K131" i="45" s="1"/>
  <c r="D125" i="45"/>
  <c r="L257" i="45"/>
  <c r="J105" i="33"/>
  <c r="K105" i="33" s="1"/>
  <c r="J145" i="33"/>
  <c r="K145" i="33" s="1"/>
  <c r="L282" i="33"/>
  <c r="E88" i="33"/>
  <c r="E138" i="33"/>
  <c r="B223" i="33"/>
  <c r="C223" i="33" s="1"/>
  <c r="L334" i="33"/>
  <c r="E385" i="33"/>
  <c r="G16" i="34"/>
  <c r="G102" i="34"/>
  <c r="G166" i="34"/>
  <c r="P172" i="34"/>
  <c r="F30" i="43"/>
  <c r="D49" i="43"/>
  <c r="B53" i="43"/>
  <c r="C53" i="43" s="1"/>
  <c r="B67" i="43"/>
  <c r="C67" i="43" s="1"/>
  <c r="B119" i="43"/>
  <c r="D112" i="43"/>
  <c r="D125" i="43"/>
  <c r="D164" i="43"/>
  <c r="B171" i="43"/>
  <c r="C171" i="43" s="1"/>
  <c r="E281" i="35"/>
  <c r="G8" i="36"/>
  <c r="G16" i="36"/>
  <c r="AI118" i="36"/>
  <c r="AI126" i="36"/>
  <c r="AI152" i="36"/>
  <c r="AI190" i="36"/>
  <c r="J198" i="45"/>
  <c r="K198" i="45" s="1"/>
  <c r="J196" i="45"/>
  <c r="K196" i="45" s="1"/>
  <c r="D191" i="45"/>
  <c r="D192" i="45"/>
  <c r="D203" i="45"/>
  <c r="B313" i="45"/>
  <c r="L307" i="45"/>
  <c r="E308" i="45"/>
  <c r="D309" i="45"/>
  <c r="G8" i="46"/>
  <c r="G62" i="46"/>
  <c r="G88" i="46"/>
  <c r="L229" i="47"/>
  <c r="E229" i="47"/>
  <c r="J263" i="47"/>
  <c r="K263" i="47" s="1"/>
  <c r="L426" i="47"/>
  <c r="B431" i="47"/>
  <c r="C431" i="47" s="1"/>
  <c r="L424" i="47"/>
  <c r="D73" i="37"/>
  <c r="L99" i="37"/>
  <c r="D281" i="37"/>
  <c r="E321" i="37"/>
  <c r="J326" i="37"/>
  <c r="K326" i="37" s="1"/>
  <c r="B393" i="37"/>
  <c r="C393" i="37" s="1"/>
  <c r="P40" i="38"/>
  <c r="D164" i="39"/>
  <c r="D204" i="39"/>
  <c r="E335" i="39"/>
  <c r="B340" i="39"/>
  <c r="C340" i="39" s="1"/>
  <c r="AI118" i="40"/>
  <c r="AI126" i="40"/>
  <c r="AI182" i="40"/>
  <c r="J119" i="49"/>
  <c r="K119" i="49" s="1"/>
  <c r="L112" i="49"/>
  <c r="AI8" i="44"/>
  <c r="G24" i="44"/>
  <c r="P40" i="44"/>
  <c r="AI144" i="44"/>
  <c r="G182" i="44"/>
  <c r="G190" i="44"/>
  <c r="E191" i="35"/>
  <c r="D192" i="35"/>
  <c r="J352" i="35"/>
  <c r="K352" i="35" s="1"/>
  <c r="AI8" i="36"/>
  <c r="G102" i="36"/>
  <c r="F11" i="45"/>
  <c r="B22" i="45"/>
  <c r="C22" i="45" s="1"/>
  <c r="L140" i="45"/>
  <c r="G24" i="46"/>
  <c r="G102" i="46"/>
  <c r="P108" i="46"/>
  <c r="G166" i="46"/>
  <c r="B68" i="47"/>
  <c r="C68" i="47" s="1"/>
  <c r="AI16" i="48"/>
  <c r="AI38" i="48"/>
  <c r="G46" i="48"/>
  <c r="AI54" i="48"/>
  <c r="AI118" i="48"/>
  <c r="AI182" i="48"/>
  <c r="D256" i="37"/>
  <c r="AI102" i="38"/>
  <c r="P108" i="38"/>
  <c r="G126" i="38"/>
  <c r="G152" i="38"/>
  <c r="G160" i="38"/>
  <c r="P172" i="38"/>
  <c r="G16" i="40"/>
  <c r="G32" i="40"/>
  <c r="G38" i="40"/>
  <c r="AI38" i="40"/>
  <c r="P44" i="40"/>
  <c r="G54" i="40"/>
  <c r="G62" i="40"/>
  <c r="G96" i="40"/>
  <c r="P108" i="40"/>
  <c r="G110" i="40"/>
  <c r="G118" i="40"/>
  <c r="L398" i="49"/>
  <c r="L399" i="49"/>
  <c r="P44" i="50"/>
  <c r="G102" i="50"/>
  <c r="P108" i="50"/>
  <c r="G126" i="50"/>
  <c r="G136" i="50"/>
  <c r="G144" i="50"/>
  <c r="P168" i="50"/>
  <c r="AI174" i="50"/>
  <c r="AI80" i="50"/>
  <c r="AI88" i="50"/>
  <c r="AI126" i="50"/>
  <c r="AI144" i="50"/>
  <c r="D139" i="49"/>
  <c r="E294" i="49"/>
  <c r="B300" i="49"/>
  <c r="C300" i="49" s="1"/>
  <c r="E334" i="49"/>
  <c r="E361" i="49"/>
  <c r="AI32" i="50"/>
  <c r="D48" i="49"/>
  <c r="L47" i="49"/>
  <c r="E48" i="49"/>
  <c r="D49" i="49"/>
  <c r="J53" i="49"/>
  <c r="K53" i="49" s="1"/>
  <c r="L49" i="49"/>
  <c r="J55" i="49"/>
  <c r="K55" i="49" s="1"/>
  <c r="E33" i="49"/>
  <c r="J40" i="49"/>
  <c r="K40" i="49" s="1"/>
  <c r="D30" i="49"/>
  <c r="F33" i="49"/>
  <c r="B38" i="49"/>
  <c r="C38" i="49" s="1"/>
  <c r="B42" i="49"/>
  <c r="C42" i="49" s="1"/>
  <c r="B39" i="49"/>
  <c r="C39" i="49" s="1"/>
  <c r="D411" i="39"/>
  <c r="B418" i="39"/>
  <c r="C418" i="39" s="1"/>
  <c r="E412" i="39"/>
  <c r="D386" i="39"/>
  <c r="J393" i="39"/>
  <c r="K393" i="39" s="1"/>
  <c r="B392" i="39"/>
  <c r="C392" i="39" s="1"/>
  <c r="L385" i="39"/>
  <c r="L387" i="39"/>
  <c r="D385" i="39"/>
  <c r="J365" i="39"/>
  <c r="K365" i="39" s="1"/>
  <c r="E359" i="39"/>
  <c r="E361" i="39"/>
  <c r="B367" i="39"/>
  <c r="C367" i="39" s="1"/>
  <c r="L346" i="39"/>
  <c r="D348" i="39"/>
  <c r="J353" i="39"/>
  <c r="K353" i="39" s="1"/>
  <c r="E346" i="39"/>
  <c r="L347" i="39"/>
  <c r="L335" i="39"/>
  <c r="J340" i="39"/>
  <c r="K340" i="39" s="1"/>
  <c r="D334" i="39"/>
  <c r="B341" i="39"/>
  <c r="C341" i="39" s="1"/>
  <c r="L333" i="39"/>
  <c r="E334" i="39"/>
  <c r="D335" i="39"/>
  <c r="B339" i="39"/>
  <c r="C339" i="39" s="1"/>
  <c r="J341" i="39"/>
  <c r="K341" i="39" s="1"/>
  <c r="D307" i="39"/>
  <c r="E308" i="39"/>
  <c r="B313" i="39"/>
  <c r="C313" i="39" s="1"/>
  <c r="D309" i="39"/>
  <c r="J313" i="39"/>
  <c r="K313" i="39" s="1"/>
  <c r="E295" i="39"/>
  <c r="E296" i="39"/>
  <c r="B302" i="39"/>
  <c r="C302" i="39" s="1"/>
  <c r="J287" i="39"/>
  <c r="K287" i="39" s="1"/>
  <c r="J262" i="39"/>
  <c r="K262" i="39" s="1"/>
  <c r="L256" i="39"/>
  <c r="J263" i="39"/>
  <c r="K263" i="39" s="1"/>
  <c r="D255" i="39"/>
  <c r="B261" i="39"/>
  <c r="C261" i="39" s="1"/>
  <c r="J250" i="39"/>
  <c r="K250" i="39" s="1"/>
  <c r="E243" i="39"/>
  <c r="L242" i="39"/>
  <c r="L230" i="39"/>
  <c r="J236" i="39"/>
  <c r="K236" i="39" s="1"/>
  <c r="B222" i="39"/>
  <c r="C222" i="39" s="1"/>
  <c r="B223" i="39"/>
  <c r="C223" i="39" s="1"/>
  <c r="L203" i="39"/>
  <c r="D205" i="39"/>
  <c r="J210" i="39"/>
  <c r="K210" i="39" s="1"/>
  <c r="E203" i="39"/>
  <c r="L204" i="39"/>
  <c r="E191" i="39"/>
  <c r="B196" i="39"/>
  <c r="C196" i="39" s="1"/>
  <c r="B198" i="39"/>
  <c r="C198" i="39" s="1"/>
  <c r="B184" i="39"/>
  <c r="C184" i="39" s="1"/>
  <c r="E165" i="39"/>
  <c r="D125" i="39"/>
  <c r="B118" i="39"/>
  <c r="C118" i="39" s="1"/>
  <c r="D113" i="39"/>
  <c r="D114" i="39"/>
  <c r="L112" i="39"/>
  <c r="J105" i="39"/>
  <c r="K105" i="39" s="1"/>
  <c r="E99" i="39"/>
  <c r="B107" i="39"/>
  <c r="C107" i="39" s="1"/>
  <c r="E100" i="39"/>
  <c r="J107" i="39"/>
  <c r="K107" i="39" s="1"/>
  <c r="L88" i="39"/>
  <c r="E87" i="39"/>
  <c r="D86" i="39"/>
  <c r="D88" i="39"/>
  <c r="B92" i="39"/>
  <c r="C92" i="39" s="1"/>
  <c r="D87" i="39"/>
  <c r="J94" i="39"/>
  <c r="K94" i="39" s="1"/>
  <c r="E86" i="39"/>
  <c r="L87" i="39"/>
  <c r="E60" i="39"/>
  <c r="L62" i="39"/>
  <c r="B68" i="39"/>
  <c r="C68" i="39" s="1"/>
  <c r="D61" i="39"/>
  <c r="J68" i="39"/>
  <c r="K68" i="39" s="1"/>
  <c r="D62" i="39"/>
  <c r="E48" i="39"/>
  <c r="J54" i="39"/>
  <c r="K54" i="39" s="1"/>
  <c r="D48" i="39"/>
  <c r="F33" i="39"/>
  <c r="B37" i="39"/>
  <c r="C37" i="39" s="1"/>
  <c r="B42" i="39"/>
  <c r="C42" i="39" s="1"/>
  <c r="D31" i="39"/>
  <c r="J37" i="39"/>
  <c r="K37" i="39" s="1"/>
  <c r="J42" i="39"/>
  <c r="K42" i="39" s="1"/>
  <c r="D30" i="39"/>
  <c r="F31" i="39"/>
  <c r="B38" i="39"/>
  <c r="C38" i="39" s="1"/>
  <c r="J419" i="47"/>
  <c r="K419" i="47" s="1"/>
  <c r="D412" i="47"/>
  <c r="L411" i="47"/>
  <c r="E413" i="47"/>
  <c r="B417" i="47"/>
  <c r="C417" i="47" s="1"/>
  <c r="L413" i="47"/>
  <c r="E411" i="47"/>
  <c r="L412" i="47"/>
  <c r="L398" i="47"/>
  <c r="L399" i="47"/>
  <c r="B406" i="47"/>
  <c r="C406" i="47" s="1"/>
  <c r="E398" i="47"/>
  <c r="B404" i="47"/>
  <c r="C404" i="47" s="1"/>
  <c r="B366" i="47"/>
  <c r="C366" i="47" s="1"/>
  <c r="D360" i="47"/>
  <c r="L360" i="47"/>
  <c r="L361" i="47"/>
  <c r="E359" i="47"/>
  <c r="L334" i="47"/>
  <c r="E309" i="47"/>
  <c r="B315" i="47"/>
  <c r="C315" i="47" s="1"/>
  <c r="L308" i="47"/>
  <c r="D307" i="47"/>
  <c r="E307" i="47"/>
  <c r="B313" i="47"/>
  <c r="C313" i="47" s="1"/>
  <c r="D283" i="47"/>
  <c r="B289" i="47"/>
  <c r="E282" i="47"/>
  <c r="D281" i="47"/>
  <c r="L283" i="47"/>
  <c r="J289" i="47"/>
  <c r="K289" i="47" s="1"/>
  <c r="B288" i="47"/>
  <c r="C288" i="47" s="1"/>
  <c r="E281" i="47"/>
  <c r="E269" i="47"/>
  <c r="D255" i="47"/>
  <c r="L256" i="47"/>
  <c r="E257" i="47"/>
  <c r="B261" i="47"/>
  <c r="C261" i="47" s="1"/>
  <c r="E255" i="47"/>
  <c r="B262" i="47"/>
  <c r="C262" i="47" s="1"/>
  <c r="E256" i="47"/>
  <c r="L257" i="47"/>
  <c r="J262" i="47"/>
  <c r="K262" i="47" s="1"/>
  <c r="E243" i="47"/>
  <c r="E230" i="47"/>
  <c r="D231" i="47"/>
  <c r="B236" i="47"/>
  <c r="C236" i="47" s="1"/>
  <c r="J237" i="47"/>
  <c r="K237" i="47" s="1"/>
  <c r="D229" i="47"/>
  <c r="L231" i="47"/>
  <c r="J209" i="47"/>
  <c r="K209" i="47" s="1"/>
  <c r="L179" i="47"/>
  <c r="D177" i="47"/>
  <c r="E179" i="47"/>
  <c r="D153" i="47"/>
  <c r="J157" i="47"/>
  <c r="K157" i="47" s="1"/>
  <c r="E153" i="47"/>
  <c r="J158" i="47"/>
  <c r="K158" i="47" s="1"/>
  <c r="J159" i="47"/>
  <c r="K159" i="47" s="1"/>
  <c r="J131" i="47"/>
  <c r="K131" i="47" s="1"/>
  <c r="J105" i="47"/>
  <c r="K105" i="47" s="1"/>
  <c r="D100" i="47"/>
  <c r="E101" i="47"/>
  <c r="L99" i="47"/>
  <c r="D99" i="47"/>
  <c r="L87" i="47"/>
  <c r="J80" i="47"/>
  <c r="K80" i="47" s="1"/>
  <c r="D73" i="47"/>
  <c r="J81" i="47"/>
  <c r="K81" i="47" s="1"/>
  <c r="E60" i="47"/>
  <c r="D62" i="47"/>
  <c r="B67" i="47"/>
  <c r="C67" i="47" s="1"/>
  <c r="L49" i="47"/>
  <c r="J54" i="47"/>
  <c r="K54" i="47" s="1"/>
  <c r="D48" i="47"/>
  <c r="B55" i="47"/>
  <c r="C55" i="47" s="1"/>
  <c r="D47" i="47"/>
  <c r="L47" i="47"/>
  <c r="E48" i="47"/>
  <c r="E49" i="47"/>
  <c r="B53" i="47"/>
  <c r="C53" i="47" s="1"/>
  <c r="J55" i="47"/>
  <c r="K55" i="47" s="1"/>
  <c r="E32" i="47"/>
  <c r="J38" i="47"/>
  <c r="K38" i="47" s="1"/>
  <c r="J41" i="47"/>
  <c r="K41" i="47" s="1"/>
  <c r="D30" i="47"/>
  <c r="D31" i="47"/>
  <c r="D33" i="47"/>
  <c r="B39" i="47"/>
  <c r="C39" i="47" s="1"/>
  <c r="J42" i="47"/>
  <c r="K42" i="47" s="1"/>
  <c r="E30" i="47"/>
  <c r="E31" i="47"/>
  <c r="F33" i="47"/>
  <c r="B37" i="47"/>
  <c r="C37" i="47" s="1"/>
  <c r="J39" i="47"/>
  <c r="K39" i="47" s="1"/>
  <c r="F30" i="47"/>
  <c r="D32" i="47"/>
  <c r="J37" i="47"/>
  <c r="K37" i="47" s="1"/>
  <c r="B41" i="47"/>
  <c r="C41" i="47" s="1"/>
  <c r="B20" i="47"/>
  <c r="C20" i="47" s="1"/>
  <c r="G9" i="47"/>
  <c r="B16" i="47"/>
  <c r="C16" i="47" s="1"/>
  <c r="J20" i="47"/>
  <c r="K20" i="47" s="1"/>
  <c r="E8" i="47"/>
  <c r="D10" i="47"/>
  <c r="J16" i="47"/>
  <c r="K16" i="47" s="1"/>
  <c r="B24" i="47"/>
  <c r="C24" i="47" s="1"/>
  <c r="G8" i="47"/>
  <c r="E11" i="47"/>
  <c r="J18" i="47"/>
  <c r="K18" i="47" s="1"/>
  <c r="J24" i="47"/>
  <c r="K24" i="47" s="1"/>
  <c r="J417" i="37"/>
  <c r="K417" i="37" s="1"/>
  <c r="L399" i="37"/>
  <c r="D385" i="37"/>
  <c r="L385" i="37"/>
  <c r="E386" i="37"/>
  <c r="D387" i="37"/>
  <c r="E385" i="37"/>
  <c r="E387" i="37"/>
  <c r="B392" i="37"/>
  <c r="C392" i="37" s="1"/>
  <c r="J392" i="37"/>
  <c r="K392" i="37" s="1"/>
  <c r="L361" i="37"/>
  <c r="D359" i="37"/>
  <c r="D360" i="37"/>
  <c r="E361" i="37"/>
  <c r="B366" i="37"/>
  <c r="C366" i="37" s="1"/>
  <c r="B340" i="37"/>
  <c r="C340" i="37" s="1"/>
  <c r="D334" i="37"/>
  <c r="J340" i="37"/>
  <c r="K340" i="37" s="1"/>
  <c r="L333" i="37"/>
  <c r="D335" i="37"/>
  <c r="D308" i="37"/>
  <c r="E281" i="37"/>
  <c r="L283" i="37"/>
  <c r="B288" i="37"/>
  <c r="C288" i="37" s="1"/>
  <c r="E282" i="37"/>
  <c r="D283" i="37"/>
  <c r="B289" i="37"/>
  <c r="C289" i="37" s="1"/>
  <c r="E283" i="37"/>
  <c r="B287" i="37"/>
  <c r="C287" i="37" s="1"/>
  <c r="J289" i="37"/>
  <c r="K289" i="37" s="1"/>
  <c r="L255" i="37"/>
  <c r="E256" i="37"/>
  <c r="D257" i="37"/>
  <c r="B261" i="37"/>
  <c r="C261" i="37" s="1"/>
  <c r="D255" i="37"/>
  <c r="J262" i="37"/>
  <c r="K262" i="37" s="1"/>
  <c r="L257" i="37"/>
  <c r="L216" i="37"/>
  <c r="B222" i="37"/>
  <c r="C222" i="37" s="1"/>
  <c r="B223" i="37"/>
  <c r="C223" i="37" s="1"/>
  <c r="D205" i="37"/>
  <c r="E204" i="37"/>
  <c r="E191" i="37"/>
  <c r="D192" i="37"/>
  <c r="J197" i="37"/>
  <c r="K197" i="37" s="1"/>
  <c r="B196" i="37"/>
  <c r="C196" i="37" s="1"/>
  <c r="L190" i="37"/>
  <c r="L179" i="37"/>
  <c r="D178" i="37"/>
  <c r="B157" i="37"/>
  <c r="C157" i="37" s="1"/>
  <c r="E152" i="37"/>
  <c r="E153" i="37"/>
  <c r="B158" i="37"/>
  <c r="C158" i="37" s="1"/>
  <c r="D151" i="37"/>
  <c r="L151" i="37"/>
  <c r="E151" i="37"/>
  <c r="B159" i="37"/>
  <c r="C159" i="37" s="1"/>
  <c r="J118" i="37"/>
  <c r="K118" i="37" s="1"/>
  <c r="E99" i="37"/>
  <c r="L100" i="37"/>
  <c r="D100" i="37"/>
  <c r="L86" i="37"/>
  <c r="B92" i="37"/>
  <c r="C92" i="37" s="1"/>
  <c r="L75" i="37"/>
  <c r="D32" i="37"/>
  <c r="B37" i="37"/>
  <c r="C37" i="37" s="1"/>
  <c r="J41" i="37"/>
  <c r="K41" i="37" s="1"/>
  <c r="D412" i="45"/>
  <c r="B419" i="45"/>
  <c r="C419" i="45" s="1"/>
  <c r="L411" i="45"/>
  <c r="E412" i="45"/>
  <c r="B417" i="45"/>
  <c r="C417" i="45" s="1"/>
  <c r="B366" i="45"/>
  <c r="C366" i="45" s="1"/>
  <c r="L346" i="45"/>
  <c r="J352" i="45"/>
  <c r="K352" i="45" s="1"/>
  <c r="J340" i="45"/>
  <c r="K340" i="45" s="1"/>
  <c r="D334" i="45"/>
  <c r="D333" i="45"/>
  <c r="L333" i="45"/>
  <c r="E334" i="45"/>
  <c r="E335" i="45"/>
  <c r="J339" i="45"/>
  <c r="K339" i="45" s="1"/>
  <c r="B341" i="45"/>
  <c r="C341" i="45" s="1"/>
  <c r="L335" i="45"/>
  <c r="E333" i="45"/>
  <c r="E307" i="45"/>
  <c r="J314" i="45"/>
  <c r="L309" i="45"/>
  <c r="B315" i="45"/>
  <c r="C315" i="45" s="1"/>
  <c r="D308" i="45"/>
  <c r="E255" i="45"/>
  <c r="E256" i="45"/>
  <c r="D257" i="45"/>
  <c r="B262" i="45"/>
  <c r="C262" i="45" s="1"/>
  <c r="J263" i="45"/>
  <c r="K263" i="45" s="1"/>
  <c r="J248" i="45"/>
  <c r="K248" i="45" s="1"/>
  <c r="D229" i="45"/>
  <c r="L229" i="45"/>
  <c r="E230" i="45"/>
  <c r="D231" i="45"/>
  <c r="J235" i="45"/>
  <c r="K235" i="45" s="1"/>
  <c r="E229" i="45"/>
  <c r="B236" i="45"/>
  <c r="C236" i="45" s="1"/>
  <c r="L231" i="45"/>
  <c r="B237" i="45"/>
  <c r="C237" i="45" s="1"/>
  <c r="E217" i="45"/>
  <c r="B223" i="45"/>
  <c r="C223" i="45" s="1"/>
  <c r="L203" i="45"/>
  <c r="E204" i="45"/>
  <c r="J209" i="45"/>
  <c r="K209" i="45" s="1"/>
  <c r="L205" i="45"/>
  <c r="B211" i="45"/>
  <c r="C211" i="45" s="1"/>
  <c r="J211" i="45"/>
  <c r="K211" i="45" s="1"/>
  <c r="L190" i="45"/>
  <c r="B196" i="45"/>
  <c r="C196" i="45" s="1"/>
  <c r="J183" i="45"/>
  <c r="K183" i="45" s="1"/>
  <c r="E179" i="45"/>
  <c r="E164" i="45"/>
  <c r="J159" i="45"/>
  <c r="K159" i="45" s="1"/>
  <c r="L152" i="45"/>
  <c r="E153" i="45"/>
  <c r="E151" i="45"/>
  <c r="B157" i="45"/>
  <c r="C157" i="45" s="1"/>
  <c r="E138" i="45"/>
  <c r="D139" i="45"/>
  <c r="E126" i="45"/>
  <c r="L127" i="45"/>
  <c r="J107" i="45"/>
  <c r="K107" i="45" s="1"/>
  <c r="D100" i="45"/>
  <c r="J105" i="45"/>
  <c r="K105" i="45" s="1"/>
  <c r="L99" i="45"/>
  <c r="E100" i="45"/>
  <c r="B106" i="45"/>
  <c r="C106" i="45" s="1"/>
  <c r="D99" i="45"/>
  <c r="L101" i="45"/>
  <c r="B107" i="45"/>
  <c r="C107" i="45" s="1"/>
  <c r="E87" i="45"/>
  <c r="J18" i="45"/>
  <c r="K18" i="45" s="1"/>
  <c r="J25" i="45"/>
  <c r="K25" i="45" s="1"/>
  <c r="F8" i="45"/>
  <c r="D10" i="45"/>
  <c r="E12" i="45"/>
  <c r="B16" i="45"/>
  <c r="C16" i="45" s="1"/>
  <c r="B19" i="45"/>
  <c r="C19" i="45" s="1"/>
  <c r="J23" i="45"/>
  <c r="K23" i="45" s="1"/>
  <c r="F10" i="45"/>
  <c r="F12" i="45"/>
  <c r="B17" i="45"/>
  <c r="C17" i="45" s="1"/>
  <c r="J20" i="45"/>
  <c r="K20" i="45" s="1"/>
  <c r="B24" i="45"/>
  <c r="C24" i="45" s="1"/>
  <c r="D411" i="35"/>
  <c r="E411" i="35"/>
  <c r="B417" i="35"/>
  <c r="C417" i="35" s="1"/>
  <c r="E413" i="35"/>
  <c r="J417" i="35"/>
  <c r="K417" i="35" s="1"/>
  <c r="L412" i="35"/>
  <c r="J404" i="35"/>
  <c r="K404" i="35" s="1"/>
  <c r="B406" i="35"/>
  <c r="C406" i="35" s="1"/>
  <c r="E386" i="35"/>
  <c r="D387" i="35"/>
  <c r="J392" i="35"/>
  <c r="K392" i="35" s="1"/>
  <c r="D385" i="35"/>
  <c r="L385" i="35"/>
  <c r="B393" i="35"/>
  <c r="C393" i="35" s="1"/>
  <c r="E385" i="35"/>
  <c r="L387" i="35"/>
  <c r="D359" i="35"/>
  <c r="B366" i="35"/>
  <c r="C366" i="35" s="1"/>
  <c r="E359" i="35"/>
  <c r="B367" i="35"/>
  <c r="C367" i="35" s="1"/>
  <c r="E347" i="35"/>
  <c r="B352" i="35"/>
  <c r="C352" i="35" s="1"/>
  <c r="B354" i="35"/>
  <c r="C354" i="35" s="1"/>
  <c r="E333" i="35"/>
  <c r="B339" i="35"/>
  <c r="C339" i="35" s="1"/>
  <c r="D335" i="35"/>
  <c r="J340" i="35"/>
  <c r="K340" i="35" s="1"/>
  <c r="B341" i="35"/>
  <c r="C341" i="35" s="1"/>
  <c r="B327" i="35"/>
  <c r="C327" i="35" s="1"/>
  <c r="E308" i="35"/>
  <c r="B313" i="35"/>
  <c r="C313" i="35" s="1"/>
  <c r="E309" i="35"/>
  <c r="J313" i="35"/>
  <c r="K313" i="35" s="1"/>
  <c r="D307" i="35"/>
  <c r="L308" i="35"/>
  <c r="B314" i="35"/>
  <c r="C314" i="35" s="1"/>
  <c r="J315" i="35"/>
  <c r="K315" i="35" s="1"/>
  <c r="E307" i="35"/>
  <c r="B315" i="35"/>
  <c r="C315" i="35" s="1"/>
  <c r="E294" i="35"/>
  <c r="L295" i="35"/>
  <c r="E296" i="35"/>
  <c r="J300" i="35"/>
  <c r="K300" i="35" s="1"/>
  <c r="J301" i="35"/>
  <c r="K301" i="35" s="1"/>
  <c r="E295" i="35"/>
  <c r="B302" i="35"/>
  <c r="C302" i="35" s="1"/>
  <c r="B289" i="35"/>
  <c r="C289" i="35" s="1"/>
  <c r="L269" i="35"/>
  <c r="B274" i="35"/>
  <c r="C274" i="35" s="1"/>
  <c r="B237" i="35"/>
  <c r="C237" i="35" s="1"/>
  <c r="B223" i="35"/>
  <c r="C223" i="35" s="1"/>
  <c r="B224" i="35"/>
  <c r="C224" i="35" s="1"/>
  <c r="B209" i="35"/>
  <c r="C209" i="35" s="1"/>
  <c r="E205" i="35"/>
  <c r="J211" i="35"/>
  <c r="K211" i="35" s="1"/>
  <c r="L190" i="35"/>
  <c r="B197" i="35"/>
  <c r="C197" i="35" s="1"/>
  <c r="L192" i="35"/>
  <c r="J197" i="35"/>
  <c r="K197" i="35" s="1"/>
  <c r="E178" i="35"/>
  <c r="J157" i="35"/>
  <c r="K157" i="35" s="1"/>
  <c r="D152" i="35"/>
  <c r="J158" i="35"/>
  <c r="K158" i="35" s="1"/>
  <c r="J118" i="35"/>
  <c r="K118" i="35" s="1"/>
  <c r="B107" i="35"/>
  <c r="C107" i="35" s="1"/>
  <c r="D100" i="35"/>
  <c r="D74" i="35"/>
  <c r="J80" i="35"/>
  <c r="K80" i="35" s="1"/>
  <c r="D75" i="35"/>
  <c r="D73" i="35"/>
  <c r="L74" i="35"/>
  <c r="J66" i="35"/>
  <c r="K66" i="35" s="1"/>
  <c r="D49" i="35"/>
  <c r="B54" i="35"/>
  <c r="C54" i="35" s="1"/>
  <c r="L47" i="35"/>
  <c r="J54" i="35"/>
  <c r="K54" i="35" s="1"/>
  <c r="D32" i="35"/>
  <c r="J39" i="35"/>
  <c r="K39" i="35" s="1"/>
  <c r="E32" i="35"/>
  <c r="B40" i="35"/>
  <c r="C40" i="35" s="1"/>
  <c r="J42" i="35"/>
  <c r="K42" i="35" s="1"/>
  <c r="E30" i="35"/>
  <c r="E31" i="35"/>
  <c r="F33" i="35"/>
  <c r="J37" i="35"/>
  <c r="K37" i="35" s="1"/>
  <c r="B41" i="35"/>
  <c r="C41" i="35" s="1"/>
  <c r="D411" i="43"/>
  <c r="D412" i="43"/>
  <c r="E398" i="43"/>
  <c r="B404" i="43"/>
  <c r="C404" i="43" s="1"/>
  <c r="E399" i="43"/>
  <c r="J405" i="43"/>
  <c r="K405" i="43" s="1"/>
  <c r="J406" i="43"/>
  <c r="K406" i="43" s="1"/>
  <c r="J391" i="43"/>
  <c r="K391" i="43" s="1"/>
  <c r="D386" i="43"/>
  <c r="D387" i="43"/>
  <c r="B392" i="43"/>
  <c r="C392" i="43" s="1"/>
  <c r="L385" i="43"/>
  <c r="B393" i="43"/>
  <c r="C393" i="43" s="1"/>
  <c r="J378" i="43"/>
  <c r="K378" i="43" s="1"/>
  <c r="B379" i="43"/>
  <c r="C379" i="43" s="1"/>
  <c r="E360" i="43"/>
  <c r="E361" i="43"/>
  <c r="J365" i="43"/>
  <c r="K365" i="43" s="1"/>
  <c r="B367" i="43"/>
  <c r="C367" i="43" s="1"/>
  <c r="E348" i="43"/>
  <c r="B354" i="43"/>
  <c r="C354" i="43" s="1"/>
  <c r="L347" i="43"/>
  <c r="J354" i="43"/>
  <c r="K354" i="43" s="1"/>
  <c r="E347" i="43"/>
  <c r="J352" i="43"/>
  <c r="K352" i="43" s="1"/>
  <c r="E346" i="43"/>
  <c r="L335" i="43"/>
  <c r="D334" i="43"/>
  <c r="J341" i="43"/>
  <c r="K341" i="43" s="1"/>
  <c r="L333" i="43"/>
  <c r="E334" i="43"/>
  <c r="D335" i="43"/>
  <c r="B339" i="43"/>
  <c r="C339" i="43" s="1"/>
  <c r="J340" i="43"/>
  <c r="K340" i="43" s="1"/>
  <c r="E333" i="43"/>
  <c r="B340" i="43"/>
  <c r="C340" i="43" s="1"/>
  <c r="J328" i="43"/>
  <c r="K328" i="43" s="1"/>
  <c r="E321" i="43"/>
  <c r="B315" i="43"/>
  <c r="C315" i="43" s="1"/>
  <c r="E308" i="43"/>
  <c r="E309" i="43"/>
  <c r="D296" i="43"/>
  <c r="L294" i="43"/>
  <c r="D282" i="43"/>
  <c r="D283" i="43"/>
  <c r="J287" i="43"/>
  <c r="K287" i="43" s="1"/>
  <c r="B288" i="43"/>
  <c r="C288" i="43" s="1"/>
  <c r="L283" i="43"/>
  <c r="B289" i="43"/>
  <c r="C289" i="43" s="1"/>
  <c r="J276" i="43"/>
  <c r="K276" i="43" s="1"/>
  <c r="L256" i="43"/>
  <c r="E257" i="43"/>
  <c r="J261" i="43"/>
  <c r="K261" i="43" s="1"/>
  <c r="D255" i="43"/>
  <c r="B262" i="43"/>
  <c r="C262" i="43" s="1"/>
  <c r="E255" i="43"/>
  <c r="B263" i="43"/>
  <c r="C263" i="43" s="1"/>
  <c r="D257" i="43"/>
  <c r="B261" i="43"/>
  <c r="C261" i="43" s="1"/>
  <c r="J263" i="43"/>
  <c r="K263" i="43" s="1"/>
  <c r="D242" i="43"/>
  <c r="B248" i="43"/>
  <c r="C248" i="43" s="1"/>
  <c r="B185" i="43"/>
  <c r="C185" i="43" s="1"/>
  <c r="B183" i="43"/>
  <c r="C183" i="43" s="1"/>
  <c r="E164" i="43"/>
  <c r="B172" i="43"/>
  <c r="C172" i="43" s="1"/>
  <c r="D165" i="43"/>
  <c r="J170" i="43"/>
  <c r="K170" i="43" s="1"/>
  <c r="D152" i="43"/>
  <c r="J157" i="43"/>
  <c r="K157" i="43" s="1"/>
  <c r="E112" i="43"/>
  <c r="J118" i="43"/>
  <c r="D113" i="43"/>
  <c r="D114" i="43"/>
  <c r="J119" i="43"/>
  <c r="K119" i="43" s="1"/>
  <c r="B107" i="43"/>
  <c r="C107" i="43" s="1"/>
  <c r="D100" i="43"/>
  <c r="L74" i="43"/>
  <c r="J80" i="43"/>
  <c r="K80" i="43" s="1"/>
  <c r="E73" i="43"/>
  <c r="L75" i="43"/>
  <c r="E74" i="43"/>
  <c r="E60" i="43"/>
  <c r="E47" i="43"/>
  <c r="B54" i="43"/>
  <c r="C54" i="43" s="1"/>
  <c r="E48" i="43"/>
  <c r="L49" i="43"/>
  <c r="J54" i="43"/>
  <c r="K54" i="43" s="1"/>
  <c r="E33" i="43"/>
  <c r="J37" i="43"/>
  <c r="K37" i="43" s="1"/>
  <c r="B41" i="43"/>
  <c r="C41" i="43" s="1"/>
  <c r="D31" i="43"/>
  <c r="J38" i="43"/>
  <c r="K38" i="43" s="1"/>
  <c r="J41" i="43"/>
  <c r="K41" i="43" s="1"/>
  <c r="D32" i="43"/>
  <c r="B39" i="43"/>
  <c r="C39" i="43" s="1"/>
  <c r="B42" i="43"/>
  <c r="C42" i="43" s="1"/>
  <c r="E412" i="33"/>
  <c r="L411" i="33"/>
  <c r="D411" i="33"/>
  <c r="L399" i="33"/>
  <c r="D386" i="33"/>
  <c r="D387" i="33"/>
  <c r="B393" i="33"/>
  <c r="C393" i="33" s="1"/>
  <c r="J378" i="33"/>
  <c r="K378" i="33" s="1"/>
  <c r="J380" i="33"/>
  <c r="K380" i="33" s="1"/>
  <c r="E373" i="33"/>
  <c r="E359" i="33"/>
  <c r="D360" i="33"/>
  <c r="E361" i="33"/>
  <c r="B365" i="33"/>
  <c r="C365" i="33" s="1"/>
  <c r="B366" i="33"/>
  <c r="C366" i="33" s="1"/>
  <c r="L347" i="33"/>
  <c r="E334" i="33"/>
  <c r="B341" i="33"/>
  <c r="C341" i="33" s="1"/>
  <c r="E335" i="33"/>
  <c r="E321" i="33"/>
  <c r="D309" i="33"/>
  <c r="D308" i="33"/>
  <c r="J315" i="33"/>
  <c r="K315" i="33" s="1"/>
  <c r="D307" i="33"/>
  <c r="L307" i="33"/>
  <c r="E308" i="33"/>
  <c r="J313" i="33"/>
  <c r="K313" i="33" s="1"/>
  <c r="E307" i="33"/>
  <c r="B314" i="33"/>
  <c r="C314" i="33" s="1"/>
  <c r="L309" i="33"/>
  <c r="J314" i="33"/>
  <c r="K314" i="33" s="1"/>
  <c r="J288" i="33"/>
  <c r="K288" i="33" s="1"/>
  <c r="D268" i="33"/>
  <c r="L268" i="33"/>
  <c r="D270" i="33"/>
  <c r="B274" i="33"/>
  <c r="C274" i="33" s="1"/>
  <c r="J276" i="33"/>
  <c r="K276" i="33" s="1"/>
  <c r="E268" i="33"/>
  <c r="L269" i="33"/>
  <c r="E270" i="33"/>
  <c r="J274" i="33"/>
  <c r="K274" i="33" s="1"/>
  <c r="J275" i="33"/>
  <c r="K275" i="33" s="1"/>
  <c r="E269" i="33"/>
  <c r="B276" i="33"/>
  <c r="C276" i="33" s="1"/>
  <c r="E256" i="33"/>
  <c r="L255" i="33"/>
  <c r="D255" i="33"/>
  <c r="J249" i="33"/>
  <c r="K249" i="33" s="1"/>
  <c r="J237" i="33"/>
  <c r="K237" i="33" s="1"/>
  <c r="L230" i="33"/>
  <c r="E231" i="33"/>
  <c r="E229" i="33"/>
  <c r="B236" i="33"/>
  <c r="C236" i="33" s="1"/>
  <c r="B222" i="33"/>
  <c r="C222" i="33" s="1"/>
  <c r="D204" i="33"/>
  <c r="D205" i="33"/>
  <c r="B209" i="33"/>
  <c r="C209" i="33" s="1"/>
  <c r="L203" i="33"/>
  <c r="B210" i="33"/>
  <c r="C210" i="33" s="1"/>
  <c r="E190" i="33"/>
  <c r="J197" i="33"/>
  <c r="K197" i="33" s="1"/>
  <c r="D191" i="33"/>
  <c r="D192" i="33"/>
  <c r="J198" i="33"/>
  <c r="K198" i="33" s="1"/>
  <c r="D179" i="33"/>
  <c r="L177" i="33"/>
  <c r="B145" i="33"/>
  <c r="C145" i="33" s="1"/>
  <c r="D138" i="33"/>
  <c r="L138" i="33"/>
  <c r="E139" i="33"/>
  <c r="D140" i="33"/>
  <c r="B146" i="33"/>
  <c r="C146" i="33" s="1"/>
  <c r="J120" i="33"/>
  <c r="K120" i="33" s="1"/>
  <c r="E99" i="33"/>
  <c r="E101" i="33"/>
  <c r="J93" i="33"/>
  <c r="K93" i="33" s="1"/>
  <c r="E86" i="33"/>
  <c r="D87" i="33"/>
  <c r="D88" i="33"/>
  <c r="J92" i="33"/>
  <c r="K92" i="33" s="1"/>
  <c r="J94" i="33"/>
  <c r="K94" i="33" s="1"/>
  <c r="D32" i="33"/>
  <c r="B37" i="33"/>
  <c r="C37" i="33" s="1"/>
  <c r="B38" i="33"/>
  <c r="C38" i="33" s="1"/>
  <c r="B39" i="33"/>
  <c r="C39" i="33" s="1"/>
  <c r="B21" i="37"/>
  <c r="C21" i="37" s="1"/>
  <c r="B23" i="37"/>
  <c r="C23" i="37" s="1"/>
  <c r="G11" i="35"/>
  <c r="AI8" i="50"/>
  <c r="AI24" i="50"/>
  <c r="AI54" i="50"/>
  <c r="AI62" i="50"/>
  <c r="AI96" i="50"/>
  <c r="G182" i="50"/>
  <c r="P172" i="50"/>
  <c r="G118" i="50"/>
  <c r="G62" i="50"/>
  <c r="G32" i="50"/>
  <c r="G24" i="50"/>
  <c r="AI24" i="40"/>
  <c r="AI32" i="40"/>
  <c r="AI62" i="40"/>
  <c r="G126" i="40"/>
  <c r="G72" i="40"/>
  <c r="AI96" i="40"/>
  <c r="AI144" i="40"/>
  <c r="AI152" i="40"/>
  <c r="AI160" i="40"/>
  <c r="AI190" i="40"/>
  <c r="G144" i="40"/>
  <c r="P172" i="40"/>
  <c r="AI96" i="48"/>
  <c r="P104" i="48"/>
  <c r="G174" i="48"/>
  <c r="G190" i="48"/>
  <c r="G182" i="48"/>
  <c r="G152" i="48"/>
  <c r="G144" i="48"/>
  <c r="G136" i="48"/>
  <c r="G96" i="48"/>
  <c r="G54" i="48"/>
  <c r="P44" i="48"/>
  <c r="G32" i="48"/>
  <c r="G16" i="48"/>
  <c r="AI32" i="38"/>
  <c r="AI62" i="38"/>
  <c r="AI110" i="38"/>
  <c r="AI126" i="38"/>
  <c r="AI182" i="38"/>
  <c r="AI190" i="38"/>
  <c r="G190" i="38"/>
  <c r="G166" i="38"/>
  <c r="G144" i="38"/>
  <c r="G136" i="38"/>
  <c r="G118" i="38"/>
  <c r="G80" i="38"/>
  <c r="G54" i="38"/>
  <c r="G32" i="38"/>
  <c r="AI190" i="46"/>
  <c r="AI62" i="46"/>
  <c r="AI32" i="46"/>
  <c r="G190" i="46"/>
  <c r="G182" i="46"/>
  <c r="P172" i="46"/>
  <c r="G144" i="46"/>
  <c r="G126" i="46"/>
  <c r="G32" i="46"/>
  <c r="G16" i="46"/>
  <c r="AI160" i="36"/>
  <c r="AI24" i="36"/>
  <c r="G182" i="36"/>
  <c r="G126" i="36"/>
  <c r="P104" i="36"/>
  <c r="G80" i="36"/>
  <c r="AI190" i="44"/>
  <c r="AI182" i="44"/>
  <c r="AI32" i="44"/>
  <c r="G144" i="44"/>
  <c r="G126" i="44"/>
  <c r="G102" i="44"/>
  <c r="G62" i="44"/>
  <c r="G16" i="44"/>
  <c r="G10" i="33"/>
  <c r="G126" i="34"/>
  <c r="G118" i="34"/>
  <c r="AI96" i="34"/>
  <c r="AI88" i="34"/>
  <c r="AI62" i="34"/>
  <c r="AI54" i="34"/>
  <c r="AI46" i="34"/>
  <c r="AI24" i="34"/>
  <c r="G32" i="34"/>
  <c r="G24" i="34"/>
  <c r="L179" i="33"/>
  <c r="L256" i="33"/>
  <c r="J261" i="33"/>
  <c r="K261" i="33" s="1"/>
  <c r="L281" i="33"/>
  <c r="B288" i="33"/>
  <c r="C288" i="33" s="1"/>
  <c r="L321" i="33"/>
  <c r="J327" i="33"/>
  <c r="K327" i="33" s="1"/>
  <c r="D9" i="33"/>
  <c r="E30" i="33"/>
  <c r="E60" i="33"/>
  <c r="D86" i="33"/>
  <c r="M86" i="33" s="1"/>
  <c r="E87" i="33"/>
  <c r="L88" i="33"/>
  <c r="B94" i="33"/>
  <c r="C94" i="33" s="1"/>
  <c r="L99" i="33"/>
  <c r="J118" i="33"/>
  <c r="K118" i="33" s="1"/>
  <c r="L139" i="33"/>
  <c r="B171" i="33"/>
  <c r="C171" i="33" s="1"/>
  <c r="D178" i="33"/>
  <c r="L190" i="33"/>
  <c r="B198" i="33"/>
  <c r="C198" i="33" s="1"/>
  <c r="J211" i="33"/>
  <c r="K211" i="33" s="1"/>
  <c r="E218" i="33"/>
  <c r="J224" i="33"/>
  <c r="K224" i="33" s="1"/>
  <c r="B235" i="33"/>
  <c r="C235" i="33" s="1"/>
  <c r="B262" i="33"/>
  <c r="C262" i="33" s="1"/>
  <c r="B275" i="33"/>
  <c r="C275" i="33" s="1"/>
  <c r="D283" i="33"/>
  <c r="E320" i="33"/>
  <c r="B340" i="33"/>
  <c r="C340" i="33" s="1"/>
  <c r="F33" i="33"/>
  <c r="B40" i="33"/>
  <c r="C40" i="33" s="1"/>
  <c r="E178" i="33"/>
  <c r="B184" i="33"/>
  <c r="C184" i="33" s="1"/>
  <c r="J262" i="33"/>
  <c r="K262" i="33" s="1"/>
  <c r="E283" i="33"/>
  <c r="L322" i="33"/>
  <c r="B328" i="33"/>
  <c r="C328" i="33" s="1"/>
  <c r="D322" i="33"/>
  <c r="L320" i="33"/>
  <c r="J326" i="33"/>
  <c r="K326" i="33" s="1"/>
  <c r="D320" i="33"/>
  <c r="J40" i="33"/>
  <c r="K40" i="33" s="1"/>
  <c r="L87" i="33"/>
  <c r="B92" i="33"/>
  <c r="C92" i="33" s="1"/>
  <c r="B105" i="33"/>
  <c r="C105" i="33" s="1"/>
  <c r="D165" i="33"/>
  <c r="E204" i="33"/>
  <c r="D216" i="33"/>
  <c r="E217" i="33"/>
  <c r="D229" i="33"/>
  <c r="J235" i="33"/>
  <c r="K235" i="33" s="1"/>
  <c r="D257" i="33"/>
  <c r="M257" i="33" s="1"/>
  <c r="B263" i="33"/>
  <c r="C263" i="33" s="1"/>
  <c r="M140" i="33"/>
  <c r="J263" i="33"/>
  <c r="K263" i="33" s="1"/>
  <c r="E282" i="33"/>
  <c r="L333" i="33"/>
  <c r="B339" i="33"/>
  <c r="C339" i="33" s="1"/>
  <c r="J340" i="33"/>
  <c r="K340" i="33" s="1"/>
  <c r="E333" i="33"/>
  <c r="J21" i="33"/>
  <c r="K21" i="33" s="1"/>
  <c r="E32" i="33"/>
  <c r="J42" i="33"/>
  <c r="K42" i="33" s="1"/>
  <c r="D99" i="33"/>
  <c r="L100" i="33"/>
  <c r="D190" i="33"/>
  <c r="E191" i="33"/>
  <c r="B196" i="33"/>
  <c r="C196" i="33" s="1"/>
  <c r="L204" i="33"/>
  <c r="J209" i="33"/>
  <c r="K209" i="33" s="1"/>
  <c r="L217" i="33"/>
  <c r="J222" i="33"/>
  <c r="K222" i="33" s="1"/>
  <c r="D231" i="33"/>
  <c r="D256" i="33"/>
  <c r="L257" i="33"/>
  <c r="B287" i="33"/>
  <c r="C287" i="33" s="1"/>
  <c r="B326" i="33"/>
  <c r="C326" i="33" s="1"/>
  <c r="D335" i="33"/>
  <c r="J22" i="33"/>
  <c r="K22" i="33" s="1"/>
  <c r="L114" i="33"/>
  <c r="M138" i="33"/>
  <c r="L191" i="33"/>
  <c r="J196" i="33"/>
  <c r="K196" i="33" s="1"/>
  <c r="J210" i="33"/>
  <c r="K210" i="33" s="1"/>
  <c r="J223" i="33"/>
  <c r="E255" i="33"/>
  <c r="B261" i="33"/>
  <c r="C261" i="33" s="1"/>
  <c r="E281" i="33"/>
  <c r="B289" i="33"/>
  <c r="C289" i="33" s="1"/>
  <c r="L308" i="33"/>
  <c r="B313" i="33"/>
  <c r="D359" i="33"/>
  <c r="E360" i="33"/>
  <c r="D385" i="33"/>
  <c r="E386" i="33"/>
  <c r="L387" i="33"/>
  <c r="E413" i="33"/>
  <c r="J419" i="33"/>
  <c r="K419" i="33" s="1"/>
  <c r="E425" i="33"/>
  <c r="G62" i="34"/>
  <c r="G144" i="34"/>
  <c r="E32" i="43"/>
  <c r="B40" i="43"/>
  <c r="C40" i="43" s="1"/>
  <c r="J42" i="43"/>
  <c r="K42" i="43" s="1"/>
  <c r="D48" i="43"/>
  <c r="L60" i="43"/>
  <c r="J66" i="43"/>
  <c r="K66" i="43" s="1"/>
  <c r="D75" i="43"/>
  <c r="B81" i="43"/>
  <c r="C81" i="43" s="1"/>
  <c r="J92" i="43"/>
  <c r="K92" i="43" s="1"/>
  <c r="J107" i="43"/>
  <c r="K107" i="43" s="1"/>
  <c r="E114" i="43"/>
  <c r="B120" i="43"/>
  <c r="C120" i="43" s="1"/>
  <c r="E127" i="43"/>
  <c r="E138" i="43"/>
  <c r="J159" i="43"/>
  <c r="K159" i="43" s="1"/>
  <c r="E166" i="43"/>
  <c r="J171" i="43"/>
  <c r="K171" i="43" s="1"/>
  <c r="E179" i="43"/>
  <c r="E191" i="43"/>
  <c r="L204" i="43"/>
  <c r="B210" i="43"/>
  <c r="C210" i="43" s="1"/>
  <c r="D217" i="43"/>
  <c r="B224" i="43"/>
  <c r="C224" i="43" s="1"/>
  <c r="D230" i="43"/>
  <c r="L231" i="43"/>
  <c r="J237" i="43"/>
  <c r="K237" i="43" s="1"/>
  <c r="E244" i="43"/>
  <c r="J250" i="43"/>
  <c r="K250" i="43" s="1"/>
  <c r="E256" i="43"/>
  <c r="E268" i="43"/>
  <c r="L281" i="43"/>
  <c r="E294" i="43"/>
  <c r="L295" i="43"/>
  <c r="J300" i="43"/>
  <c r="K300" i="43" s="1"/>
  <c r="E307" i="43"/>
  <c r="B314" i="43"/>
  <c r="C314" i="43" s="1"/>
  <c r="B327" i="43"/>
  <c r="C327" i="43" s="1"/>
  <c r="B341" i="43"/>
  <c r="C341" i="43" s="1"/>
  <c r="L346" i="43"/>
  <c r="D348" i="43"/>
  <c r="J353" i="43"/>
  <c r="K353" i="43" s="1"/>
  <c r="L386" i="43"/>
  <c r="B391" i="43"/>
  <c r="C391" i="43" s="1"/>
  <c r="J404" i="43"/>
  <c r="K404" i="43" s="1"/>
  <c r="J419" i="43"/>
  <c r="K419" i="43" s="1"/>
  <c r="P44" i="44"/>
  <c r="L87" i="43"/>
  <c r="J93" i="43"/>
  <c r="K93" i="43" s="1"/>
  <c r="D140" i="43"/>
  <c r="D190" i="43"/>
  <c r="B196" i="43"/>
  <c r="C196" i="43" s="1"/>
  <c r="D203" i="43"/>
  <c r="J210" i="43"/>
  <c r="K210" i="43" s="1"/>
  <c r="E230" i="43"/>
  <c r="B301" i="43"/>
  <c r="C301" i="43" s="1"/>
  <c r="J314" i="43"/>
  <c r="K314" i="43" s="1"/>
  <c r="E413" i="43"/>
  <c r="L360" i="33"/>
  <c r="J365" i="33"/>
  <c r="K365" i="33" s="1"/>
  <c r="L386" i="33"/>
  <c r="B391" i="33"/>
  <c r="C391" i="33" s="1"/>
  <c r="D412" i="33"/>
  <c r="L413" i="33"/>
  <c r="G46" i="34"/>
  <c r="G54" i="34"/>
  <c r="P108" i="34"/>
  <c r="G182" i="34"/>
  <c r="E30" i="43"/>
  <c r="E31" i="43"/>
  <c r="B37" i="43"/>
  <c r="C37" i="43" s="1"/>
  <c r="J40" i="43"/>
  <c r="K40" i="43" s="1"/>
  <c r="D47" i="43"/>
  <c r="J55" i="43"/>
  <c r="K55" i="43" s="1"/>
  <c r="J67" i="43"/>
  <c r="K67" i="43" s="1"/>
  <c r="D74" i="43"/>
  <c r="E86" i="43"/>
  <c r="B94" i="43"/>
  <c r="C94" i="43" s="1"/>
  <c r="L101" i="43"/>
  <c r="E113" i="43"/>
  <c r="L114" i="43"/>
  <c r="E126" i="43"/>
  <c r="L153" i="43"/>
  <c r="L166" i="43"/>
  <c r="J172" i="43"/>
  <c r="K172" i="43" s="1"/>
  <c r="E178" i="43"/>
  <c r="E190" i="43"/>
  <c r="L191" i="43"/>
  <c r="J196" i="43"/>
  <c r="K196" i="43" s="1"/>
  <c r="E203" i="43"/>
  <c r="J211" i="43"/>
  <c r="K211" i="43" s="1"/>
  <c r="E229" i="43"/>
  <c r="E243" i="43"/>
  <c r="B275" i="43"/>
  <c r="C275" i="43" s="1"/>
  <c r="J288" i="43"/>
  <c r="K288" i="43" s="1"/>
  <c r="D309" i="43"/>
  <c r="B406" i="43"/>
  <c r="C406" i="43" s="1"/>
  <c r="AI62" i="44"/>
  <c r="L244" i="35"/>
  <c r="B248" i="35"/>
  <c r="C248" i="35" s="1"/>
  <c r="L243" i="35"/>
  <c r="E242" i="35"/>
  <c r="D242" i="35"/>
  <c r="E243" i="35"/>
  <c r="J250" i="35"/>
  <c r="K250" i="35" s="1"/>
  <c r="B250" i="35"/>
  <c r="C250" i="35" s="1"/>
  <c r="E244" i="35"/>
  <c r="J249" i="35"/>
  <c r="K249" i="35" s="1"/>
  <c r="D244" i="35"/>
  <c r="M244" i="35" s="1"/>
  <c r="L242" i="35"/>
  <c r="B249" i="35"/>
  <c r="C249" i="35" s="1"/>
  <c r="P44" i="34"/>
  <c r="AI166" i="34"/>
  <c r="J94" i="43"/>
  <c r="K94" i="43" s="1"/>
  <c r="B197" i="43"/>
  <c r="C197" i="43" s="1"/>
  <c r="E205" i="43"/>
  <c r="L230" i="43"/>
  <c r="B235" i="43"/>
  <c r="C235" i="43" s="1"/>
  <c r="J248" i="35"/>
  <c r="K248" i="35" s="1"/>
  <c r="E309" i="33"/>
  <c r="L359" i="33"/>
  <c r="B367" i="33"/>
  <c r="C367" i="33" s="1"/>
  <c r="B379" i="33"/>
  <c r="C379" i="33" s="1"/>
  <c r="L385" i="33"/>
  <c r="J392" i="33"/>
  <c r="K392" i="33" s="1"/>
  <c r="E411" i="33"/>
  <c r="B417" i="33"/>
  <c r="C417" i="33" s="1"/>
  <c r="AI38" i="34"/>
  <c r="B38" i="43"/>
  <c r="C38" i="43" s="1"/>
  <c r="J53" i="43"/>
  <c r="D73" i="43"/>
  <c r="D88" i="43"/>
  <c r="E100" i="43"/>
  <c r="B105" i="43"/>
  <c r="C105" i="43" s="1"/>
  <c r="L113" i="43"/>
  <c r="B118" i="43"/>
  <c r="C118" i="43" s="1"/>
  <c r="E125" i="43"/>
  <c r="L126" i="43"/>
  <c r="B132" i="43"/>
  <c r="C132" i="43" s="1"/>
  <c r="J145" i="43"/>
  <c r="K145" i="43" s="1"/>
  <c r="E152" i="43"/>
  <c r="B157" i="43"/>
  <c r="C157" i="43" s="1"/>
  <c r="L165" i="43"/>
  <c r="D177" i="43"/>
  <c r="L178" i="43"/>
  <c r="B184" i="43"/>
  <c r="C184" i="43" s="1"/>
  <c r="J197" i="43"/>
  <c r="K197" i="43" s="1"/>
  <c r="J235" i="43"/>
  <c r="K235" i="43" s="1"/>
  <c r="E242" i="43"/>
  <c r="L243" i="43"/>
  <c r="J248" i="43"/>
  <c r="K248" i="43" s="1"/>
  <c r="J262" i="43"/>
  <c r="K262" i="43" s="1"/>
  <c r="E282" i="43"/>
  <c r="J289" i="43"/>
  <c r="K289" i="43" s="1"/>
  <c r="E296" i="43"/>
  <c r="B302" i="43"/>
  <c r="C302" i="43" s="1"/>
  <c r="J315" i="43"/>
  <c r="K315" i="43" s="1"/>
  <c r="L334" i="43"/>
  <c r="J339" i="43"/>
  <c r="K339" i="43" s="1"/>
  <c r="D346" i="43"/>
  <c r="B352" i="43"/>
  <c r="C352" i="43" s="1"/>
  <c r="D359" i="43"/>
  <c r="L360" i="43"/>
  <c r="B366" i="43"/>
  <c r="C366" i="43" s="1"/>
  <c r="E373" i="43"/>
  <c r="J380" i="43"/>
  <c r="K380" i="43" s="1"/>
  <c r="E387" i="43"/>
  <c r="J392" i="43"/>
  <c r="K392" i="43" s="1"/>
  <c r="L398" i="43"/>
  <c r="D400" i="43"/>
  <c r="E412" i="43"/>
  <c r="B417" i="43"/>
  <c r="C417" i="43" s="1"/>
  <c r="J430" i="43"/>
  <c r="K430" i="43" s="1"/>
  <c r="C313" i="45"/>
  <c r="L412" i="33"/>
  <c r="J417" i="33"/>
  <c r="K417" i="33" s="1"/>
  <c r="L424" i="33"/>
  <c r="G72" i="34"/>
  <c r="B17" i="43"/>
  <c r="C17" i="43" s="1"/>
  <c r="L86" i="43"/>
  <c r="J132" i="43"/>
  <c r="K132" i="43" s="1"/>
  <c r="L190" i="43"/>
  <c r="D192" i="43"/>
  <c r="L229" i="43"/>
  <c r="B236" i="43"/>
  <c r="C236" i="43" s="1"/>
  <c r="B249" i="43"/>
  <c r="C249" i="43" s="1"/>
  <c r="J302" i="43"/>
  <c r="K302" i="43" s="1"/>
  <c r="J417" i="43"/>
  <c r="K417" i="43" s="1"/>
  <c r="B25" i="35"/>
  <c r="C25" i="35" s="1"/>
  <c r="J20" i="35"/>
  <c r="K20" i="35" s="1"/>
  <c r="G12" i="35"/>
  <c r="B19" i="35"/>
  <c r="C19" i="35" s="1"/>
  <c r="D9" i="35"/>
  <c r="F10" i="35"/>
  <c r="D10" i="35"/>
  <c r="J18" i="35"/>
  <c r="K18" i="35" s="1"/>
  <c r="L255" i="35"/>
  <c r="B262" i="35"/>
  <c r="C262" i="35" s="1"/>
  <c r="E255" i="35"/>
  <c r="M255" i="35" s="1"/>
  <c r="J261" i="35"/>
  <c r="K261" i="35" s="1"/>
  <c r="L256" i="35"/>
  <c r="D255" i="35"/>
  <c r="B261" i="35"/>
  <c r="C261" i="35" s="1"/>
  <c r="E256" i="35"/>
  <c r="J263" i="35"/>
  <c r="B263" i="35"/>
  <c r="C263" i="35" s="1"/>
  <c r="E257" i="35"/>
  <c r="M257" i="35" s="1"/>
  <c r="D257" i="35"/>
  <c r="E387" i="33"/>
  <c r="B418" i="33"/>
  <c r="C418" i="33" s="1"/>
  <c r="B431" i="33"/>
  <c r="C431" i="33" s="1"/>
  <c r="AI160" i="34"/>
  <c r="F10" i="43"/>
  <c r="B19" i="43"/>
  <c r="C19" i="43" s="1"/>
  <c r="M33" i="43"/>
  <c r="B80" i="43"/>
  <c r="C80" i="43" s="1"/>
  <c r="L100" i="43"/>
  <c r="B106" i="43"/>
  <c r="C106" i="43" s="1"/>
  <c r="B133" i="43"/>
  <c r="C133" i="43" s="1"/>
  <c r="L139" i="43"/>
  <c r="E151" i="43"/>
  <c r="L152" i="43"/>
  <c r="B158" i="43"/>
  <c r="C158" i="43" s="1"/>
  <c r="E192" i="43"/>
  <c r="B198" i="43"/>
  <c r="C198" i="43" s="1"/>
  <c r="B209" i="43"/>
  <c r="C209" i="43" s="1"/>
  <c r="D231" i="43"/>
  <c r="J236" i="43"/>
  <c r="K236" i="43" s="1"/>
  <c r="J249" i="43"/>
  <c r="K249" i="43" s="1"/>
  <c r="L282" i="43"/>
  <c r="B287" i="43"/>
  <c r="E295" i="43"/>
  <c r="B313" i="43"/>
  <c r="C313" i="43" s="1"/>
  <c r="B353" i="43"/>
  <c r="C353" i="43" s="1"/>
  <c r="J367" i="43"/>
  <c r="K367" i="43" s="1"/>
  <c r="D385" i="43"/>
  <c r="E386" i="43"/>
  <c r="L387" i="43"/>
  <c r="E411" i="43"/>
  <c r="L412" i="43"/>
  <c r="B418" i="43"/>
  <c r="C418" i="43" s="1"/>
  <c r="E425" i="43"/>
  <c r="J432" i="43"/>
  <c r="K432" i="43" s="1"/>
  <c r="AI110" i="44"/>
  <c r="J262" i="35"/>
  <c r="K262" i="35" s="1"/>
  <c r="B419" i="33"/>
  <c r="C419" i="33" s="1"/>
  <c r="P40" i="34"/>
  <c r="G80" i="34"/>
  <c r="D12" i="43"/>
  <c r="J23" i="43"/>
  <c r="K23" i="43" s="1"/>
  <c r="B92" i="43"/>
  <c r="C92" i="43" s="1"/>
  <c r="L125" i="43"/>
  <c r="D127" i="43"/>
  <c r="B159" i="43"/>
  <c r="C159" i="43" s="1"/>
  <c r="J198" i="43"/>
  <c r="K198" i="43" s="1"/>
  <c r="B237" i="43"/>
  <c r="C237" i="43" s="1"/>
  <c r="L242" i="43"/>
  <c r="D244" i="43"/>
  <c r="B250" i="43"/>
  <c r="C250" i="43" s="1"/>
  <c r="D294" i="43"/>
  <c r="B300" i="43"/>
  <c r="C300" i="43" s="1"/>
  <c r="D307" i="43"/>
  <c r="L308" i="43"/>
  <c r="J313" i="43"/>
  <c r="B419" i="43"/>
  <c r="C419" i="43" s="1"/>
  <c r="M348" i="35"/>
  <c r="J302" i="47"/>
  <c r="K302" i="47" s="1"/>
  <c r="E294" i="47"/>
  <c r="B302" i="47"/>
  <c r="C302" i="47" s="1"/>
  <c r="L426" i="37"/>
  <c r="E425" i="37"/>
  <c r="L424" i="37"/>
  <c r="B431" i="37"/>
  <c r="C431" i="37" s="1"/>
  <c r="J40" i="35"/>
  <c r="K40" i="35" s="1"/>
  <c r="D48" i="35"/>
  <c r="L87" i="35"/>
  <c r="D99" i="35"/>
  <c r="E100" i="35"/>
  <c r="L101" i="35"/>
  <c r="J107" i="35"/>
  <c r="K107" i="35" s="1"/>
  <c r="D153" i="35"/>
  <c r="B185" i="35"/>
  <c r="C185" i="35" s="1"/>
  <c r="E192" i="35"/>
  <c r="B198" i="35"/>
  <c r="C198" i="35" s="1"/>
  <c r="L229" i="35"/>
  <c r="B236" i="35"/>
  <c r="C236" i="35" s="1"/>
  <c r="J275" i="35"/>
  <c r="K275" i="35" s="1"/>
  <c r="L281" i="35"/>
  <c r="B288" i="35"/>
  <c r="C288" i="35" s="1"/>
  <c r="B301" i="35"/>
  <c r="C301" i="35" s="1"/>
  <c r="J314" i="35"/>
  <c r="K314" i="35" s="1"/>
  <c r="D334" i="35"/>
  <c r="L335" i="35"/>
  <c r="J341" i="35"/>
  <c r="K341" i="35" s="1"/>
  <c r="E348" i="35"/>
  <c r="J354" i="35"/>
  <c r="K354" i="35" s="1"/>
  <c r="E360" i="35"/>
  <c r="B365" i="35"/>
  <c r="C365" i="35" s="1"/>
  <c r="B379" i="35"/>
  <c r="C379" i="35" s="1"/>
  <c r="E387" i="35"/>
  <c r="L399" i="35"/>
  <c r="J406" i="35"/>
  <c r="K406" i="35" s="1"/>
  <c r="D412" i="35"/>
  <c r="L413" i="35"/>
  <c r="P172" i="36"/>
  <c r="AI182" i="36"/>
  <c r="G8" i="45"/>
  <c r="F9" i="45"/>
  <c r="G10" i="45"/>
  <c r="G11" i="45"/>
  <c r="G12" i="45"/>
  <c r="J19" i="45"/>
  <c r="K19" i="45" s="1"/>
  <c r="J22" i="45"/>
  <c r="K22" i="45" s="1"/>
  <c r="E99" i="45"/>
  <c r="D152" i="45"/>
  <c r="L153" i="45"/>
  <c r="E203" i="45"/>
  <c r="J223" i="45"/>
  <c r="K223" i="45" s="1"/>
  <c r="E231" i="45"/>
  <c r="M231" i="45" s="1"/>
  <c r="J236" i="45"/>
  <c r="K236" i="45" s="1"/>
  <c r="E243" i="45"/>
  <c r="E257" i="45"/>
  <c r="J262" i="45"/>
  <c r="K262" i="45" s="1"/>
  <c r="L268" i="45"/>
  <c r="B275" i="45"/>
  <c r="C275" i="45" s="1"/>
  <c r="L281" i="45"/>
  <c r="E309" i="45"/>
  <c r="B314" i="45"/>
  <c r="D335" i="45"/>
  <c r="B340" i="45"/>
  <c r="C340" i="45" s="1"/>
  <c r="J354" i="45"/>
  <c r="K354" i="45" s="1"/>
  <c r="L360" i="45"/>
  <c r="L385" i="45"/>
  <c r="E413" i="45"/>
  <c r="L413" i="45"/>
  <c r="B418" i="45"/>
  <c r="C418" i="45" s="1"/>
  <c r="E411" i="45"/>
  <c r="L412" i="45"/>
  <c r="B339" i="47"/>
  <c r="C339" i="47" s="1"/>
  <c r="J393" i="47"/>
  <c r="K393" i="47" s="1"/>
  <c r="L387" i="47"/>
  <c r="E386" i="47"/>
  <c r="D385" i="47"/>
  <c r="E387" i="47"/>
  <c r="B392" i="47"/>
  <c r="C392" i="47" s="1"/>
  <c r="D387" i="47"/>
  <c r="L385" i="47"/>
  <c r="B393" i="47"/>
  <c r="C393" i="47" s="1"/>
  <c r="L386" i="47"/>
  <c r="E385" i="47"/>
  <c r="J392" i="47"/>
  <c r="K392" i="47" s="1"/>
  <c r="L49" i="37"/>
  <c r="G174" i="38"/>
  <c r="AI46" i="44"/>
  <c r="B37" i="35"/>
  <c r="D47" i="35"/>
  <c r="E48" i="35"/>
  <c r="L49" i="35"/>
  <c r="B55" i="35"/>
  <c r="C55" i="35" s="1"/>
  <c r="E86" i="35"/>
  <c r="E99" i="35"/>
  <c r="E153" i="35"/>
  <c r="B158" i="35"/>
  <c r="C158" i="35" s="1"/>
  <c r="D166" i="35"/>
  <c r="D191" i="35"/>
  <c r="J198" i="35"/>
  <c r="K198" i="35" s="1"/>
  <c r="E204" i="35"/>
  <c r="D231" i="35"/>
  <c r="J236" i="35"/>
  <c r="K236" i="35" s="1"/>
  <c r="B276" i="35"/>
  <c r="C276" i="35" s="1"/>
  <c r="D283" i="35"/>
  <c r="M283" i="35" s="1"/>
  <c r="J288" i="35"/>
  <c r="K288" i="35" s="1"/>
  <c r="D309" i="35"/>
  <c r="E321" i="35"/>
  <c r="D333" i="35"/>
  <c r="E334" i="35"/>
  <c r="J365" i="35"/>
  <c r="K365" i="35" s="1"/>
  <c r="D386" i="35"/>
  <c r="E398" i="35"/>
  <c r="E412" i="35"/>
  <c r="AI102" i="36"/>
  <c r="G118" i="36"/>
  <c r="G9" i="45"/>
  <c r="J16" i="45"/>
  <c r="K16" i="45" s="1"/>
  <c r="B20" i="45"/>
  <c r="C20" i="45" s="1"/>
  <c r="B23" i="45"/>
  <c r="C23" i="45" s="1"/>
  <c r="L100" i="45"/>
  <c r="B105" i="45"/>
  <c r="C105" i="45" s="1"/>
  <c r="D151" i="45"/>
  <c r="D164" i="45"/>
  <c r="L204" i="45"/>
  <c r="L217" i="45"/>
  <c r="D255" i="45"/>
  <c r="D256" i="45"/>
  <c r="B263" i="45"/>
  <c r="C263" i="45" s="1"/>
  <c r="J275" i="45"/>
  <c r="K275" i="45" s="1"/>
  <c r="D283" i="45"/>
  <c r="B288" i="45"/>
  <c r="C288" i="45" s="1"/>
  <c r="L320" i="45"/>
  <c r="J315" i="37"/>
  <c r="K315" i="37" s="1"/>
  <c r="L309" i="37"/>
  <c r="E308" i="37"/>
  <c r="D307" i="37"/>
  <c r="E309" i="37"/>
  <c r="J313" i="37"/>
  <c r="K313" i="37" s="1"/>
  <c r="D309" i="37"/>
  <c r="L307" i="37"/>
  <c r="J314" i="37"/>
  <c r="K314" i="37" s="1"/>
  <c r="L308" i="37"/>
  <c r="E307" i="37"/>
  <c r="B314" i="37"/>
  <c r="C314" i="37" s="1"/>
  <c r="L100" i="35"/>
  <c r="B105" i="35"/>
  <c r="C105" i="35" s="1"/>
  <c r="E373" i="35"/>
  <c r="G54" i="36"/>
  <c r="B276" i="45"/>
  <c r="C276" i="45" s="1"/>
  <c r="E283" i="45"/>
  <c r="J288" i="45"/>
  <c r="K288" i="45" s="1"/>
  <c r="J366" i="45"/>
  <c r="K366" i="45" s="1"/>
  <c r="B365" i="45"/>
  <c r="C365" i="45" s="1"/>
  <c r="E359" i="45"/>
  <c r="E360" i="45"/>
  <c r="L359" i="45"/>
  <c r="L374" i="45"/>
  <c r="D374" i="45"/>
  <c r="B391" i="45"/>
  <c r="C391" i="45" s="1"/>
  <c r="D48" i="37"/>
  <c r="B54" i="37"/>
  <c r="C54" i="37" s="1"/>
  <c r="AI88" i="44"/>
  <c r="G96" i="44"/>
  <c r="P108" i="44"/>
  <c r="G136" i="44"/>
  <c r="G152" i="44"/>
  <c r="G160" i="44"/>
  <c r="D33" i="35"/>
  <c r="B38" i="35"/>
  <c r="C38" i="35" s="1"/>
  <c r="L48" i="35"/>
  <c r="B53" i="35"/>
  <c r="C53" i="35" s="1"/>
  <c r="D88" i="35"/>
  <c r="J105" i="35"/>
  <c r="K105" i="35" s="1"/>
  <c r="D151" i="35"/>
  <c r="E152" i="35"/>
  <c r="M152" i="35" s="1"/>
  <c r="L153" i="35"/>
  <c r="L164" i="35"/>
  <c r="E190" i="35"/>
  <c r="D203" i="35"/>
  <c r="L204" i="35"/>
  <c r="J209" i="35"/>
  <c r="K209" i="35" s="1"/>
  <c r="D230" i="35"/>
  <c r="L231" i="35"/>
  <c r="J237" i="35"/>
  <c r="K237" i="35" s="1"/>
  <c r="J276" i="35"/>
  <c r="K276" i="35" s="1"/>
  <c r="D282" i="35"/>
  <c r="L283" i="35"/>
  <c r="J289" i="35"/>
  <c r="K289" i="35" s="1"/>
  <c r="L334" i="35"/>
  <c r="J339" i="35"/>
  <c r="K339" i="35" s="1"/>
  <c r="G24" i="36"/>
  <c r="AI46" i="36"/>
  <c r="AI54" i="36"/>
  <c r="AI166" i="36"/>
  <c r="J54" i="45"/>
  <c r="K54" i="45" s="1"/>
  <c r="J157" i="45"/>
  <c r="K157" i="45" s="1"/>
  <c r="D282" i="45"/>
  <c r="E361" i="45"/>
  <c r="J379" i="45"/>
  <c r="K379" i="45" s="1"/>
  <c r="B392" i="45"/>
  <c r="C392" i="45" s="1"/>
  <c r="E216" i="47"/>
  <c r="B223" i="47"/>
  <c r="C223" i="47" s="1"/>
  <c r="J222" i="47"/>
  <c r="K222" i="47" s="1"/>
  <c r="L216" i="47"/>
  <c r="B224" i="47"/>
  <c r="C224" i="47" s="1"/>
  <c r="L217" i="47"/>
  <c r="E348" i="47"/>
  <c r="B352" i="47"/>
  <c r="C352" i="47" s="1"/>
  <c r="L347" i="47"/>
  <c r="E346" i="47"/>
  <c r="B354" i="47"/>
  <c r="C354" i="47" s="1"/>
  <c r="AI152" i="44"/>
  <c r="E33" i="35"/>
  <c r="J38" i="35"/>
  <c r="K38" i="35" s="1"/>
  <c r="J41" i="35"/>
  <c r="K41" i="35" s="1"/>
  <c r="L99" i="35"/>
  <c r="B106" i="35"/>
  <c r="C106" i="35" s="1"/>
  <c r="E151" i="35"/>
  <c r="B159" i="35"/>
  <c r="C159" i="35" s="1"/>
  <c r="L191" i="35"/>
  <c r="E203" i="35"/>
  <c r="B210" i="35"/>
  <c r="C210" i="35" s="1"/>
  <c r="E230" i="35"/>
  <c r="E282" i="35"/>
  <c r="M346" i="35"/>
  <c r="J367" i="35"/>
  <c r="K367" i="35" s="1"/>
  <c r="L386" i="35"/>
  <c r="B391" i="35"/>
  <c r="C391" i="35" s="1"/>
  <c r="L398" i="35"/>
  <c r="B418" i="35"/>
  <c r="C418" i="35" s="1"/>
  <c r="G96" i="36"/>
  <c r="G110" i="36"/>
  <c r="B18" i="45"/>
  <c r="C18" i="45" s="1"/>
  <c r="B21" i="45"/>
  <c r="C21" i="45" s="1"/>
  <c r="D101" i="45"/>
  <c r="J158" i="45"/>
  <c r="K158" i="45" s="1"/>
  <c r="B170" i="45"/>
  <c r="C170" i="45" s="1"/>
  <c r="E190" i="45"/>
  <c r="L191" i="45"/>
  <c r="J197" i="45"/>
  <c r="K197" i="45" s="1"/>
  <c r="D205" i="45"/>
  <c r="B210" i="45"/>
  <c r="C210" i="45" s="1"/>
  <c r="L216" i="45"/>
  <c r="D218" i="45"/>
  <c r="L230" i="45"/>
  <c r="D244" i="45"/>
  <c r="L256" i="45"/>
  <c r="B261" i="45"/>
  <c r="C261" i="45" s="1"/>
  <c r="D281" i="45"/>
  <c r="E282" i="45"/>
  <c r="L283" i="45"/>
  <c r="B289" i="45"/>
  <c r="C289" i="45" s="1"/>
  <c r="L308" i="45"/>
  <c r="J315" i="45"/>
  <c r="K315" i="45" s="1"/>
  <c r="L386" i="45"/>
  <c r="AI24" i="46"/>
  <c r="G80" i="46"/>
  <c r="AI126" i="46"/>
  <c r="G160" i="46"/>
  <c r="P168" i="46"/>
  <c r="B235" i="37"/>
  <c r="C235" i="37" s="1"/>
  <c r="L230" i="37"/>
  <c r="J237" i="37"/>
  <c r="K237" i="37" s="1"/>
  <c r="L231" i="37"/>
  <c r="E230" i="37"/>
  <c r="E229" i="37"/>
  <c r="J236" i="37"/>
  <c r="K236" i="37" s="1"/>
  <c r="D231" i="37"/>
  <c r="B237" i="37"/>
  <c r="C237" i="37" s="1"/>
  <c r="D229" i="37"/>
  <c r="B236" i="37"/>
  <c r="C236" i="37" s="1"/>
  <c r="D230" i="37"/>
  <c r="J235" i="37"/>
  <c r="K235" i="37" s="1"/>
  <c r="L229" i="37"/>
  <c r="E231" i="37"/>
  <c r="B315" i="37"/>
  <c r="C315" i="37" s="1"/>
  <c r="D101" i="35"/>
  <c r="M101" i="35" s="1"/>
  <c r="J106" i="35"/>
  <c r="K106" i="35" s="1"/>
  <c r="L152" i="35"/>
  <c r="E177" i="35"/>
  <c r="J210" i="35"/>
  <c r="K210" i="35" s="1"/>
  <c r="E229" i="35"/>
  <c r="B235" i="35"/>
  <c r="C235" i="35" s="1"/>
  <c r="B287" i="35"/>
  <c r="C287" i="35" s="1"/>
  <c r="B340" i="35"/>
  <c r="B353" i="35"/>
  <c r="C353" i="35" s="1"/>
  <c r="E361" i="35"/>
  <c r="B392" i="35"/>
  <c r="C392" i="35" s="1"/>
  <c r="B404" i="35"/>
  <c r="C404" i="35" s="1"/>
  <c r="J419" i="35"/>
  <c r="K419" i="35" s="1"/>
  <c r="P40" i="36"/>
  <c r="AI72" i="36"/>
  <c r="P108" i="36"/>
  <c r="G190" i="36"/>
  <c r="D8" i="45"/>
  <c r="D11" i="45"/>
  <c r="D12" i="45"/>
  <c r="J21" i="45"/>
  <c r="K21" i="45" s="1"/>
  <c r="J24" i="45"/>
  <c r="K24" i="45" s="1"/>
  <c r="B92" i="45"/>
  <c r="C92" i="45" s="1"/>
  <c r="E101" i="45"/>
  <c r="L151" i="45"/>
  <c r="D153" i="45"/>
  <c r="B159" i="45"/>
  <c r="C159" i="45" s="1"/>
  <c r="E205" i="45"/>
  <c r="L255" i="45"/>
  <c r="E281" i="45"/>
  <c r="J289" i="45"/>
  <c r="K289" i="45" s="1"/>
  <c r="L334" i="45"/>
  <c r="B339" i="45"/>
  <c r="C339" i="45" s="1"/>
  <c r="L361" i="45"/>
  <c r="E400" i="45"/>
  <c r="J406" i="45"/>
  <c r="K406" i="45" s="1"/>
  <c r="J404" i="45"/>
  <c r="K404" i="45" s="1"/>
  <c r="L398" i="45"/>
  <c r="AI118" i="46"/>
  <c r="AI160" i="46"/>
  <c r="J340" i="47"/>
  <c r="K340" i="47" s="1"/>
  <c r="E333" i="47"/>
  <c r="D333" i="47"/>
  <c r="L335" i="47"/>
  <c r="E334" i="47"/>
  <c r="J341" i="47"/>
  <c r="K341" i="47" s="1"/>
  <c r="D334" i="47"/>
  <c r="B341" i="47"/>
  <c r="C341" i="47" s="1"/>
  <c r="E335" i="47"/>
  <c r="L333" i="47"/>
  <c r="J339" i="47"/>
  <c r="K339" i="47" s="1"/>
  <c r="D335" i="47"/>
  <c r="B144" i="37"/>
  <c r="C144" i="37" s="1"/>
  <c r="L140" i="37"/>
  <c r="L138" i="37"/>
  <c r="E138" i="37"/>
  <c r="L139" i="37"/>
  <c r="J145" i="37"/>
  <c r="K145" i="37" s="1"/>
  <c r="B354" i="37"/>
  <c r="C354" i="37" s="1"/>
  <c r="B352" i="37"/>
  <c r="C352" i="37" s="1"/>
  <c r="D87" i="35"/>
  <c r="D205" i="35"/>
  <c r="B211" i="35"/>
  <c r="C211" i="35" s="1"/>
  <c r="L230" i="35"/>
  <c r="J235" i="35"/>
  <c r="K235" i="35" s="1"/>
  <c r="L282" i="35"/>
  <c r="J287" i="35"/>
  <c r="K287" i="35" s="1"/>
  <c r="M307" i="35"/>
  <c r="L282" i="45"/>
  <c r="J393" i="45"/>
  <c r="K393" i="45" s="1"/>
  <c r="E386" i="45"/>
  <c r="D385" i="45"/>
  <c r="L387" i="45"/>
  <c r="D386" i="45"/>
  <c r="B393" i="45"/>
  <c r="C393" i="45" s="1"/>
  <c r="L166" i="47"/>
  <c r="B172" i="47"/>
  <c r="C172" i="47" s="1"/>
  <c r="L165" i="47"/>
  <c r="E164" i="47"/>
  <c r="B171" i="47"/>
  <c r="C171" i="47" s="1"/>
  <c r="E165" i="47"/>
  <c r="B170" i="47"/>
  <c r="C170" i="47" s="1"/>
  <c r="L164" i="47"/>
  <c r="J53" i="37"/>
  <c r="K53" i="37" s="1"/>
  <c r="E47" i="37"/>
  <c r="B55" i="37"/>
  <c r="C55" i="37" s="1"/>
  <c r="E49" i="37"/>
  <c r="D49" i="37"/>
  <c r="J55" i="37"/>
  <c r="K55" i="37" s="1"/>
  <c r="L47" i="37"/>
  <c r="J54" i="37"/>
  <c r="K54" i="37" s="1"/>
  <c r="B53" i="37"/>
  <c r="C53" i="37" s="1"/>
  <c r="D47" i="37"/>
  <c r="E48" i="37"/>
  <c r="E269" i="37"/>
  <c r="J276" i="37"/>
  <c r="K276" i="37" s="1"/>
  <c r="B275" i="37"/>
  <c r="C275" i="37" s="1"/>
  <c r="E73" i="39"/>
  <c r="D73" i="39"/>
  <c r="J81" i="39"/>
  <c r="K81" i="39" s="1"/>
  <c r="B81" i="39"/>
  <c r="C81" i="39" s="1"/>
  <c r="E74" i="39"/>
  <c r="E87" i="47"/>
  <c r="B93" i="47"/>
  <c r="C93" i="47" s="1"/>
  <c r="E113" i="47"/>
  <c r="B118" i="47"/>
  <c r="C118" i="47" s="1"/>
  <c r="D204" i="47"/>
  <c r="J211" i="47"/>
  <c r="K211" i="47" s="1"/>
  <c r="E231" i="47"/>
  <c r="J236" i="47"/>
  <c r="K236" i="47" s="1"/>
  <c r="M257" i="47"/>
  <c r="E283" i="47"/>
  <c r="M283" i="47" s="1"/>
  <c r="J288" i="47"/>
  <c r="K288" i="47" s="1"/>
  <c r="D308" i="47"/>
  <c r="E360" i="47"/>
  <c r="M360" i="47" s="1"/>
  <c r="P40" i="48"/>
  <c r="G118" i="48"/>
  <c r="E9" i="37"/>
  <c r="J16" i="37"/>
  <c r="K16" i="37" s="1"/>
  <c r="J21" i="37"/>
  <c r="K21" i="37" s="1"/>
  <c r="E30" i="37"/>
  <c r="L60" i="37"/>
  <c r="E114" i="37"/>
  <c r="B198" i="37"/>
  <c r="C198" i="37" s="1"/>
  <c r="J196" i="37"/>
  <c r="K196" i="37" s="1"/>
  <c r="E190" i="37"/>
  <c r="L191" i="37"/>
  <c r="D411" i="37"/>
  <c r="L412" i="37"/>
  <c r="G38" i="38"/>
  <c r="AI72" i="38"/>
  <c r="B18" i="47"/>
  <c r="C18" i="47" s="1"/>
  <c r="E33" i="47"/>
  <c r="M33" i="47" s="1"/>
  <c r="B38" i="47"/>
  <c r="C38" i="47" s="1"/>
  <c r="B42" i="47"/>
  <c r="C42" i="47" s="1"/>
  <c r="D49" i="47"/>
  <c r="B54" i="47"/>
  <c r="C54" i="47" s="1"/>
  <c r="J67" i="47"/>
  <c r="K67" i="47" s="1"/>
  <c r="B81" i="47"/>
  <c r="C81" i="47" s="1"/>
  <c r="B94" i="47"/>
  <c r="C94" i="47" s="1"/>
  <c r="L101" i="47"/>
  <c r="D112" i="47"/>
  <c r="B119" i="47"/>
  <c r="C119" i="47" s="1"/>
  <c r="B158" i="47"/>
  <c r="C158" i="47" s="1"/>
  <c r="D179" i="47"/>
  <c r="D230" i="47"/>
  <c r="B237" i="47"/>
  <c r="C237" i="47" s="1"/>
  <c r="B249" i="47"/>
  <c r="C249" i="47" s="1"/>
  <c r="D256" i="47"/>
  <c r="B263" i="47"/>
  <c r="C263" i="47" s="1"/>
  <c r="D282" i="47"/>
  <c r="M282" i="47" s="1"/>
  <c r="E308" i="47"/>
  <c r="G62" i="48"/>
  <c r="AI80" i="48"/>
  <c r="D8" i="37"/>
  <c r="G9" i="37"/>
  <c r="D12" i="37"/>
  <c r="B41" i="37"/>
  <c r="C41" i="37" s="1"/>
  <c r="J39" i="37"/>
  <c r="K39" i="37" s="1"/>
  <c r="D30" i="37"/>
  <c r="B42" i="37"/>
  <c r="C42" i="37" s="1"/>
  <c r="D204" i="37"/>
  <c r="L205" i="37"/>
  <c r="J418" i="37"/>
  <c r="K418" i="37" s="1"/>
  <c r="J419" i="37"/>
  <c r="K419" i="37" s="1"/>
  <c r="B418" i="37"/>
  <c r="C418" i="37" s="1"/>
  <c r="L411" i="37"/>
  <c r="B417" i="37"/>
  <c r="C417" i="37" s="1"/>
  <c r="E411" i="37"/>
  <c r="AI174" i="38"/>
  <c r="B80" i="39"/>
  <c r="C80" i="39" s="1"/>
  <c r="B120" i="47"/>
  <c r="C120" i="47" s="1"/>
  <c r="J366" i="47"/>
  <c r="K366" i="47" s="1"/>
  <c r="B367" i="47"/>
  <c r="C367" i="47" s="1"/>
  <c r="B365" i="47"/>
  <c r="C365" i="47" s="1"/>
  <c r="D359" i="47"/>
  <c r="J367" i="47"/>
  <c r="K367" i="47" s="1"/>
  <c r="E10" i="37"/>
  <c r="B20" i="37"/>
  <c r="C20" i="37" s="1"/>
  <c r="B17" i="37"/>
  <c r="C17" i="37" s="1"/>
  <c r="G12" i="37"/>
  <c r="G11" i="37"/>
  <c r="G10" i="37"/>
  <c r="F9" i="37"/>
  <c r="G8" i="37"/>
  <c r="J25" i="37"/>
  <c r="K25" i="37" s="1"/>
  <c r="J22" i="37"/>
  <c r="K22" i="37" s="1"/>
  <c r="B16" i="37"/>
  <c r="C16" i="37" s="1"/>
  <c r="E12" i="37"/>
  <c r="E11" i="37"/>
  <c r="D10" i="37"/>
  <c r="D9" i="37"/>
  <c r="E8" i="37"/>
  <c r="J24" i="37"/>
  <c r="K24" i="37" s="1"/>
  <c r="B18" i="37"/>
  <c r="C18" i="37" s="1"/>
  <c r="D11" i="37"/>
  <c r="J18" i="37"/>
  <c r="K18" i="37" s="1"/>
  <c r="J23" i="37"/>
  <c r="K23" i="37" s="1"/>
  <c r="D203" i="37"/>
  <c r="L374" i="37"/>
  <c r="L372" i="37"/>
  <c r="J380" i="37"/>
  <c r="K380" i="37" s="1"/>
  <c r="J378" i="37"/>
  <c r="K378" i="37" s="1"/>
  <c r="D426" i="45"/>
  <c r="AI136" i="46"/>
  <c r="D205" i="47"/>
  <c r="L230" i="47"/>
  <c r="B235" i="47"/>
  <c r="C235" i="47" s="1"/>
  <c r="L282" i="47"/>
  <c r="B287" i="47"/>
  <c r="C287" i="47" s="1"/>
  <c r="L307" i="47"/>
  <c r="J315" i="47"/>
  <c r="K315" i="47" s="1"/>
  <c r="J313" i="47"/>
  <c r="K313" i="47" s="1"/>
  <c r="P108" i="48"/>
  <c r="G160" i="48"/>
  <c r="F11" i="37"/>
  <c r="B19" i="37"/>
  <c r="C19" i="37" s="1"/>
  <c r="B24" i="37"/>
  <c r="C24" i="37" s="1"/>
  <c r="J209" i="37"/>
  <c r="K209" i="37" s="1"/>
  <c r="E203" i="37"/>
  <c r="B211" i="37"/>
  <c r="C211" i="37" s="1"/>
  <c r="E205" i="37"/>
  <c r="L204" i="37"/>
  <c r="B210" i="37"/>
  <c r="C210" i="37" s="1"/>
  <c r="E294" i="37"/>
  <c r="B302" i="37"/>
  <c r="C302" i="37" s="1"/>
  <c r="L295" i="37"/>
  <c r="L322" i="37"/>
  <c r="J328" i="37"/>
  <c r="K328" i="37" s="1"/>
  <c r="B327" i="37"/>
  <c r="C327" i="37" s="1"/>
  <c r="J25" i="39"/>
  <c r="K25" i="39" s="1"/>
  <c r="B16" i="39"/>
  <c r="C16" i="39" s="1"/>
  <c r="J23" i="39"/>
  <c r="K23" i="39" s="1"/>
  <c r="J19" i="39"/>
  <c r="K19" i="39" s="1"/>
  <c r="B24" i="39"/>
  <c r="C24" i="39" s="1"/>
  <c r="AI38" i="46"/>
  <c r="AI46" i="46"/>
  <c r="G11" i="47"/>
  <c r="B22" i="47"/>
  <c r="C22" i="47" s="1"/>
  <c r="F31" i="47"/>
  <c r="B40" i="47"/>
  <c r="C40" i="47" s="1"/>
  <c r="E61" i="47"/>
  <c r="J106" i="47"/>
  <c r="K106" i="47" s="1"/>
  <c r="L112" i="47"/>
  <c r="E114" i="47"/>
  <c r="D125" i="47"/>
  <c r="E127" i="47"/>
  <c r="B145" i="47"/>
  <c r="C145" i="47" s="1"/>
  <c r="D152" i="47"/>
  <c r="L153" i="47"/>
  <c r="D178" i="47"/>
  <c r="E191" i="47"/>
  <c r="J235" i="47"/>
  <c r="K235" i="47" s="1"/>
  <c r="J261" i="47"/>
  <c r="K261" i="47" s="1"/>
  <c r="D270" i="47"/>
  <c r="J287" i="47"/>
  <c r="K287" i="47" s="1"/>
  <c r="B314" i="47"/>
  <c r="E361" i="47"/>
  <c r="L374" i="47"/>
  <c r="J380" i="47"/>
  <c r="K380" i="47" s="1"/>
  <c r="E373" i="47"/>
  <c r="L372" i="47"/>
  <c r="J418" i="47"/>
  <c r="K418" i="47" s="1"/>
  <c r="E412" i="47"/>
  <c r="M412" i="47" s="1"/>
  <c r="D411" i="47"/>
  <c r="B418" i="47"/>
  <c r="C418" i="47" s="1"/>
  <c r="B419" i="47"/>
  <c r="C419" i="47" s="1"/>
  <c r="E425" i="47"/>
  <c r="AI8" i="48"/>
  <c r="J19" i="37"/>
  <c r="K19" i="37" s="1"/>
  <c r="B25" i="37"/>
  <c r="C25" i="37" s="1"/>
  <c r="B39" i="37"/>
  <c r="C39" i="37" s="1"/>
  <c r="J106" i="37"/>
  <c r="L101" i="37"/>
  <c r="E100" i="37"/>
  <c r="D99" i="37"/>
  <c r="B106" i="37"/>
  <c r="C106" i="37" s="1"/>
  <c r="E101" i="37"/>
  <c r="J107" i="37"/>
  <c r="K107" i="37" s="1"/>
  <c r="B105" i="37"/>
  <c r="C105" i="37" s="1"/>
  <c r="D191" i="37"/>
  <c r="J210" i="37"/>
  <c r="K210" i="37" s="1"/>
  <c r="J261" i="37"/>
  <c r="K261" i="37" s="1"/>
  <c r="E255" i="37"/>
  <c r="E257" i="37"/>
  <c r="L256" i="37"/>
  <c r="B262" i="37"/>
  <c r="C262" i="37" s="1"/>
  <c r="B379" i="37"/>
  <c r="C379" i="37" s="1"/>
  <c r="D412" i="37"/>
  <c r="L413" i="37"/>
  <c r="AI16" i="38"/>
  <c r="AI96" i="38"/>
  <c r="L424" i="45"/>
  <c r="G72" i="46"/>
  <c r="AI80" i="46"/>
  <c r="AI88" i="46"/>
  <c r="AI110" i="46"/>
  <c r="AI166" i="46"/>
  <c r="J22" i="47"/>
  <c r="K22" i="47" s="1"/>
  <c r="J40" i="47"/>
  <c r="K40" i="47" s="1"/>
  <c r="D60" i="47"/>
  <c r="B66" i="47"/>
  <c r="C66" i="47" s="1"/>
  <c r="L88" i="47"/>
  <c r="D101" i="47"/>
  <c r="J107" i="47"/>
  <c r="K107" i="47" s="1"/>
  <c r="E152" i="47"/>
  <c r="J184" i="47"/>
  <c r="K184" i="47" s="1"/>
  <c r="D309" i="47"/>
  <c r="J314" i="47"/>
  <c r="E321" i="47"/>
  <c r="AI32" i="48"/>
  <c r="F10" i="37"/>
  <c r="J20" i="37"/>
  <c r="K20" i="37" s="1"/>
  <c r="F31" i="37"/>
  <c r="J40" i="37"/>
  <c r="K40" i="37" s="1"/>
  <c r="D60" i="37"/>
  <c r="J67" i="37"/>
  <c r="K67" i="37" s="1"/>
  <c r="E62" i="37"/>
  <c r="L203" i="37"/>
  <c r="J211" i="37"/>
  <c r="K211" i="37" s="1"/>
  <c r="M281" i="37"/>
  <c r="B300" i="37"/>
  <c r="C300" i="37" s="1"/>
  <c r="L320" i="37"/>
  <c r="E412" i="37"/>
  <c r="P104" i="38"/>
  <c r="D75" i="39"/>
  <c r="AI72" i="48"/>
  <c r="D152" i="37"/>
  <c r="L153" i="37"/>
  <c r="J159" i="37"/>
  <c r="K159" i="37" s="1"/>
  <c r="D282" i="37"/>
  <c r="J288" i="37"/>
  <c r="J341" i="37"/>
  <c r="K341" i="37" s="1"/>
  <c r="L335" i="37"/>
  <c r="E334" i="37"/>
  <c r="D333" i="37"/>
  <c r="E360" i="37"/>
  <c r="E62" i="39"/>
  <c r="B67" i="39"/>
  <c r="L60" i="39"/>
  <c r="J67" i="39"/>
  <c r="K67" i="39" s="1"/>
  <c r="E164" i="39"/>
  <c r="L165" i="39"/>
  <c r="J288" i="39"/>
  <c r="K288" i="39" s="1"/>
  <c r="J171" i="39"/>
  <c r="K171" i="39" s="1"/>
  <c r="E166" i="39"/>
  <c r="L164" i="39"/>
  <c r="B171" i="39"/>
  <c r="C171" i="39" s="1"/>
  <c r="E231" i="39"/>
  <c r="B235" i="39"/>
  <c r="C235" i="39" s="1"/>
  <c r="E229" i="39"/>
  <c r="J237" i="39"/>
  <c r="K237" i="39" s="1"/>
  <c r="L231" i="39"/>
  <c r="D230" i="39"/>
  <c r="B236" i="39"/>
  <c r="C236" i="39" s="1"/>
  <c r="L229" i="39"/>
  <c r="D101" i="39"/>
  <c r="L99" i="39"/>
  <c r="J118" i="39"/>
  <c r="K118" i="39" s="1"/>
  <c r="B172" i="39"/>
  <c r="C172" i="39" s="1"/>
  <c r="E192" i="39"/>
  <c r="J198" i="39"/>
  <c r="K198" i="39" s="1"/>
  <c r="D192" i="39"/>
  <c r="L190" i="39"/>
  <c r="B197" i="39"/>
  <c r="C197" i="39" s="1"/>
  <c r="L191" i="39"/>
  <c r="E190" i="39"/>
  <c r="L205" i="39"/>
  <c r="E204" i="39"/>
  <c r="M204" i="39" s="1"/>
  <c r="D203" i="39"/>
  <c r="M203" i="39" s="1"/>
  <c r="B211" i="39"/>
  <c r="C211" i="39" s="1"/>
  <c r="E205" i="39"/>
  <c r="J209" i="39"/>
  <c r="K209" i="39" s="1"/>
  <c r="J211" i="39"/>
  <c r="K211" i="39" s="1"/>
  <c r="D231" i="39"/>
  <c r="G110" i="48"/>
  <c r="AI136" i="48"/>
  <c r="AI190" i="48"/>
  <c r="L152" i="37"/>
  <c r="J157" i="37"/>
  <c r="K157" i="37" s="1"/>
  <c r="L282" i="37"/>
  <c r="M335" i="37"/>
  <c r="B341" i="37"/>
  <c r="C341" i="37" s="1"/>
  <c r="J366" i="37"/>
  <c r="K366" i="37" s="1"/>
  <c r="J365" i="37"/>
  <c r="K365" i="37" s="1"/>
  <c r="L360" i="37"/>
  <c r="E359" i="37"/>
  <c r="M359" i="37" s="1"/>
  <c r="B367" i="37"/>
  <c r="C367" i="37" s="1"/>
  <c r="AI8" i="38"/>
  <c r="G62" i="38"/>
  <c r="AI88" i="38"/>
  <c r="E112" i="39"/>
  <c r="L113" i="39"/>
  <c r="D166" i="39"/>
  <c r="J172" i="39"/>
  <c r="K172" i="39" s="1"/>
  <c r="L114" i="39"/>
  <c r="E113" i="39"/>
  <c r="M113" i="39" s="1"/>
  <c r="D112" i="39"/>
  <c r="B120" i="39"/>
  <c r="C120" i="39" s="1"/>
  <c r="E114" i="39"/>
  <c r="J119" i="39"/>
  <c r="K119" i="39" s="1"/>
  <c r="E283" i="39"/>
  <c r="J289" i="39"/>
  <c r="K289" i="39" s="1"/>
  <c r="L283" i="39"/>
  <c r="D282" i="39"/>
  <c r="M282" i="39" s="1"/>
  <c r="B289" i="39"/>
  <c r="C289" i="39" s="1"/>
  <c r="B288" i="39"/>
  <c r="C288" i="39" s="1"/>
  <c r="L281" i="39"/>
  <c r="B287" i="39"/>
  <c r="C287" i="39" s="1"/>
  <c r="E281" i="39"/>
  <c r="E282" i="39"/>
  <c r="D283" i="39"/>
  <c r="AI102" i="48"/>
  <c r="AI144" i="48"/>
  <c r="AI166" i="48"/>
  <c r="L281" i="37"/>
  <c r="AI24" i="38"/>
  <c r="AI38" i="38"/>
  <c r="E61" i="39"/>
  <c r="B105" i="39"/>
  <c r="C105" i="39" s="1"/>
  <c r="J120" i="39"/>
  <c r="K120" i="39" s="1"/>
  <c r="D165" i="39"/>
  <c r="L166" i="39"/>
  <c r="J183" i="39"/>
  <c r="K183" i="39" s="1"/>
  <c r="J184" i="39"/>
  <c r="K184" i="39" s="1"/>
  <c r="L177" i="39"/>
  <c r="J196" i="39"/>
  <c r="K196" i="39" s="1"/>
  <c r="J222" i="39"/>
  <c r="K222" i="39" s="1"/>
  <c r="J224" i="39"/>
  <c r="K224" i="39" s="1"/>
  <c r="E217" i="39"/>
  <c r="E230" i="39"/>
  <c r="J235" i="39"/>
  <c r="K235" i="39" s="1"/>
  <c r="B248" i="39"/>
  <c r="C248" i="39" s="1"/>
  <c r="D322" i="39"/>
  <c r="B353" i="39"/>
  <c r="C353" i="39" s="1"/>
  <c r="J367" i="39"/>
  <c r="K367" i="39" s="1"/>
  <c r="L386" i="39"/>
  <c r="J391" i="39"/>
  <c r="K391" i="39" s="1"/>
  <c r="D398" i="39"/>
  <c r="B405" i="39"/>
  <c r="C405" i="39" s="1"/>
  <c r="B431" i="39"/>
  <c r="C431" i="39" s="1"/>
  <c r="D12" i="49"/>
  <c r="B54" i="49"/>
  <c r="C54" i="49" s="1"/>
  <c r="D86" i="49"/>
  <c r="J93" i="49"/>
  <c r="K93" i="49" s="1"/>
  <c r="B119" i="49"/>
  <c r="C119" i="49" s="1"/>
  <c r="J146" i="49"/>
  <c r="K146" i="49" s="1"/>
  <c r="J185" i="49"/>
  <c r="K185" i="49" s="1"/>
  <c r="B210" i="49"/>
  <c r="C210" i="49" s="1"/>
  <c r="B302" i="49"/>
  <c r="C302" i="49" s="1"/>
  <c r="L308" i="49"/>
  <c r="G16" i="50"/>
  <c r="G80" i="50"/>
  <c r="AI110" i="50"/>
  <c r="L243" i="39"/>
  <c r="J248" i="39"/>
  <c r="K248" i="39" s="1"/>
  <c r="B262" i="39"/>
  <c r="C262" i="39" s="1"/>
  <c r="E398" i="39"/>
  <c r="L399" i="39"/>
  <c r="E425" i="39"/>
  <c r="J431" i="39"/>
  <c r="K431" i="39" s="1"/>
  <c r="E12" i="49"/>
  <c r="J19" i="49"/>
  <c r="K19" i="49" s="1"/>
  <c r="J54" i="49"/>
  <c r="K54" i="49" s="1"/>
  <c r="E86" i="49"/>
  <c r="D204" i="49"/>
  <c r="B211" i="49"/>
  <c r="C211" i="49" s="1"/>
  <c r="B287" i="49"/>
  <c r="C287" i="49" s="1"/>
  <c r="D333" i="49"/>
  <c r="M333" i="49" s="1"/>
  <c r="L387" i="49"/>
  <c r="G38" i="50"/>
  <c r="G88" i="50"/>
  <c r="P104" i="50"/>
  <c r="AI160" i="50"/>
  <c r="B406" i="39"/>
  <c r="C406" i="39" s="1"/>
  <c r="AI46" i="40"/>
  <c r="D11" i="49"/>
  <c r="F12" i="49"/>
  <c r="B22" i="49"/>
  <c r="C22" i="49" s="1"/>
  <c r="J249" i="39"/>
  <c r="K249" i="39" s="1"/>
  <c r="L255" i="39"/>
  <c r="D257" i="39"/>
  <c r="E294" i="39"/>
  <c r="L295" i="39"/>
  <c r="J300" i="39"/>
  <c r="K300" i="39" s="1"/>
  <c r="E307" i="39"/>
  <c r="B314" i="39"/>
  <c r="C314" i="39" s="1"/>
  <c r="J327" i="39"/>
  <c r="K327" i="39" s="1"/>
  <c r="E348" i="39"/>
  <c r="B354" i="39"/>
  <c r="C354" i="39" s="1"/>
  <c r="D387" i="39"/>
  <c r="J392" i="39"/>
  <c r="K392" i="39" s="1"/>
  <c r="J406" i="39"/>
  <c r="K406" i="39" s="1"/>
  <c r="J419" i="39"/>
  <c r="K419" i="39" s="1"/>
  <c r="AI54" i="40"/>
  <c r="G80" i="40"/>
  <c r="P104" i="40"/>
  <c r="G166" i="40"/>
  <c r="E11" i="49"/>
  <c r="B25" i="49"/>
  <c r="C25" i="49" s="1"/>
  <c r="D31" i="49"/>
  <c r="D88" i="49"/>
  <c r="B197" i="49"/>
  <c r="C197" i="49" s="1"/>
  <c r="L386" i="37"/>
  <c r="B391" i="37"/>
  <c r="C391" i="37" s="1"/>
  <c r="G16" i="38"/>
  <c r="G96" i="38"/>
  <c r="G110" i="38"/>
  <c r="B55" i="39"/>
  <c r="C55" i="39" s="1"/>
  <c r="D244" i="39"/>
  <c r="M244" i="39" s="1"/>
  <c r="B250" i="39"/>
  <c r="C250" i="39" s="1"/>
  <c r="E257" i="39"/>
  <c r="B263" i="39"/>
  <c r="C263" i="39" s="1"/>
  <c r="B301" i="39"/>
  <c r="C301" i="39" s="1"/>
  <c r="J314" i="39"/>
  <c r="K314" i="39" s="1"/>
  <c r="J354" i="39"/>
  <c r="K354" i="39" s="1"/>
  <c r="E360" i="39"/>
  <c r="B365" i="39"/>
  <c r="C365" i="39" s="1"/>
  <c r="B393" i="39"/>
  <c r="C393" i="39" s="1"/>
  <c r="L398" i="39"/>
  <c r="G160" i="40"/>
  <c r="AI166" i="40"/>
  <c r="G182" i="40"/>
  <c r="E31" i="49"/>
  <c r="B37" i="49"/>
  <c r="C37" i="49" s="1"/>
  <c r="B41" i="49"/>
  <c r="C41" i="49" s="1"/>
  <c r="L86" i="49"/>
  <c r="E112" i="49"/>
  <c r="B131" i="49"/>
  <c r="C131" i="49" s="1"/>
  <c r="E164" i="49"/>
  <c r="L335" i="49"/>
  <c r="AI102" i="50"/>
  <c r="G110" i="50"/>
  <c r="G166" i="50"/>
  <c r="G190" i="50"/>
  <c r="D426" i="39"/>
  <c r="L88" i="49"/>
  <c r="E114" i="49"/>
  <c r="E205" i="49"/>
  <c r="B313" i="49"/>
  <c r="C313" i="49" s="1"/>
  <c r="B367" i="49"/>
  <c r="C367" i="49" s="1"/>
  <c r="L424" i="49"/>
  <c r="B431" i="49"/>
  <c r="C431" i="49" s="1"/>
  <c r="AI118" i="50"/>
  <c r="G24" i="38"/>
  <c r="AI46" i="38"/>
  <c r="G182" i="38"/>
  <c r="D33" i="39"/>
  <c r="J39" i="39"/>
  <c r="K39" i="39" s="1"/>
  <c r="L47" i="39"/>
  <c r="D49" i="39"/>
  <c r="J55" i="39"/>
  <c r="K55" i="39" s="1"/>
  <c r="B93" i="39"/>
  <c r="C93" i="39" s="1"/>
  <c r="D242" i="39"/>
  <c r="M242" i="39" s="1"/>
  <c r="D243" i="39"/>
  <c r="L244" i="39"/>
  <c r="E256" i="39"/>
  <c r="L294" i="39"/>
  <c r="D296" i="39"/>
  <c r="J301" i="39"/>
  <c r="K301" i="39" s="1"/>
  <c r="E309" i="39"/>
  <c r="B315" i="39"/>
  <c r="C315" i="39" s="1"/>
  <c r="L334" i="39"/>
  <c r="J339" i="39"/>
  <c r="K339" i="39" s="1"/>
  <c r="D346" i="39"/>
  <c r="B352" i="39"/>
  <c r="C352" i="39" s="1"/>
  <c r="D359" i="39"/>
  <c r="L360" i="39"/>
  <c r="B366" i="39"/>
  <c r="C366" i="39" s="1"/>
  <c r="E385" i="39"/>
  <c r="E386" i="39"/>
  <c r="B404" i="39"/>
  <c r="C404" i="39" s="1"/>
  <c r="E413" i="39"/>
  <c r="AI16" i="40"/>
  <c r="G102" i="40"/>
  <c r="G136" i="40"/>
  <c r="G174" i="40"/>
  <c r="G190" i="40"/>
  <c r="B16" i="49"/>
  <c r="C16" i="49" s="1"/>
  <c r="D33" i="49"/>
  <c r="J38" i="49"/>
  <c r="K38" i="49" s="1"/>
  <c r="J42" i="49"/>
  <c r="K42" i="49" s="1"/>
  <c r="J341" i="49"/>
  <c r="K341" i="49" s="1"/>
  <c r="G54" i="50"/>
  <c r="M255" i="39"/>
  <c r="B391" i="39"/>
  <c r="E399" i="39"/>
  <c r="J404" i="39"/>
  <c r="K404" i="39" s="1"/>
  <c r="B19" i="49"/>
  <c r="C19" i="49" s="1"/>
  <c r="E87" i="49"/>
  <c r="B93" i="49"/>
  <c r="C93" i="49" s="1"/>
  <c r="L126" i="49"/>
  <c r="AI190" i="50"/>
  <c r="E425" i="49"/>
  <c r="L412" i="49"/>
  <c r="J417" i="49"/>
  <c r="K417" i="49" s="1"/>
  <c r="B418" i="49"/>
  <c r="C418" i="49" s="1"/>
  <c r="L411" i="49"/>
  <c r="B419" i="49"/>
  <c r="C419" i="49" s="1"/>
  <c r="E413" i="49"/>
  <c r="J419" i="49"/>
  <c r="K419" i="49" s="1"/>
  <c r="D412" i="49"/>
  <c r="M412" i="49" s="1"/>
  <c r="L413" i="49"/>
  <c r="D411" i="49"/>
  <c r="M411" i="49" s="1"/>
  <c r="E412" i="49"/>
  <c r="E411" i="49"/>
  <c r="B417" i="49"/>
  <c r="C417" i="49" s="1"/>
  <c r="E398" i="49"/>
  <c r="B404" i="49"/>
  <c r="C404" i="49" s="1"/>
  <c r="E386" i="49"/>
  <c r="D385" i="49"/>
  <c r="E385" i="49"/>
  <c r="L386" i="49"/>
  <c r="B391" i="49"/>
  <c r="C391" i="49" s="1"/>
  <c r="B392" i="49"/>
  <c r="C392" i="49" s="1"/>
  <c r="L385" i="49"/>
  <c r="J392" i="49"/>
  <c r="K392" i="49" s="1"/>
  <c r="D387" i="49"/>
  <c r="B393" i="49"/>
  <c r="C393" i="49" s="1"/>
  <c r="E387" i="49"/>
  <c r="D386" i="49"/>
  <c r="L372" i="49"/>
  <c r="B379" i="49"/>
  <c r="C379" i="49" s="1"/>
  <c r="J367" i="49"/>
  <c r="K367" i="49" s="1"/>
  <c r="D360" i="49"/>
  <c r="L361" i="49"/>
  <c r="E360" i="49"/>
  <c r="D359" i="49"/>
  <c r="M359" i="49" s="1"/>
  <c r="B365" i="49"/>
  <c r="C365" i="49" s="1"/>
  <c r="E359" i="49"/>
  <c r="L360" i="49"/>
  <c r="J365" i="49"/>
  <c r="K365" i="49" s="1"/>
  <c r="B366" i="49"/>
  <c r="C366" i="49" s="1"/>
  <c r="E346" i="49"/>
  <c r="L346" i="49"/>
  <c r="B352" i="49"/>
  <c r="C352" i="49" s="1"/>
  <c r="L334" i="49"/>
  <c r="B339" i="49"/>
  <c r="C339" i="49" s="1"/>
  <c r="J339" i="49"/>
  <c r="K339" i="49" s="1"/>
  <c r="L333" i="49"/>
  <c r="D335" i="49"/>
  <c r="M335" i="49" s="1"/>
  <c r="B340" i="49"/>
  <c r="C340" i="49" s="1"/>
  <c r="E335" i="49"/>
  <c r="J340" i="49"/>
  <c r="K340" i="49" s="1"/>
  <c r="D334" i="49"/>
  <c r="M334" i="49" s="1"/>
  <c r="D309" i="49"/>
  <c r="B314" i="49"/>
  <c r="C314" i="49" s="1"/>
  <c r="E309" i="49"/>
  <c r="M309" i="49" s="1"/>
  <c r="J314" i="49"/>
  <c r="K314" i="49" s="1"/>
  <c r="J313" i="49"/>
  <c r="K313" i="49" s="1"/>
  <c r="D308" i="49"/>
  <c r="M308" i="49" s="1"/>
  <c r="E308" i="49"/>
  <c r="L309" i="49"/>
  <c r="B315" i="49"/>
  <c r="C315" i="49" s="1"/>
  <c r="D307" i="49"/>
  <c r="M307" i="49" s="1"/>
  <c r="J315" i="49"/>
  <c r="K315" i="49" s="1"/>
  <c r="L281" i="49"/>
  <c r="J287" i="49"/>
  <c r="K287" i="49" s="1"/>
  <c r="D283" i="49"/>
  <c r="E283" i="49"/>
  <c r="B288" i="49"/>
  <c r="C288" i="49" s="1"/>
  <c r="D282" i="49"/>
  <c r="J288" i="49"/>
  <c r="K288" i="49" s="1"/>
  <c r="D281" i="49"/>
  <c r="E282" i="49"/>
  <c r="L283" i="49"/>
  <c r="E281" i="49"/>
  <c r="M281" i="49" s="1"/>
  <c r="B289" i="49"/>
  <c r="C289" i="49" s="1"/>
  <c r="L282" i="49"/>
  <c r="J275" i="49"/>
  <c r="K275" i="49" s="1"/>
  <c r="L269" i="49"/>
  <c r="L268" i="49"/>
  <c r="D270" i="49"/>
  <c r="E269" i="49"/>
  <c r="B275" i="49"/>
  <c r="C275" i="49" s="1"/>
  <c r="D257" i="49"/>
  <c r="B262" i="49"/>
  <c r="C262" i="49" s="1"/>
  <c r="E257" i="49"/>
  <c r="J262" i="49"/>
  <c r="K262" i="49" s="1"/>
  <c r="J261" i="49"/>
  <c r="K261" i="49" s="1"/>
  <c r="D256" i="49"/>
  <c r="B263" i="49"/>
  <c r="C263" i="49" s="1"/>
  <c r="E256" i="49"/>
  <c r="L257" i="49"/>
  <c r="J263" i="49"/>
  <c r="K263" i="49" s="1"/>
  <c r="D255" i="49"/>
  <c r="M255" i="49" s="1"/>
  <c r="E255" i="49"/>
  <c r="L256" i="49"/>
  <c r="B261" i="49"/>
  <c r="C261" i="49" s="1"/>
  <c r="E242" i="49"/>
  <c r="L243" i="49"/>
  <c r="J249" i="49"/>
  <c r="K249" i="49" s="1"/>
  <c r="B250" i="49"/>
  <c r="C250" i="49" s="1"/>
  <c r="L242" i="49"/>
  <c r="D244" i="49"/>
  <c r="E243" i="49"/>
  <c r="B236" i="49"/>
  <c r="C236" i="49" s="1"/>
  <c r="D231" i="49"/>
  <c r="J236" i="49"/>
  <c r="K236" i="49" s="1"/>
  <c r="E231" i="49"/>
  <c r="D229" i="49"/>
  <c r="D230" i="49"/>
  <c r="B237" i="49"/>
  <c r="C237" i="49" s="1"/>
  <c r="E229" i="49"/>
  <c r="E230" i="49"/>
  <c r="L231" i="49"/>
  <c r="J237" i="49"/>
  <c r="K237" i="49" s="1"/>
  <c r="L230" i="49"/>
  <c r="B235" i="49"/>
  <c r="C235" i="49" s="1"/>
  <c r="L229" i="49"/>
  <c r="B222" i="49"/>
  <c r="C222" i="49" s="1"/>
  <c r="E217" i="49"/>
  <c r="D205" i="49"/>
  <c r="J210" i="49"/>
  <c r="K210" i="49" s="1"/>
  <c r="J211" i="49"/>
  <c r="K211" i="49" s="1"/>
  <c r="E204" i="49"/>
  <c r="L205" i="49"/>
  <c r="D203" i="49"/>
  <c r="E203" i="49"/>
  <c r="L204" i="49"/>
  <c r="B209" i="49"/>
  <c r="C209" i="49" s="1"/>
  <c r="J209" i="49"/>
  <c r="K209" i="49" s="1"/>
  <c r="L190" i="49"/>
  <c r="K196" i="49"/>
  <c r="L178" i="49"/>
  <c r="E177" i="49"/>
  <c r="L165" i="49"/>
  <c r="B170" i="49"/>
  <c r="C170" i="49" s="1"/>
  <c r="J170" i="49"/>
  <c r="K170" i="49" s="1"/>
  <c r="L164" i="49"/>
  <c r="B171" i="49"/>
  <c r="C171" i="49" s="1"/>
  <c r="D166" i="49"/>
  <c r="J171" i="49"/>
  <c r="E166" i="49"/>
  <c r="B172" i="49"/>
  <c r="C172" i="49" s="1"/>
  <c r="D165" i="49"/>
  <c r="J172" i="49"/>
  <c r="K172" i="49" s="1"/>
  <c r="D164" i="49"/>
  <c r="E165" i="49"/>
  <c r="B159" i="49"/>
  <c r="C159" i="49" s="1"/>
  <c r="L151" i="49"/>
  <c r="D153" i="49"/>
  <c r="J159" i="49"/>
  <c r="K159" i="49" s="1"/>
  <c r="E152" i="49"/>
  <c r="B157" i="49"/>
  <c r="C157" i="49" s="1"/>
  <c r="J157" i="49"/>
  <c r="K157" i="49" s="1"/>
  <c r="J158" i="49"/>
  <c r="K158" i="49" s="1"/>
  <c r="E151" i="49"/>
  <c r="L152" i="49"/>
  <c r="B158" i="49"/>
  <c r="C158" i="49" s="1"/>
  <c r="E139" i="49"/>
  <c r="L140" i="49"/>
  <c r="D138" i="49"/>
  <c r="E138" i="49"/>
  <c r="L139" i="49"/>
  <c r="B144" i="49"/>
  <c r="C144" i="49" s="1"/>
  <c r="J144" i="49"/>
  <c r="B145" i="49"/>
  <c r="C145" i="49" s="1"/>
  <c r="D140" i="49"/>
  <c r="J145" i="49"/>
  <c r="K145" i="49" s="1"/>
  <c r="E140" i="49"/>
  <c r="B146" i="49"/>
  <c r="C146" i="49" s="1"/>
  <c r="E125" i="49"/>
  <c r="D113" i="49"/>
  <c r="B120" i="49"/>
  <c r="C120" i="49" s="1"/>
  <c r="D112" i="49"/>
  <c r="E113" i="49"/>
  <c r="L114" i="49"/>
  <c r="J120" i="49"/>
  <c r="K120" i="49" s="1"/>
  <c r="L113" i="49"/>
  <c r="B118" i="49"/>
  <c r="C118" i="49" s="1"/>
  <c r="J118" i="49"/>
  <c r="K118" i="49" s="1"/>
  <c r="D114" i="49"/>
  <c r="J105" i="49"/>
  <c r="K105" i="49" s="1"/>
  <c r="E99" i="49"/>
  <c r="L100" i="49"/>
  <c r="B106" i="49"/>
  <c r="C106" i="49" s="1"/>
  <c r="J106" i="49"/>
  <c r="K106" i="49" s="1"/>
  <c r="L99" i="49"/>
  <c r="D101" i="49"/>
  <c r="B107" i="49"/>
  <c r="C107" i="49" s="1"/>
  <c r="J107" i="49"/>
  <c r="K107" i="49" s="1"/>
  <c r="E100" i="49"/>
  <c r="B105" i="49"/>
  <c r="C105" i="49" s="1"/>
  <c r="E88" i="49"/>
  <c r="B94" i="49"/>
  <c r="C94" i="49" s="1"/>
  <c r="D87" i="49"/>
  <c r="J94" i="49"/>
  <c r="K94" i="49" s="1"/>
  <c r="L87" i="49"/>
  <c r="B92" i="49"/>
  <c r="C92" i="49" s="1"/>
  <c r="B79" i="49"/>
  <c r="C79" i="49" s="1"/>
  <c r="J79" i="49"/>
  <c r="K79" i="49" s="1"/>
  <c r="L74" i="49"/>
  <c r="J80" i="49"/>
  <c r="K80" i="49" s="1"/>
  <c r="B81" i="49"/>
  <c r="C81" i="49" s="1"/>
  <c r="D75" i="49"/>
  <c r="E73" i="49"/>
  <c r="J66" i="49"/>
  <c r="K66" i="49" s="1"/>
  <c r="L60" i="49"/>
  <c r="D62" i="49"/>
  <c r="B67" i="49"/>
  <c r="C67" i="49" s="1"/>
  <c r="E62" i="49"/>
  <c r="J67" i="49"/>
  <c r="K67" i="49" s="1"/>
  <c r="D61" i="49"/>
  <c r="L61" i="49"/>
  <c r="D60" i="49"/>
  <c r="E61" i="49"/>
  <c r="L62" i="49"/>
  <c r="B68" i="49"/>
  <c r="C68" i="49" s="1"/>
  <c r="B66" i="49"/>
  <c r="C66" i="49" s="1"/>
  <c r="E60" i="49"/>
  <c r="B431" i="35"/>
  <c r="C431" i="35" s="1"/>
  <c r="E425" i="35"/>
  <c r="D8" i="35"/>
  <c r="E9" i="35"/>
  <c r="G10" i="35"/>
  <c r="B21" i="35"/>
  <c r="C21" i="35" s="1"/>
  <c r="G8" i="35"/>
  <c r="F9" i="35"/>
  <c r="J22" i="35"/>
  <c r="K22" i="35" s="1"/>
  <c r="B23" i="35"/>
  <c r="C23" i="35" s="1"/>
  <c r="D12" i="35"/>
  <c r="J16" i="35"/>
  <c r="K16" i="35" s="1"/>
  <c r="E12" i="35"/>
  <c r="B17" i="35"/>
  <c r="C17" i="35" s="1"/>
  <c r="J25" i="35"/>
  <c r="K25" i="35" s="1"/>
  <c r="F8" i="33"/>
  <c r="E9" i="33"/>
  <c r="J23" i="33"/>
  <c r="K23" i="33" s="1"/>
  <c r="G8" i="33"/>
  <c r="E12" i="33"/>
  <c r="J16" i="33"/>
  <c r="K16" i="33" s="1"/>
  <c r="J24" i="33"/>
  <c r="K24" i="33" s="1"/>
  <c r="J17" i="33"/>
  <c r="K17" i="33" s="1"/>
  <c r="F11" i="33"/>
  <c r="J18" i="33"/>
  <c r="K18" i="33" s="1"/>
  <c r="J25" i="33"/>
  <c r="K25" i="33" s="1"/>
  <c r="G11" i="33"/>
  <c r="J19" i="33"/>
  <c r="K19" i="33" s="1"/>
  <c r="F12" i="33"/>
  <c r="D10" i="33"/>
  <c r="J20" i="33"/>
  <c r="K20" i="33" s="1"/>
  <c r="D8" i="49"/>
  <c r="D9" i="49"/>
  <c r="F10" i="49"/>
  <c r="F11" i="49"/>
  <c r="G12" i="49"/>
  <c r="B17" i="49"/>
  <c r="C17" i="49" s="1"/>
  <c r="B23" i="49"/>
  <c r="C23" i="49" s="1"/>
  <c r="J25" i="49"/>
  <c r="K25" i="49" s="1"/>
  <c r="E8" i="49"/>
  <c r="E9" i="49"/>
  <c r="G10" i="49"/>
  <c r="B20" i="49"/>
  <c r="C20" i="49" s="1"/>
  <c r="F8" i="49"/>
  <c r="F9" i="49"/>
  <c r="J17" i="49"/>
  <c r="K17" i="49" s="1"/>
  <c r="B21" i="49"/>
  <c r="C21" i="49" s="1"/>
  <c r="J23" i="49"/>
  <c r="K23" i="49" s="1"/>
  <c r="G9" i="49"/>
  <c r="B18" i="49"/>
  <c r="C18" i="49" s="1"/>
  <c r="J21" i="49"/>
  <c r="K21" i="49" s="1"/>
  <c r="B24" i="49"/>
  <c r="C24" i="49" s="1"/>
  <c r="P40" i="50"/>
  <c r="AI166" i="50"/>
  <c r="G160" i="50"/>
  <c r="G174" i="50"/>
  <c r="O257" i="49"/>
  <c r="P257" i="49" s="1"/>
  <c r="J257" i="49" s="1"/>
  <c r="J131" i="49"/>
  <c r="K131" i="49" s="1"/>
  <c r="M203" i="49"/>
  <c r="O307" i="49"/>
  <c r="O309" i="49"/>
  <c r="O308" i="49"/>
  <c r="E75" i="49"/>
  <c r="D73" i="49"/>
  <c r="L73" i="49"/>
  <c r="B80" i="49"/>
  <c r="C80" i="49" s="1"/>
  <c r="E74" i="49"/>
  <c r="L75" i="49"/>
  <c r="D74" i="49"/>
  <c r="B133" i="49"/>
  <c r="C133" i="49" s="1"/>
  <c r="L322" i="49"/>
  <c r="D321" i="49"/>
  <c r="J328" i="49"/>
  <c r="K328" i="49" s="1"/>
  <c r="J326" i="49"/>
  <c r="K326" i="49" s="1"/>
  <c r="B328" i="49"/>
  <c r="C328" i="49" s="1"/>
  <c r="B326" i="49"/>
  <c r="C326" i="49" s="1"/>
  <c r="L321" i="49"/>
  <c r="E320" i="49"/>
  <c r="E322" i="49"/>
  <c r="D320" i="49"/>
  <c r="M320" i="49" s="1"/>
  <c r="J327" i="49"/>
  <c r="K327" i="49" s="1"/>
  <c r="D322" i="49"/>
  <c r="L320" i="49"/>
  <c r="B327" i="49"/>
  <c r="C327" i="49" s="1"/>
  <c r="O360" i="49"/>
  <c r="K92" i="49"/>
  <c r="M205" i="49"/>
  <c r="O411" i="49"/>
  <c r="L218" i="49"/>
  <c r="D217" i="49"/>
  <c r="M217" i="49" s="1"/>
  <c r="E218" i="49"/>
  <c r="D216" i="49"/>
  <c r="M216" i="49" s="1"/>
  <c r="E216" i="49"/>
  <c r="B224" i="49"/>
  <c r="C224" i="49" s="1"/>
  <c r="J223" i="49"/>
  <c r="K223" i="49" s="1"/>
  <c r="L217" i="49"/>
  <c r="B223" i="49"/>
  <c r="C223" i="49" s="1"/>
  <c r="L216" i="49"/>
  <c r="J222" i="49"/>
  <c r="K222" i="49" s="1"/>
  <c r="D218" i="49"/>
  <c r="M218" i="49" s="1"/>
  <c r="M231" i="49"/>
  <c r="M257" i="49"/>
  <c r="E127" i="49"/>
  <c r="D125" i="49"/>
  <c r="J132" i="49"/>
  <c r="K132" i="49" s="1"/>
  <c r="D127" i="49"/>
  <c r="L125" i="49"/>
  <c r="B132" i="49"/>
  <c r="C132" i="49" s="1"/>
  <c r="E126" i="49"/>
  <c r="L127" i="49"/>
  <c r="D126" i="49"/>
  <c r="O256" i="49"/>
  <c r="O231" i="49"/>
  <c r="P231" i="49" s="1"/>
  <c r="J231" i="49" s="1"/>
  <c r="E179" i="49"/>
  <c r="D177" i="49"/>
  <c r="J184" i="49"/>
  <c r="K184" i="49" s="1"/>
  <c r="D179" i="49"/>
  <c r="L177" i="49"/>
  <c r="B184" i="49"/>
  <c r="C184" i="49" s="1"/>
  <c r="E178" i="49"/>
  <c r="L179" i="49"/>
  <c r="D178" i="49"/>
  <c r="J183" i="49"/>
  <c r="K183" i="49" s="1"/>
  <c r="B185" i="49"/>
  <c r="C185" i="49" s="1"/>
  <c r="E321" i="49"/>
  <c r="O333" i="49"/>
  <c r="O334" i="49"/>
  <c r="O335" i="49"/>
  <c r="P335" i="49" s="1"/>
  <c r="J335" i="49" s="1"/>
  <c r="L191" i="49"/>
  <c r="M204" i="49"/>
  <c r="M282" i="49"/>
  <c r="J309" i="49"/>
  <c r="G8" i="49"/>
  <c r="D10" i="49"/>
  <c r="G11" i="49"/>
  <c r="J16" i="49"/>
  <c r="K16" i="49" s="1"/>
  <c r="J18" i="49"/>
  <c r="K18" i="49" s="1"/>
  <c r="J20" i="49"/>
  <c r="K20" i="49" s="1"/>
  <c r="J22" i="49"/>
  <c r="K22" i="49" s="1"/>
  <c r="J24" i="49"/>
  <c r="K24" i="49" s="1"/>
  <c r="E30" i="49"/>
  <c r="D32" i="49"/>
  <c r="D47" i="49"/>
  <c r="E49" i="49"/>
  <c r="D99" i="49"/>
  <c r="E101" i="49"/>
  <c r="D151" i="49"/>
  <c r="E153" i="49"/>
  <c r="J197" i="49"/>
  <c r="K197" i="49" s="1"/>
  <c r="E244" i="49"/>
  <c r="D242" i="49"/>
  <c r="L244" i="49"/>
  <c r="D243" i="49"/>
  <c r="B248" i="49"/>
  <c r="C248" i="49" s="1"/>
  <c r="J250" i="49"/>
  <c r="K250" i="49" s="1"/>
  <c r="B276" i="49"/>
  <c r="C276" i="49" s="1"/>
  <c r="E348" i="49"/>
  <c r="D346" i="49"/>
  <c r="M346" i="49" s="1"/>
  <c r="J353" i="49"/>
  <c r="K353" i="49" s="1"/>
  <c r="D348" i="49"/>
  <c r="M348" i="49" s="1"/>
  <c r="B353" i="49"/>
  <c r="C353" i="49" s="1"/>
  <c r="E347" i="49"/>
  <c r="L348" i="49"/>
  <c r="D347" i="49"/>
  <c r="J354" i="49"/>
  <c r="K354" i="49" s="1"/>
  <c r="J352" i="49"/>
  <c r="K352" i="49" s="1"/>
  <c r="L347" i="49"/>
  <c r="F30" i="49"/>
  <c r="E32" i="49"/>
  <c r="J37" i="49"/>
  <c r="J39" i="49"/>
  <c r="K39" i="49" s="1"/>
  <c r="J41" i="49"/>
  <c r="K41" i="49" s="1"/>
  <c r="E47" i="49"/>
  <c r="L48" i="49"/>
  <c r="B53" i="49"/>
  <c r="C53" i="49" s="1"/>
  <c r="D190" i="49"/>
  <c r="B198" i="49"/>
  <c r="C198" i="49" s="1"/>
  <c r="M386" i="49"/>
  <c r="M387" i="49"/>
  <c r="J411" i="49"/>
  <c r="M230" i="49"/>
  <c r="O230" i="49" s="1"/>
  <c r="P230" i="49" s="1"/>
  <c r="J230" i="49" s="1"/>
  <c r="L270" i="49"/>
  <c r="D269" i="49"/>
  <c r="E270" i="49"/>
  <c r="D268" i="49"/>
  <c r="B274" i="49"/>
  <c r="C274" i="49" s="1"/>
  <c r="J276" i="49"/>
  <c r="K276" i="49" s="1"/>
  <c r="D296" i="49"/>
  <c r="M296" i="49" s="1"/>
  <c r="E192" i="49"/>
  <c r="L192" i="49"/>
  <c r="D191" i="49"/>
  <c r="C196" i="49"/>
  <c r="J198" i="49"/>
  <c r="K198" i="49" s="1"/>
  <c r="L374" i="49"/>
  <c r="D373" i="49"/>
  <c r="J380" i="49"/>
  <c r="K380" i="49" s="1"/>
  <c r="J378" i="49"/>
  <c r="K378" i="49" s="1"/>
  <c r="B380" i="49"/>
  <c r="C380" i="49" s="1"/>
  <c r="B378" i="49"/>
  <c r="C378" i="49" s="1"/>
  <c r="L373" i="49"/>
  <c r="E372" i="49"/>
  <c r="E374" i="49"/>
  <c r="D372" i="49"/>
  <c r="J379" i="49"/>
  <c r="K379" i="49" s="1"/>
  <c r="D374" i="49"/>
  <c r="D100" i="49"/>
  <c r="M100" i="49" s="1"/>
  <c r="D152" i="49"/>
  <c r="E191" i="49"/>
  <c r="D192" i="49"/>
  <c r="M256" i="49"/>
  <c r="O255" i="49" s="1"/>
  <c r="J274" i="49"/>
  <c r="K274" i="49" s="1"/>
  <c r="E296" i="49"/>
  <c r="D294" i="49"/>
  <c r="B301" i="49"/>
  <c r="C301" i="49" s="1"/>
  <c r="E295" i="49"/>
  <c r="L296" i="49"/>
  <c r="D295" i="49"/>
  <c r="J302" i="49"/>
  <c r="K302" i="49" s="1"/>
  <c r="J300" i="49"/>
  <c r="K300" i="49" s="1"/>
  <c r="M360" i="49"/>
  <c r="O359" i="49" s="1"/>
  <c r="J404" i="49"/>
  <c r="K404" i="49" s="1"/>
  <c r="J406" i="49"/>
  <c r="K406" i="49" s="1"/>
  <c r="D426" i="49"/>
  <c r="J431" i="49"/>
  <c r="K431" i="49" s="1"/>
  <c r="L359" i="49"/>
  <c r="D399" i="49"/>
  <c r="M399" i="49" s="1"/>
  <c r="L400" i="49"/>
  <c r="D424" i="49"/>
  <c r="M424" i="49" s="1"/>
  <c r="E426" i="49"/>
  <c r="D361" i="49"/>
  <c r="M361" i="49" s="1"/>
  <c r="J391" i="49"/>
  <c r="E399" i="49"/>
  <c r="B405" i="49"/>
  <c r="C405" i="49" s="1"/>
  <c r="D413" i="49"/>
  <c r="M413" i="49" s="1"/>
  <c r="O413" i="49" s="1"/>
  <c r="E424" i="49"/>
  <c r="L425" i="49"/>
  <c r="B430" i="49"/>
  <c r="C430" i="49" s="1"/>
  <c r="B432" i="49"/>
  <c r="C432" i="49" s="1"/>
  <c r="D400" i="49"/>
  <c r="J405" i="49"/>
  <c r="K405" i="49" s="1"/>
  <c r="J430" i="49"/>
  <c r="K430" i="49" s="1"/>
  <c r="J432" i="49"/>
  <c r="K432" i="49" s="1"/>
  <c r="D398" i="49"/>
  <c r="M398" i="49" s="1"/>
  <c r="D425" i="49"/>
  <c r="M425" i="49" s="1"/>
  <c r="AI80" i="40"/>
  <c r="P40" i="40"/>
  <c r="AI88" i="40"/>
  <c r="AI136" i="40"/>
  <c r="L127" i="39"/>
  <c r="D126" i="39"/>
  <c r="E125" i="39"/>
  <c r="B132" i="39"/>
  <c r="C132" i="39" s="1"/>
  <c r="J131" i="39"/>
  <c r="K131" i="39" s="1"/>
  <c r="L126" i="39"/>
  <c r="J133" i="39"/>
  <c r="K133" i="39" s="1"/>
  <c r="B133" i="39"/>
  <c r="C133" i="39" s="1"/>
  <c r="D127" i="39"/>
  <c r="F12" i="39"/>
  <c r="B131" i="39"/>
  <c r="C131" i="39" s="1"/>
  <c r="E153" i="39"/>
  <c r="D151" i="39"/>
  <c r="B157" i="39"/>
  <c r="C157" i="39" s="1"/>
  <c r="D153" i="39"/>
  <c r="L151" i="39"/>
  <c r="B159" i="39"/>
  <c r="C159" i="39" s="1"/>
  <c r="E152" i="39"/>
  <c r="J158" i="39"/>
  <c r="K158" i="39" s="1"/>
  <c r="D152" i="39"/>
  <c r="E151" i="39"/>
  <c r="L152" i="39"/>
  <c r="J157" i="39"/>
  <c r="K157" i="39" s="1"/>
  <c r="L138" i="39"/>
  <c r="J146" i="39"/>
  <c r="K146" i="39" s="1"/>
  <c r="E138" i="39"/>
  <c r="D138" i="39"/>
  <c r="B144" i="39"/>
  <c r="C144" i="39" s="1"/>
  <c r="L139" i="39"/>
  <c r="B146" i="39"/>
  <c r="C146" i="39" s="1"/>
  <c r="E140" i="39"/>
  <c r="D140" i="39"/>
  <c r="B145" i="39"/>
  <c r="C145" i="39" s="1"/>
  <c r="E139" i="39"/>
  <c r="E8" i="39"/>
  <c r="E11" i="39"/>
  <c r="L125" i="39"/>
  <c r="J132" i="39"/>
  <c r="K132" i="39" s="1"/>
  <c r="L140" i="39"/>
  <c r="B158" i="39"/>
  <c r="C158" i="39" s="1"/>
  <c r="J145" i="39"/>
  <c r="K145" i="39" s="1"/>
  <c r="F8" i="39"/>
  <c r="F11" i="39"/>
  <c r="J17" i="39"/>
  <c r="K17" i="39" s="1"/>
  <c r="J21" i="39"/>
  <c r="K21" i="39" s="1"/>
  <c r="D139" i="39"/>
  <c r="J159" i="39"/>
  <c r="K159" i="39" s="1"/>
  <c r="G12" i="39"/>
  <c r="D11" i="39"/>
  <c r="F9" i="39"/>
  <c r="D8" i="39"/>
  <c r="E12" i="39"/>
  <c r="G10" i="39"/>
  <c r="D9" i="39"/>
  <c r="B25" i="39"/>
  <c r="C25" i="39" s="1"/>
  <c r="B23" i="39"/>
  <c r="C23" i="39" s="1"/>
  <c r="B21" i="39"/>
  <c r="C21" i="39" s="1"/>
  <c r="B19" i="39"/>
  <c r="C19" i="39" s="1"/>
  <c r="B17" i="39"/>
  <c r="C17" i="39" s="1"/>
  <c r="D12" i="39"/>
  <c r="F10" i="39"/>
  <c r="J24" i="39"/>
  <c r="K24" i="39" s="1"/>
  <c r="J22" i="39"/>
  <c r="K22" i="39" s="1"/>
  <c r="J20" i="39"/>
  <c r="K20" i="39" s="1"/>
  <c r="J18" i="39"/>
  <c r="K18" i="39" s="1"/>
  <c r="J16" i="39"/>
  <c r="K16" i="39" s="1"/>
  <c r="G11" i="39"/>
  <c r="D10" i="39"/>
  <c r="G8" i="39"/>
  <c r="E9" i="39"/>
  <c r="E10" i="39"/>
  <c r="B18" i="39"/>
  <c r="C18" i="39" s="1"/>
  <c r="B22" i="39"/>
  <c r="C22" i="39" s="1"/>
  <c r="E127" i="39"/>
  <c r="J144" i="39"/>
  <c r="K144" i="39" s="1"/>
  <c r="M230" i="39"/>
  <c r="G9" i="39"/>
  <c r="M166" i="39"/>
  <c r="E30" i="39"/>
  <c r="D32" i="39"/>
  <c r="B40" i="39"/>
  <c r="C40" i="39" s="1"/>
  <c r="L75" i="39"/>
  <c r="D74" i="39"/>
  <c r="J80" i="39"/>
  <c r="K80" i="39" s="1"/>
  <c r="J92" i="39"/>
  <c r="K92" i="39" s="1"/>
  <c r="L179" i="39"/>
  <c r="B185" i="39"/>
  <c r="C185" i="39" s="1"/>
  <c r="D218" i="39"/>
  <c r="L270" i="39"/>
  <c r="D269" i="39"/>
  <c r="B276" i="39"/>
  <c r="C276" i="39" s="1"/>
  <c r="B274" i="39"/>
  <c r="C274" i="39" s="1"/>
  <c r="L269" i="39"/>
  <c r="E268" i="39"/>
  <c r="E270" i="39"/>
  <c r="D268" i="39"/>
  <c r="L268" i="39"/>
  <c r="B275" i="39"/>
  <c r="C275" i="39" s="1"/>
  <c r="E269" i="39"/>
  <c r="J274" i="39"/>
  <c r="K274" i="39" s="1"/>
  <c r="D270" i="39"/>
  <c r="J276" i="39"/>
  <c r="K276" i="39" s="1"/>
  <c r="F32" i="39"/>
  <c r="J40" i="39"/>
  <c r="K40" i="39" s="1"/>
  <c r="D177" i="39"/>
  <c r="M205" i="39"/>
  <c r="O203" i="39" s="1"/>
  <c r="L218" i="39"/>
  <c r="D217" i="39"/>
  <c r="E218" i="39"/>
  <c r="D216" i="39"/>
  <c r="L216" i="39"/>
  <c r="J223" i="39"/>
  <c r="K223" i="39" s="1"/>
  <c r="L217" i="39"/>
  <c r="B224" i="39"/>
  <c r="C224" i="39" s="1"/>
  <c r="M283" i="39"/>
  <c r="J38" i="39"/>
  <c r="K38" i="39" s="1"/>
  <c r="L48" i="39"/>
  <c r="L73" i="39"/>
  <c r="E75" i="39"/>
  <c r="B79" i="39"/>
  <c r="C79" i="39" s="1"/>
  <c r="J93" i="39"/>
  <c r="K93" i="39" s="1"/>
  <c r="E101" i="39"/>
  <c r="D99" i="39"/>
  <c r="L101" i="39"/>
  <c r="B106" i="39"/>
  <c r="C106" i="39" s="1"/>
  <c r="E177" i="39"/>
  <c r="B183" i="39"/>
  <c r="C183" i="39" s="1"/>
  <c r="M165" i="39"/>
  <c r="E179" i="39"/>
  <c r="D178" i="39"/>
  <c r="E31" i="39"/>
  <c r="E33" i="39"/>
  <c r="B39" i="39"/>
  <c r="C39" i="39" s="1"/>
  <c r="E49" i="39"/>
  <c r="D47" i="39"/>
  <c r="L49" i="39"/>
  <c r="B54" i="39"/>
  <c r="C54" i="39" s="1"/>
  <c r="L74" i="39"/>
  <c r="J79" i="39"/>
  <c r="K79" i="39" s="1"/>
  <c r="E88" i="39"/>
  <c r="B94" i="39"/>
  <c r="C94" i="39" s="1"/>
  <c r="D100" i="39"/>
  <c r="J106" i="39"/>
  <c r="K106" i="39" s="1"/>
  <c r="E178" i="39"/>
  <c r="D179" i="39"/>
  <c r="M257" i="39"/>
  <c r="B327" i="39"/>
  <c r="C327" i="39" s="1"/>
  <c r="M348" i="39"/>
  <c r="L374" i="39"/>
  <c r="D373" i="39"/>
  <c r="J380" i="39"/>
  <c r="K380" i="39" s="1"/>
  <c r="J378" i="39"/>
  <c r="K378" i="39" s="1"/>
  <c r="B380" i="39"/>
  <c r="C380" i="39" s="1"/>
  <c r="B378" i="39"/>
  <c r="C378" i="39" s="1"/>
  <c r="L373" i="39"/>
  <c r="E372" i="39"/>
  <c r="E374" i="39"/>
  <c r="D372" i="39"/>
  <c r="L372" i="39"/>
  <c r="L322" i="39"/>
  <c r="D321" i="39"/>
  <c r="J328" i="39"/>
  <c r="K328" i="39" s="1"/>
  <c r="J326" i="39"/>
  <c r="K326" i="39" s="1"/>
  <c r="B328" i="39"/>
  <c r="C328" i="39" s="1"/>
  <c r="B326" i="39"/>
  <c r="C326" i="39" s="1"/>
  <c r="L321" i="39"/>
  <c r="E320" i="39"/>
  <c r="E322" i="39"/>
  <c r="D320" i="39"/>
  <c r="L320" i="39"/>
  <c r="M387" i="39"/>
  <c r="M346" i="39"/>
  <c r="M334" i="39"/>
  <c r="M335" i="39"/>
  <c r="M359" i="39"/>
  <c r="B379" i="39"/>
  <c r="C379" i="39" s="1"/>
  <c r="D374" i="39"/>
  <c r="J379" i="39"/>
  <c r="K379" i="39" s="1"/>
  <c r="D229" i="39"/>
  <c r="M229" i="39" s="1"/>
  <c r="D256" i="39"/>
  <c r="M256" i="39" s="1"/>
  <c r="D281" i="39"/>
  <c r="M281" i="39" s="1"/>
  <c r="D308" i="39"/>
  <c r="M308" i="39" s="1"/>
  <c r="L309" i="39"/>
  <c r="D333" i="39"/>
  <c r="M333" i="39" s="1"/>
  <c r="D360" i="39"/>
  <c r="L361" i="39"/>
  <c r="D412" i="39"/>
  <c r="L413" i="39"/>
  <c r="L424" i="39"/>
  <c r="D191" i="39"/>
  <c r="M191" i="39" s="1"/>
  <c r="L192" i="39"/>
  <c r="D295" i="39"/>
  <c r="D347" i="39"/>
  <c r="M347" i="39" s="1"/>
  <c r="L359" i="39"/>
  <c r="D399" i="39"/>
  <c r="M399" i="39" s="1"/>
  <c r="L400" i="39"/>
  <c r="L411" i="39"/>
  <c r="D424" i="39"/>
  <c r="E426" i="39"/>
  <c r="D361" i="39"/>
  <c r="M361" i="39" s="1"/>
  <c r="D413" i="39"/>
  <c r="J418" i="39"/>
  <c r="K418" i="39" s="1"/>
  <c r="E424" i="39"/>
  <c r="L425" i="39"/>
  <c r="B430" i="39"/>
  <c r="C430" i="39" s="1"/>
  <c r="B432" i="39"/>
  <c r="C432" i="39" s="1"/>
  <c r="D400" i="39"/>
  <c r="J405" i="39"/>
  <c r="K405" i="39" s="1"/>
  <c r="E411" i="39"/>
  <c r="L412" i="39"/>
  <c r="B417" i="39"/>
  <c r="C417" i="39" s="1"/>
  <c r="J430" i="39"/>
  <c r="K430" i="39" s="1"/>
  <c r="J432" i="39"/>
  <c r="K432" i="39" s="1"/>
  <c r="D190" i="39"/>
  <c r="M190" i="39" s="1"/>
  <c r="D425" i="39"/>
  <c r="G46" i="38"/>
  <c r="AI166" i="38"/>
  <c r="L62" i="37"/>
  <c r="D61" i="37"/>
  <c r="J66" i="37"/>
  <c r="K66" i="37" s="1"/>
  <c r="L61" i="37"/>
  <c r="J68" i="37"/>
  <c r="K68" i="37" s="1"/>
  <c r="B68" i="37"/>
  <c r="C68" i="37" s="1"/>
  <c r="D62" i="37"/>
  <c r="E61" i="37"/>
  <c r="E60" i="37"/>
  <c r="B66" i="37"/>
  <c r="C66" i="37" s="1"/>
  <c r="E88" i="37"/>
  <c r="D86" i="37"/>
  <c r="B93" i="37"/>
  <c r="C93" i="37" s="1"/>
  <c r="E87" i="37"/>
  <c r="J93" i="37"/>
  <c r="K93" i="37" s="1"/>
  <c r="L88" i="37"/>
  <c r="L87" i="37"/>
  <c r="J92" i="37"/>
  <c r="K92" i="37" s="1"/>
  <c r="D88" i="37"/>
  <c r="D87" i="37"/>
  <c r="E86" i="37"/>
  <c r="J94" i="37"/>
  <c r="K94" i="37" s="1"/>
  <c r="E127" i="37"/>
  <c r="M99" i="37"/>
  <c r="D126" i="37"/>
  <c r="B133" i="37"/>
  <c r="C133" i="37" s="1"/>
  <c r="B131" i="37"/>
  <c r="C131" i="37" s="1"/>
  <c r="L126" i="37"/>
  <c r="E125" i="37"/>
  <c r="L125" i="37"/>
  <c r="J133" i="37"/>
  <c r="K133" i="37" s="1"/>
  <c r="J131" i="37"/>
  <c r="K131" i="37" s="1"/>
  <c r="B132" i="37"/>
  <c r="C132" i="37" s="1"/>
  <c r="D127" i="37"/>
  <c r="E126" i="37"/>
  <c r="D125" i="37"/>
  <c r="J171" i="37"/>
  <c r="K171" i="37" s="1"/>
  <c r="D166" i="37"/>
  <c r="M166" i="37" s="1"/>
  <c r="L166" i="37"/>
  <c r="D165" i="37"/>
  <c r="J172" i="37"/>
  <c r="K172" i="37" s="1"/>
  <c r="J170" i="37"/>
  <c r="K170" i="37" s="1"/>
  <c r="B172" i="37"/>
  <c r="C172" i="37" s="1"/>
  <c r="B170" i="37"/>
  <c r="C170" i="37" s="1"/>
  <c r="L165" i="37"/>
  <c r="E164" i="37"/>
  <c r="E165" i="37"/>
  <c r="D164" i="37"/>
  <c r="E166" i="37"/>
  <c r="L164" i="37"/>
  <c r="J132" i="37"/>
  <c r="K132" i="37" s="1"/>
  <c r="L73" i="37"/>
  <c r="J81" i="37"/>
  <c r="K81" i="37" s="1"/>
  <c r="J79" i="37"/>
  <c r="K79" i="37" s="1"/>
  <c r="B79" i="37"/>
  <c r="C79" i="37" s="1"/>
  <c r="E75" i="37"/>
  <c r="D75" i="37"/>
  <c r="E74" i="37"/>
  <c r="J80" i="37"/>
  <c r="K80" i="37" s="1"/>
  <c r="D74" i="37"/>
  <c r="E73" i="37"/>
  <c r="B81" i="37"/>
  <c r="C81" i="37" s="1"/>
  <c r="B183" i="37"/>
  <c r="C183" i="37" s="1"/>
  <c r="L178" i="37"/>
  <c r="E177" i="37"/>
  <c r="B185" i="37"/>
  <c r="C185" i="37" s="1"/>
  <c r="E179" i="37"/>
  <c r="D177" i="37"/>
  <c r="J184" i="37"/>
  <c r="K184" i="37" s="1"/>
  <c r="L177" i="37"/>
  <c r="B184" i="37"/>
  <c r="C184" i="37" s="1"/>
  <c r="E178" i="37"/>
  <c r="J183" i="37"/>
  <c r="K183" i="37" s="1"/>
  <c r="M333" i="37"/>
  <c r="F30" i="37"/>
  <c r="E32" i="37"/>
  <c r="J37" i="37"/>
  <c r="K37" i="37" s="1"/>
  <c r="B40" i="37"/>
  <c r="C40" i="37" s="1"/>
  <c r="D112" i="37"/>
  <c r="E113" i="37"/>
  <c r="L218" i="37"/>
  <c r="D217" i="37"/>
  <c r="E218" i="37"/>
  <c r="D216" i="37"/>
  <c r="J222" i="37"/>
  <c r="K222" i="37" s="1"/>
  <c r="D218" i="37"/>
  <c r="E217" i="37"/>
  <c r="E216" i="37"/>
  <c r="B224" i="37"/>
  <c r="C224" i="37" s="1"/>
  <c r="L217" i="37"/>
  <c r="J223" i="37"/>
  <c r="K223" i="37" s="1"/>
  <c r="F32" i="37"/>
  <c r="B38" i="37"/>
  <c r="C38" i="37" s="1"/>
  <c r="J42" i="37"/>
  <c r="K42" i="37" s="1"/>
  <c r="J119" i="37"/>
  <c r="K119" i="37" s="1"/>
  <c r="D114" i="37"/>
  <c r="L114" i="37"/>
  <c r="D113" i="37"/>
  <c r="B120" i="37"/>
  <c r="C120" i="37" s="1"/>
  <c r="B118" i="37"/>
  <c r="C118" i="37" s="1"/>
  <c r="L113" i="37"/>
  <c r="E112" i="37"/>
  <c r="E244" i="37"/>
  <c r="D242" i="37"/>
  <c r="B249" i="37"/>
  <c r="C249" i="37" s="1"/>
  <c r="E243" i="37"/>
  <c r="L244" i="37"/>
  <c r="D243" i="37"/>
  <c r="J248" i="37"/>
  <c r="K248" i="37" s="1"/>
  <c r="D244" i="37"/>
  <c r="E242" i="37"/>
  <c r="J250" i="37"/>
  <c r="K250" i="37" s="1"/>
  <c r="L243" i="37"/>
  <c r="L242" i="37"/>
  <c r="J249" i="37"/>
  <c r="K249" i="37" s="1"/>
  <c r="M256" i="37"/>
  <c r="M308" i="37"/>
  <c r="E348" i="37"/>
  <c r="D346" i="37"/>
  <c r="J353" i="37"/>
  <c r="K353" i="37" s="1"/>
  <c r="D348" i="37"/>
  <c r="L346" i="37"/>
  <c r="B353" i="37"/>
  <c r="C353" i="37" s="1"/>
  <c r="E347" i="37"/>
  <c r="L348" i="37"/>
  <c r="D347" i="37"/>
  <c r="J354" i="37"/>
  <c r="K354" i="37" s="1"/>
  <c r="J352" i="37"/>
  <c r="K352" i="37" s="1"/>
  <c r="L347" i="37"/>
  <c r="E346" i="37"/>
  <c r="D31" i="37"/>
  <c r="D33" i="37"/>
  <c r="J38" i="37"/>
  <c r="K38" i="37" s="1"/>
  <c r="J146" i="37"/>
  <c r="K146" i="37" s="1"/>
  <c r="J144" i="37"/>
  <c r="K144" i="37" s="1"/>
  <c r="E140" i="37"/>
  <c r="D138" i="37"/>
  <c r="B145" i="37"/>
  <c r="C145" i="37" s="1"/>
  <c r="E139" i="37"/>
  <c r="M151" i="37"/>
  <c r="E31" i="37"/>
  <c r="E33" i="37"/>
  <c r="M100" i="37"/>
  <c r="L112" i="37"/>
  <c r="J120" i="37"/>
  <c r="K120" i="37" s="1"/>
  <c r="D139" i="37"/>
  <c r="D140" i="37"/>
  <c r="M152" i="37"/>
  <c r="D179" i="37"/>
  <c r="D153" i="37"/>
  <c r="M153" i="37" s="1"/>
  <c r="M257" i="37"/>
  <c r="L270" i="37"/>
  <c r="D269" i="37"/>
  <c r="B276" i="37"/>
  <c r="C276" i="37" s="1"/>
  <c r="B274" i="37"/>
  <c r="C274" i="37" s="1"/>
  <c r="L269" i="37"/>
  <c r="E268" i="37"/>
  <c r="E270" i="37"/>
  <c r="D268" i="37"/>
  <c r="J275" i="37"/>
  <c r="K275" i="37" s="1"/>
  <c r="D270" i="37"/>
  <c r="E296" i="37"/>
  <c r="D294" i="37"/>
  <c r="L294" i="37"/>
  <c r="B301" i="37"/>
  <c r="C301" i="37" s="1"/>
  <c r="E295" i="37"/>
  <c r="L296" i="37"/>
  <c r="D295" i="37"/>
  <c r="J302" i="37"/>
  <c r="K302" i="37" s="1"/>
  <c r="J300" i="37"/>
  <c r="K300" i="37" s="1"/>
  <c r="M307" i="37"/>
  <c r="E400" i="37"/>
  <c r="D398" i="37"/>
  <c r="J405" i="37"/>
  <c r="K405" i="37" s="1"/>
  <c r="D400" i="37"/>
  <c r="L398" i="37"/>
  <c r="B405" i="37"/>
  <c r="C405" i="37" s="1"/>
  <c r="E399" i="37"/>
  <c r="L400" i="37"/>
  <c r="D399" i="37"/>
  <c r="J406" i="37"/>
  <c r="K406" i="37" s="1"/>
  <c r="J404" i="37"/>
  <c r="K404" i="37" s="1"/>
  <c r="B406" i="37"/>
  <c r="C406" i="37" s="1"/>
  <c r="E192" i="37"/>
  <c r="D190" i="37"/>
  <c r="M190" i="37" s="1"/>
  <c r="L192" i="37"/>
  <c r="B197" i="37"/>
  <c r="C197" i="37" s="1"/>
  <c r="L268" i="37"/>
  <c r="J274" i="37"/>
  <c r="K274" i="37" s="1"/>
  <c r="M282" i="37"/>
  <c r="M360" i="37"/>
  <c r="M411" i="37"/>
  <c r="M412" i="37"/>
  <c r="M255" i="37"/>
  <c r="M334" i="37"/>
  <c r="M204" i="37"/>
  <c r="B404" i="37"/>
  <c r="C404" i="37" s="1"/>
  <c r="D322" i="37"/>
  <c r="J327" i="37"/>
  <c r="K327" i="37" s="1"/>
  <c r="D374" i="37"/>
  <c r="J379" i="37"/>
  <c r="K379" i="37" s="1"/>
  <c r="D426" i="37"/>
  <c r="J431" i="37"/>
  <c r="K431" i="37" s="1"/>
  <c r="D320" i="37"/>
  <c r="E322" i="37"/>
  <c r="L359" i="37"/>
  <c r="D372" i="37"/>
  <c r="E374" i="37"/>
  <c r="D424" i="37"/>
  <c r="E426" i="37"/>
  <c r="E320" i="37"/>
  <c r="L321" i="37"/>
  <c r="B326" i="37"/>
  <c r="C326" i="37" s="1"/>
  <c r="B328" i="37"/>
  <c r="C328" i="37" s="1"/>
  <c r="D361" i="37"/>
  <c r="M361" i="37" s="1"/>
  <c r="O359" i="37" s="1"/>
  <c r="E372" i="37"/>
  <c r="L373" i="37"/>
  <c r="B378" i="37"/>
  <c r="C378" i="37" s="1"/>
  <c r="B380" i="37"/>
  <c r="C380" i="37" s="1"/>
  <c r="J391" i="37"/>
  <c r="D413" i="37"/>
  <c r="M413" i="37" s="1"/>
  <c r="E424" i="37"/>
  <c r="L425" i="37"/>
  <c r="B430" i="37"/>
  <c r="C430" i="37" s="1"/>
  <c r="B432" i="37"/>
  <c r="C432" i="37" s="1"/>
  <c r="J430" i="37"/>
  <c r="K430" i="37" s="1"/>
  <c r="J432" i="37"/>
  <c r="K432" i="37" s="1"/>
  <c r="D321" i="37"/>
  <c r="D373" i="37"/>
  <c r="D425" i="37"/>
  <c r="M425" i="37" s="1"/>
  <c r="G38" i="48"/>
  <c r="AI110" i="48"/>
  <c r="F8" i="47"/>
  <c r="F11" i="47"/>
  <c r="E10" i="47"/>
  <c r="M333" i="47"/>
  <c r="F10" i="47"/>
  <c r="D12" i="47"/>
  <c r="B17" i="47"/>
  <c r="C17" i="47" s="1"/>
  <c r="B19" i="47"/>
  <c r="C19" i="47" s="1"/>
  <c r="B21" i="47"/>
  <c r="C21" i="47" s="1"/>
  <c r="B23" i="47"/>
  <c r="C23" i="47" s="1"/>
  <c r="D9" i="47"/>
  <c r="G10" i="47"/>
  <c r="E12" i="47"/>
  <c r="J25" i="47"/>
  <c r="K25" i="47" s="1"/>
  <c r="D75" i="47"/>
  <c r="B79" i="47"/>
  <c r="C79" i="47" s="1"/>
  <c r="B92" i="47"/>
  <c r="C92" i="47" s="1"/>
  <c r="E9" i="47"/>
  <c r="F12" i="47"/>
  <c r="J17" i="47"/>
  <c r="K17" i="47" s="1"/>
  <c r="J19" i="47"/>
  <c r="K19" i="47" s="1"/>
  <c r="J21" i="47"/>
  <c r="K21" i="47" s="1"/>
  <c r="J23" i="47"/>
  <c r="K23" i="47" s="1"/>
  <c r="E73" i="47"/>
  <c r="C289" i="47"/>
  <c r="M281" i="47"/>
  <c r="D8" i="47"/>
  <c r="F9" i="47"/>
  <c r="D11" i="47"/>
  <c r="G12" i="47"/>
  <c r="L73" i="47"/>
  <c r="B80" i="47"/>
  <c r="C80" i="47" s="1"/>
  <c r="E74" i="47"/>
  <c r="L75" i="47"/>
  <c r="D74" i="47"/>
  <c r="J79" i="47"/>
  <c r="K79" i="47" s="1"/>
  <c r="E88" i="47"/>
  <c r="D86" i="47"/>
  <c r="J93" i="47"/>
  <c r="K93" i="47" s="1"/>
  <c r="D88" i="47"/>
  <c r="L86" i="47"/>
  <c r="J94" i="47"/>
  <c r="K94" i="47" s="1"/>
  <c r="J92" i="47"/>
  <c r="K92" i="47" s="1"/>
  <c r="D87" i="47"/>
  <c r="B146" i="47"/>
  <c r="C146" i="47" s="1"/>
  <c r="B144" i="47"/>
  <c r="C144" i="47" s="1"/>
  <c r="L139" i="47"/>
  <c r="E138" i="47"/>
  <c r="E140" i="47"/>
  <c r="D138" i="47"/>
  <c r="J145" i="47"/>
  <c r="K145" i="47" s="1"/>
  <c r="D140" i="47"/>
  <c r="L138" i="47"/>
  <c r="L140" i="47"/>
  <c r="D139" i="47"/>
  <c r="J146" i="47"/>
  <c r="K146" i="47" s="1"/>
  <c r="J144" i="47"/>
  <c r="K144" i="47" s="1"/>
  <c r="E100" i="47"/>
  <c r="B106" i="47"/>
  <c r="C106" i="47" s="1"/>
  <c r="D114" i="47"/>
  <c r="J119" i="47"/>
  <c r="K119" i="47" s="1"/>
  <c r="E125" i="47"/>
  <c r="L126" i="47"/>
  <c r="B131" i="47"/>
  <c r="C131" i="47" s="1"/>
  <c r="B133" i="47"/>
  <c r="C133" i="47" s="1"/>
  <c r="D166" i="47"/>
  <c r="J171" i="47"/>
  <c r="K171" i="47" s="1"/>
  <c r="E177" i="47"/>
  <c r="L178" i="47"/>
  <c r="B183" i="47"/>
  <c r="C183" i="47" s="1"/>
  <c r="B185" i="47"/>
  <c r="C185" i="47" s="1"/>
  <c r="D192" i="47"/>
  <c r="B198" i="47"/>
  <c r="C198" i="47" s="1"/>
  <c r="E204" i="47"/>
  <c r="B211" i="47"/>
  <c r="C211" i="47" s="1"/>
  <c r="E244" i="47"/>
  <c r="D242" i="47"/>
  <c r="L244" i="47"/>
  <c r="D243" i="47"/>
  <c r="B248" i="47"/>
  <c r="C248" i="47" s="1"/>
  <c r="J250" i="47"/>
  <c r="K250" i="47" s="1"/>
  <c r="B276" i="47"/>
  <c r="C276" i="47" s="1"/>
  <c r="M309" i="47"/>
  <c r="M411" i="47"/>
  <c r="D164" i="47"/>
  <c r="E166" i="47"/>
  <c r="J185" i="47"/>
  <c r="K185" i="47" s="1"/>
  <c r="L190" i="47"/>
  <c r="E192" i="47"/>
  <c r="B196" i="47"/>
  <c r="C196" i="47" s="1"/>
  <c r="J183" i="47"/>
  <c r="K183" i="47" s="1"/>
  <c r="J198" i="47"/>
  <c r="K198" i="47" s="1"/>
  <c r="E205" i="47"/>
  <c r="B209" i="47"/>
  <c r="C209" i="47" s="1"/>
  <c r="J223" i="47"/>
  <c r="K223" i="47" s="1"/>
  <c r="J248" i="47"/>
  <c r="K248" i="47" s="1"/>
  <c r="L270" i="47"/>
  <c r="D269" i="47"/>
  <c r="E270" i="47"/>
  <c r="D268" i="47"/>
  <c r="B274" i="47"/>
  <c r="C274" i="47" s="1"/>
  <c r="J276" i="47"/>
  <c r="K276" i="47" s="1"/>
  <c r="D126" i="47"/>
  <c r="L127" i="47"/>
  <c r="L191" i="47"/>
  <c r="J196" i="47"/>
  <c r="K196" i="47" s="1"/>
  <c r="J66" i="47"/>
  <c r="J68" i="47"/>
  <c r="K68" i="47" s="1"/>
  <c r="E99" i="47"/>
  <c r="L100" i="47"/>
  <c r="B105" i="47"/>
  <c r="C105" i="47" s="1"/>
  <c r="J118" i="47"/>
  <c r="K118" i="47" s="1"/>
  <c r="J120" i="47"/>
  <c r="K120" i="47" s="1"/>
  <c r="E126" i="47"/>
  <c r="B132" i="47"/>
  <c r="C132" i="47" s="1"/>
  <c r="E151" i="47"/>
  <c r="L152" i="47"/>
  <c r="B157" i="47"/>
  <c r="C157" i="47" s="1"/>
  <c r="J170" i="47"/>
  <c r="K170" i="47" s="1"/>
  <c r="J172" i="47"/>
  <c r="K172" i="47" s="1"/>
  <c r="E178" i="47"/>
  <c r="M178" i="47" s="1"/>
  <c r="B184" i="47"/>
  <c r="C184" i="47" s="1"/>
  <c r="D190" i="47"/>
  <c r="B197" i="47"/>
  <c r="C197" i="47" s="1"/>
  <c r="D203" i="47"/>
  <c r="L204" i="47"/>
  <c r="L243" i="47"/>
  <c r="J274" i="47"/>
  <c r="K274" i="47" s="1"/>
  <c r="E296" i="47"/>
  <c r="D294" i="47"/>
  <c r="J301" i="47"/>
  <c r="K301" i="47" s="1"/>
  <c r="D296" i="47"/>
  <c r="B301" i="47"/>
  <c r="C301" i="47" s="1"/>
  <c r="E295" i="47"/>
  <c r="L296" i="47"/>
  <c r="D295" i="47"/>
  <c r="L295" i="47"/>
  <c r="B300" i="47"/>
  <c r="C300" i="47" s="1"/>
  <c r="D61" i="47"/>
  <c r="D113" i="47"/>
  <c r="L125" i="47"/>
  <c r="D165" i="47"/>
  <c r="E203" i="47"/>
  <c r="L205" i="47"/>
  <c r="B210" i="47"/>
  <c r="C210" i="47" s="1"/>
  <c r="L218" i="47"/>
  <c r="D217" i="47"/>
  <c r="E218" i="47"/>
  <c r="D216" i="47"/>
  <c r="B222" i="47"/>
  <c r="C222" i="47" s="1"/>
  <c r="J224" i="47"/>
  <c r="K224" i="47" s="1"/>
  <c r="J249" i="47"/>
  <c r="K249" i="47" s="1"/>
  <c r="L268" i="47"/>
  <c r="B275" i="47"/>
  <c r="C275" i="47" s="1"/>
  <c r="M335" i="47"/>
  <c r="D127" i="47"/>
  <c r="L192" i="47"/>
  <c r="D191" i="47"/>
  <c r="J197" i="47"/>
  <c r="K197" i="47" s="1"/>
  <c r="J210" i="47"/>
  <c r="K210" i="47" s="1"/>
  <c r="E217" i="47"/>
  <c r="D218" i="47"/>
  <c r="B250" i="47"/>
  <c r="C250" i="47" s="1"/>
  <c r="L269" i="47"/>
  <c r="L294" i="47"/>
  <c r="J300" i="47"/>
  <c r="K300" i="47" s="1"/>
  <c r="M334" i="47"/>
  <c r="D322" i="47"/>
  <c r="J327" i="47"/>
  <c r="K327" i="47" s="1"/>
  <c r="J352" i="47"/>
  <c r="K352" i="47" s="1"/>
  <c r="J354" i="47"/>
  <c r="K354" i="47" s="1"/>
  <c r="D374" i="47"/>
  <c r="J379" i="47"/>
  <c r="K379" i="47" s="1"/>
  <c r="J404" i="47"/>
  <c r="K404" i="47" s="1"/>
  <c r="J406" i="47"/>
  <c r="K406" i="47" s="1"/>
  <c r="D426" i="47"/>
  <c r="J431" i="47"/>
  <c r="K431" i="47" s="1"/>
  <c r="C314" i="47"/>
  <c r="D320" i="47"/>
  <c r="E322" i="47"/>
  <c r="D347" i="47"/>
  <c r="L348" i="47"/>
  <c r="L359" i="47"/>
  <c r="D372" i="47"/>
  <c r="E374" i="47"/>
  <c r="D399" i="47"/>
  <c r="L400" i="47"/>
  <c r="D424" i="47"/>
  <c r="E426" i="47"/>
  <c r="E320" i="47"/>
  <c r="L321" i="47"/>
  <c r="B326" i="47"/>
  <c r="C326" i="47" s="1"/>
  <c r="B328" i="47"/>
  <c r="C328" i="47" s="1"/>
  <c r="E347" i="47"/>
  <c r="B353" i="47"/>
  <c r="C353" i="47" s="1"/>
  <c r="D361" i="47"/>
  <c r="M361" i="47" s="1"/>
  <c r="E372" i="47"/>
  <c r="L373" i="47"/>
  <c r="B378" i="47"/>
  <c r="C378" i="47" s="1"/>
  <c r="B380" i="47"/>
  <c r="C380" i="47" s="1"/>
  <c r="J391" i="47"/>
  <c r="M387" i="47" s="1"/>
  <c r="E399" i="47"/>
  <c r="B405" i="47"/>
  <c r="C405" i="47" s="1"/>
  <c r="D413" i="47"/>
  <c r="M413" i="47" s="1"/>
  <c r="E424" i="47"/>
  <c r="L425" i="47"/>
  <c r="B430" i="47"/>
  <c r="C430" i="47" s="1"/>
  <c r="B432" i="47"/>
  <c r="C432" i="47" s="1"/>
  <c r="L346" i="47"/>
  <c r="J326" i="47"/>
  <c r="K326" i="47" s="1"/>
  <c r="J328" i="47"/>
  <c r="K328" i="47" s="1"/>
  <c r="D348" i="47"/>
  <c r="M348" i="47" s="1"/>
  <c r="J353" i="47"/>
  <c r="K353" i="47" s="1"/>
  <c r="J430" i="47"/>
  <c r="K430" i="47" s="1"/>
  <c r="J432" i="47"/>
  <c r="K432" i="47" s="1"/>
  <c r="D321" i="47"/>
  <c r="D346" i="47"/>
  <c r="D373" i="47"/>
  <c r="D398" i="47"/>
  <c r="D425" i="47"/>
  <c r="AI16" i="46"/>
  <c r="P104" i="46"/>
  <c r="D31" i="45"/>
  <c r="L62" i="45"/>
  <c r="D61" i="45"/>
  <c r="J66" i="45"/>
  <c r="K66" i="45" s="1"/>
  <c r="L61" i="45"/>
  <c r="E62" i="45"/>
  <c r="L60" i="45"/>
  <c r="J68" i="45"/>
  <c r="K68" i="45" s="1"/>
  <c r="B66" i="45"/>
  <c r="C66" i="45" s="1"/>
  <c r="B68" i="45"/>
  <c r="C68" i="45" s="1"/>
  <c r="D62" i="45"/>
  <c r="E61" i="45"/>
  <c r="E60" i="45"/>
  <c r="B67" i="45"/>
  <c r="C67" i="45" s="1"/>
  <c r="D60" i="45"/>
  <c r="L49" i="45"/>
  <c r="J119" i="45"/>
  <c r="K119" i="45" s="1"/>
  <c r="D114" i="45"/>
  <c r="L114" i="45"/>
  <c r="D113" i="45"/>
  <c r="B120" i="45"/>
  <c r="C120" i="45" s="1"/>
  <c r="L113" i="45"/>
  <c r="L112" i="45"/>
  <c r="B119" i="45"/>
  <c r="C119" i="45" s="1"/>
  <c r="J118" i="45"/>
  <c r="K118" i="45" s="1"/>
  <c r="J120" i="45"/>
  <c r="K120" i="45" s="1"/>
  <c r="B118" i="45"/>
  <c r="C118" i="45" s="1"/>
  <c r="E112" i="45"/>
  <c r="D112" i="45"/>
  <c r="E114" i="45"/>
  <c r="D33" i="45"/>
  <c r="L73" i="45"/>
  <c r="B81" i="45"/>
  <c r="C81" i="45" s="1"/>
  <c r="E75" i="45"/>
  <c r="D75" i="45"/>
  <c r="J80" i="45"/>
  <c r="K80" i="45" s="1"/>
  <c r="B80" i="45"/>
  <c r="C80" i="45" s="1"/>
  <c r="E74" i="45"/>
  <c r="L75" i="45"/>
  <c r="D74" i="45"/>
  <c r="J81" i="45"/>
  <c r="K81" i="45" s="1"/>
  <c r="E73" i="45"/>
  <c r="B79" i="45"/>
  <c r="C79" i="45" s="1"/>
  <c r="L74" i="45"/>
  <c r="D73" i="45"/>
  <c r="D48" i="45"/>
  <c r="J41" i="45"/>
  <c r="K41" i="45" s="1"/>
  <c r="J39" i="45"/>
  <c r="K39" i="45" s="1"/>
  <c r="J37" i="45"/>
  <c r="K37" i="45" s="1"/>
  <c r="E32" i="45"/>
  <c r="F30" i="45"/>
  <c r="B41" i="45"/>
  <c r="C41" i="45" s="1"/>
  <c r="B39" i="45"/>
  <c r="C39" i="45" s="1"/>
  <c r="D30" i="45"/>
  <c r="D32" i="45"/>
  <c r="E30" i="45"/>
  <c r="B37" i="45"/>
  <c r="C37" i="45" s="1"/>
  <c r="F33" i="45"/>
  <c r="F31" i="45"/>
  <c r="J42" i="45"/>
  <c r="K42" i="45" s="1"/>
  <c r="J40" i="45"/>
  <c r="K40" i="45" s="1"/>
  <c r="J38" i="45"/>
  <c r="K38" i="45" s="1"/>
  <c r="E33" i="45"/>
  <c r="E31" i="45"/>
  <c r="B42" i="45"/>
  <c r="C42" i="45" s="1"/>
  <c r="B40" i="45"/>
  <c r="C40" i="45" s="1"/>
  <c r="B38" i="45"/>
  <c r="C38" i="45" s="1"/>
  <c r="L48" i="45"/>
  <c r="E47" i="45"/>
  <c r="J55" i="45"/>
  <c r="K55" i="45" s="1"/>
  <c r="E49" i="45"/>
  <c r="J53" i="45"/>
  <c r="K53" i="45" s="1"/>
  <c r="D47" i="45"/>
  <c r="B53" i="45"/>
  <c r="C53" i="45" s="1"/>
  <c r="B55" i="45"/>
  <c r="C55" i="45" s="1"/>
  <c r="D49" i="45"/>
  <c r="L47" i="45"/>
  <c r="E48" i="45"/>
  <c r="E296" i="45"/>
  <c r="D294" i="45"/>
  <c r="J301" i="45"/>
  <c r="K301" i="45" s="1"/>
  <c r="B301" i="45"/>
  <c r="C301" i="45" s="1"/>
  <c r="E295" i="45"/>
  <c r="L296" i="45"/>
  <c r="D295" i="45"/>
  <c r="B302" i="45"/>
  <c r="C302" i="45" s="1"/>
  <c r="B300" i="45"/>
  <c r="C300" i="45" s="1"/>
  <c r="L295" i="45"/>
  <c r="E294" i="45"/>
  <c r="J302" i="45"/>
  <c r="K302" i="45" s="1"/>
  <c r="D296" i="45"/>
  <c r="J300" i="45"/>
  <c r="K300" i="45" s="1"/>
  <c r="L294" i="45"/>
  <c r="L86" i="45"/>
  <c r="D88" i="45"/>
  <c r="L139" i="45"/>
  <c r="B145" i="45"/>
  <c r="C145" i="45" s="1"/>
  <c r="L164" i="45"/>
  <c r="L165" i="45"/>
  <c r="B93" i="45"/>
  <c r="C93" i="45" s="1"/>
  <c r="D178" i="45"/>
  <c r="L87" i="45"/>
  <c r="J146" i="45"/>
  <c r="K146" i="45" s="1"/>
  <c r="J144" i="45"/>
  <c r="K144" i="45" s="1"/>
  <c r="E140" i="45"/>
  <c r="D138" i="45"/>
  <c r="E86" i="45"/>
  <c r="B133" i="45"/>
  <c r="C133" i="45" s="1"/>
  <c r="B131" i="45"/>
  <c r="C131" i="45" s="1"/>
  <c r="L126" i="45"/>
  <c r="E125" i="45"/>
  <c r="L125" i="45"/>
  <c r="D126" i="45"/>
  <c r="J132" i="45"/>
  <c r="K132" i="45" s="1"/>
  <c r="B146" i="45"/>
  <c r="C146" i="45" s="1"/>
  <c r="D177" i="45"/>
  <c r="B185" i="45"/>
  <c r="C185" i="45" s="1"/>
  <c r="J94" i="45"/>
  <c r="K94" i="45" s="1"/>
  <c r="J92" i="45"/>
  <c r="K92" i="45" s="1"/>
  <c r="E88" i="45"/>
  <c r="D86" i="45"/>
  <c r="J93" i="45"/>
  <c r="K93" i="45" s="1"/>
  <c r="B94" i="45"/>
  <c r="C94" i="45" s="1"/>
  <c r="D127" i="45"/>
  <c r="E139" i="45"/>
  <c r="B144" i="45"/>
  <c r="C144" i="45" s="1"/>
  <c r="J171" i="45"/>
  <c r="K171" i="45" s="1"/>
  <c r="D166" i="45"/>
  <c r="L166" i="45"/>
  <c r="D165" i="45"/>
  <c r="J172" i="45"/>
  <c r="K172" i="45" s="1"/>
  <c r="J170" i="45"/>
  <c r="K170" i="45" s="1"/>
  <c r="E165" i="45"/>
  <c r="E166" i="45"/>
  <c r="B171" i="45"/>
  <c r="C171" i="45" s="1"/>
  <c r="B183" i="45"/>
  <c r="C183" i="45" s="1"/>
  <c r="L178" i="45"/>
  <c r="E177" i="45"/>
  <c r="D179" i="45"/>
  <c r="J184" i="45"/>
  <c r="K184" i="45" s="1"/>
  <c r="L177" i="45"/>
  <c r="B184" i="45"/>
  <c r="C184" i="45" s="1"/>
  <c r="E178" i="45"/>
  <c r="J185" i="45"/>
  <c r="K185" i="45" s="1"/>
  <c r="D87" i="45"/>
  <c r="E127" i="45"/>
  <c r="J133" i="45"/>
  <c r="K133" i="45" s="1"/>
  <c r="L138" i="45"/>
  <c r="D140" i="45"/>
  <c r="B224" i="45"/>
  <c r="C224" i="45" s="1"/>
  <c r="L242" i="45"/>
  <c r="B249" i="45"/>
  <c r="C249" i="45" s="1"/>
  <c r="L270" i="45"/>
  <c r="D269" i="45"/>
  <c r="E270" i="45"/>
  <c r="D268" i="45"/>
  <c r="B274" i="45"/>
  <c r="C274" i="45" s="1"/>
  <c r="J276" i="45"/>
  <c r="K276" i="45" s="1"/>
  <c r="L322" i="45"/>
  <c r="D321" i="45"/>
  <c r="J328" i="45"/>
  <c r="K328" i="45" s="1"/>
  <c r="J326" i="45"/>
  <c r="K326" i="45" s="1"/>
  <c r="B328" i="45"/>
  <c r="C328" i="45" s="1"/>
  <c r="B326" i="45"/>
  <c r="C326" i="45" s="1"/>
  <c r="L321" i="45"/>
  <c r="E320" i="45"/>
  <c r="E322" i="45"/>
  <c r="D320" i="45"/>
  <c r="B327" i="45"/>
  <c r="C327" i="45" s="1"/>
  <c r="E321" i="45"/>
  <c r="E192" i="45"/>
  <c r="D190" i="45"/>
  <c r="L192" i="45"/>
  <c r="B197" i="45"/>
  <c r="C197" i="45" s="1"/>
  <c r="L243" i="45"/>
  <c r="E269" i="45"/>
  <c r="D270" i="45"/>
  <c r="L218" i="45"/>
  <c r="D217" i="45"/>
  <c r="E218" i="45"/>
  <c r="D216" i="45"/>
  <c r="B222" i="45"/>
  <c r="C222" i="45" s="1"/>
  <c r="J224" i="45"/>
  <c r="K224" i="45" s="1"/>
  <c r="J249" i="45"/>
  <c r="K249" i="45" s="1"/>
  <c r="J274" i="45"/>
  <c r="K274" i="45" s="1"/>
  <c r="B250" i="45"/>
  <c r="C250" i="45" s="1"/>
  <c r="E152" i="45"/>
  <c r="E191" i="45"/>
  <c r="B198" i="45"/>
  <c r="C198" i="45" s="1"/>
  <c r="J222" i="45"/>
  <c r="K222" i="45" s="1"/>
  <c r="L269" i="45"/>
  <c r="D322" i="45"/>
  <c r="E244" i="45"/>
  <c r="D242" i="45"/>
  <c r="L244" i="45"/>
  <c r="D243" i="45"/>
  <c r="B248" i="45"/>
  <c r="C248" i="45" s="1"/>
  <c r="J250" i="45"/>
  <c r="K250" i="45" s="1"/>
  <c r="E346" i="45"/>
  <c r="L347" i="45"/>
  <c r="B352" i="45"/>
  <c r="C352" i="45" s="1"/>
  <c r="B354" i="45"/>
  <c r="C354" i="45" s="1"/>
  <c r="J365" i="45"/>
  <c r="K365" i="45" s="1"/>
  <c r="J367" i="45"/>
  <c r="K367" i="45" s="1"/>
  <c r="E373" i="45"/>
  <c r="B379" i="45"/>
  <c r="C379" i="45" s="1"/>
  <c r="D387" i="45"/>
  <c r="J392" i="45"/>
  <c r="K392" i="45" s="1"/>
  <c r="E398" i="45"/>
  <c r="L399" i="45"/>
  <c r="B404" i="45"/>
  <c r="C404" i="45" s="1"/>
  <c r="B406" i="45"/>
  <c r="C406" i="45" s="1"/>
  <c r="J417" i="45"/>
  <c r="K417" i="45" s="1"/>
  <c r="J419" i="45"/>
  <c r="K419" i="45" s="1"/>
  <c r="E425" i="45"/>
  <c r="B431" i="45"/>
  <c r="C431" i="45" s="1"/>
  <c r="L372" i="45"/>
  <c r="D347" i="45"/>
  <c r="L348" i="45"/>
  <c r="D372" i="45"/>
  <c r="E374" i="45"/>
  <c r="D399" i="45"/>
  <c r="L400" i="45"/>
  <c r="D424" i="45"/>
  <c r="E426" i="45"/>
  <c r="E347" i="45"/>
  <c r="B353" i="45"/>
  <c r="C353" i="45" s="1"/>
  <c r="E372" i="45"/>
  <c r="L373" i="45"/>
  <c r="B378" i="45"/>
  <c r="C378" i="45" s="1"/>
  <c r="B380" i="45"/>
  <c r="C380" i="45" s="1"/>
  <c r="J391" i="45"/>
  <c r="K391" i="45" s="1"/>
  <c r="E399" i="45"/>
  <c r="B405" i="45"/>
  <c r="C405" i="45" s="1"/>
  <c r="D413" i="45"/>
  <c r="J418" i="45"/>
  <c r="K418" i="45" s="1"/>
  <c r="E424" i="45"/>
  <c r="L425" i="45"/>
  <c r="B430" i="45"/>
  <c r="C430" i="45" s="1"/>
  <c r="B432" i="45"/>
  <c r="C432" i="45" s="1"/>
  <c r="D348" i="45"/>
  <c r="J353" i="45"/>
  <c r="K353" i="45" s="1"/>
  <c r="J378" i="45"/>
  <c r="K378" i="45" s="1"/>
  <c r="J380" i="45"/>
  <c r="K380" i="45" s="1"/>
  <c r="D400" i="45"/>
  <c r="J405" i="45"/>
  <c r="K405" i="45" s="1"/>
  <c r="J430" i="45"/>
  <c r="K430" i="45" s="1"/>
  <c r="J432" i="45"/>
  <c r="K432" i="45" s="1"/>
  <c r="D346" i="45"/>
  <c r="D373" i="45"/>
  <c r="D398" i="45"/>
  <c r="D425" i="45"/>
  <c r="AI32" i="36"/>
  <c r="AI80" i="36"/>
  <c r="AI88" i="36"/>
  <c r="AI144" i="36"/>
  <c r="G166" i="36"/>
  <c r="AI96" i="36"/>
  <c r="L60" i="35"/>
  <c r="B67" i="35"/>
  <c r="C67" i="35" s="1"/>
  <c r="D126" i="35"/>
  <c r="J132" i="35"/>
  <c r="K132" i="35" s="1"/>
  <c r="F12" i="35"/>
  <c r="J17" i="35"/>
  <c r="K17" i="35" s="1"/>
  <c r="J19" i="35"/>
  <c r="K19" i="35" s="1"/>
  <c r="J21" i="35"/>
  <c r="K21" i="35" s="1"/>
  <c r="J23" i="35"/>
  <c r="K23" i="35" s="1"/>
  <c r="L73" i="35"/>
  <c r="J81" i="35"/>
  <c r="K81" i="35" s="1"/>
  <c r="J79" i="35"/>
  <c r="K79" i="35" s="1"/>
  <c r="L75" i="35"/>
  <c r="B80" i="35"/>
  <c r="C80" i="35" s="1"/>
  <c r="E88" i="35"/>
  <c r="D86" i="35"/>
  <c r="B93" i="35"/>
  <c r="C93" i="35" s="1"/>
  <c r="E87" i="35"/>
  <c r="B92" i="35"/>
  <c r="C92" i="35" s="1"/>
  <c r="J94" i="35"/>
  <c r="K94" i="35" s="1"/>
  <c r="M151" i="35"/>
  <c r="L125" i="35"/>
  <c r="J133" i="35"/>
  <c r="K133" i="35" s="1"/>
  <c r="J131" i="35"/>
  <c r="K131" i="35" s="1"/>
  <c r="B132" i="35"/>
  <c r="C132" i="35" s="1"/>
  <c r="B133" i="35"/>
  <c r="C133" i="35" s="1"/>
  <c r="L138" i="35"/>
  <c r="M203" i="35"/>
  <c r="E8" i="35"/>
  <c r="G9" i="35"/>
  <c r="E11" i="35"/>
  <c r="B16" i="35"/>
  <c r="C16" i="35" s="1"/>
  <c r="B18" i="35"/>
  <c r="C18" i="35" s="1"/>
  <c r="B20" i="35"/>
  <c r="C20" i="35" s="1"/>
  <c r="B22" i="35"/>
  <c r="C22" i="35" s="1"/>
  <c r="B24" i="35"/>
  <c r="C24" i="35" s="1"/>
  <c r="E74" i="35"/>
  <c r="J92" i="35"/>
  <c r="K92" i="35" s="1"/>
  <c r="L114" i="35"/>
  <c r="D113" i="35"/>
  <c r="B120" i="35"/>
  <c r="C120" i="35" s="1"/>
  <c r="B118" i="35"/>
  <c r="C118" i="35" s="1"/>
  <c r="L113" i="35"/>
  <c r="E112" i="35"/>
  <c r="E113" i="35"/>
  <c r="D114" i="35"/>
  <c r="J120" i="35"/>
  <c r="K120" i="35" s="1"/>
  <c r="D127" i="35"/>
  <c r="B146" i="35"/>
  <c r="C146" i="35" s="1"/>
  <c r="B144" i="35"/>
  <c r="C144" i="35" s="1"/>
  <c r="L139" i="35"/>
  <c r="E140" i="35"/>
  <c r="D138" i="35"/>
  <c r="J145" i="35"/>
  <c r="K145" i="35" s="1"/>
  <c r="D140" i="35"/>
  <c r="B145" i="35"/>
  <c r="C145" i="35" s="1"/>
  <c r="E139" i="35"/>
  <c r="F8" i="35"/>
  <c r="F11" i="35"/>
  <c r="B81" i="35"/>
  <c r="C81" i="35" s="1"/>
  <c r="L86" i="35"/>
  <c r="M99" i="35"/>
  <c r="E114" i="35"/>
  <c r="E127" i="35"/>
  <c r="B131" i="35"/>
  <c r="C131" i="35" s="1"/>
  <c r="K263" i="35"/>
  <c r="J24" i="35"/>
  <c r="K24" i="35" s="1"/>
  <c r="L62" i="35"/>
  <c r="D61" i="35"/>
  <c r="B68" i="35"/>
  <c r="C68" i="35" s="1"/>
  <c r="B66" i="35"/>
  <c r="C66" i="35" s="1"/>
  <c r="L61" i="35"/>
  <c r="E60" i="35"/>
  <c r="E61" i="35"/>
  <c r="D62" i="35"/>
  <c r="J68" i="35"/>
  <c r="K68" i="35" s="1"/>
  <c r="D125" i="35"/>
  <c r="L126" i="35"/>
  <c r="M191" i="35"/>
  <c r="L127" i="35"/>
  <c r="L140" i="35"/>
  <c r="E10" i="35"/>
  <c r="E62" i="35"/>
  <c r="E75" i="35"/>
  <c r="B79" i="35"/>
  <c r="C79" i="35" s="1"/>
  <c r="L88" i="35"/>
  <c r="J93" i="35"/>
  <c r="K93" i="35" s="1"/>
  <c r="M100" i="35"/>
  <c r="L112" i="35"/>
  <c r="B119" i="35"/>
  <c r="C119" i="35" s="1"/>
  <c r="E125" i="35"/>
  <c r="E138" i="35"/>
  <c r="D139" i="35"/>
  <c r="J146" i="35"/>
  <c r="K146" i="35" s="1"/>
  <c r="J171" i="35"/>
  <c r="K171" i="35" s="1"/>
  <c r="B171" i="35"/>
  <c r="C171" i="35" s="1"/>
  <c r="E165" i="35"/>
  <c r="L166" i="35"/>
  <c r="D165" i="35"/>
  <c r="J172" i="35"/>
  <c r="K172" i="35" s="1"/>
  <c r="J170" i="35"/>
  <c r="K170" i="35" s="1"/>
  <c r="B172" i="35"/>
  <c r="C172" i="35" s="1"/>
  <c r="B170" i="35"/>
  <c r="C170" i="35" s="1"/>
  <c r="L165" i="35"/>
  <c r="E164" i="35"/>
  <c r="M192" i="35"/>
  <c r="M205" i="35"/>
  <c r="M231" i="35"/>
  <c r="D178" i="35"/>
  <c r="J184" i="35"/>
  <c r="K184" i="35" s="1"/>
  <c r="L217" i="35"/>
  <c r="J223" i="35"/>
  <c r="K223" i="35" s="1"/>
  <c r="M296" i="35"/>
  <c r="L177" i="35"/>
  <c r="D179" i="35"/>
  <c r="B183" i="35"/>
  <c r="C183" i="35" s="1"/>
  <c r="L270" i="35"/>
  <c r="D269" i="35"/>
  <c r="E270" i="35"/>
  <c r="D268" i="35"/>
  <c r="L268" i="35"/>
  <c r="E269" i="35"/>
  <c r="D270" i="35"/>
  <c r="M270" i="35" s="1"/>
  <c r="M309" i="35"/>
  <c r="J185" i="35"/>
  <c r="K185" i="35" s="1"/>
  <c r="J224" i="35"/>
  <c r="K224" i="35" s="1"/>
  <c r="J274" i="35"/>
  <c r="K274" i="35" s="1"/>
  <c r="M333" i="35"/>
  <c r="M359" i="35"/>
  <c r="L178" i="35"/>
  <c r="E216" i="35"/>
  <c r="B275" i="35"/>
  <c r="C275" i="35" s="1"/>
  <c r="M282" i="35"/>
  <c r="L218" i="35"/>
  <c r="D217" i="35"/>
  <c r="E218" i="35"/>
  <c r="D216" i="35"/>
  <c r="L216" i="35"/>
  <c r="E217" i="35"/>
  <c r="D218" i="35"/>
  <c r="M218" i="35" s="1"/>
  <c r="E179" i="35"/>
  <c r="D177" i="35"/>
  <c r="L179" i="35"/>
  <c r="B184" i="35"/>
  <c r="C184" i="35" s="1"/>
  <c r="J222" i="35"/>
  <c r="K222" i="35" s="1"/>
  <c r="D204" i="35"/>
  <c r="M204" i="35" s="1"/>
  <c r="L205" i="35"/>
  <c r="D229" i="35"/>
  <c r="M229" i="35" s="1"/>
  <c r="D256" i="35"/>
  <c r="M256" i="35" s="1"/>
  <c r="L257" i="35"/>
  <c r="D281" i="35"/>
  <c r="M281" i="35" s="1"/>
  <c r="D308" i="35"/>
  <c r="M308" i="35" s="1"/>
  <c r="O307" i="35" s="1"/>
  <c r="P307" i="35" s="1"/>
  <c r="J307" i="35" s="1"/>
  <c r="L309" i="35"/>
  <c r="L320" i="35"/>
  <c r="D360" i="35"/>
  <c r="M360" i="35" s="1"/>
  <c r="L361" i="35"/>
  <c r="L372" i="35"/>
  <c r="L424" i="35"/>
  <c r="D322" i="35"/>
  <c r="J327" i="35"/>
  <c r="K327" i="35" s="1"/>
  <c r="D374" i="35"/>
  <c r="J379" i="35"/>
  <c r="K379" i="35" s="1"/>
  <c r="D426" i="35"/>
  <c r="J431" i="35"/>
  <c r="K431" i="35" s="1"/>
  <c r="D243" i="35"/>
  <c r="M243" i="35" s="1"/>
  <c r="D295" i="35"/>
  <c r="M295" i="35" s="1"/>
  <c r="D320" i="35"/>
  <c r="E322" i="35"/>
  <c r="D347" i="35"/>
  <c r="M347" i="35" s="1"/>
  <c r="O346" i="35" s="1"/>
  <c r="L359" i="35"/>
  <c r="D372" i="35"/>
  <c r="E374" i="35"/>
  <c r="D399" i="35"/>
  <c r="L400" i="35"/>
  <c r="L411" i="35"/>
  <c r="D424" i="35"/>
  <c r="E426" i="35"/>
  <c r="E320" i="35"/>
  <c r="L321" i="35"/>
  <c r="B326" i="35"/>
  <c r="C326" i="35" s="1"/>
  <c r="B328" i="35"/>
  <c r="C328" i="35" s="1"/>
  <c r="D361" i="35"/>
  <c r="M361" i="35" s="1"/>
  <c r="E372" i="35"/>
  <c r="L373" i="35"/>
  <c r="B378" i="35"/>
  <c r="C378" i="35" s="1"/>
  <c r="B380" i="35"/>
  <c r="C380" i="35" s="1"/>
  <c r="J391" i="35"/>
  <c r="M386" i="35" s="1"/>
  <c r="E399" i="35"/>
  <c r="B405" i="35"/>
  <c r="C405" i="35" s="1"/>
  <c r="D413" i="35"/>
  <c r="M413" i="35" s="1"/>
  <c r="J418" i="35"/>
  <c r="K418" i="35" s="1"/>
  <c r="E424" i="35"/>
  <c r="L425" i="35"/>
  <c r="B430" i="35"/>
  <c r="C430" i="35" s="1"/>
  <c r="B432" i="35"/>
  <c r="C432" i="35" s="1"/>
  <c r="J326" i="35"/>
  <c r="K326" i="35" s="1"/>
  <c r="J328" i="35"/>
  <c r="K328" i="35" s="1"/>
  <c r="J378" i="35"/>
  <c r="K378" i="35" s="1"/>
  <c r="J380" i="35"/>
  <c r="K380" i="35" s="1"/>
  <c r="D400" i="35"/>
  <c r="J405" i="35"/>
  <c r="K405" i="35" s="1"/>
  <c r="J430" i="35"/>
  <c r="K430" i="35" s="1"/>
  <c r="J432" i="35"/>
  <c r="K432" i="35" s="1"/>
  <c r="D321" i="35"/>
  <c r="D373" i="35"/>
  <c r="D398" i="35"/>
  <c r="D425" i="35"/>
  <c r="G54" i="44"/>
  <c r="G46" i="44"/>
  <c r="G80" i="44"/>
  <c r="G110" i="44"/>
  <c r="AI96" i="44"/>
  <c r="AI166" i="44"/>
  <c r="D9" i="43"/>
  <c r="G10" i="43"/>
  <c r="E12" i="43"/>
  <c r="J21" i="43"/>
  <c r="K21" i="43" s="1"/>
  <c r="L61" i="43"/>
  <c r="E9" i="43"/>
  <c r="F12" i="43"/>
  <c r="J17" i="43"/>
  <c r="K17" i="43" s="1"/>
  <c r="J19" i="43"/>
  <c r="K19" i="43" s="1"/>
  <c r="F9" i="43"/>
  <c r="D11" i="43"/>
  <c r="G12" i="43"/>
  <c r="B22" i="43"/>
  <c r="C22" i="43" s="1"/>
  <c r="J24" i="43"/>
  <c r="K24" i="43" s="1"/>
  <c r="E8" i="43"/>
  <c r="G9" i="43"/>
  <c r="E11" i="43"/>
  <c r="B16" i="43"/>
  <c r="C16" i="43" s="1"/>
  <c r="B18" i="43"/>
  <c r="C18" i="43" s="1"/>
  <c r="B20" i="43"/>
  <c r="C20" i="43" s="1"/>
  <c r="F8" i="43"/>
  <c r="F11" i="43"/>
  <c r="J22" i="43"/>
  <c r="K22" i="43" s="1"/>
  <c r="E62" i="43"/>
  <c r="D60" i="43"/>
  <c r="L62" i="43"/>
  <c r="D61" i="43"/>
  <c r="B66" i="43"/>
  <c r="C66" i="43" s="1"/>
  <c r="J68" i="43"/>
  <c r="K68" i="43" s="1"/>
  <c r="K118" i="43"/>
  <c r="G8" i="43"/>
  <c r="G11" i="43"/>
  <c r="J16" i="43"/>
  <c r="K16" i="43" s="1"/>
  <c r="J18" i="43"/>
  <c r="K18" i="43" s="1"/>
  <c r="J20" i="43"/>
  <c r="K20" i="43" s="1"/>
  <c r="E61" i="43"/>
  <c r="D62" i="43"/>
  <c r="B24" i="43"/>
  <c r="C24" i="43" s="1"/>
  <c r="B25" i="43"/>
  <c r="C25" i="43" s="1"/>
  <c r="B23" i="43"/>
  <c r="C23" i="43" s="1"/>
  <c r="B21" i="43"/>
  <c r="C21" i="43" s="1"/>
  <c r="E10" i="43"/>
  <c r="F32" i="43"/>
  <c r="L73" i="43"/>
  <c r="D86" i="43"/>
  <c r="E88" i="43"/>
  <c r="M88" i="43" s="1"/>
  <c r="D138" i="43"/>
  <c r="E140" i="43"/>
  <c r="L177" i="43"/>
  <c r="L269" i="43"/>
  <c r="J275" i="43"/>
  <c r="K275" i="43" s="1"/>
  <c r="B144" i="43"/>
  <c r="C144" i="43" s="1"/>
  <c r="B146" i="43"/>
  <c r="C146" i="43" s="1"/>
  <c r="E216" i="43"/>
  <c r="L218" i="43"/>
  <c r="B276" i="43"/>
  <c r="C276" i="43" s="1"/>
  <c r="C119" i="43"/>
  <c r="E218" i="43"/>
  <c r="D216" i="43"/>
  <c r="L216" i="43"/>
  <c r="J223" i="43"/>
  <c r="K223" i="43" s="1"/>
  <c r="J144" i="43"/>
  <c r="K144" i="43" s="1"/>
  <c r="J146" i="43"/>
  <c r="K146" i="43" s="1"/>
  <c r="F31" i="43"/>
  <c r="D87" i="43"/>
  <c r="L88" i="43"/>
  <c r="D139" i="43"/>
  <c r="L140" i="43"/>
  <c r="L151" i="43"/>
  <c r="E217" i="43"/>
  <c r="J79" i="43"/>
  <c r="K79" i="43" s="1"/>
  <c r="E87" i="43"/>
  <c r="D101" i="43"/>
  <c r="J106" i="43"/>
  <c r="K106" i="43" s="1"/>
  <c r="J131" i="43"/>
  <c r="K131" i="43" s="1"/>
  <c r="J133" i="43"/>
  <c r="K133" i="43" s="1"/>
  <c r="E139" i="43"/>
  <c r="B145" i="43"/>
  <c r="C145" i="43" s="1"/>
  <c r="D153" i="43"/>
  <c r="J158" i="43"/>
  <c r="K158" i="43" s="1"/>
  <c r="J183" i="43"/>
  <c r="K183" i="43" s="1"/>
  <c r="J185" i="43"/>
  <c r="K185" i="43" s="1"/>
  <c r="L203" i="43"/>
  <c r="L205" i="43"/>
  <c r="D204" i="43"/>
  <c r="E204" i="43"/>
  <c r="B211" i="43"/>
  <c r="C211" i="43" s="1"/>
  <c r="D218" i="43"/>
  <c r="B222" i="43"/>
  <c r="C222" i="43" s="1"/>
  <c r="J224" i="43"/>
  <c r="K224" i="43" s="1"/>
  <c r="L270" i="43"/>
  <c r="D269" i="43"/>
  <c r="E270" i="43"/>
  <c r="D268" i="43"/>
  <c r="L268" i="43"/>
  <c r="E269" i="43"/>
  <c r="D270" i="43"/>
  <c r="M348" i="43"/>
  <c r="D99" i="43"/>
  <c r="D126" i="43"/>
  <c r="D151" i="43"/>
  <c r="D178" i="43"/>
  <c r="D205" i="43"/>
  <c r="M205" i="43" s="1"/>
  <c r="J274" i="43"/>
  <c r="K274" i="43" s="1"/>
  <c r="L322" i="43"/>
  <c r="D321" i="43"/>
  <c r="B328" i="43"/>
  <c r="C328" i="43" s="1"/>
  <c r="B326" i="43"/>
  <c r="C326" i="43" s="1"/>
  <c r="L321" i="43"/>
  <c r="E320" i="43"/>
  <c r="E322" i="43"/>
  <c r="D320" i="43"/>
  <c r="J327" i="43"/>
  <c r="K327" i="43" s="1"/>
  <c r="D322" i="43"/>
  <c r="L320" i="43"/>
  <c r="D229" i="43"/>
  <c r="D256" i="43"/>
  <c r="L257" i="43"/>
  <c r="D281" i="43"/>
  <c r="D308" i="43"/>
  <c r="L309" i="43"/>
  <c r="D333" i="43"/>
  <c r="D360" i="43"/>
  <c r="L361" i="43"/>
  <c r="L372" i="43"/>
  <c r="L413" i="43"/>
  <c r="L424" i="43"/>
  <c r="D374" i="43"/>
  <c r="J379" i="43"/>
  <c r="K379" i="43" s="1"/>
  <c r="D426" i="43"/>
  <c r="J431" i="43"/>
  <c r="K431" i="43" s="1"/>
  <c r="D191" i="43"/>
  <c r="D243" i="43"/>
  <c r="D295" i="43"/>
  <c r="D347" i="43"/>
  <c r="L359" i="43"/>
  <c r="D372" i="43"/>
  <c r="E374" i="43"/>
  <c r="D399" i="43"/>
  <c r="L400" i="43"/>
  <c r="L411" i="43"/>
  <c r="D424" i="43"/>
  <c r="E426" i="43"/>
  <c r="D361" i="43"/>
  <c r="E372" i="43"/>
  <c r="L373" i="43"/>
  <c r="B378" i="43"/>
  <c r="C378" i="43" s="1"/>
  <c r="B380" i="43"/>
  <c r="C380" i="43" s="1"/>
  <c r="B405" i="43"/>
  <c r="C405" i="43" s="1"/>
  <c r="D413" i="43"/>
  <c r="E424" i="43"/>
  <c r="L425" i="43"/>
  <c r="B430" i="43"/>
  <c r="C430" i="43" s="1"/>
  <c r="B432" i="43"/>
  <c r="C432" i="43" s="1"/>
  <c r="D373" i="43"/>
  <c r="D398" i="43"/>
  <c r="D425" i="43"/>
  <c r="G96" i="34"/>
  <c r="G38" i="34"/>
  <c r="P104" i="34"/>
  <c r="G152" i="34"/>
  <c r="AI152" i="34"/>
  <c r="E75" i="33"/>
  <c r="D73" i="33"/>
  <c r="E73" i="33"/>
  <c r="J79" i="33"/>
  <c r="K79" i="33" s="1"/>
  <c r="L74" i="33"/>
  <c r="J81" i="33"/>
  <c r="K81" i="33" s="1"/>
  <c r="B81" i="33"/>
  <c r="C81" i="33" s="1"/>
  <c r="E74" i="33"/>
  <c r="J80" i="33"/>
  <c r="K80" i="33" s="1"/>
  <c r="D74" i="33"/>
  <c r="L60" i="33"/>
  <c r="B67" i="33"/>
  <c r="C67" i="33" s="1"/>
  <c r="E61" i="33"/>
  <c r="J66" i="33"/>
  <c r="K66" i="33" s="1"/>
  <c r="L62" i="33"/>
  <c r="D61" i="33"/>
  <c r="B66" i="33"/>
  <c r="C66" i="33" s="1"/>
  <c r="L61" i="33"/>
  <c r="D60" i="33"/>
  <c r="D62" i="33"/>
  <c r="B68" i="33"/>
  <c r="C68" i="33" s="1"/>
  <c r="E62" i="33"/>
  <c r="K223" i="33"/>
  <c r="M218" i="33"/>
  <c r="E47" i="33"/>
  <c r="D75" i="33"/>
  <c r="J158" i="33"/>
  <c r="K158" i="33" s="1"/>
  <c r="D153" i="33"/>
  <c r="B158" i="33"/>
  <c r="C158" i="33" s="1"/>
  <c r="E152" i="33"/>
  <c r="L153" i="33"/>
  <c r="D152" i="33"/>
  <c r="E151" i="33"/>
  <c r="J157" i="33"/>
  <c r="K157" i="33" s="1"/>
  <c r="E153" i="33"/>
  <c r="D151" i="33"/>
  <c r="B157" i="33"/>
  <c r="C157" i="33" s="1"/>
  <c r="J159" i="33"/>
  <c r="K159" i="33" s="1"/>
  <c r="L151" i="33"/>
  <c r="L152" i="33"/>
  <c r="L49" i="33"/>
  <c r="D48" i="33"/>
  <c r="B55" i="33"/>
  <c r="C55" i="33" s="1"/>
  <c r="D49" i="33"/>
  <c r="E48" i="33"/>
  <c r="B54" i="33"/>
  <c r="C54" i="33" s="1"/>
  <c r="D47" i="33"/>
  <c r="J53" i="33"/>
  <c r="K53" i="33" s="1"/>
  <c r="L48" i="33"/>
  <c r="J55" i="33"/>
  <c r="K55" i="33" s="1"/>
  <c r="J54" i="33"/>
  <c r="K54" i="33" s="1"/>
  <c r="L75" i="33"/>
  <c r="L47" i="33"/>
  <c r="E296" i="33"/>
  <c r="D294" i="33"/>
  <c r="L294" i="33"/>
  <c r="B301" i="33"/>
  <c r="C301" i="33" s="1"/>
  <c r="E295" i="33"/>
  <c r="L296" i="33"/>
  <c r="D295" i="33"/>
  <c r="J302" i="33"/>
  <c r="K302" i="33" s="1"/>
  <c r="J300" i="33"/>
  <c r="K300" i="33" s="1"/>
  <c r="B302" i="33"/>
  <c r="C302" i="33" s="1"/>
  <c r="D296" i="33"/>
  <c r="J301" i="33"/>
  <c r="K301" i="33" s="1"/>
  <c r="B300" i="33"/>
  <c r="C300" i="33" s="1"/>
  <c r="L295" i="33"/>
  <c r="E294" i="33"/>
  <c r="C211" i="33"/>
  <c r="M205" i="33"/>
  <c r="E49" i="33"/>
  <c r="J67" i="33"/>
  <c r="K67" i="33" s="1"/>
  <c r="B79" i="33"/>
  <c r="C79" i="33" s="1"/>
  <c r="J133" i="33"/>
  <c r="K133" i="33" s="1"/>
  <c r="K131" i="33"/>
  <c r="B133" i="33"/>
  <c r="C133" i="33" s="1"/>
  <c r="C131" i="33"/>
  <c r="L126" i="33"/>
  <c r="E125" i="33"/>
  <c r="E127" i="33"/>
  <c r="D125" i="33"/>
  <c r="L127" i="33"/>
  <c r="K132" i="33"/>
  <c r="C132" i="33"/>
  <c r="D126" i="33"/>
  <c r="D127" i="33"/>
  <c r="E126" i="33"/>
  <c r="E10" i="33"/>
  <c r="F30" i="33"/>
  <c r="F32" i="33"/>
  <c r="J106" i="33"/>
  <c r="K106" i="33" s="1"/>
  <c r="D101" i="33"/>
  <c r="B106" i="33"/>
  <c r="C106" i="33" s="1"/>
  <c r="E100" i="33"/>
  <c r="L101" i="33"/>
  <c r="D100" i="33"/>
  <c r="B107" i="33"/>
  <c r="C107" i="33" s="1"/>
  <c r="B119" i="33"/>
  <c r="C119" i="33" s="1"/>
  <c r="E244" i="33"/>
  <c r="D242" i="33"/>
  <c r="L242" i="33"/>
  <c r="J248" i="33"/>
  <c r="K248" i="33" s="1"/>
  <c r="L243" i="33"/>
  <c r="J250" i="33"/>
  <c r="K250" i="33" s="1"/>
  <c r="B248" i="33"/>
  <c r="C248" i="33" s="1"/>
  <c r="D244" i="33"/>
  <c r="E243" i="33"/>
  <c r="B250" i="33"/>
  <c r="C250" i="33" s="1"/>
  <c r="D243" i="33"/>
  <c r="E400" i="33"/>
  <c r="D398" i="33"/>
  <c r="J405" i="33"/>
  <c r="K405" i="33" s="1"/>
  <c r="D400" i="33"/>
  <c r="L398" i="33"/>
  <c r="B405" i="33"/>
  <c r="C405" i="33" s="1"/>
  <c r="E399" i="33"/>
  <c r="L400" i="33"/>
  <c r="D399" i="33"/>
  <c r="J406" i="33"/>
  <c r="K406" i="33" s="1"/>
  <c r="J404" i="33"/>
  <c r="K404" i="33" s="1"/>
  <c r="B404" i="33"/>
  <c r="C404" i="33" s="1"/>
  <c r="L166" i="33"/>
  <c r="F10" i="33"/>
  <c r="D12" i="33"/>
  <c r="B17" i="33"/>
  <c r="C17" i="33" s="1"/>
  <c r="B19" i="33"/>
  <c r="C19" i="33" s="1"/>
  <c r="B21" i="33"/>
  <c r="C21" i="33" s="1"/>
  <c r="B23" i="33"/>
  <c r="C23" i="33" s="1"/>
  <c r="B25" i="33"/>
  <c r="C25" i="33" s="1"/>
  <c r="D33" i="33"/>
  <c r="D31" i="33"/>
  <c r="E33" i="33"/>
  <c r="B41" i="33"/>
  <c r="C41" i="33" s="1"/>
  <c r="M139" i="33"/>
  <c r="O140" i="33" s="1"/>
  <c r="P140" i="33" s="1"/>
  <c r="J140" i="33" s="1"/>
  <c r="M255" i="33"/>
  <c r="B172" i="33"/>
  <c r="C172" i="33" s="1"/>
  <c r="B170" i="33"/>
  <c r="C170" i="33" s="1"/>
  <c r="L165" i="33"/>
  <c r="E164" i="33"/>
  <c r="J171" i="33"/>
  <c r="K171" i="33" s="1"/>
  <c r="D166" i="33"/>
  <c r="L164" i="33"/>
  <c r="E166" i="33"/>
  <c r="D8" i="33"/>
  <c r="F9" i="33"/>
  <c r="D11" i="33"/>
  <c r="G12" i="33"/>
  <c r="F31" i="33"/>
  <c r="J39" i="33"/>
  <c r="K39" i="33" s="1"/>
  <c r="D112" i="33"/>
  <c r="J170" i="33"/>
  <c r="K170" i="33" s="1"/>
  <c r="J185" i="33"/>
  <c r="K185" i="33" s="1"/>
  <c r="J183" i="33"/>
  <c r="K183" i="33" s="1"/>
  <c r="B185" i="33"/>
  <c r="C185" i="33" s="1"/>
  <c r="B183" i="33"/>
  <c r="C183" i="33" s="1"/>
  <c r="L178" i="33"/>
  <c r="E177" i="33"/>
  <c r="E179" i="33"/>
  <c r="D177" i="33"/>
  <c r="M268" i="33"/>
  <c r="E348" i="33"/>
  <c r="D346" i="33"/>
  <c r="J353" i="33"/>
  <c r="K353" i="33" s="1"/>
  <c r="D348" i="33"/>
  <c r="L346" i="33"/>
  <c r="B353" i="33"/>
  <c r="C353" i="33" s="1"/>
  <c r="E347" i="33"/>
  <c r="L348" i="33"/>
  <c r="D347" i="33"/>
  <c r="J354" i="33"/>
  <c r="K354" i="33" s="1"/>
  <c r="J352" i="33"/>
  <c r="K352" i="33" s="1"/>
  <c r="B352" i="33"/>
  <c r="C352" i="33" s="1"/>
  <c r="B406" i="33"/>
  <c r="C406" i="33" s="1"/>
  <c r="E165" i="33"/>
  <c r="E8" i="33"/>
  <c r="G9" i="33"/>
  <c r="E11" i="33"/>
  <c r="B16" i="33"/>
  <c r="C16" i="33" s="1"/>
  <c r="B18" i="33"/>
  <c r="C18" i="33" s="1"/>
  <c r="B20" i="33"/>
  <c r="C20" i="33" s="1"/>
  <c r="B22" i="33"/>
  <c r="C22" i="33" s="1"/>
  <c r="J37" i="33"/>
  <c r="K37" i="33" s="1"/>
  <c r="B42" i="33"/>
  <c r="C42" i="33" s="1"/>
  <c r="B120" i="33"/>
  <c r="C120" i="33" s="1"/>
  <c r="B118" i="33"/>
  <c r="C118" i="33" s="1"/>
  <c r="L113" i="33"/>
  <c r="E112" i="33"/>
  <c r="J119" i="33"/>
  <c r="K119" i="33" s="1"/>
  <c r="D114" i="33"/>
  <c r="L112" i="33"/>
  <c r="E113" i="33"/>
  <c r="E114" i="33"/>
  <c r="M216" i="33"/>
  <c r="M217" i="33"/>
  <c r="M270" i="33"/>
  <c r="M307" i="33"/>
  <c r="M308" i="33"/>
  <c r="M256" i="33"/>
  <c r="M386" i="33"/>
  <c r="L192" i="33"/>
  <c r="B197" i="33"/>
  <c r="C197" i="33" s="1"/>
  <c r="M359" i="33"/>
  <c r="M360" i="33"/>
  <c r="M411" i="33"/>
  <c r="M412" i="33"/>
  <c r="M204" i="33"/>
  <c r="L229" i="33"/>
  <c r="L231" i="33"/>
  <c r="D230" i="33"/>
  <c r="M230" i="33" s="1"/>
  <c r="E230" i="33"/>
  <c r="B237" i="33"/>
  <c r="C237" i="33" s="1"/>
  <c r="M320" i="33"/>
  <c r="C313" i="33"/>
  <c r="M309" i="33"/>
  <c r="D374" i="33"/>
  <c r="J379" i="33"/>
  <c r="K379" i="33" s="1"/>
  <c r="D426" i="33"/>
  <c r="J431" i="33"/>
  <c r="K431" i="33" s="1"/>
  <c r="E322" i="33"/>
  <c r="M322" i="33" s="1"/>
  <c r="D372" i="33"/>
  <c r="E374" i="33"/>
  <c r="D424" i="33"/>
  <c r="E426" i="33"/>
  <c r="J287" i="33"/>
  <c r="J289" i="33"/>
  <c r="K289" i="33" s="1"/>
  <c r="J339" i="33"/>
  <c r="J341" i="33"/>
  <c r="K341" i="33" s="1"/>
  <c r="D361" i="33"/>
  <c r="M361" i="33" s="1"/>
  <c r="E372" i="33"/>
  <c r="L373" i="33"/>
  <c r="B378" i="33"/>
  <c r="C378" i="33" s="1"/>
  <c r="B380" i="33"/>
  <c r="C380" i="33" s="1"/>
  <c r="J391" i="33"/>
  <c r="D413" i="33"/>
  <c r="M413" i="33" s="1"/>
  <c r="E424" i="33"/>
  <c r="L425" i="33"/>
  <c r="B430" i="33"/>
  <c r="C430" i="33" s="1"/>
  <c r="B432" i="33"/>
  <c r="C432" i="33" s="1"/>
  <c r="D203" i="33"/>
  <c r="M203" i="33" s="1"/>
  <c r="D282" i="33"/>
  <c r="L283" i="33"/>
  <c r="D334" i="33"/>
  <c r="M334" i="33" s="1"/>
  <c r="L335" i="33"/>
  <c r="J430" i="33"/>
  <c r="K430" i="33" s="1"/>
  <c r="J432" i="33"/>
  <c r="K432" i="33" s="1"/>
  <c r="D269" i="33"/>
  <c r="M269" i="33" s="1"/>
  <c r="D321" i="33"/>
  <c r="M321" i="33" s="1"/>
  <c r="D373" i="33"/>
  <c r="D425" i="33"/>
  <c r="AQ171" i="46" l="1"/>
  <c r="AU171" i="46"/>
  <c r="AP174" i="46"/>
  <c r="AP109" i="46"/>
  <c r="AU107" i="46"/>
  <c r="AQ107" i="46"/>
  <c r="AQ43" i="46"/>
  <c r="AU43" i="46"/>
  <c r="AQ172" i="44"/>
  <c r="AU172" i="44"/>
  <c r="AQ107" i="44"/>
  <c r="AU107" i="44"/>
  <c r="M166" i="49"/>
  <c r="M88" i="49"/>
  <c r="M309" i="43"/>
  <c r="M86" i="49"/>
  <c r="M88" i="33"/>
  <c r="M30" i="37"/>
  <c r="M87" i="33"/>
  <c r="M101" i="49"/>
  <c r="M114" i="43"/>
  <c r="M190" i="49"/>
  <c r="M75" i="49"/>
  <c r="M112" i="43"/>
  <c r="M31" i="43"/>
  <c r="M243" i="43"/>
  <c r="M308" i="43"/>
  <c r="M361" i="43"/>
  <c r="M386" i="43"/>
  <c r="M61" i="49"/>
  <c r="M62" i="49"/>
  <c r="M229" i="45"/>
  <c r="M152" i="45"/>
  <c r="M387" i="45"/>
  <c r="M126" i="33"/>
  <c r="M127" i="47"/>
  <c r="M61" i="39"/>
  <c r="M62" i="39"/>
  <c r="M231" i="47"/>
  <c r="M243" i="47"/>
  <c r="M283" i="45"/>
  <c r="M413" i="43"/>
  <c r="M412" i="43"/>
  <c r="M411" i="43"/>
  <c r="O411" i="43" s="1"/>
  <c r="P411" i="43" s="1"/>
  <c r="J411" i="43" s="1"/>
  <c r="M387" i="43"/>
  <c r="O387" i="43" s="1"/>
  <c r="P387" i="43" s="1"/>
  <c r="J387" i="43" s="1"/>
  <c r="M385" i="43"/>
  <c r="M360" i="43"/>
  <c r="M359" i="43"/>
  <c r="M347" i="43"/>
  <c r="M113" i="43"/>
  <c r="M48" i="43"/>
  <c r="M333" i="43"/>
  <c r="M335" i="43"/>
  <c r="M334" i="43"/>
  <c r="M307" i="43"/>
  <c r="O308" i="43" s="1"/>
  <c r="P308" i="43" s="1"/>
  <c r="J308" i="43" s="1"/>
  <c r="M296" i="43"/>
  <c r="O294" i="43" s="1"/>
  <c r="P294" i="43" s="1"/>
  <c r="J294" i="43" s="1"/>
  <c r="M295" i="43"/>
  <c r="M294" i="43"/>
  <c r="M281" i="43"/>
  <c r="M270" i="43"/>
  <c r="M257" i="43"/>
  <c r="M255" i="43"/>
  <c r="M256" i="43"/>
  <c r="M242" i="43"/>
  <c r="M244" i="43"/>
  <c r="M230" i="43"/>
  <c r="M229" i="43"/>
  <c r="M217" i="43"/>
  <c r="M191" i="43"/>
  <c r="M166" i="43"/>
  <c r="M164" i="43"/>
  <c r="M153" i="43"/>
  <c r="M151" i="43"/>
  <c r="M126" i="43"/>
  <c r="M101" i="43"/>
  <c r="M86" i="43"/>
  <c r="M60" i="43"/>
  <c r="M32" i="43"/>
  <c r="M30" i="43"/>
  <c r="M191" i="45"/>
  <c r="M335" i="45"/>
  <c r="M334" i="45"/>
  <c r="M333" i="45"/>
  <c r="M308" i="45"/>
  <c r="M309" i="45"/>
  <c r="K313" i="45"/>
  <c r="M282" i="45"/>
  <c r="M281" i="45"/>
  <c r="M256" i="45"/>
  <c r="M244" i="45"/>
  <c r="M242" i="45"/>
  <c r="M230" i="45"/>
  <c r="O231" i="45" s="1"/>
  <c r="P231" i="45" s="1"/>
  <c r="J231" i="45" s="1"/>
  <c r="M101" i="45"/>
  <c r="M204" i="45"/>
  <c r="M203" i="45"/>
  <c r="M192" i="45"/>
  <c r="M153" i="45"/>
  <c r="M151" i="45"/>
  <c r="M127" i="45"/>
  <c r="M125" i="45"/>
  <c r="M100" i="45"/>
  <c r="M99" i="45"/>
  <c r="M8" i="45"/>
  <c r="M10" i="45"/>
  <c r="M9" i="45"/>
  <c r="M230" i="47"/>
  <c r="M205" i="47"/>
  <c r="M165" i="47"/>
  <c r="M100" i="47"/>
  <c r="M32" i="47"/>
  <c r="M48" i="47"/>
  <c r="M47" i="47"/>
  <c r="M31" i="47"/>
  <c r="M256" i="47"/>
  <c r="O257" i="47" s="1"/>
  <c r="M10" i="47"/>
  <c r="M165" i="49"/>
  <c r="M164" i="49"/>
  <c r="M153" i="49"/>
  <c r="M152" i="49"/>
  <c r="M151" i="49"/>
  <c r="M139" i="49"/>
  <c r="M140" i="49"/>
  <c r="M138" i="49"/>
  <c r="M127" i="49"/>
  <c r="M113" i="49"/>
  <c r="M114" i="49"/>
  <c r="M112" i="49"/>
  <c r="M99" i="49"/>
  <c r="O100" i="49" s="1"/>
  <c r="P100" i="49" s="1"/>
  <c r="J100" i="49" s="1"/>
  <c r="M87" i="49"/>
  <c r="M73" i="49"/>
  <c r="M60" i="49"/>
  <c r="M49" i="49"/>
  <c r="M49" i="37"/>
  <c r="M48" i="37"/>
  <c r="M32" i="37"/>
  <c r="M9" i="37"/>
  <c r="M74" i="35"/>
  <c r="M48" i="35"/>
  <c r="M47" i="35"/>
  <c r="M113" i="33"/>
  <c r="M74" i="33"/>
  <c r="P309" i="49"/>
  <c r="P359" i="37"/>
  <c r="J359" i="37" s="1"/>
  <c r="AK32" i="38" s="1"/>
  <c r="AH32" i="38" s="1"/>
  <c r="AI34" i="38" s="1"/>
  <c r="K144" i="49"/>
  <c r="P308" i="49"/>
  <c r="J308" i="49" s="1"/>
  <c r="AK112" i="50" s="1"/>
  <c r="K171" i="49"/>
  <c r="P411" i="49"/>
  <c r="P413" i="49"/>
  <c r="J413" i="49" s="1"/>
  <c r="K413" i="49" s="1"/>
  <c r="P360" i="49"/>
  <c r="J360" i="49" s="1"/>
  <c r="K360" i="49" s="1"/>
  <c r="P359" i="49"/>
  <c r="J359" i="49" s="1"/>
  <c r="K359" i="49" s="1"/>
  <c r="P307" i="49"/>
  <c r="J307" i="49" s="1"/>
  <c r="K307" i="49" s="1"/>
  <c r="P255" i="49"/>
  <c r="J255" i="49" s="1"/>
  <c r="K255" i="49" s="1"/>
  <c r="P203" i="39"/>
  <c r="J203" i="39" s="1"/>
  <c r="K203" i="39" s="1"/>
  <c r="C67" i="39"/>
  <c r="M255" i="47"/>
  <c r="P346" i="35"/>
  <c r="J346" i="35" s="1"/>
  <c r="K346" i="35" s="1"/>
  <c r="K307" i="35"/>
  <c r="AK48" i="36"/>
  <c r="M164" i="33"/>
  <c r="M152" i="47"/>
  <c r="C287" i="43"/>
  <c r="M282" i="43"/>
  <c r="M283" i="43"/>
  <c r="M373" i="35"/>
  <c r="M62" i="35"/>
  <c r="M360" i="45"/>
  <c r="M244" i="47"/>
  <c r="M191" i="37"/>
  <c r="M88" i="39"/>
  <c r="M33" i="39"/>
  <c r="M296" i="39"/>
  <c r="M114" i="39"/>
  <c r="P334" i="49"/>
  <c r="J334" i="49" s="1"/>
  <c r="K334" i="49" s="1"/>
  <c r="C340" i="35"/>
  <c r="M335" i="35"/>
  <c r="M334" i="35"/>
  <c r="M140" i="43"/>
  <c r="O308" i="35"/>
  <c r="P308" i="35" s="1"/>
  <c r="J308" i="35" s="1"/>
  <c r="M164" i="35"/>
  <c r="M425" i="45"/>
  <c r="M374" i="45"/>
  <c r="M386" i="45"/>
  <c r="M386" i="47"/>
  <c r="M151" i="47"/>
  <c r="M87" i="47"/>
  <c r="M114" i="37"/>
  <c r="M75" i="37"/>
  <c r="M411" i="39"/>
  <c r="M413" i="39"/>
  <c r="M360" i="39"/>
  <c r="O360" i="39" s="1"/>
  <c r="P360" i="39" s="1"/>
  <c r="J360" i="39" s="1"/>
  <c r="M75" i="39"/>
  <c r="P333" i="49"/>
  <c r="J333" i="49" s="1"/>
  <c r="K333" i="49" s="1"/>
  <c r="C37" i="35"/>
  <c r="M30" i="35"/>
  <c r="M31" i="35"/>
  <c r="M32" i="35"/>
  <c r="M179" i="35"/>
  <c r="M320" i="43"/>
  <c r="M372" i="35"/>
  <c r="O309" i="35"/>
  <c r="P309" i="35" s="1"/>
  <c r="J309" i="35" s="1"/>
  <c r="M60" i="35"/>
  <c r="M385" i="45"/>
  <c r="M204" i="47"/>
  <c r="M296" i="37"/>
  <c r="M295" i="39"/>
  <c r="M30" i="39"/>
  <c r="M112" i="39"/>
  <c r="M125" i="39"/>
  <c r="C391" i="39"/>
  <c r="M386" i="39"/>
  <c r="O387" i="39" s="1"/>
  <c r="M385" i="39"/>
  <c r="O385" i="39" s="1"/>
  <c r="P385" i="39" s="1"/>
  <c r="J385" i="39" s="1"/>
  <c r="M164" i="39"/>
  <c r="M11" i="37"/>
  <c r="M372" i="33"/>
  <c r="M177" i="35"/>
  <c r="O166" i="39"/>
  <c r="P166" i="39" s="1"/>
  <c r="J166" i="39" s="1"/>
  <c r="M32" i="33"/>
  <c r="M373" i="33"/>
  <c r="M62" i="43"/>
  <c r="M61" i="43"/>
  <c r="M127" i="43"/>
  <c r="O348" i="35"/>
  <c r="P348" i="35" s="1"/>
  <c r="J348" i="35" s="1"/>
  <c r="M87" i="35"/>
  <c r="M190" i="45"/>
  <c r="O190" i="45" s="1"/>
  <c r="P190" i="45" s="1"/>
  <c r="J190" i="45" s="1"/>
  <c r="M321" i="47"/>
  <c r="M372" i="47"/>
  <c r="M192" i="37"/>
  <c r="M244" i="37"/>
  <c r="M320" i="39"/>
  <c r="O322" i="39" s="1"/>
  <c r="P322" i="39" s="1"/>
  <c r="J322" i="39" s="1"/>
  <c r="M321" i="39"/>
  <c r="K106" i="37"/>
  <c r="M101" i="37"/>
  <c r="K314" i="47"/>
  <c r="M307" i="47"/>
  <c r="M47" i="37"/>
  <c r="M372" i="37"/>
  <c r="O372" i="37" s="1"/>
  <c r="P372" i="37" s="1"/>
  <c r="J372" i="37" s="1"/>
  <c r="C40" i="38" s="1"/>
  <c r="O360" i="37"/>
  <c r="P360" i="37" s="1"/>
  <c r="J360" i="37" s="1"/>
  <c r="AK96" i="38" s="1"/>
  <c r="M322" i="39"/>
  <c r="M217" i="39"/>
  <c r="M165" i="33"/>
  <c r="M398" i="33"/>
  <c r="M178" i="35"/>
  <c r="M139" i="35"/>
  <c r="M127" i="35"/>
  <c r="M113" i="35"/>
  <c r="M426" i="45"/>
  <c r="M243" i="45"/>
  <c r="M126" i="45"/>
  <c r="M191" i="47"/>
  <c r="M177" i="47"/>
  <c r="K140" i="33"/>
  <c r="AK174" i="34"/>
  <c r="M372" i="43"/>
  <c r="M166" i="33"/>
  <c r="M127" i="33"/>
  <c r="M75" i="35"/>
  <c r="M11" i="35"/>
  <c r="M270" i="45"/>
  <c r="M73" i="45"/>
  <c r="M125" i="47"/>
  <c r="M373" i="37"/>
  <c r="O256" i="39"/>
  <c r="P256" i="39" s="1"/>
  <c r="J256" i="39" s="1"/>
  <c r="M294" i="39"/>
  <c r="O296" i="39" s="1"/>
  <c r="P296" i="39" s="1"/>
  <c r="J296" i="39" s="1"/>
  <c r="M100" i="39"/>
  <c r="M49" i="39"/>
  <c r="M307" i="39"/>
  <c r="O308" i="39" s="1"/>
  <c r="P308" i="39" s="1"/>
  <c r="J308" i="39" s="1"/>
  <c r="K53" i="43"/>
  <c r="M49" i="43"/>
  <c r="M12" i="49"/>
  <c r="M309" i="39"/>
  <c r="M231" i="39"/>
  <c r="M8" i="37"/>
  <c r="M231" i="37"/>
  <c r="M230" i="35"/>
  <c r="M359" i="47"/>
  <c r="O359" i="47" s="1"/>
  <c r="P359" i="47" s="1"/>
  <c r="J359" i="47" s="1"/>
  <c r="M229" i="47"/>
  <c r="M255" i="45"/>
  <c r="M192" i="43"/>
  <c r="M192" i="39"/>
  <c r="K288" i="37"/>
  <c r="M283" i="37"/>
  <c r="O282" i="37" s="1"/>
  <c r="P282" i="37" s="1"/>
  <c r="J282" i="37" s="1"/>
  <c r="M205" i="37"/>
  <c r="M10" i="37"/>
  <c r="M308" i="47"/>
  <c r="M30" i="47"/>
  <c r="O33" i="47" s="1"/>
  <c r="M229" i="37"/>
  <c r="M153" i="35"/>
  <c r="M190" i="43"/>
  <c r="M205" i="45"/>
  <c r="C314" i="45"/>
  <c r="K314" i="45"/>
  <c r="M257" i="45"/>
  <c r="M231" i="43"/>
  <c r="M346" i="43"/>
  <c r="M49" i="35"/>
  <c r="O47" i="35" s="1"/>
  <c r="P47" i="35" s="1"/>
  <c r="J47" i="35" s="1"/>
  <c r="M47" i="43"/>
  <c r="M165" i="43"/>
  <c r="M60" i="39"/>
  <c r="M203" i="37"/>
  <c r="O204" i="37" s="1"/>
  <c r="P204" i="37" s="1"/>
  <c r="J204" i="37" s="1"/>
  <c r="AK118" i="38" s="1"/>
  <c r="M49" i="47"/>
  <c r="M11" i="45"/>
  <c r="M230" i="37"/>
  <c r="M190" i="35"/>
  <c r="O192" i="35" s="1"/>
  <c r="P192" i="35" s="1"/>
  <c r="J192" i="35" s="1"/>
  <c r="M307" i="45"/>
  <c r="M309" i="37"/>
  <c r="K313" i="43"/>
  <c r="M243" i="39"/>
  <c r="M33" i="35"/>
  <c r="M294" i="35"/>
  <c r="O296" i="35" s="1"/>
  <c r="P296" i="35" s="1"/>
  <c r="J296" i="35" s="1"/>
  <c r="M242" i="35"/>
  <c r="O243" i="35" s="1"/>
  <c r="P243" i="35" s="1"/>
  <c r="J243" i="35" s="1"/>
  <c r="K411" i="49"/>
  <c r="AK62" i="50"/>
  <c r="AK32" i="50"/>
  <c r="K335" i="49"/>
  <c r="C160" i="50"/>
  <c r="K308" i="49"/>
  <c r="K309" i="49"/>
  <c r="AK176" i="50"/>
  <c r="M270" i="49"/>
  <c r="AK18" i="50"/>
  <c r="K257" i="49"/>
  <c r="AK146" i="50"/>
  <c r="P256" i="49"/>
  <c r="J256" i="49" s="1"/>
  <c r="K231" i="49"/>
  <c r="C144" i="50"/>
  <c r="K230" i="49"/>
  <c r="C80" i="50"/>
  <c r="M9" i="35"/>
  <c r="M8" i="35"/>
  <c r="M10" i="35"/>
  <c r="M11" i="49"/>
  <c r="M8" i="49"/>
  <c r="M294" i="49"/>
  <c r="M243" i="49"/>
  <c r="M179" i="49"/>
  <c r="O361" i="49"/>
  <c r="P361" i="49" s="1"/>
  <c r="J361" i="49" s="1"/>
  <c r="O217" i="49"/>
  <c r="P217" i="49" s="1"/>
  <c r="J217" i="49" s="1"/>
  <c r="O218" i="49"/>
  <c r="P218" i="49" s="1"/>
  <c r="J218" i="49" s="1"/>
  <c r="O216" i="49"/>
  <c r="P216" i="49" s="1"/>
  <c r="J216" i="49" s="1"/>
  <c r="O348" i="49"/>
  <c r="P348" i="49" s="1"/>
  <c r="J348" i="49" s="1"/>
  <c r="M268" i="49"/>
  <c r="M242" i="49"/>
  <c r="M47" i="49"/>
  <c r="O281" i="49"/>
  <c r="P281" i="49" s="1"/>
  <c r="J281" i="49" s="1"/>
  <c r="O282" i="49"/>
  <c r="P282" i="49" s="1"/>
  <c r="J282" i="49" s="1"/>
  <c r="M177" i="49"/>
  <c r="M126" i="49"/>
  <c r="M74" i="49"/>
  <c r="O283" i="49"/>
  <c r="P283" i="49" s="1"/>
  <c r="J283" i="49" s="1"/>
  <c r="M374" i="49"/>
  <c r="M347" i="49"/>
  <c r="O347" i="49" s="1"/>
  <c r="P347" i="49" s="1"/>
  <c r="J347" i="49" s="1"/>
  <c r="M244" i="49"/>
  <c r="M32" i="49"/>
  <c r="M10" i="49"/>
  <c r="M178" i="49"/>
  <c r="M9" i="49"/>
  <c r="M125" i="49"/>
  <c r="M400" i="49"/>
  <c r="O400" i="49" s="1"/>
  <c r="P400" i="49" s="1"/>
  <c r="J400" i="49" s="1"/>
  <c r="K391" i="49"/>
  <c r="M385" i="49"/>
  <c r="M426" i="49"/>
  <c r="O425" i="49" s="1"/>
  <c r="P425" i="49" s="1"/>
  <c r="J425" i="49" s="1"/>
  <c r="M295" i="49"/>
  <c r="M192" i="49"/>
  <c r="M191" i="49"/>
  <c r="M269" i="49"/>
  <c r="K37" i="49"/>
  <c r="M31" i="49"/>
  <c r="M33" i="49"/>
  <c r="M30" i="49"/>
  <c r="M322" i="49"/>
  <c r="O205" i="49"/>
  <c r="P205" i="49" s="1"/>
  <c r="J205" i="49" s="1"/>
  <c r="O203" i="49"/>
  <c r="P203" i="49" s="1"/>
  <c r="J203" i="49" s="1"/>
  <c r="O204" i="49"/>
  <c r="P204" i="49" s="1"/>
  <c r="J204" i="49" s="1"/>
  <c r="M372" i="49"/>
  <c r="M373" i="49"/>
  <c r="O229" i="49"/>
  <c r="P229" i="49" s="1"/>
  <c r="J229" i="49" s="1"/>
  <c r="O412" i="49"/>
  <c r="P412" i="49" s="1"/>
  <c r="J412" i="49" s="1"/>
  <c r="M48" i="49"/>
  <c r="O321" i="49"/>
  <c r="P321" i="49" s="1"/>
  <c r="J321" i="49" s="1"/>
  <c r="O322" i="49"/>
  <c r="P322" i="49" s="1"/>
  <c r="J322" i="49" s="1"/>
  <c r="M321" i="49"/>
  <c r="O320" i="49" s="1"/>
  <c r="P320" i="49" s="1"/>
  <c r="J320" i="49" s="1"/>
  <c r="M424" i="39"/>
  <c r="O321" i="39"/>
  <c r="M372" i="39"/>
  <c r="M373" i="39"/>
  <c r="O309" i="39"/>
  <c r="P309" i="39" s="1"/>
  <c r="J309" i="39" s="1"/>
  <c r="M11" i="39"/>
  <c r="O204" i="39"/>
  <c r="P204" i="39" s="1"/>
  <c r="J204" i="39" s="1"/>
  <c r="O283" i="39"/>
  <c r="P283" i="39" s="1"/>
  <c r="J283" i="39" s="1"/>
  <c r="O282" i="39"/>
  <c r="P282" i="39" s="1"/>
  <c r="J282" i="39" s="1"/>
  <c r="O281" i="39"/>
  <c r="P281" i="39" s="1"/>
  <c r="J281" i="39" s="1"/>
  <c r="O359" i="39"/>
  <c r="P359" i="39" s="1"/>
  <c r="J359" i="39" s="1"/>
  <c r="O361" i="39"/>
  <c r="P361" i="39" s="1"/>
  <c r="J361" i="39" s="1"/>
  <c r="M270" i="39"/>
  <c r="M32" i="39"/>
  <c r="O307" i="39"/>
  <c r="P307" i="39" s="1"/>
  <c r="J307" i="39" s="1"/>
  <c r="M140" i="39"/>
  <c r="O255" i="39"/>
  <c r="P255" i="39" s="1"/>
  <c r="J255" i="39" s="1"/>
  <c r="O191" i="39"/>
  <c r="P191" i="39" s="1"/>
  <c r="J191" i="39" s="1"/>
  <c r="O190" i="39"/>
  <c r="P190" i="39" s="1"/>
  <c r="J190" i="39" s="1"/>
  <c r="O192" i="39"/>
  <c r="P192" i="39" s="1"/>
  <c r="J192" i="39" s="1"/>
  <c r="M412" i="39"/>
  <c r="O411" i="39" s="1"/>
  <c r="O231" i="39"/>
  <c r="P231" i="39" s="1"/>
  <c r="J231" i="39" s="1"/>
  <c r="O230" i="39"/>
  <c r="P230" i="39" s="1"/>
  <c r="J230" i="39" s="1"/>
  <c r="O229" i="39"/>
  <c r="P229" i="39" s="1"/>
  <c r="J229" i="39" s="1"/>
  <c r="O348" i="39"/>
  <c r="P348" i="39" s="1"/>
  <c r="J348" i="39" s="1"/>
  <c r="O347" i="39"/>
  <c r="P347" i="39" s="1"/>
  <c r="J347" i="39" s="1"/>
  <c r="O346" i="39"/>
  <c r="P346" i="39" s="1"/>
  <c r="J346" i="39" s="1"/>
  <c r="M177" i="39"/>
  <c r="M9" i="39"/>
  <c r="M139" i="39"/>
  <c r="M153" i="39"/>
  <c r="O113" i="39"/>
  <c r="O112" i="39"/>
  <c r="O114" i="39"/>
  <c r="P114" i="39" s="1"/>
  <c r="J114" i="39" s="1"/>
  <c r="O257" i="39"/>
  <c r="P257" i="39" s="1"/>
  <c r="J257" i="39" s="1"/>
  <c r="M86" i="39"/>
  <c r="M31" i="39"/>
  <c r="M179" i="39"/>
  <c r="M178" i="39"/>
  <c r="M99" i="39"/>
  <c r="M269" i="39"/>
  <c r="O164" i="39"/>
  <c r="M126" i="39"/>
  <c r="O126" i="39" s="1"/>
  <c r="P126" i="39" s="1"/>
  <c r="J126" i="39" s="1"/>
  <c r="O295" i="39"/>
  <c r="O294" i="39"/>
  <c r="M101" i="39"/>
  <c r="M74" i="39"/>
  <c r="O165" i="39"/>
  <c r="M10" i="39"/>
  <c r="M151" i="39"/>
  <c r="M127" i="39"/>
  <c r="M48" i="39"/>
  <c r="O334" i="39"/>
  <c r="P334" i="39" s="1"/>
  <c r="J334" i="39" s="1"/>
  <c r="O333" i="39"/>
  <c r="P333" i="39" s="1"/>
  <c r="J333" i="39" s="1"/>
  <c r="O335" i="39"/>
  <c r="P335" i="39" s="1"/>
  <c r="J335" i="39" s="1"/>
  <c r="M374" i="39"/>
  <c r="O386" i="39"/>
  <c r="M216" i="39"/>
  <c r="M268" i="39"/>
  <c r="M8" i="39"/>
  <c r="M138" i="39"/>
  <c r="M152" i="39"/>
  <c r="O205" i="39"/>
  <c r="P205" i="39" s="1"/>
  <c r="J205" i="39" s="1"/>
  <c r="M73" i="39"/>
  <c r="M425" i="39"/>
  <c r="M400" i="39"/>
  <c r="M426" i="39"/>
  <c r="M47" i="39"/>
  <c r="M398" i="39"/>
  <c r="M218" i="39"/>
  <c r="M87" i="39"/>
  <c r="M242" i="37"/>
  <c r="M113" i="37"/>
  <c r="M88" i="37"/>
  <c r="O411" i="37"/>
  <c r="P411" i="37" s="1"/>
  <c r="J411" i="37" s="1"/>
  <c r="AK62" i="38" s="1"/>
  <c r="O413" i="37"/>
  <c r="P413" i="37" s="1"/>
  <c r="J413" i="37" s="1"/>
  <c r="AK190" i="38" s="1"/>
  <c r="O412" i="37"/>
  <c r="P412" i="37" s="1"/>
  <c r="J412" i="37" s="1"/>
  <c r="AK126" i="38" s="1"/>
  <c r="M322" i="37"/>
  <c r="O309" i="37"/>
  <c r="P309" i="37" s="1"/>
  <c r="J309" i="37" s="1"/>
  <c r="AK176" i="38" s="1"/>
  <c r="O308" i="37"/>
  <c r="P308" i="37" s="1"/>
  <c r="J308" i="37" s="1"/>
  <c r="AK112" i="38" s="1"/>
  <c r="O307" i="37"/>
  <c r="P307" i="37" s="1"/>
  <c r="J307" i="37" s="1"/>
  <c r="AK48" i="38" s="1"/>
  <c r="M294" i="37"/>
  <c r="M217" i="37"/>
  <c r="M164" i="37"/>
  <c r="M165" i="37"/>
  <c r="O257" i="37"/>
  <c r="P257" i="37" s="1"/>
  <c r="J257" i="37" s="1"/>
  <c r="AK146" i="38" s="1"/>
  <c r="O256" i="37"/>
  <c r="P256" i="37" s="1"/>
  <c r="J256" i="37" s="1"/>
  <c r="AK82" i="38" s="1"/>
  <c r="O255" i="37"/>
  <c r="P255" i="37" s="1"/>
  <c r="J255" i="37" s="1"/>
  <c r="AK18" i="38" s="1"/>
  <c r="M178" i="37"/>
  <c r="M321" i="37"/>
  <c r="K391" i="37"/>
  <c r="M385" i="37"/>
  <c r="O334" i="37"/>
  <c r="P334" i="37" s="1"/>
  <c r="J334" i="37" s="1"/>
  <c r="C96" i="38" s="1"/>
  <c r="O333" i="37"/>
  <c r="P333" i="37" s="1"/>
  <c r="J333" i="37" s="1"/>
  <c r="C32" i="38" s="1"/>
  <c r="O335" i="37"/>
  <c r="P335" i="37" s="1"/>
  <c r="J335" i="37" s="1"/>
  <c r="C160" i="38" s="1"/>
  <c r="M60" i="37"/>
  <c r="M295" i="37"/>
  <c r="M270" i="37"/>
  <c r="M269" i="37"/>
  <c r="O153" i="37"/>
  <c r="P153" i="37" s="1"/>
  <c r="J153" i="37" s="1"/>
  <c r="AK154" i="38" s="1"/>
  <c r="O152" i="37"/>
  <c r="P152" i="37" s="1"/>
  <c r="J152" i="37" s="1"/>
  <c r="AK90" i="38" s="1"/>
  <c r="O151" i="37"/>
  <c r="P151" i="37" s="1"/>
  <c r="J151" i="37" s="1"/>
  <c r="AK26" i="38" s="1"/>
  <c r="M348" i="37"/>
  <c r="M243" i="37"/>
  <c r="M112" i="37"/>
  <c r="M426" i="37"/>
  <c r="M387" i="37"/>
  <c r="M398" i="37"/>
  <c r="M140" i="37"/>
  <c r="M33" i="37"/>
  <c r="M218" i="37"/>
  <c r="M125" i="37"/>
  <c r="M126" i="37"/>
  <c r="M62" i="37"/>
  <c r="O11" i="37"/>
  <c r="O192" i="37"/>
  <c r="P192" i="37" s="1"/>
  <c r="J192" i="37" s="1"/>
  <c r="AK144" i="38" s="1"/>
  <c r="O190" i="37"/>
  <c r="P190" i="37" s="1"/>
  <c r="J190" i="37" s="1"/>
  <c r="AK16" i="38" s="1"/>
  <c r="O191" i="37"/>
  <c r="P191" i="37" s="1"/>
  <c r="J191" i="37" s="1"/>
  <c r="AK80" i="38" s="1"/>
  <c r="M61" i="37"/>
  <c r="M320" i="37"/>
  <c r="M400" i="37"/>
  <c r="M179" i="37"/>
  <c r="M177" i="37"/>
  <c r="M424" i="37"/>
  <c r="O361" i="37"/>
  <c r="P361" i="37" s="1"/>
  <c r="J361" i="37" s="1"/>
  <c r="AK160" i="38" s="1"/>
  <c r="M386" i="37"/>
  <c r="M399" i="37"/>
  <c r="M268" i="37"/>
  <c r="M139" i="37"/>
  <c r="M31" i="37"/>
  <c r="O31" i="37" s="1"/>
  <c r="P31" i="37" s="1"/>
  <c r="J31" i="37" s="1"/>
  <c r="AK128" i="38" s="1"/>
  <c r="M346" i="37"/>
  <c r="O203" i="37"/>
  <c r="O101" i="37"/>
  <c r="P101" i="37" s="1"/>
  <c r="J101" i="37" s="1"/>
  <c r="AK166" i="38" s="1"/>
  <c r="O100" i="37"/>
  <c r="P100" i="37" s="1"/>
  <c r="J100" i="37" s="1"/>
  <c r="AK102" i="38" s="1"/>
  <c r="O99" i="37"/>
  <c r="P99" i="37" s="1"/>
  <c r="J99" i="37" s="1"/>
  <c r="AK38" i="38" s="1"/>
  <c r="M374" i="37"/>
  <c r="O373" i="37" s="1"/>
  <c r="M138" i="37"/>
  <c r="M347" i="37"/>
  <c r="M216" i="37"/>
  <c r="M74" i="37"/>
  <c r="M73" i="37"/>
  <c r="M127" i="37"/>
  <c r="M87" i="37"/>
  <c r="M86" i="37"/>
  <c r="O334" i="47"/>
  <c r="P334" i="47" s="1"/>
  <c r="J334" i="47" s="1"/>
  <c r="O333" i="47"/>
  <c r="P333" i="47" s="1"/>
  <c r="J333" i="47" s="1"/>
  <c r="O335" i="47"/>
  <c r="P335" i="47" s="1"/>
  <c r="J335" i="47" s="1"/>
  <c r="M294" i="47"/>
  <c r="M190" i="47"/>
  <c r="K66" i="47"/>
  <c r="M60" i="47"/>
  <c r="M270" i="47"/>
  <c r="M138" i="47"/>
  <c r="M74" i="47"/>
  <c r="M8" i="47"/>
  <c r="M73" i="47"/>
  <c r="M101" i="47"/>
  <c r="O255" i="47"/>
  <c r="P255" i="47" s="1"/>
  <c r="J255" i="47" s="1"/>
  <c r="M322" i="47"/>
  <c r="M268" i="47"/>
  <c r="M269" i="47"/>
  <c r="M347" i="47"/>
  <c r="M218" i="47"/>
  <c r="M295" i="47"/>
  <c r="M114" i="47"/>
  <c r="O282" i="47"/>
  <c r="P282" i="47" s="1"/>
  <c r="J282" i="47" s="1"/>
  <c r="O281" i="47"/>
  <c r="P281" i="47" s="1"/>
  <c r="J281" i="47" s="1"/>
  <c r="O283" i="47"/>
  <c r="P283" i="47" s="1"/>
  <c r="J283" i="47" s="1"/>
  <c r="M112" i="47"/>
  <c r="M425" i="47"/>
  <c r="M424" i="47"/>
  <c r="M374" i="47"/>
  <c r="M126" i="47"/>
  <c r="M139" i="47"/>
  <c r="M88" i="47"/>
  <c r="M9" i="47"/>
  <c r="M398" i="47"/>
  <c r="M320" i="47"/>
  <c r="M216" i="47"/>
  <c r="M400" i="47"/>
  <c r="M166" i="47"/>
  <c r="M75" i="47"/>
  <c r="M62" i="47"/>
  <c r="M242" i="47"/>
  <c r="M373" i="47"/>
  <c r="O372" i="47" s="1"/>
  <c r="M399" i="47"/>
  <c r="M113" i="47"/>
  <c r="O360" i="47"/>
  <c r="M164" i="47"/>
  <c r="M86" i="47"/>
  <c r="M426" i="47"/>
  <c r="M346" i="47"/>
  <c r="K391" i="47"/>
  <c r="M385" i="47"/>
  <c r="M217" i="47"/>
  <c r="M61" i="47"/>
  <c r="M296" i="47"/>
  <c r="M203" i="47"/>
  <c r="M99" i="47"/>
  <c r="O411" i="47"/>
  <c r="P411" i="47" s="1"/>
  <c r="J411" i="47" s="1"/>
  <c r="O413" i="47"/>
  <c r="P413" i="47" s="1"/>
  <c r="J413" i="47" s="1"/>
  <c r="O412" i="47"/>
  <c r="P412" i="47" s="1"/>
  <c r="J412" i="47" s="1"/>
  <c r="M192" i="47"/>
  <c r="M140" i="47"/>
  <c r="M11" i="47"/>
  <c r="M179" i="47"/>
  <c r="O179" i="47" s="1"/>
  <c r="M153" i="47"/>
  <c r="M87" i="45"/>
  <c r="M138" i="45"/>
  <c r="M33" i="45"/>
  <c r="M398" i="45"/>
  <c r="M413" i="45"/>
  <c r="M361" i="45"/>
  <c r="M372" i="45"/>
  <c r="M359" i="45"/>
  <c r="M216" i="45"/>
  <c r="M320" i="45"/>
  <c r="M321" i="45"/>
  <c r="M139" i="45"/>
  <c r="O11" i="45"/>
  <c r="M114" i="45"/>
  <c r="M62" i="45"/>
  <c r="M61" i="45"/>
  <c r="M346" i="45"/>
  <c r="M348" i="45"/>
  <c r="M347" i="45"/>
  <c r="M217" i="45"/>
  <c r="M412" i="45"/>
  <c r="M140" i="45"/>
  <c r="M177" i="45"/>
  <c r="M49" i="45"/>
  <c r="M31" i="45"/>
  <c r="M373" i="45"/>
  <c r="M295" i="45"/>
  <c r="M411" i="45"/>
  <c r="M165" i="45"/>
  <c r="M164" i="45"/>
  <c r="M296" i="45"/>
  <c r="M32" i="45"/>
  <c r="M48" i="45"/>
  <c r="M75" i="45"/>
  <c r="M424" i="45"/>
  <c r="M322" i="45"/>
  <c r="M268" i="45"/>
  <c r="M88" i="45"/>
  <c r="M30" i="45"/>
  <c r="M60" i="45"/>
  <c r="M218" i="45"/>
  <c r="M179" i="45"/>
  <c r="M166" i="45"/>
  <c r="M86" i="45"/>
  <c r="M47" i="45"/>
  <c r="M112" i="45"/>
  <c r="M178" i="45"/>
  <c r="M400" i="45"/>
  <c r="M399" i="45"/>
  <c r="M269" i="45"/>
  <c r="M294" i="45"/>
  <c r="M74" i="45"/>
  <c r="M113" i="45"/>
  <c r="O164" i="35"/>
  <c r="P164" i="35" s="1"/>
  <c r="J164" i="35" s="1"/>
  <c r="M321" i="35"/>
  <c r="O231" i="35"/>
  <c r="P231" i="35" s="1"/>
  <c r="J231" i="35" s="1"/>
  <c r="O230" i="35"/>
  <c r="P230" i="35" s="1"/>
  <c r="J230" i="35" s="1"/>
  <c r="O229" i="35"/>
  <c r="P229" i="35" s="1"/>
  <c r="J229" i="35" s="1"/>
  <c r="O347" i="35"/>
  <c r="P347" i="35" s="1"/>
  <c r="J347" i="35" s="1"/>
  <c r="M411" i="35"/>
  <c r="M88" i="35"/>
  <c r="K391" i="35"/>
  <c r="M385" i="35"/>
  <c r="M426" i="35"/>
  <c r="O256" i="35"/>
  <c r="P256" i="35" s="1"/>
  <c r="J256" i="35" s="1"/>
  <c r="O257" i="35"/>
  <c r="P257" i="35" s="1"/>
  <c r="J257" i="35" s="1"/>
  <c r="O255" i="35"/>
  <c r="P255" i="35" s="1"/>
  <c r="J255" i="35" s="1"/>
  <c r="M114" i="35"/>
  <c r="O151" i="35"/>
  <c r="P151" i="35" s="1"/>
  <c r="J151" i="35" s="1"/>
  <c r="O153" i="35"/>
  <c r="P153" i="35" s="1"/>
  <c r="J153" i="35" s="1"/>
  <c r="O152" i="35"/>
  <c r="P152" i="35" s="1"/>
  <c r="J152" i="35" s="1"/>
  <c r="O190" i="35"/>
  <c r="M216" i="35"/>
  <c r="O359" i="35"/>
  <c r="P359" i="35" s="1"/>
  <c r="J359" i="35" s="1"/>
  <c r="O361" i="35"/>
  <c r="P361" i="35" s="1"/>
  <c r="J361" i="35" s="1"/>
  <c r="O360" i="35"/>
  <c r="P360" i="35" s="1"/>
  <c r="J360" i="35" s="1"/>
  <c r="M73" i="35"/>
  <c r="O191" i="35"/>
  <c r="P191" i="35" s="1"/>
  <c r="J191" i="35" s="1"/>
  <c r="M374" i="35"/>
  <c r="O373" i="35" s="1"/>
  <c r="P373" i="35" s="1"/>
  <c r="J373" i="35" s="1"/>
  <c r="O334" i="35"/>
  <c r="P334" i="35" s="1"/>
  <c r="J334" i="35" s="1"/>
  <c r="O333" i="35"/>
  <c r="P333" i="35" s="1"/>
  <c r="J333" i="35" s="1"/>
  <c r="O335" i="35"/>
  <c r="P335" i="35" s="1"/>
  <c r="J335" i="35" s="1"/>
  <c r="M412" i="35"/>
  <c r="M165" i="35"/>
  <c r="O101" i="35"/>
  <c r="P101" i="35" s="1"/>
  <c r="J101" i="35" s="1"/>
  <c r="O100" i="35"/>
  <c r="P100" i="35" s="1"/>
  <c r="J100" i="35" s="1"/>
  <c r="O99" i="35"/>
  <c r="P99" i="35" s="1"/>
  <c r="J99" i="35" s="1"/>
  <c r="M140" i="35"/>
  <c r="O294" i="35"/>
  <c r="M112" i="35"/>
  <c r="M399" i="35"/>
  <c r="M400" i="35"/>
  <c r="M424" i="35"/>
  <c r="M387" i="35"/>
  <c r="M217" i="35"/>
  <c r="M268" i="35"/>
  <c r="O244" i="35"/>
  <c r="P244" i="35" s="1"/>
  <c r="J244" i="35" s="1"/>
  <c r="O242" i="35"/>
  <c r="P242" i="35" s="1"/>
  <c r="J242" i="35" s="1"/>
  <c r="M425" i="35"/>
  <c r="M320" i="35"/>
  <c r="M322" i="35"/>
  <c r="O283" i="35"/>
  <c r="P283" i="35" s="1"/>
  <c r="J283" i="35" s="1"/>
  <c r="O282" i="35"/>
  <c r="P282" i="35" s="1"/>
  <c r="J282" i="35" s="1"/>
  <c r="O281" i="35"/>
  <c r="P281" i="35" s="1"/>
  <c r="J281" i="35" s="1"/>
  <c r="O295" i="35"/>
  <c r="O49" i="35"/>
  <c r="M125" i="35"/>
  <c r="M61" i="35"/>
  <c r="M138" i="35"/>
  <c r="O204" i="35"/>
  <c r="P204" i="35" s="1"/>
  <c r="J204" i="35" s="1"/>
  <c r="O205" i="35"/>
  <c r="P205" i="35" s="1"/>
  <c r="J205" i="35" s="1"/>
  <c r="O203" i="35"/>
  <c r="P203" i="35" s="1"/>
  <c r="J203" i="35" s="1"/>
  <c r="M126" i="35"/>
  <c r="O179" i="35"/>
  <c r="P179" i="35" s="1"/>
  <c r="J179" i="35" s="1"/>
  <c r="O177" i="35"/>
  <c r="P177" i="35" s="1"/>
  <c r="J177" i="35" s="1"/>
  <c r="O178" i="35"/>
  <c r="P178" i="35" s="1"/>
  <c r="J178" i="35" s="1"/>
  <c r="M86" i="35"/>
  <c r="M398" i="35"/>
  <c r="M269" i="35"/>
  <c r="M166" i="35"/>
  <c r="O33" i="43"/>
  <c r="M374" i="43"/>
  <c r="M218" i="43"/>
  <c r="M400" i="43"/>
  <c r="M138" i="43"/>
  <c r="M125" i="43"/>
  <c r="M179" i="43"/>
  <c r="M178" i="43"/>
  <c r="M177" i="43"/>
  <c r="M152" i="43"/>
  <c r="M424" i="43"/>
  <c r="M268" i="43"/>
  <c r="M139" i="43"/>
  <c r="M100" i="43"/>
  <c r="M10" i="43"/>
  <c r="M11" i="43"/>
  <c r="M9" i="43"/>
  <c r="M425" i="43"/>
  <c r="M204" i="43"/>
  <c r="M203" i="43"/>
  <c r="O256" i="43"/>
  <c r="P256" i="43" s="1"/>
  <c r="J256" i="43" s="1"/>
  <c r="M75" i="43"/>
  <c r="M398" i="43"/>
  <c r="M99" i="43"/>
  <c r="M269" i="43"/>
  <c r="M87" i="43"/>
  <c r="M216" i="43"/>
  <c r="M8" i="43"/>
  <c r="M74" i="43"/>
  <c r="M73" i="43"/>
  <c r="M373" i="43"/>
  <c r="M399" i="43"/>
  <c r="M322" i="43"/>
  <c r="M321" i="43"/>
  <c r="M426" i="43"/>
  <c r="O321" i="33"/>
  <c r="P321" i="33" s="1"/>
  <c r="J321" i="33" s="1"/>
  <c r="O320" i="33"/>
  <c r="P320" i="33" s="1"/>
  <c r="J320" i="33" s="1"/>
  <c r="O322" i="33"/>
  <c r="P322" i="33" s="1"/>
  <c r="J322" i="33" s="1"/>
  <c r="M281" i="33"/>
  <c r="M73" i="33"/>
  <c r="M282" i="33"/>
  <c r="K287" i="33"/>
  <c r="M283" i="33"/>
  <c r="M347" i="33"/>
  <c r="O257" i="33"/>
  <c r="P257" i="33" s="1"/>
  <c r="J257" i="33" s="1"/>
  <c r="O255" i="33"/>
  <c r="P255" i="33" s="1"/>
  <c r="J255" i="33" s="1"/>
  <c r="O256" i="33"/>
  <c r="P256" i="33" s="1"/>
  <c r="J256" i="33" s="1"/>
  <c r="M31" i="33"/>
  <c r="M243" i="33"/>
  <c r="M100" i="33"/>
  <c r="M10" i="33"/>
  <c r="M294" i="33"/>
  <c r="M47" i="33"/>
  <c r="M191" i="33"/>
  <c r="M75" i="33"/>
  <c r="M62" i="33"/>
  <c r="O359" i="33"/>
  <c r="P359" i="33" s="1"/>
  <c r="J359" i="33" s="1"/>
  <c r="O361" i="33"/>
  <c r="P361" i="33" s="1"/>
  <c r="J361" i="33" s="1"/>
  <c r="O360" i="33"/>
  <c r="P360" i="33" s="1"/>
  <c r="J360" i="33" s="1"/>
  <c r="M399" i="33"/>
  <c r="O400" i="33" s="1"/>
  <c r="O205" i="33"/>
  <c r="P205" i="33" s="1"/>
  <c r="J205" i="33" s="1"/>
  <c r="O204" i="33"/>
  <c r="P204" i="33" s="1"/>
  <c r="J204" i="33" s="1"/>
  <c r="O203" i="33"/>
  <c r="P203" i="33" s="1"/>
  <c r="J203" i="33" s="1"/>
  <c r="M374" i="33"/>
  <c r="O372" i="33" s="1"/>
  <c r="O269" i="33"/>
  <c r="P269" i="33" s="1"/>
  <c r="J269" i="33" s="1"/>
  <c r="O268" i="33"/>
  <c r="P268" i="33" s="1"/>
  <c r="J268" i="33" s="1"/>
  <c r="O270" i="33"/>
  <c r="P270" i="33" s="1"/>
  <c r="J270" i="33" s="1"/>
  <c r="M11" i="33"/>
  <c r="M33" i="33"/>
  <c r="M242" i="33"/>
  <c r="M152" i="33"/>
  <c r="M60" i="33"/>
  <c r="M229" i="33"/>
  <c r="M426" i="33"/>
  <c r="M424" i="33"/>
  <c r="M114" i="33"/>
  <c r="M177" i="33"/>
  <c r="M9" i="33"/>
  <c r="O138" i="33"/>
  <c r="P138" i="33" s="1"/>
  <c r="J138" i="33" s="1"/>
  <c r="M99" i="33"/>
  <c r="M346" i="33"/>
  <c r="M179" i="33"/>
  <c r="M8" i="33"/>
  <c r="M244" i="33"/>
  <c r="M231" i="33"/>
  <c r="O139" i="33"/>
  <c r="P139" i="33" s="1"/>
  <c r="J139" i="33" s="1"/>
  <c r="M125" i="33"/>
  <c r="M295" i="33"/>
  <c r="M49" i="33"/>
  <c r="O164" i="33"/>
  <c r="P164" i="33" s="1"/>
  <c r="J164" i="33" s="1"/>
  <c r="O166" i="33"/>
  <c r="O165" i="33"/>
  <c r="M30" i="33"/>
  <c r="M296" i="33"/>
  <c r="O411" i="33"/>
  <c r="P411" i="33" s="1"/>
  <c r="J411" i="33" s="1"/>
  <c r="O413" i="33"/>
  <c r="P413" i="33" s="1"/>
  <c r="J413" i="33" s="1"/>
  <c r="O412" i="33"/>
  <c r="P412" i="33" s="1"/>
  <c r="J412" i="33" s="1"/>
  <c r="M112" i="33"/>
  <c r="M400" i="33"/>
  <c r="O398" i="33" s="1"/>
  <c r="P398" i="33" s="1"/>
  <c r="J398" i="33" s="1"/>
  <c r="M101" i="33"/>
  <c r="M61" i="33"/>
  <c r="M190" i="33"/>
  <c r="K339" i="33"/>
  <c r="M335" i="33"/>
  <c r="M333" i="33"/>
  <c r="M425" i="33"/>
  <c r="K391" i="33"/>
  <c r="M385" i="33"/>
  <c r="O88" i="33"/>
  <c r="P88" i="33" s="1"/>
  <c r="J88" i="33" s="1"/>
  <c r="O86" i="33"/>
  <c r="P86" i="33" s="1"/>
  <c r="J86" i="33" s="1"/>
  <c r="O87" i="33"/>
  <c r="P87" i="33" s="1"/>
  <c r="J87" i="33" s="1"/>
  <c r="M387" i="33"/>
  <c r="O309" i="33"/>
  <c r="P309" i="33" s="1"/>
  <c r="J309" i="33" s="1"/>
  <c r="O308" i="33"/>
  <c r="P308" i="33" s="1"/>
  <c r="J308" i="33" s="1"/>
  <c r="O307" i="33"/>
  <c r="P307" i="33" s="1"/>
  <c r="J307" i="33" s="1"/>
  <c r="O217" i="33"/>
  <c r="P217" i="33" s="1"/>
  <c r="J217" i="33" s="1"/>
  <c r="O216" i="33"/>
  <c r="P216" i="33" s="1"/>
  <c r="J216" i="33" s="1"/>
  <c r="O218" i="33"/>
  <c r="P218" i="33" s="1"/>
  <c r="J218" i="33" s="1"/>
  <c r="M348" i="33"/>
  <c r="M192" i="33"/>
  <c r="M48" i="33"/>
  <c r="M151" i="33"/>
  <c r="M153" i="33"/>
  <c r="M178" i="33"/>
  <c r="AT174" i="46" l="1"/>
  <c r="AQ174" i="46"/>
  <c r="AU174" i="46"/>
  <c r="AQ173" i="46"/>
  <c r="AU173" i="46"/>
  <c r="AT173" i="46"/>
  <c r="AQ109" i="46"/>
  <c r="AU109" i="46"/>
  <c r="AT109" i="46"/>
  <c r="AP110" i="46"/>
  <c r="AQ108" i="46"/>
  <c r="AU108" i="46"/>
  <c r="AQ44" i="46"/>
  <c r="AU44" i="46"/>
  <c r="AP45" i="46"/>
  <c r="AQ173" i="44"/>
  <c r="AU173" i="44"/>
  <c r="AQ108" i="44"/>
  <c r="AU108" i="44"/>
  <c r="O153" i="43"/>
  <c r="P153" i="43" s="1"/>
  <c r="J153" i="43" s="1"/>
  <c r="P164" i="39"/>
  <c r="J164" i="39" s="1"/>
  <c r="P386" i="39"/>
  <c r="J386" i="39" s="1"/>
  <c r="P294" i="39"/>
  <c r="J294" i="39" s="1"/>
  <c r="K294" i="39" s="1"/>
  <c r="P411" i="39"/>
  <c r="J411" i="39" s="1"/>
  <c r="P387" i="39"/>
  <c r="J387" i="39" s="1"/>
  <c r="O75" i="49"/>
  <c r="O295" i="43"/>
  <c r="P295" i="43" s="1"/>
  <c r="J295" i="43" s="1"/>
  <c r="K295" i="43" s="1"/>
  <c r="K359" i="37"/>
  <c r="P165" i="39"/>
  <c r="J165" i="39" s="1"/>
  <c r="O86" i="49"/>
  <c r="P86" i="49" s="1"/>
  <c r="J86" i="49" s="1"/>
  <c r="O242" i="43"/>
  <c r="P242" i="43" s="1"/>
  <c r="J242" i="43" s="1"/>
  <c r="K242" i="43" s="1"/>
  <c r="O255" i="43"/>
  <c r="P255" i="43" s="1"/>
  <c r="J255" i="43" s="1"/>
  <c r="O348" i="43"/>
  <c r="O164" i="49"/>
  <c r="P164" i="49" s="1"/>
  <c r="J164" i="49" s="1"/>
  <c r="K164" i="49" s="1"/>
  <c r="O101" i="49"/>
  <c r="P101" i="49" s="1"/>
  <c r="J101" i="49" s="1"/>
  <c r="K101" i="49" s="1"/>
  <c r="O192" i="49"/>
  <c r="P192" i="49" s="1"/>
  <c r="J192" i="49" s="1"/>
  <c r="O139" i="49"/>
  <c r="O140" i="49"/>
  <c r="P140" i="49" s="1"/>
  <c r="J140" i="49" s="1"/>
  <c r="O138" i="49"/>
  <c r="P138" i="49" s="1"/>
  <c r="J138" i="49" s="1"/>
  <c r="K138" i="49" s="1"/>
  <c r="O87" i="49"/>
  <c r="P87" i="49" s="1"/>
  <c r="J87" i="49" s="1"/>
  <c r="O88" i="49"/>
  <c r="P88" i="49" s="1"/>
  <c r="J88" i="49" s="1"/>
  <c r="O191" i="49"/>
  <c r="P191" i="49" s="1"/>
  <c r="J191" i="49" s="1"/>
  <c r="O152" i="49"/>
  <c r="P152" i="49" s="1"/>
  <c r="J152" i="49" s="1"/>
  <c r="AK90" i="50" s="1"/>
  <c r="O74" i="49"/>
  <c r="P74" i="49" s="1"/>
  <c r="J74" i="49" s="1"/>
  <c r="K74" i="49" s="1"/>
  <c r="O114" i="43"/>
  <c r="P114" i="43" s="1"/>
  <c r="J114" i="43" s="1"/>
  <c r="K114" i="43" s="1"/>
  <c r="O113" i="43"/>
  <c r="P113" i="43" s="1"/>
  <c r="J113" i="43" s="1"/>
  <c r="C98" i="44" s="1"/>
  <c r="O112" i="43"/>
  <c r="P112" i="43" s="1"/>
  <c r="J112" i="43" s="1"/>
  <c r="K112" i="43" s="1"/>
  <c r="O87" i="43"/>
  <c r="O62" i="43"/>
  <c r="P62" i="43" s="1"/>
  <c r="J62" i="43" s="1"/>
  <c r="K62" i="43" s="1"/>
  <c r="O48" i="43"/>
  <c r="P48" i="43" s="1"/>
  <c r="J48" i="43" s="1"/>
  <c r="P33" i="43"/>
  <c r="J33" i="43" s="1"/>
  <c r="K33" i="43" s="1"/>
  <c r="O32" i="43"/>
  <c r="P32" i="43" s="1"/>
  <c r="J32" i="43" s="1"/>
  <c r="O31" i="43"/>
  <c r="P31" i="43" s="1"/>
  <c r="J31" i="43" s="1"/>
  <c r="K31" i="43" s="1"/>
  <c r="O335" i="43"/>
  <c r="P335" i="43" s="1"/>
  <c r="J335" i="43" s="1"/>
  <c r="O333" i="43"/>
  <c r="P333" i="43" s="1"/>
  <c r="J333" i="43" s="1"/>
  <c r="K333" i="43" s="1"/>
  <c r="O334" i="43"/>
  <c r="P334" i="43" s="1"/>
  <c r="J334" i="43" s="1"/>
  <c r="K334" i="43" s="1"/>
  <c r="O257" i="43"/>
  <c r="P257" i="43" s="1"/>
  <c r="J257" i="43" s="1"/>
  <c r="O60" i="49"/>
  <c r="P60" i="49" s="1"/>
  <c r="J60" i="49" s="1"/>
  <c r="O244" i="43"/>
  <c r="P244" i="43" s="1"/>
  <c r="J244" i="43" s="1"/>
  <c r="K244" i="43" s="1"/>
  <c r="O309" i="43"/>
  <c r="P309" i="43" s="1"/>
  <c r="J309" i="43" s="1"/>
  <c r="O307" i="43"/>
  <c r="P307" i="43" s="1"/>
  <c r="J307" i="43" s="1"/>
  <c r="O296" i="43"/>
  <c r="P296" i="43" s="1"/>
  <c r="J296" i="43" s="1"/>
  <c r="O230" i="43"/>
  <c r="P230" i="43" s="1"/>
  <c r="J230" i="43" s="1"/>
  <c r="K230" i="43" s="1"/>
  <c r="O360" i="43"/>
  <c r="P360" i="43" s="1"/>
  <c r="J360" i="43" s="1"/>
  <c r="K360" i="43" s="1"/>
  <c r="O361" i="43"/>
  <c r="P361" i="43" s="1"/>
  <c r="J361" i="43" s="1"/>
  <c r="K361" i="43" s="1"/>
  <c r="O359" i="43"/>
  <c r="P359" i="43" s="1"/>
  <c r="J359" i="43" s="1"/>
  <c r="K359" i="43" s="1"/>
  <c r="O386" i="43"/>
  <c r="P386" i="43" s="1"/>
  <c r="J386" i="43" s="1"/>
  <c r="K386" i="43" s="1"/>
  <c r="O385" i="43"/>
  <c r="P385" i="43" s="1"/>
  <c r="J385" i="43" s="1"/>
  <c r="O412" i="43"/>
  <c r="P412" i="43" s="1"/>
  <c r="J412" i="43" s="1"/>
  <c r="O62" i="49"/>
  <c r="P62" i="49" s="1"/>
  <c r="J62" i="49" s="1"/>
  <c r="O203" i="45"/>
  <c r="P203" i="45" s="1"/>
  <c r="J203" i="45" s="1"/>
  <c r="K203" i="45" s="1"/>
  <c r="O192" i="45"/>
  <c r="O127" i="45"/>
  <c r="O281" i="45"/>
  <c r="P281" i="45" s="1"/>
  <c r="J281" i="45" s="1"/>
  <c r="K281" i="45" s="1"/>
  <c r="O153" i="45"/>
  <c r="P153" i="45" s="1"/>
  <c r="J153" i="45" s="1"/>
  <c r="K153" i="45" s="1"/>
  <c r="O386" i="45"/>
  <c r="O230" i="47"/>
  <c r="P230" i="47" s="1"/>
  <c r="J230" i="47" s="1"/>
  <c r="O127" i="47"/>
  <c r="P127" i="47" s="1"/>
  <c r="J127" i="47" s="1"/>
  <c r="K127" i="47" s="1"/>
  <c r="O48" i="35"/>
  <c r="P48" i="35" s="1"/>
  <c r="J48" i="35" s="1"/>
  <c r="K48" i="35" s="1"/>
  <c r="O31" i="39"/>
  <c r="O61" i="39"/>
  <c r="P61" i="39" s="1"/>
  <c r="J61" i="39" s="1"/>
  <c r="O47" i="37"/>
  <c r="P47" i="37" s="1"/>
  <c r="J47" i="37" s="1"/>
  <c r="AK8" i="38" s="1"/>
  <c r="O8" i="37"/>
  <c r="P8" i="37" s="1"/>
  <c r="J8" i="37" s="1"/>
  <c r="C8" i="38" s="1"/>
  <c r="O10" i="37"/>
  <c r="O231" i="47"/>
  <c r="P231" i="47" s="1"/>
  <c r="J231" i="47" s="1"/>
  <c r="K231" i="47" s="1"/>
  <c r="O257" i="45"/>
  <c r="P257" i="45" s="1"/>
  <c r="J257" i="45" s="1"/>
  <c r="O283" i="45"/>
  <c r="P283" i="45" s="1"/>
  <c r="J283" i="45" s="1"/>
  <c r="K283" i="45" s="1"/>
  <c r="O334" i="45"/>
  <c r="P334" i="45" s="1"/>
  <c r="J334" i="45" s="1"/>
  <c r="O413" i="43"/>
  <c r="P413" i="43" s="1"/>
  <c r="J413" i="43" s="1"/>
  <c r="K413" i="43" s="1"/>
  <c r="O347" i="43"/>
  <c r="P347" i="43" s="1"/>
  <c r="J347" i="43" s="1"/>
  <c r="O243" i="43"/>
  <c r="P243" i="43" s="1"/>
  <c r="J243" i="43" s="1"/>
  <c r="K243" i="43" s="1"/>
  <c r="O191" i="43"/>
  <c r="P191" i="43" s="1"/>
  <c r="J191" i="43" s="1"/>
  <c r="K191" i="43" s="1"/>
  <c r="O30" i="43"/>
  <c r="P30" i="43" s="1"/>
  <c r="J30" i="43" s="1"/>
  <c r="K30" i="43" s="1"/>
  <c r="O166" i="43"/>
  <c r="P166" i="43" s="1"/>
  <c r="J166" i="43" s="1"/>
  <c r="O283" i="43"/>
  <c r="P283" i="43" s="1"/>
  <c r="J283" i="43" s="1"/>
  <c r="K283" i="43" s="1"/>
  <c r="P348" i="43"/>
  <c r="J348" i="43" s="1"/>
  <c r="K348" i="43" s="1"/>
  <c r="O320" i="43"/>
  <c r="P320" i="43" s="1"/>
  <c r="J320" i="43" s="1"/>
  <c r="K320" i="43" s="1"/>
  <c r="O282" i="43"/>
  <c r="P282" i="43" s="1"/>
  <c r="J282" i="43" s="1"/>
  <c r="K282" i="43" s="1"/>
  <c r="O281" i="43"/>
  <c r="P281" i="43" s="1"/>
  <c r="J281" i="43" s="1"/>
  <c r="K281" i="43" s="1"/>
  <c r="O231" i="43"/>
  <c r="P231" i="43" s="1"/>
  <c r="J231" i="43" s="1"/>
  <c r="K231" i="43" s="1"/>
  <c r="O229" i="43"/>
  <c r="P229" i="43" s="1"/>
  <c r="J229" i="43" s="1"/>
  <c r="O190" i="43"/>
  <c r="O165" i="43"/>
  <c r="P165" i="43" s="1"/>
  <c r="J165" i="43" s="1"/>
  <c r="C110" i="44" s="1"/>
  <c r="O164" i="43"/>
  <c r="P164" i="43" s="1"/>
  <c r="J164" i="43" s="1"/>
  <c r="K164" i="43" s="1"/>
  <c r="O152" i="43"/>
  <c r="P152" i="43" s="1"/>
  <c r="J152" i="43" s="1"/>
  <c r="P87" i="43"/>
  <c r="J87" i="43" s="1"/>
  <c r="K87" i="43" s="1"/>
  <c r="O61" i="43"/>
  <c r="P61" i="43" s="1"/>
  <c r="J61" i="43" s="1"/>
  <c r="C128" i="44" s="1"/>
  <c r="O60" i="43"/>
  <c r="P60" i="43" s="1"/>
  <c r="J60" i="43" s="1"/>
  <c r="K60" i="43" s="1"/>
  <c r="O49" i="43"/>
  <c r="P49" i="43" s="1"/>
  <c r="J49" i="43" s="1"/>
  <c r="K49" i="43" s="1"/>
  <c r="O47" i="43"/>
  <c r="P47" i="43" s="1"/>
  <c r="J47" i="43" s="1"/>
  <c r="P12" i="45"/>
  <c r="O385" i="45"/>
  <c r="P385" i="45" s="1"/>
  <c r="J385" i="45" s="1"/>
  <c r="C62" i="46" s="1"/>
  <c r="O387" i="45"/>
  <c r="P387" i="45"/>
  <c r="J387" i="45" s="1"/>
  <c r="K387" i="45" s="1"/>
  <c r="O333" i="45"/>
  <c r="P333" i="45" s="1"/>
  <c r="J333" i="45" s="1"/>
  <c r="C32" i="46" s="1"/>
  <c r="O335" i="45"/>
  <c r="P335" i="45" s="1"/>
  <c r="J335" i="45" s="1"/>
  <c r="C160" i="46" s="1"/>
  <c r="O229" i="45"/>
  <c r="P229" i="45" s="1"/>
  <c r="J229" i="45" s="1"/>
  <c r="P11" i="45"/>
  <c r="J11" i="45" s="1"/>
  <c r="K11" i="45" s="1"/>
  <c r="O282" i="45"/>
  <c r="P282" i="45" s="1"/>
  <c r="J282" i="45" s="1"/>
  <c r="K282" i="45" s="1"/>
  <c r="O256" i="45"/>
  <c r="P256" i="45" s="1"/>
  <c r="J256" i="45" s="1"/>
  <c r="K256" i="45" s="1"/>
  <c r="O255" i="45"/>
  <c r="P255" i="45" s="1"/>
  <c r="J255" i="45" s="1"/>
  <c r="K255" i="45" s="1"/>
  <c r="O243" i="45"/>
  <c r="P243" i="45" s="1"/>
  <c r="J243" i="45" s="1"/>
  <c r="K243" i="45" s="1"/>
  <c r="O244" i="45"/>
  <c r="P244" i="45" s="1"/>
  <c r="J244" i="45" s="1"/>
  <c r="K244" i="45" s="1"/>
  <c r="O242" i="45"/>
  <c r="P242" i="45" s="1"/>
  <c r="J242" i="45" s="1"/>
  <c r="K242" i="45" s="1"/>
  <c r="O230" i="45"/>
  <c r="P230" i="45" s="1"/>
  <c r="J230" i="45" s="1"/>
  <c r="K230" i="45" s="1"/>
  <c r="O205" i="45"/>
  <c r="P205" i="45" s="1"/>
  <c r="J205" i="45" s="1"/>
  <c r="K205" i="45" s="1"/>
  <c r="O126" i="45"/>
  <c r="P126" i="45" s="1"/>
  <c r="J126" i="45" s="1"/>
  <c r="C88" i="46" s="1"/>
  <c r="O100" i="45"/>
  <c r="P100" i="45" s="1"/>
  <c r="J100" i="45" s="1"/>
  <c r="K100" i="45" s="1"/>
  <c r="O151" i="45"/>
  <c r="P151" i="45" s="1"/>
  <c r="J151" i="45" s="1"/>
  <c r="K151" i="45" s="1"/>
  <c r="O8" i="45"/>
  <c r="P8" i="45" s="1"/>
  <c r="J8" i="45" s="1"/>
  <c r="C8" i="46" s="1"/>
  <c r="O204" i="45"/>
  <c r="P204" i="45" s="1"/>
  <c r="J204" i="45" s="1"/>
  <c r="O191" i="45"/>
  <c r="P191" i="45" s="1"/>
  <c r="J191" i="45" s="1"/>
  <c r="AK80" i="46" s="1"/>
  <c r="O152" i="45"/>
  <c r="P152" i="45" s="1"/>
  <c r="J152" i="45" s="1"/>
  <c r="AK90" i="46" s="1"/>
  <c r="O125" i="45"/>
  <c r="P125" i="45" s="1"/>
  <c r="J125" i="45" s="1"/>
  <c r="K125" i="45" s="1"/>
  <c r="P127" i="45"/>
  <c r="J127" i="45" s="1"/>
  <c r="C152" i="46" s="1"/>
  <c r="O101" i="45"/>
  <c r="P101" i="45" s="1"/>
  <c r="J101" i="45" s="1"/>
  <c r="O99" i="45"/>
  <c r="P99" i="45" s="1"/>
  <c r="J99" i="45" s="1"/>
  <c r="K99" i="45" s="1"/>
  <c r="O74" i="45"/>
  <c r="P74" i="45" s="1"/>
  <c r="J74" i="45" s="1"/>
  <c r="O10" i="45"/>
  <c r="P10" i="45" s="1"/>
  <c r="J10" i="45" s="1"/>
  <c r="K10" i="45" s="1"/>
  <c r="O9" i="45"/>
  <c r="P9" i="45" s="1"/>
  <c r="J9" i="45" s="1"/>
  <c r="C72" i="46" s="1"/>
  <c r="O177" i="47"/>
  <c r="P257" i="47"/>
  <c r="J257" i="47" s="1"/>
  <c r="K257" i="47" s="1"/>
  <c r="O151" i="47"/>
  <c r="P151" i="47" s="1"/>
  <c r="J151" i="47" s="1"/>
  <c r="K151" i="47" s="1"/>
  <c r="P33" i="47"/>
  <c r="J33" i="47" s="1"/>
  <c r="K33" i="47" s="1"/>
  <c r="P177" i="47"/>
  <c r="J177" i="47" s="1"/>
  <c r="C56" i="48" s="1"/>
  <c r="P179" i="47"/>
  <c r="J179" i="47" s="1"/>
  <c r="K179" i="47" s="1"/>
  <c r="O49" i="47"/>
  <c r="P49" i="47" s="1"/>
  <c r="J49" i="47" s="1"/>
  <c r="AK136" i="48" s="1"/>
  <c r="O48" i="47"/>
  <c r="P48" i="47" s="1"/>
  <c r="J48" i="47" s="1"/>
  <c r="K48" i="47" s="1"/>
  <c r="O47" i="47"/>
  <c r="P47" i="47" s="1"/>
  <c r="J47" i="47" s="1"/>
  <c r="O32" i="47"/>
  <c r="P32" i="47" s="1"/>
  <c r="J32" i="47" s="1"/>
  <c r="K32" i="47" s="1"/>
  <c r="O166" i="49"/>
  <c r="P166" i="49" s="1"/>
  <c r="J166" i="49" s="1"/>
  <c r="C174" i="50" s="1"/>
  <c r="O165" i="49"/>
  <c r="P165" i="49" s="1"/>
  <c r="J165" i="49" s="1"/>
  <c r="C46" i="50"/>
  <c r="C47" i="50" s="1"/>
  <c r="O153" i="49"/>
  <c r="P153" i="49" s="1"/>
  <c r="J153" i="49" s="1"/>
  <c r="K153" i="49" s="1"/>
  <c r="O151" i="49"/>
  <c r="P151" i="49" s="1"/>
  <c r="J151" i="49" s="1"/>
  <c r="K151" i="49" s="1"/>
  <c r="P139" i="49"/>
  <c r="J139" i="49" s="1"/>
  <c r="K139" i="49" s="1"/>
  <c r="O112" i="49"/>
  <c r="P112" i="49" s="1"/>
  <c r="J112" i="49" s="1"/>
  <c r="K112" i="49" s="1"/>
  <c r="O114" i="49"/>
  <c r="P114" i="49" s="1"/>
  <c r="J114" i="49" s="1"/>
  <c r="K114" i="49" s="1"/>
  <c r="O113" i="49"/>
  <c r="P113" i="49" s="1"/>
  <c r="J113" i="49" s="1"/>
  <c r="K113" i="49" s="1"/>
  <c r="O99" i="49"/>
  <c r="P99" i="49" s="1"/>
  <c r="J99" i="49" s="1"/>
  <c r="K99" i="49" s="1"/>
  <c r="O73" i="49"/>
  <c r="P73" i="49" s="1"/>
  <c r="J73" i="49" s="1"/>
  <c r="K73" i="49" s="1"/>
  <c r="P75" i="49"/>
  <c r="J75" i="49" s="1"/>
  <c r="C166" i="50" s="1"/>
  <c r="O61" i="49"/>
  <c r="P61" i="49" s="1"/>
  <c r="J61" i="49" s="1"/>
  <c r="C129" i="50" s="1"/>
  <c r="O60" i="39"/>
  <c r="P60" i="39" s="1"/>
  <c r="J60" i="39" s="1"/>
  <c r="K60" i="39" s="1"/>
  <c r="O9" i="37"/>
  <c r="P9" i="37" s="1"/>
  <c r="J9" i="37" s="1"/>
  <c r="K9" i="37" s="1"/>
  <c r="AK33" i="38"/>
  <c r="O61" i="35"/>
  <c r="P61" i="35" s="1"/>
  <c r="J61" i="35" s="1"/>
  <c r="P49" i="35"/>
  <c r="J49" i="35" s="1"/>
  <c r="K49" i="35" s="1"/>
  <c r="O9" i="35"/>
  <c r="P9" i="35" s="1"/>
  <c r="J9" i="35" s="1"/>
  <c r="K9" i="35" s="1"/>
  <c r="O10" i="35"/>
  <c r="P10" i="35" s="1"/>
  <c r="J10" i="35" s="1"/>
  <c r="C136" i="36" s="1"/>
  <c r="P295" i="39"/>
  <c r="J295" i="39" s="1"/>
  <c r="C96" i="50"/>
  <c r="P190" i="35"/>
  <c r="J190" i="35" s="1"/>
  <c r="K190" i="35" s="1"/>
  <c r="P373" i="37"/>
  <c r="J373" i="37" s="1"/>
  <c r="C104" i="38" s="1"/>
  <c r="F104" i="38" s="1"/>
  <c r="AK48" i="50"/>
  <c r="AK49" i="50" s="1"/>
  <c r="P165" i="33"/>
  <c r="J165" i="33" s="1"/>
  <c r="P166" i="33"/>
  <c r="J166" i="33" s="1"/>
  <c r="K166" i="33" s="1"/>
  <c r="P360" i="47"/>
  <c r="J360" i="47" s="1"/>
  <c r="P203" i="37"/>
  <c r="J203" i="37" s="1"/>
  <c r="AK54" i="38" s="1"/>
  <c r="P190" i="43"/>
  <c r="J190" i="43" s="1"/>
  <c r="K190" i="43" s="1"/>
  <c r="P386" i="45"/>
  <c r="J386" i="45" s="1"/>
  <c r="K386" i="45" s="1"/>
  <c r="P12" i="37"/>
  <c r="P10" i="37"/>
  <c r="J10" i="37" s="1"/>
  <c r="C136" i="38" s="1"/>
  <c r="P11" i="37"/>
  <c r="J11" i="37" s="1"/>
  <c r="K11" i="37" s="1"/>
  <c r="P31" i="39"/>
  <c r="J31" i="39" s="1"/>
  <c r="AK128" i="40" s="1"/>
  <c r="P372" i="33"/>
  <c r="J372" i="33" s="1"/>
  <c r="AK190" i="50"/>
  <c r="AK96" i="50"/>
  <c r="AK97" i="50" s="1"/>
  <c r="C32" i="50"/>
  <c r="F32" i="50" s="1"/>
  <c r="G34" i="50" s="1"/>
  <c r="P321" i="39"/>
  <c r="J321" i="39" s="1"/>
  <c r="K321" i="39" s="1"/>
  <c r="AK54" i="40"/>
  <c r="AK55" i="40" s="1"/>
  <c r="P112" i="39"/>
  <c r="J112" i="39" s="1"/>
  <c r="C34" i="40" s="1"/>
  <c r="P113" i="39"/>
  <c r="J113" i="39" s="1"/>
  <c r="K113" i="39" s="1"/>
  <c r="P372" i="47"/>
  <c r="J372" i="47" s="1"/>
  <c r="K372" i="47" s="1"/>
  <c r="O256" i="47"/>
  <c r="P256" i="47" s="1"/>
  <c r="J256" i="47" s="1"/>
  <c r="K256" i="47" s="1"/>
  <c r="K360" i="37"/>
  <c r="P192" i="45"/>
  <c r="J192" i="45" s="1"/>
  <c r="K192" i="45" s="1"/>
  <c r="AK40" i="36"/>
  <c r="AK41" i="36" s="1"/>
  <c r="P295" i="35"/>
  <c r="J295" i="35" s="1"/>
  <c r="K295" i="35" s="1"/>
  <c r="P294" i="35"/>
  <c r="J294" i="35" s="1"/>
  <c r="K294" i="35" s="1"/>
  <c r="P400" i="33"/>
  <c r="J400" i="33" s="1"/>
  <c r="K400" i="33" s="1"/>
  <c r="O10" i="49"/>
  <c r="P10" i="49" s="1"/>
  <c r="J10" i="49" s="1"/>
  <c r="C136" i="50" s="1"/>
  <c r="K192" i="35"/>
  <c r="C41" i="38"/>
  <c r="F40" i="38"/>
  <c r="K360" i="39"/>
  <c r="AK96" i="40"/>
  <c r="C112" i="38"/>
  <c r="K282" i="37"/>
  <c r="K372" i="33"/>
  <c r="C40" i="34"/>
  <c r="K243" i="35"/>
  <c r="AK120" i="36"/>
  <c r="K126" i="39"/>
  <c r="C88" i="40"/>
  <c r="K296" i="35"/>
  <c r="AK152" i="36"/>
  <c r="K257" i="45"/>
  <c r="K296" i="39"/>
  <c r="AK152" i="40"/>
  <c r="K385" i="39"/>
  <c r="C62" i="40"/>
  <c r="K48" i="43"/>
  <c r="AK72" i="44"/>
  <c r="K387" i="39"/>
  <c r="C190" i="40"/>
  <c r="K322" i="39"/>
  <c r="C154" i="40"/>
  <c r="K308" i="39"/>
  <c r="AK112" i="40"/>
  <c r="O374" i="33"/>
  <c r="P374" i="33" s="1"/>
  <c r="J374" i="33" s="1"/>
  <c r="O399" i="33"/>
  <c r="P399" i="33" s="1"/>
  <c r="J399" i="33" s="1"/>
  <c r="K256" i="35"/>
  <c r="AK82" i="36"/>
  <c r="K217" i="33"/>
  <c r="C82" i="34"/>
  <c r="O373" i="33"/>
  <c r="P373" i="33" s="1"/>
  <c r="J373" i="33" s="1"/>
  <c r="K269" i="33"/>
  <c r="C118" i="34"/>
  <c r="K359" i="33"/>
  <c r="AK32" i="34"/>
  <c r="K411" i="43"/>
  <c r="O321" i="43"/>
  <c r="P321" i="43" s="1"/>
  <c r="J321" i="43" s="1"/>
  <c r="K294" i="43"/>
  <c r="K308" i="43"/>
  <c r="K282" i="35"/>
  <c r="C112" i="36"/>
  <c r="K99" i="35"/>
  <c r="AK38" i="36"/>
  <c r="K373" i="35"/>
  <c r="C104" i="36"/>
  <c r="K152" i="35"/>
  <c r="AK90" i="36"/>
  <c r="K126" i="45"/>
  <c r="K411" i="47"/>
  <c r="AK62" i="48"/>
  <c r="K333" i="39"/>
  <c r="C32" i="40"/>
  <c r="K229" i="39"/>
  <c r="C16" i="40"/>
  <c r="K282" i="39"/>
  <c r="C112" i="40"/>
  <c r="O320" i="39"/>
  <c r="P320" i="39" s="1"/>
  <c r="J320" i="39" s="1"/>
  <c r="O283" i="37"/>
  <c r="P283" i="37" s="1"/>
  <c r="J283" i="37" s="1"/>
  <c r="K348" i="35"/>
  <c r="AK168" i="36"/>
  <c r="O346" i="43"/>
  <c r="P346" i="43" s="1"/>
  <c r="J346" i="43" s="1"/>
  <c r="O281" i="37"/>
  <c r="P281" i="37" s="1"/>
  <c r="J281" i="37" s="1"/>
  <c r="K230" i="39"/>
  <c r="C80" i="40"/>
  <c r="K307" i="39"/>
  <c r="AK48" i="40"/>
  <c r="K283" i="39"/>
  <c r="C176" i="40"/>
  <c r="O308" i="45"/>
  <c r="P308" i="45" s="1"/>
  <c r="J308" i="45" s="1"/>
  <c r="O307" i="45"/>
  <c r="P307" i="45" s="1"/>
  <c r="J307" i="45" s="1"/>
  <c r="O309" i="45"/>
  <c r="P309" i="45" s="1"/>
  <c r="J309" i="45" s="1"/>
  <c r="O307" i="47"/>
  <c r="P307" i="47" s="1"/>
  <c r="J307" i="47" s="1"/>
  <c r="O309" i="47"/>
  <c r="P309" i="47" s="1"/>
  <c r="J309" i="47" s="1"/>
  <c r="O308" i="47"/>
  <c r="P308" i="47" s="1"/>
  <c r="J308" i="47" s="1"/>
  <c r="O31" i="35"/>
  <c r="P31" i="35" s="1"/>
  <c r="J31" i="35" s="1"/>
  <c r="O33" i="35"/>
  <c r="P33" i="35" s="1"/>
  <c r="J33" i="35" s="1"/>
  <c r="K33" i="35" s="1"/>
  <c r="O30" i="35"/>
  <c r="P30" i="35" s="1"/>
  <c r="J30" i="35" s="1"/>
  <c r="O32" i="35"/>
  <c r="P32" i="35" s="1"/>
  <c r="J32" i="35" s="1"/>
  <c r="K231" i="39"/>
  <c r="C144" i="40"/>
  <c r="K204" i="39"/>
  <c r="AK118" i="40"/>
  <c r="AG58" i="40"/>
  <c r="AG59" i="40" s="1"/>
  <c r="AH54" i="40"/>
  <c r="K309" i="35"/>
  <c r="AK176" i="36"/>
  <c r="K412" i="43"/>
  <c r="K255" i="43"/>
  <c r="K309" i="43"/>
  <c r="K100" i="35"/>
  <c r="AK102" i="36"/>
  <c r="K203" i="33"/>
  <c r="AK54" i="34"/>
  <c r="K152" i="43"/>
  <c r="AK90" i="44"/>
  <c r="K177" i="35"/>
  <c r="C56" i="36"/>
  <c r="K151" i="35"/>
  <c r="AK26" i="36"/>
  <c r="AG42" i="38"/>
  <c r="AK39" i="38"/>
  <c r="AH38" i="38"/>
  <c r="K295" i="39"/>
  <c r="AK88" i="40"/>
  <c r="K309" i="33"/>
  <c r="AK176" i="34"/>
  <c r="K412" i="33"/>
  <c r="AK126" i="34"/>
  <c r="K165" i="33"/>
  <c r="C110" i="34"/>
  <c r="K139" i="33"/>
  <c r="AK110" i="34"/>
  <c r="K204" i="33"/>
  <c r="AK118" i="34"/>
  <c r="K255" i="33"/>
  <c r="AK18" i="34"/>
  <c r="K322" i="33"/>
  <c r="C154" i="34"/>
  <c r="K256" i="43"/>
  <c r="K387" i="43"/>
  <c r="K179" i="35"/>
  <c r="C184" i="36"/>
  <c r="K47" i="35"/>
  <c r="AK8" i="36"/>
  <c r="O166" i="35"/>
  <c r="P166" i="35" s="1"/>
  <c r="J166" i="35" s="1"/>
  <c r="K360" i="35"/>
  <c r="AK96" i="36"/>
  <c r="K333" i="45"/>
  <c r="K204" i="45"/>
  <c r="AK118" i="46"/>
  <c r="K283" i="47"/>
  <c r="C176" i="48"/>
  <c r="K333" i="47"/>
  <c r="C32" i="48"/>
  <c r="AK103" i="38"/>
  <c r="AH102" i="38"/>
  <c r="AG106" i="38"/>
  <c r="AK81" i="38"/>
  <c r="AG78" i="38"/>
  <c r="AG79" i="38" s="1"/>
  <c r="AH80" i="38"/>
  <c r="AH126" i="38"/>
  <c r="AI128" i="38" s="1"/>
  <c r="AK127" i="38"/>
  <c r="K411" i="39"/>
  <c r="AK62" i="40"/>
  <c r="P12" i="35"/>
  <c r="K347" i="43"/>
  <c r="O229" i="37"/>
  <c r="P229" i="37" s="1"/>
  <c r="J229" i="37" s="1"/>
  <c r="O231" i="37"/>
  <c r="P231" i="37" s="1"/>
  <c r="J231" i="37" s="1"/>
  <c r="O230" i="37"/>
  <c r="P230" i="37" s="1"/>
  <c r="J230" i="37" s="1"/>
  <c r="AK175" i="34"/>
  <c r="AG172" i="34"/>
  <c r="AG173" i="34" s="1"/>
  <c r="AH174" i="34"/>
  <c r="K308" i="35"/>
  <c r="AK112" i="36"/>
  <c r="O62" i="39"/>
  <c r="P62" i="39" s="1"/>
  <c r="J62" i="39" s="1"/>
  <c r="AH48" i="36"/>
  <c r="AK49" i="36"/>
  <c r="K307" i="33"/>
  <c r="AK48" i="34"/>
  <c r="K334" i="39"/>
  <c r="C96" i="40"/>
  <c r="K256" i="33"/>
  <c r="AK82" i="34"/>
  <c r="K101" i="35"/>
  <c r="AK166" i="36"/>
  <c r="O75" i="45"/>
  <c r="P75" i="45" s="1"/>
  <c r="J75" i="45" s="1"/>
  <c r="K190" i="45"/>
  <c r="AK16" i="46"/>
  <c r="K230" i="47"/>
  <c r="K335" i="47"/>
  <c r="C160" i="48"/>
  <c r="K413" i="33"/>
  <c r="AK190" i="34"/>
  <c r="K205" i="33"/>
  <c r="AK182" i="34"/>
  <c r="K257" i="33"/>
  <c r="AK146" i="34"/>
  <c r="K320" i="33"/>
  <c r="C26" i="34"/>
  <c r="K335" i="43"/>
  <c r="K229" i="43"/>
  <c r="K385" i="43"/>
  <c r="K32" i="43"/>
  <c r="AK192" i="44"/>
  <c r="K361" i="35"/>
  <c r="AK160" i="36"/>
  <c r="K255" i="35"/>
  <c r="AK18" i="36"/>
  <c r="K347" i="35"/>
  <c r="AK104" i="36"/>
  <c r="K334" i="45"/>
  <c r="C96" i="46"/>
  <c r="K231" i="45"/>
  <c r="K281" i="47"/>
  <c r="C48" i="48"/>
  <c r="K334" i="47"/>
  <c r="C96" i="48"/>
  <c r="AK167" i="38"/>
  <c r="AG170" i="38"/>
  <c r="AH166" i="38"/>
  <c r="AK161" i="38"/>
  <c r="AH160" i="38"/>
  <c r="AI162" i="38" s="1"/>
  <c r="AH16" i="38"/>
  <c r="AK17" i="38"/>
  <c r="AG14" i="38"/>
  <c r="AG15" i="38" s="1"/>
  <c r="F160" i="38"/>
  <c r="G162" i="38" s="1"/>
  <c r="C161" i="38"/>
  <c r="AK19" i="38"/>
  <c r="AH18" i="38"/>
  <c r="AK191" i="38"/>
  <c r="AH190" i="38"/>
  <c r="AI192" i="38" s="1"/>
  <c r="O125" i="39"/>
  <c r="P125" i="39" s="1"/>
  <c r="J125" i="39" s="1"/>
  <c r="K192" i="39"/>
  <c r="AK144" i="40"/>
  <c r="K309" i="39"/>
  <c r="AK176" i="40"/>
  <c r="O30" i="47"/>
  <c r="P30" i="47" s="1"/>
  <c r="J30" i="47" s="1"/>
  <c r="O31" i="47"/>
  <c r="P31" i="47" s="1"/>
  <c r="J31" i="47" s="1"/>
  <c r="K398" i="33"/>
  <c r="AK10" i="34"/>
  <c r="K153" i="35"/>
  <c r="AK154" i="36"/>
  <c r="K203" i="35"/>
  <c r="AK54" i="36"/>
  <c r="K242" i="35"/>
  <c r="AK56" i="36"/>
  <c r="K335" i="35"/>
  <c r="C160" i="36"/>
  <c r="K359" i="35"/>
  <c r="AK32" i="36"/>
  <c r="K257" i="35"/>
  <c r="AK146" i="36"/>
  <c r="K229" i="35"/>
  <c r="C16" i="36"/>
  <c r="AK26" i="46"/>
  <c r="K282" i="47"/>
  <c r="C112" i="48"/>
  <c r="AH54" i="38"/>
  <c r="AK55" i="38"/>
  <c r="AG58" i="38"/>
  <c r="AG59" i="38" s="1"/>
  <c r="AK145" i="38"/>
  <c r="AH144" i="38"/>
  <c r="AG142" i="38"/>
  <c r="AG143" i="38" s="1"/>
  <c r="AG28" i="38"/>
  <c r="AK27" i="38"/>
  <c r="AH26" i="38"/>
  <c r="C33" i="38"/>
  <c r="F32" i="38"/>
  <c r="G34" i="38" s="1"/>
  <c r="AH82" i="38"/>
  <c r="AI82" i="38" s="1"/>
  <c r="AK83" i="38"/>
  <c r="AH48" i="38"/>
  <c r="AK49" i="38"/>
  <c r="AH62" i="38"/>
  <c r="AI64" i="38" s="1"/>
  <c r="AK63" i="38"/>
  <c r="K386" i="39"/>
  <c r="C126" i="40"/>
  <c r="K164" i="39"/>
  <c r="C46" i="40"/>
  <c r="K257" i="39"/>
  <c r="AK146" i="40"/>
  <c r="K346" i="39"/>
  <c r="AK40" i="40"/>
  <c r="K190" i="39"/>
  <c r="AK16" i="40"/>
  <c r="K361" i="39"/>
  <c r="AK160" i="40"/>
  <c r="AK97" i="38"/>
  <c r="AH96" i="38"/>
  <c r="AI98" i="38" s="1"/>
  <c r="O192" i="43"/>
  <c r="P192" i="43" s="1"/>
  <c r="J192" i="43" s="1"/>
  <c r="O229" i="47"/>
  <c r="P229" i="47" s="1"/>
  <c r="J229" i="47" s="1"/>
  <c r="K283" i="35"/>
  <c r="C176" i="36"/>
  <c r="K164" i="35"/>
  <c r="C46" i="36"/>
  <c r="K308" i="33"/>
  <c r="AK112" i="34"/>
  <c r="K164" i="33"/>
  <c r="C46" i="34"/>
  <c r="K153" i="43"/>
  <c r="AK154" i="44"/>
  <c r="K218" i="33"/>
  <c r="C146" i="34"/>
  <c r="K270" i="33"/>
  <c r="C182" i="34"/>
  <c r="K360" i="33"/>
  <c r="AK96" i="34"/>
  <c r="K244" i="35"/>
  <c r="AK184" i="36"/>
  <c r="K333" i="35"/>
  <c r="C32" i="36"/>
  <c r="K230" i="35"/>
  <c r="C80" i="36"/>
  <c r="K412" i="47"/>
  <c r="AK126" i="48"/>
  <c r="K360" i="47"/>
  <c r="AK96" i="48"/>
  <c r="O373" i="47"/>
  <c r="P373" i="47" s="1"/>
  <c r="J373" i="47" s="1"/>
  <c r="K47" i="47"/>
  <c r="AK8" i="48"/>
  <c r="AK91" i="38"/>
  <c r="AG92" i="38"/>
  <c r="AH90" i="38"/>
  <c r="C97" i="38"/>
  <c r="F96" i="38"/>
  <c r="G98" i="38" s="1"/>
  <c r="AH146" i="38"/>
  <c r="AK147" i="38"/>
  <c r="AH112" i="38"/>
  <c r="AK113" i="38"/>
  <c r="K205" i="39"/>
  <c r="AK182" i="40"/>
  <c r="K165" i="39"/>
  <c r="C110" i="40"/>
  <c r="K114" i="39"/>
  <c r="C162" i="40"/>
  <c r="K347" i="39"/>
  <c r="AK104" i="40"/>
  <c r="K191" i="39"/>
  <c r="AK80" i="40"/>
  <c r="K359" i="39"/>
  <c r="AK32" i="40"/>
  <c r="O243" i="39"/>
  <c r="P243" i="39" s="1"/>
  <c r="J243" i="39" s="1"/>
  <c r="O244" i="39"/>
  <c r="P244" i="39" s="1"/>
  <c r="J244" i="39" s="1"/>
  <c r="O242" i="39"/>
  <c r="P242" i="39" s="1"/>
  <c r="J242" i="39" s="1"/>
  <c r="AG122" i="38"/>
  <c r="AG123" i="38" s="1"/>
  <c r="AK119" i="38"/>
  <c r="AH118" i="38"/>
  <c r="O205" i="37"/>
  <c r="P205" i="37" s="1"/>
  <c r="J205" i="37" s="1"/>
  <c r="K178" i="35"/>
  <c r="C120" i="36"/>
  <c r="K191" i="35"/>
  <c r="AK80" i="36"/>
  <c r="K138" i="33"/>
  <c r="AK46" i="34"/>
  <c r="K257" i="43"/>
  <c r="K87" i="33"/>
  <c r="AK98" i="34"/>
  <c r="K411" i="33"/>
  <c r="AK62" i="34"/>
  <c r="K321" i="33"/>
  <c r="C90" i="34"/>
  <c r="K86" i="33"/>
  <c r="AK34" i="34"/>
  <c r="O373" i="43"/>
  <c r="P373" i="43" s="1"/>
  <c r="J373" i="43" s="1"/>
  <c r="K205" i="35"/>
  <c r="AK182" i="36"/>
  <c r="K216" i="33"/>
  <c r="C18" i="34"/>
  <c r="K88" i="33"/>
  <c r="AK162" i="34"/>
  <c r="K268" i="33"/>
  <c r="C54" i="34"/>
  <c r="K361" i="33"/>
  <c r="AK160" i="34"/>
  <c r="O322" i="43"/>
  <c r="P322" i="43" s="1"/>
  <c r="J322" i="43" s="1"/>
  <c r="K296" i="43"/>
  <c r="O88" i="43"/>
  <c r="P88" i="43" s="1"/>
  <c r="J88" i="43" s="1"/>
  <c r="K113" i="43"/>
  <c r="K307" i="43"/>
  <c r="K204" i="35"/>
  <c r="AK118" i="36"/>
  <c r="K281" i="35"/>
  <c r="C48" i="36"/>
  <c r="K334" i="35"/>
  <c r="C96" i="36"/>
  <c r="K231" i="35"/>
  <c r="C144" i="36"/>
  <c r="K413" i="47"/>
  <c r="AK190" i="48"/>
  <c r="K255" i="47"/>
  <c r="AK155" i="38"/>
  <c r="AG156" i="38"/>
  <c r="AH154" i="38"/>
  <c r="K204" i="37"/>
  <c r="AK177" i="38"/>
  <c r="AH176" i="38"/>
  <c r="K335" i="39"/>
  <c r="C160" i="40"/>
  <c r="K112" i="39"/>
  <c r="K348" i="39"/>
  <c r="AK168" i="40"/>
  <c r="K255" i="39"/>
  <c r="AK18" i="40"/>
  <c r="K281" i="39"/>
  <c r="C48" i="40"/>
  <c r="K61" i="39"/>
  <c r="C128" i="40"/>
  <c r="K359" i="47"/>
  <c r="AK32" i="48"/>
  <c r="K256" i="39"/>
  <c r="AK82" i="40"/>
  <c r="O49" i="37"/>
  <c r="P49" i="37" s="1"/>
  <c r="J49" i="37" s="1"/>
  <c r="O48" i="37"/>
  <c r="P48" i="37" s="1"/>
  <c r="J48" i="37" s="1"/>
  <c r="K166" i="39"/>
  <c r="C174" i="40"/>
  <c r="O361" i="47"/>
  <c r="P361" i="47" s="1"/>
  <c r="J361" i="47" s="1"/>
  <c r="K425" i="49"/>
  <c r="C74" i="50"/>
  <c r="K412" i="49"/>
  <c r="AK126" i="50"/>
  <c r="AK191" i="50"/>
  <c r="AH190" i="50"/>
  <c r="AI192" i="50" s="1"/>
  <c r="AH62" i="50"/>
  <c r="AI64" i="50" s="1"/>
  <c r="AK63" i="50"/>
  <c r="K400" i="49"/>
  <c r="AK138" i="50"/>
  <c r="K361" i="49"/>
  <c r="AK160" i="50"/>
  <c r="AK33" i="50"/>
  <c r="AH32" i="50"/>
  <c r="AI34" i="50" s="1"/>
  <c r="K347" i="49"/>
  <c r="AK104" i="50"/>
  <c r="K348" i="49"/>
  <c r="AK168" i="50"/>
  <c r="C161" i="50"/>
  <c r="F160" i="50"/>
  <c r="G162" i="50" s="1"/>
  <c r="F96" i="50"/>
  <c r="G98" i="50" s="1"/>
  <c r="C97" i="50"/>
  <c r="K320" i="49"/>
  <c r="C26" i="50"/>
  <c r="K322" i="49"/>
  <c r="C154" i="50"/>
  <c r="K321" i="49"/>
  <c r="C90" i="50"/>
  <c r="AH176" i="50"/>
  <c r="AK177" i="50"/>
  <c r="AH48" i="50"/>
  <c r="AH112" i="50"/>
  <c r="AK113" i="50"/>
  <c r="K283" i="49"/>
  <c r="C176" i="50"/>
  <c r="K282" i="49"/>
  <c r="C112" i="50"/>
  <c r="K281" i="49"/>
  <c r="C48" i="50"/>
  <c r="K256" i="49"/>
  <c r="AK82" i="50"/>
  <c r="AK147" i="50"/>
  <c r="AH146" i="50"/>
  <c r="AK19" i="50"/>
  <c r="AH18" i="50"/>
  <c r="C81" i="50"/>
  <c r="F80" i="50"/>
  <c r="G82" i="50" s="1"/>
  <c r="K229" i="49"/>
  <c r="C16" i="50"/>
  <c r="C145" i="50"/>
  <c r="F144" i="50"/>
  <c r="G146" i="50" s="1"/>
  <c r="K216" i="49"/>
  <c r="C18" i="50"/>
  <c r="K218" i="49"/>
  <c r="C146" i="50"/>
  <c r="K217" i="49"/>
  <c r="C82" i="50"/>
  <c r="K204" i="49"/>
  <c r="AK118" i="50"/>
  <c r="K203" i="49"/>
  <c r="AK54" i="50"/>
  <c r="K205" i="49"/>
  <c r="AK182" i="50"/>
  <c r="K191" i="49"/>
  <c r="AK80" i="50"/>
  <c r="K192" i="49"/>
  <c r="G44" i="50"/>
  <c r="K140" i="49"/>
  <c r="AK174" i="50"/>
  <c r="K100" i="49"/>
  <c r="AK102" i="50"/>
  <c r="AK166" i="50"/>
  <c r="K87" i="49"/>
  <c r="AK98" i="50"/>
  <c r="K88" i="49"/>
  <c r="AK162" i="50"/>
  <c r="K86" i="49"/>
  <c r="AK34" i="50"/>
  <c r="C102" i="50"/>
  <c r="K75" i="49"/>
  <c r="F128" i="50"/>
  <c r="G124" i="50"/>
  <c r="K60" i="49"/>
  <c r="C64" i="50"/>
  <c r="O11" i="35"/>
  <c r="P11" i="35" s="1"/>
  <c r="J11" i="35" s="1"/>
  <c r="K11" i="35" s="1"/>
  <c r="O8" i="35"/>
  <c r="P8" i="35" s="1"/>
  <c r="J8" i="35" s="1"/>
  <c r="O12" i="49"/>
  <c r="P12" i="49" s="1"/>
  <c r="J12" i="49" s="1"/>
  <c r="K12" i="49" s="1"/>
  <c r="O179" i="49"/>
  <c r="P179" i="49" s="1"/>
  <c r="J179" i="49" s="1"/>
  <c r="O178" i="49"/>
  <c r="P178" i="49" s="1"/>
  <c r="J178" i="49" s="1"/>
  <c r="O177" i="49"/>
  <c r="P177" i="49" s="1"/>
  <c r="J177" i="49" s="1"/>
  <c r="O373" i="49"/>
  <c r="P373" i="49" s="1"/>
  <c r="J373" i="49" s="1"/>
  <c r="O372" i="49"/>
  <c r="P372" i="49" s="1"/>
  <c r="J372" i="49" s="1"/>
  <c r="O374" i="49"/>
  <c r="P374" i="49" s="1"/>
  <c r="J374" i="49" s="1"/>
  <c r="O426" i="49"/>
  <c r="P426" i="49" s="1"/>
  <c r="J426" i="49" s="1"/>
  <c r="O190" i="49"/>
  <c r="P190" i="49" s="1"/>
  <c r="J190" i="49" s="1"/>
  <c r="O424" i="49"/>
  <c r="P424" i="49" s="1"/>
  <c r="J424" i="49" s="1"/>
  <c r="O48" i="49"/>
  <c r="P48" i="49" s="1"/>
  <c r="J48" i="49" s="1"/>
  <c r="O47" i="49"/>
  <c r="P47" i="49" s="1"/>
  <c r="J47" i="49" s="1"/>
  <c r="O49" i="49"/>
  <c r="P49" i="49" s="1"/>
  <c r="J49" i="49" s="1"/>
  <c r="O11" i="49"/>
  <c r="P11" i="49" s="1"/>
  <c r="J11" i="49" s="1"/>
  <c r="K11" i="49" s="1"/>
  <c r="O127" i="49"/>
  <c r="P127" i="49" s="1"/>
  <c r="J127" i="49" s="1"/>
  <c r="O126" i="49"/>
  <c r="P126" i="49" s="1"/>
  <c r="J126" i="49" s="1"/>
  <c r="O125" i="49"/>
  <c r="P125" i="49" s="1"/>
  <c r="J125" i="49" s="1"/>
  <c r="O243" i="49"/>
  <c r="P243" i="49" s="1"/>
  <c r="J243" i="49" s="1"/>
  <c r="O244" i="49"/>
  <c r="P244" i="49" s="1"/>
  <c r="J244" i="49" s="1"/>
  <c r="O242" i="49"/>
  <c r="P242" i="49" s="1"/>
  <c r="J242" i="49" s="1"/>
  <c r="O295" i="49"/>
  <c r="P295" i="49" s="1"/>
  <c r="J295" i="49" s="1"/>
  <c r="O294" i="49"/>
  <c r="P294" i="49" s="1"/>
  <c r="J294" i="49" s="1"/>
  <c r="O296" i="49"/>
  <c r="P296" i="49" s="1"/>
  <c r="J296" i="49" s="1"/>
  <c r="O9" i="49"/>
  <c r="P9" i="49" s="1"/>
  <c r="J9" i="49" s="1"/>
  <c r="O32" i="49"/>
  <c r="P32" i="49" s="1"/>
  <c r="J32" i="49" s="1"/>
  <c r="O30" i="49"/>
  <c r="P30" i="49" s="1"/>
  <c r="J30" i="49" s="1"/>
  <c r="O33" i="49"/>
  <c r="P33" i="49" s="1"/>
  <c r="J33" i="49" s="1"/>
  <c r="K33" i="49" s="1"/>
  <c r="O31" i="49"/>
  <c r="P31" i="49" s="1"/>
  <c r="J31" i="49" s="1"/>
  <c r="O385" i="49"/>
  <c r="P385" i="49" s="1"/>
  <c r="J385" i="49" s="1"/>
  <c r="O386" i="49"/>
  <c r="P386" i="49" s="1"/>
  <c r="J386" i="49" s="1"/>
  <c r="O387" i="49"/>
  <c r="P387" i="49" s="1"/>
  <c r="J387" i="49" s="1"/>
  <c r="O269" i="49"/>
  <c r="P269" i="49" s="1"/>
  <c r="J269" i="49" s="1"/>
  <c r="O270" i="49"/>
  <c r="P270" i="49" s="1"/>
  <c r="J270" i="49" s="1"/>
  <c r="O268" i="49"/>
  <c r="P268" i="49" s="1"/>
  <c r="J268" i="49" s="1"/>
  <c r="O398" i="49"/>
  <c r="P398" i="49" s="1"/>
  <c r="J398" i="49" s="1"/>
  <c r="O346" i="49"/>
  <c r="P346" i="49" s="1"/>
  <c r="J346" i="49" s="1"/>
  <c r="O399" i="49"/>
  <c r="P399" i="49" s="1"/>
  <c r="J399" i="49" s="1"/>
  <c r="O8" i="49"/>
  <c r="P8" i="49" s="1"/>
  <c r="J8" i="49" s="1"/>
  <c r="O373" i="39"/>
  <c r="P373" i="39" s="1"/>
  <c r="J373" i="39" s="1"/>
  <c r="O372" i="39"/>
  <c r="P372" i="39" s="1"/>
  <c r="J372" i="39" s="1"/>
  <c r="O374" i="39"/>
  <c r="P374" i="39" s="1"/>
  <c r="J374" i="39" s="1"/>
  <c r="O33" i="39"/>
  <c r="P33" i="39" s="1"/>
  <c r="J33" i="39" s="1"/>
  <c r="K33" i="39" s="1"/>
  <c r="O30" i="39"/>
  <c r="P30" i="39" s="1"/>
  <c r="J30" i="39" s="1"/>
  <c r="O74" i="39"/>
  <c r="P74" i="39" s="1"/>
  <c r="J74" i="39" s="1"/>
  <c r="O75" i="39"/>
  <c r="P75" i="39" s="1"/>
  <c r="J75" i="39" s="1"/>
  <c r="O73" i="39"/>
  <c r="P73" i="39" s="1"/>
  <c r="J73" i="39" s="1"/>
  <c r="O400" i="39"/>
  <c r="P400" i="39" s="1"/>
  <c r="J400" i="39" s="1"/>
  <c r="O399" i="39"/>
  <c r="P399" i="39" s="1"/>
  <c r="J399" i="39" s="1"/>
  <c r="O398" i="39"/>
  <c r="P398" i="39" s="1"/>
  <c r="J398" i="39" s="1"/>
  <c r="O138" i="39"/>
  <c r="P138" i="39" s="1"/>
  <c r="J138" i="39" s="1"/>
  <c r="O140" i="39"/>
  <c r="P140" i="39" s="1"/>
  <c r="J140" i="39" s="1"/>
  <c r="O139" i="39"/>
  <c r="P139" i="39" s="1"/>
  <c r="J139" i="39" s="1"/>
  <c r="O32" i="39"/>
  <c r="P32" i="39" s="1"/>
  <c r="J32" i="39" s="1"/>
  <c r="O99" i="39"/>
  <c r="P99" i="39" s="1"/>
  <c r="J99" i="39" s="1"/>
  <c r="O101" i="39"/>
  <c r="P101" i="39" s="1"/>
  <c r="J101" i="39" s="1"/>
  <c r="O100" i="39"/>
  <c r="P100" i="39" s="1"/>
  <c r="J100" i="39" s="1"/>
  <c r="O49" i="39"/>
  <c r="P49" i="39" s="1"/>
  <c r="J49" i="39" s="1"/>
  <c r="O48" i="39"/>
  <c r="P48" i="39" s="1"/>
  <c r="J48" i="39" s="1"/>
  <c r="O47" i="39"/>
  <c r="P47" i="39" s="1"/>
  <c r="J47" i="39" s="1"/>
  <c r="O9" i="39"/>
  <c r="P9" i="39" s="1"/>
  <c r="J9" i="39" s="1"/>
  <c r="O10" i="39"/>
  <c r="P10" i="39" s="1"/>
  <c r="J10" i="39" s="1"/>
  <c r="O8" i="39"/>
  <c r="P8" i="39" s="1"/>
  <c r="J8" i="39" s="1"/>
  <c r="O11" i="39"/>
  <c r="P11" i="39" s="1"/>
  <c r="J11" i="39" s="1"/>
  <c r="K11" i="39" s="1"/>
  <c r="P12" i="39"/>
  <c r="O269" i="39"/>
  <c r="P269" i="39" s="1"/>
  <c r="J269" i="39" s="1"/>
  <c r="O268" i="39"/>
  <c r="P268" i="39" s="1"/>
  <c r="J268" i="39" s="1"/>
  <c r="O270" i="39"/>
  <c r="P270" i="39" s="1"/>
  <c r="J270" i="39" s="1"/>
  <c r="O425" i="39"/>
  <c r="P425" i="39" s="1"/>
  <c r="J425" i="39" s="1"/>
  <c r="O424" i="39"/>
  <c r="P424" i="39" s="1"/>
  <c r="J424" i="39" s="1"/>
  <c r="O426" i="39"/>
  <c r="P426" i="39" s="1"/>
  <c r="J426" i="39" s="1"/>
  <c r="O412" i="39"/>
  <c r="P412" i="39" s="1"/>
  <c r="J412" i="39" s="1"/>
  <c r="O217" i="39"/>
  <c r="P217" i="39" s="1"/>
  <c r="J217" i="39" s="1"/>
  <c r="O218" i="39"/>
  <c r="P218" i="39" s="1"/>
  <c r="J218" i="39" s="1"/>
  <c r="O216" i="39"/>
  <c r="P216" i="39" s="1"/>
  <c r="J216" i="39" s="1"/>
  <c r="O87" i="39"/>
  <c r="P87" i="39" s="1"/>
  <c r="J87" i="39" s="1"/>
  <c r="O88" i="39"/>
  <c r="P88" i="39" s="1"/>
  <c r="J88" i="39" s="1"/>
  <c r="O86" i="39"/>
  <c r="P86" i="39" s="1"/>
  <c r="J86" i="39" s="1"/>
  <c r="O127" i="39"/>
  <c r="P127" i="39" s="1"/>
  <c r="J127" i="39" s="1"/>
  <c r="O413" i="39"/>
  <c r="P413" i="39" s="1"/>
  <c r="J413" i="39" s="1"/>
  <c r="O153" i="39"/>
  <c r="P153" i="39" s="1"/>
  <c r="J153" i="39" s="1"/>
  <c r="O152" i="39"/>
  <c r="P152" i="39" s="1"/>
  <c r="J152" i="39" s="1"/>
  <c r="O151" i="39"/>
  <c r="P151" i="39" s="1"/>
  <c r="J151" i="39" s="1"/>
  <c r="O179" i="39"/>
  <c r="P179" i="39" s="1"/>
  <c r="J179" i="39" s="1"/>
  <c r="O178" i="39"/>
  <c r="P178" i="39" s="1"/>
  <c r="J178" i="39" s="1"/>
  <c r="O177" i="39"/>
  <c r="P177" i="39" s="1"/>
  <c r="J177" i="39" s="1"/>
  <c r="K373" i="37"/>
  <c r="K31" i="37"/>
  <c r="O400" i="37"/>
  <c r="P400" i="37" s="1"/>
  <c r="J400" i="37" s="1"/>
  <c r="AK138" i="38" s="1"/>
  <c r="O399" i="37"/>
  <c r="P399" i="37" s="1"/>
  <c r="J399" i="37" s="1"/>
  <c r="AK74" i="38" s="1"/>
  <c r="O398" i="37"/>
  <c r="P398" i="37" s="1"/>
  <c r="J398" i="37" s="1"/>
  <c r="AK10" i="38" s="1"/>
  <c r="K152" i="37"/>
  <c r="K333" i="37"/>
  <c r="O30" i="37"/>
  <c r="P30" i="37" s="1"/>
  <c r="J30" i="37" s="1"/>
  <c r="AK64" i="38" s="1"/>
  <c r="K308" i="37"/>
  <c r="K413" i="37"/>
  <c r="K153" i="37"/>
  <c r="K334" i="37"/>
  <c r="O32" i="37"/>
  <c r="P32" i="37" s="1"/>
  <c r="J32" i="37" s="1"/>
  <c r="AK192" i="38" s="1"/>
  <c r="K309" i="37"/>
  <c r="K411" i="37"/>
  <c r="O374" i="37"/>
  <c r="P374" i="37" s="1"/>
  <c r="J374" i="37" s="1"/>
  <c r="C168" i="38" s="1"/>
  <c r="O269" i="37"/>
  <c r="P269" i="37" s="1"/>
  <c r="J269" i="37" s="1"/>
  <c r="C118" i="38" s="1"/>
  <c r="O268" i="37"/>
  <c r="P268" i="37" s="1"/>
  <c r="J268" i="37" s="1"/>
  <c r="C54" i="38" s="1"/>
  <c r="O270" i="37"/>
  <c r="P270" i="37" s="1"/>
  <c r="J270" i="37" s="1"/>
  <c r="C182" i="38" s="1"/>
  <c r="O74" i="37"/>
  <c r="P74" i="37" s="1"/>
  <c r="J74" i="37" s="1"/>
  <c r="C102" i="38" s="1"/>
  <c r="O75" i="37"/>
  <c r="P75" i="37" s="1"/>
  <c r="J75" i="37" s="1"/>
  <c r="C166" i="38" s="1"/>
  <c r="O73" i="37"/>
  <c r="P73" i="37" s="1"/>
  <c r="J73" i="37" s="1"/>
  <c r="C38" i="38" s="1"/>
  <c r="K99" i="37"/>
  <c r="O33" i="37"/>
  <c r="P33" i="37" s="1"/>
  <c r="J33" i="37" s="1"/>
  <c r="K33" i="37" s="1"/>
  <c r="K372" i="37"/>
  <c r="K100" i="37"/>
  <c r="K191" i="37"/>
  <c r="O114" i="37"/>
  <c r="P114" i="37" s="1"/>
  <c r="J114" i="37" s="1"/>
  <c r="C162" i="38" s="1"/>
  <c r="O113" i="37"/>
  <c r="P113" i="37" s="1"/>
  <c r="J113" i="37" s="1"/>
  <c r="C98" i="38" s="1"/>
  <c r="O112" i="37"/>
  <c r="P112" i="37" s="1"/>
  <c r="J112" i="37" s="1"/>
  <c r="C34" i="38" s="1"/>
  <c r="O386" i="37"/>
  <c r="P386" i="37" s="1"/>
  <c r="J386" i="37" s="1"/>
  <c r="C126" i="38" s="1"/>
  <c r="O385" i="37"/>
  <c r="P385" i="37" s="1"/>
  <c r="J385" i="37" s="1"/>
  <c r="C62" i="38" s="1"/>
  <c r="O387" i="37"/>
  <c r="P387" i="37" s="1"/>
  <c r="J387" i="37" s="1"/>
  <c r="C190" i="38" s="1"/>
  <c r="K255" i="37"/>
  <c r="O125" i="37"/>
  <c r="P125" i="37" s="1"/>
  <c r="J125" i="37" s="1"/>
  <c r="C24" i="38" s="1"/>
  <c r="O127" i="37"/>
  <c r="P127" i="37" s="1"/>
  <c r="J127" i="37" s="1"/>
  <c r="C152" i="38" s="1"/>
  <c r="O126" i="37"/>
  <c r="P126" i="37" s="1"/>
  <c r="J126" i="37" s="1"/>
  <c r="C88" i="38" s="1"/>
  <c r="O217" i="37"/>
  <c r="P217" i="37" s="1"/>
  <c r="J217" i="37" s="1"/>
  <c r="C82" i="38" s="1"/>
  <c r="O218" i="37"/>
  <c r="P218" i="37" s="1"/>
  <c r="J218" i="37" s="1"/>
  <c r="C146" i="38" s="1"/>
  <c r="O216" i="37"/>
  <c r="P216" i="37" s="1"/>
  <c r="J216" i="37" s="1"/>
  <c r="C18" i="38" s="1"/>
  <c r="K101" i="37"/>
  <c r="K361" i="37"/>
  <c r="K190" i="37"/>
  <c r="K256" i="37"/>
  <c r="O321" i="37"/>
  <c r="P321" i="37" s="1"/>
  <c r="J321" i="37" s="1"/>
  <c r="C90" i="38" s="1"/>
  <c r="O320" i="37"/>
  <c r="P320" i="37" s="1"/>
  <c r="J320" i="37" s="1"/>
  <c r="C26" i="38" s="1"/>
  <c r="O322" i="37"/>
  <c r="P322" i="37" s="1"/>
  <c r="J322" i="37" s="1"/>
  <c r="C154" i="38" s="1"/>
  <c r="K203" i="37"/>
  <c r="O425" i="37"/>
  <c r="P425" i="37" s="1"/>
  <c r="J425" i="37" s="1"/>
  <c r="C74" i="38" s="1"/>
  <c r="O424" i="37"/>
  <c r="P424" i="37" s="1"/>
  <c r="J424" i="37" s="1"/>
  <c r="C10" i="38" s="1"/>
  <c r="O426" i="37"/>
  <c r="P426" i="37" s="1"/>
  <c r="J426" i="37" s="1"/>
  <c r="C138" i="38" s="1"/>
  <c r="K192" i="37"/>
  <c r="O61" i="37"/>
  <c r="P61" i="37" s="1"/>
  <c r="J61" i="37" s="1"/>
  <c r="C128" i="38" s="1"/>
  <c r="O62" i="37"/>
  <c r="P62" i="37" s="1"/>
  <c r="J62" i="37" s="1"/>
  <c r="C192" i="38" s="1"/>
  <c r="O60" i="37"/>
  <c r="P60" i="37" s="1"/>
  <c r="J60" i="37" s="1"/>
  <c r="C64" i="38" s="1"/>
  <c r="K257" i="37"/>
  <c r="O295" i="37"/>
  <c r="P295" i="37" s="1"/>
  <c r="J295" i="37" s="1"/>
  <c r="AK88" i="38" s="1"/>
  <c r="O294" i="37"/>
  <c r="P294" i="37" s="1"/>
  <c r="J294" i="37" s="1"/>
  <c r="AK24" i="38" s="1"/>
  <c r="O296" i="37"/>
  <c r="P296" i="37" s="1"/>
  <c r="J296" i="37" s="1"/>
  <c r="AK152" i="38" s="1"/>
  <c r="O243" i="37"/>
  <c r="P243" i="37" s="1"/>
  <c r="J243" i="37" s="1"/>
  <c r="AK120" i="38" s="1"/>
  <c r="O242" i="37"/>
  <c r="P242" i="37" s="1"/>
  <c r="J242" i="37" s="1"/>
  <c r="AK56" i="38" s="1"/>
  <c r="O244" i="37"/>
  <c r="P244" i="37" s="1"/>
  <c r="J244" i="37" s="1"/>
  <c r="AK184" i="38" s="1"/>
  <c r="O166" i="37"/>
  <c r="P166" i="37" s="1"/>
  <c r="J166" i="37" s="1"/>
  <c r="C174" i="38" s="1"/>
  <c r="O165" i="37"/>
  <c r="P165" i="37" s="1"/>
  <c r="J165" i="37" s="1"/>
  <c r="C110" i="38" s="1"/>
  <c r="O164" i="37"/>
  <c r="P164" i="37" s="1"/>
  <c r="J164" i="37" s="1"/>
  <c r="C46" i="38" s="1"/>
  <c r="O88" i="37"/>
  <c r="P88" i="37" s="1"/>
  <c r="J88" i="37" s="1"/>
  <c r="AK162" i="38" s="1"/>
  <c r="O87" i="37"/>
  <c r="P87" i="37" s="1"/>
  <c r="J87" i="37" s="1"/>
  <c r="AK98" i="38" s="1"/>
  <c r="O86" i="37"/>
  <c r="P86" i="37" s="1"/>
  <c r="J86" i="37" s="1"/>
  <c r="AK34" i="38" s="1"/>
  <c r="O140" i="37"/>
  <c r="P140" i="37" s="1"/>
  <c r="J140" i="37" s="1"/>
  <c r="AK174" i="38" s="1"/>
  <c r="O138" i="37"/>
  <c r="P138" i="37" s="1"/>
  <c r="J138" i="37" s="1"/>
  <c r="AK46" i="38" s="1"/>
  <c r="O139" i="37"/>
  <c r="P139" i="37" s="1"/>
  <c r="J139" i="37" s="1"/>
  <c r="AK110" i="38" s="1"/>
  <c r="O348" i="37"/>
  <c r="P348" i="37" s="1"/>
  <c r="J348" i="37" s="1"/>
  <c r="AK168" i="38" s="1"/>
  <c r="O347" i="37"/>
  <c r="P347" i="37" s="1"/>
  <c r="J347" i="37" s="1"/>
  <c r="AK104" i="38" s="1"/>
  <c r="O346" i="37"/>
  <c r="P346" i="37" s="1"/>
  <c r="J346" i="37" s="1"/>
  <c r="AK40" i="38" s="1"/>
  <c r="O177" i="37"/>
  <c r="P177" i="37" s="1"/>
  <c r="J177" i="37" s="1"/>
  <c r="C56" i="38" s="1"/>
  <c r="O179" i="37"/>
  <c r="P179" i="37" s="1"/>
  <c r="J179" i="37" s="1"/>
  <c r="C184" i="38" s="1"/>
  <c r="O178" i="37"/>
  <c r="P178" i="37" s="1"/>
  <c r="J178" i="37" s="1"/>
  <c r="C120" i="38" s="1"/>
  <c r="K151" i="37"/>
  <c r="K335" i="37"/>
  <c r="K307" i="37"/>
  <c r="K412" i="37"/>
  <c r="O348" i="47"/>
  <c r="P348" i="47" s="1"/>
  <c r="J348" i="47" s="1"/>
  <c r="O347" i="47"/>
  <c r="P347" i="47" s="1"/>
  <c r="J347" i="47" s="1"/>
  <c r="O346" i="47"/>
  <c r="P346" i="47" s="1"/>
  <c r="J346" i="47" s="1"/>
  <c r="O296" i="47"/>
  <c r="P296" i="47" s="1"/>
  <c r="J296" i="47" s="1"/>
  <c r="O295" i="47"/>
  <c r="P295" i="47" s="1"/>
  <c r="J295" i="47" s="1"/>
  <c r="O294" i="47"/>
  <c r="P294" i="47" s="1"/>
  <c r="J294" i="47" s="1"/>
  <c r="O204" i="47"/>
  <c r="P204" i="47" s="1"/>
  <c r="J204" i="47" s="1"/>
  <c r="O203" i="47"/>
  <c r="P203" i="47" s="1"/>
  <c r="J203" i="47" s="1"/>
  <c r="O205" i="47"/>
  <c r="P205" i="47" s="1"/>
  <c r="J205" i="47" s="1"/>
  <c r="O178" i="47"/>
  <c r="P178" i="47" s="1"/>
  <c r="J178" i="47" s="1"/>
  <c r="O321" i="47"/>
  <c r="P321" i="47" s="1"/>
  <c r="J321" i="47" s="1"/>
  <c r="O320" i="47"/>
  <c r="P320" i="47" s="1"/>
  <c r="J320" i="47" s="1"/>
  <c r="O322" i="47"/>
  <c r="P322" i="47" s="1"/>
  <c r="J322" i="47" s="1"/>
  <c r="O9" i="47"/>
  <c r="P9" i="47" s="1"/>
  <c r="J9" i="47" s="1"/>
  <c r="O8" i="47"/>
  <c r="P8" i="47" s="1"/>
  <c r="J8" i="47" s="1"/>
  <c r="O10" i="47"/>
  <c r="P10" i="47" s="1"/>
  <c r="J10" i="47" s="1"/>
  <c r="O11" i="47"/>
  <c r="P11" i="47" s="1"/>
  <c r="J11" i="47" s="1"/>
  <c r="K11" i="47" s="1"/>
  <c r="P12" i="47"/>
  <c r="O425" i="47"/>
  <c r="P425" i="47" s="1"/>
  <c r="J425" i="47" s="1"/>
  <c r="O424" i="47"/>
  <c r="P424" i="47" s="1"/>
  <c r="J424" i="47" s="1"/>
  <c r="O426" i="47"/>
  <c r="P426" i="47" s="1"/>
  <c r="J426" i="47" s="1"/>
  <c r="O400" i="47"/>
  <c r="P400" i="47" s="1"/>
  <c r="J400" i="47" s="1"/>
  <c r="O399" i="47"/>
  <c r="P399" i="47" s="1"/>
  <c r="J399" i="47" s="1"/>
  <c r="O398" i="47"/>
  <c r="P398" i="47" s="1"/>
  <c r="J398" i="47" s="1"/>
  <c r="O152" i="47"/>
  <c r="P152" i="47" s="1"/>
  <c r="J152" i="47" s="1"/>
  <c r="O191" i="47"/>
  <c r="P191" i="47" s="1"/>
  <c r="J191" i="47" s="1"/>
  <c r="O190" i="47"/>
  <c r="P190" i="47" s="1"/>
  <c r="J190" i="47" s="1"/>
  <c r="O192" i="47"/>
  <c r="P192" i="47" s="1"/>
  <c r="J192" i="47" s="1"/>
  <c r="O243" i="47"/>
  <c r="P243" i="47" s="1"/>
  <c r="J243" i="47" s="1"/>
  <c r="O242" i="47"/>
  <c r="P242" i="47" s="1"/>
  <c r="J242" i="47" s="1"/>
  <c r="O244" i="47"/>
  <c r="P244" i="47" s="1"/>
  <c r="J244" i="47" s="1"/>
  <c r="O153" i="47"/>
  <c r="P153" i="47" s="1"/>
  <c r="J153" i="47" s="1"/>
  <c r="O269" i="47"/>
  <c r="P269" i="47" s="1"/>
  <c r="J269" i="47" s="1"/>
  <c r="O270" i="47"/>
  <c r="P270" i="47" s="1"/>
  <c r="J270" i="47" s="1"/>
  <c r="O268" i="47"/>
  <c r="P268" i="47" s="1"/>
  <c r="J268" i="47" s="1"/>
  <c r="O138" i="47"/>
  <c r="P138" i="47" s="1"/>
  <c r="J138" i="47" s="1"/>
  <c r="O140" i="47"/>
  <c r="P140" i="47" s="1"/>
  <c r="J140" i="47" s="1"/>
  <c r="O139" i="47"/>
  <c r="P139" i="47" s="1"/>
  <c r="J139" i="47" s="1"/>
  <c r="O113" i="47"/>
  <c r="P113" i="47" s="1"/>
  <c r="J113" i="47" s="1"/>
  <c r="O114" i="47"/>
  <c r="P114" i="47" s="1"/>
  <c r="J114" i="47" s="1"/>
  <c r="O112" i="47"/>
  <c r="P112" i="47" s="1"/>
  <c r="J112" i="47" s="1"/>
  <c r="O125" i="47"/>
  <c r="P125" i="47" s="1"/>
  <c r="J125" i="47" s="1"/>
  <c r="O99" i="47"/>
  <c r="P99" i="47" s="1"/>
  <c r="J99" i="47" s="1"/>
  <c r="O100" i="47"/>
  <c r="P100" i="47" s="1"/>
  <c r="J100" i="47" s="1"/>
  <c r="O101" i="47"/>
  <c r="P101" i="47" s="1"/>
  <c r="J101" i="47" s="1"/>
  <c r="O217" i="47"/>
  <c r="P217" i="47" s="1"/>
  <c r="J217" i="47" s="1"/>
  <c r="O218" i="47"/>
  <c r="P218" i="47" s="1"/>
  <c r="J218" i="47" s="1"/>
  <c r="O216" i="47"/>
  <c r="P216" i="47" s="1"/>
  <c r="J216" i="47" s="1"/>
  <c r="O386" i="47"/>
  <c r="P386" i="47" s="1"/>
  <c r="J386" i="47" s="1"/>
  <c r="O385" i="47"/>
  <c r="P385" i="47" s="1"/>
  <c r="J385" i="47" s="1"/>
  <c r="O387" i="47"/>
  <c r="P387" i="47" s="1"/>
  <c r="J387" i="47" s="1"/>
  <c r="O88" i="47"/>
  <c r="P88" i="47" s="1"/>
  <c r="J88" i="47" s="1"/>
  <c r="O87" i="47"/>
  <c r="P87" i="47" s="1"/>
  <c r="J87" i="47" s="1"/>
  <c r="O86" i="47"/>
  <c r="P86" i="47" s="1"/>
  <c r="J86" i="47" s="1"/>
  <c r="O374" i="47"/>
  <c r="P374" i="47" s="1"/>
  <c r="J374" i="47" s="1"/>
  <c r="O61" i="47"/>
  <c r="P61" i="47" s="1"/>
  <c r="J61" i="47" s="1"/>
  <c r="O60" i="47"/>
  <c r="P60" i="47" s="1"/>
  <c r="J60" i="47" s="1"/>
  <c r="O62" i="47"/>
  <c r="P62" i="47" s="1"/>
  <c r="J62" i="47" s="1"/>
  <c r="O126" i="47"/>
  <c r="P126" i="47" s="1"/>
  <c r="J126" i="47" s="1"/>
  <c r="O74" i="47"/>
  <c r="P74" i="47" s="1"/>
  <c r="J74" i="47" s="1"/>
  <c r="O75" i="47"/>
  <c r="P75" i="47" s="1"/>
  <c r="J75" i="47" s="1"/>
  <c r="O73" i="47"/>
  <c r="P73" i="47" s="1"/>
  <c r="J73" i="47" s="1"/>
  <c r="O165" i="47"/>
  <c r="P165" i="47" s="1"/>
  <c r="J165" i="47" s="1"/>
  <c r="O166" i="47"/>
  <c r="P166" i="47" s="1"/>
  <c r="J166" i="47" s="1"/>
  <c r="O164" i="47"/>
  <c r="P164" i="47" s="1"/>
  <c r="J164" i="47" s="1"/>
  <c r="O61" i="45"/>
  <c r="P61" i="45" s="1"/>
  <c r="J61" i="45" s="1"/>
  <c r="O62" i="45"/>
  <c r="P62" i="45" s="1"/>
  <c r="J62" i="45" s="1"/>
  <c r="O60" i="45"/>
  <c r="P60" i="45" s="1"/>
  <c r="J60" i="45" s="1"/>
  <c r="O296" i="45"/>
  <c r="P296" i="45" s="1"/>
  <c r="J296" i="45" s="1"/>
  <c r="O295" i="45"/>
  <c r="P295" i="45" s="1"/>
  <c r="J295" i="45" s="1"/>
  <c r="O294" i="45"/>
  <c r="P294" i="45" s="1"/>
  <c r="J294" i="45" s="1"/>
  <c r="O425" i="45"/>
  <c r="P425" i="45" s="1"/>
  <c r="J425" i="45" s="1"/>
  <c r="O424" i="45"/>
  <c r="P424" i="45" s="1"/>
  <c r="J424" i="45" s="1"/>
  <c r="O426" i="45"/>
  <c r="P426" i="45" s="1"/>
  <c r="J426" i="45" s="1"/>
  <c r="O166" i="45"/>
  <c r="P166" i="45" s="1"/>
  <c r="J166" i="45" s="1"/>
  <c r="O165" i="45"/>
  <c r="P165" i="45" s="1"/>
  <c r="J165" i="45" s="1"/>
  <c r="O164" i="45"/>
  <c r="P164" i="45" s="1"/>
  <c r="J164" i="45" s="1"/>
  <c r="O73" i="45"/>
  <c r="P73" i="45" s="1"/>
  <c r="J73" i="45" s="1"/>
  <c r="O321" i="45"/>
  <c r="P321" i="45" s="1"/>
  <c r="J321" i="45" s="1"/>
  <c r="O320" i="45"/>
  <c r="P320" i="45" s="1"/>
  <c r="J320" i="45" s="1"/>
  <c r="O322" i="45"/>
  <c r="P322" i="45" s="1"/>
  <c r="J322" i="45" s="1"/>
  <c r="O140" i="45"/>
  <c r="P140" i="45" s="1"/>
  <c r="J140" i="45" s="1"/>
  <c r="O139" i="45"/>
  <c r="P139" i="45" s="1"/>
  <c r="J139" i="45" s="1"/>
  <c r="O138" i="45"/>
  <c r="P138" i="45" s="1"/>
  <c r="J138" i="45" s="1"/>
  <c r="O114" i="45"/>
  <c r="P114" i="45" s="1"/>
  <c r="J114" i="45" s="1"/>
  <c r="O113" i="45"/>
  <c r="P113" i="45" s="1"/>
  <c r="J113" i="45" s="1"/>
  <c r="O112" i="45"/>
  <c r="P112" i="45" s="1"/>
  <c r="J112" i="45" s="1"/>
  <c r="O177" i="45"/>
  <c r="P177" i="45" s="1"/>
  <c r="J177" i="45" s="1"/>
  <c r="O179" i="45"/>
  <c r="P179" i="45" s="1"/>
  <c r="J179" i="45" s="1"/>
  <c r="O178" i="45"/>
  <c r="P178" i="45" s="1"/>
  <c r="J178" i="45" s="1"/>
  <c r="O217" i="45"/>
  <c r="P217" i="45" s="1"/>
  <c r="J217" i="45" s="1"/>
  <c r="O218" i="45"/>
  <c r="P218" i="45" s="1"/>
  <c r="J218" i="45" s="1"/>
  <c r="O216" i="45"/>
  <c r="P216" i="45" s="1"/>
  <c r="J216" i="45" s="1"/>
  <c r="O88" i="45"/>
  <c r="P88" i="45" s="1"/>
  <c r="J88" i="45" s="1"/>
  <c r="O87" i="45"/>
  <c r="P87" i="45" s="1"/>
  <c r="J87" i="45" s="1"/>
  <c r="O86" i="45"/>
  <c r="P86" i="45" s="1"/>
  <c r="J86" i="45" s="1"/>
  <c r="O32" i="45"/>
  <c r="P32" i="45" s="1"/>
  <c r="J32" i="45" s="1"/>
  <c r="O30" i="45"/>
  <c r="P30" i="45" s="1"/>
  <c r="J30" i="45" s="1"/>
  <c r="O33" i="45"/>
  <c r="P33" i="45" s="1"/>
  <c r="J33" i="45" s="1"/>
  <c r="K33" i="45" s="1"/>
  <c r="O31" i="45"/>
  <c r="P31" i="45" s="1"/>
  <c r="J31" i="45" s="1"/>
  <c r="O411" i="45"/>
  <c r="P411" i="45" s="1"/>
  <c r="J411" i="45" s="1"/>
  <c r="O413" i="45"/>
  <c r="P413" i="45" s="1"/>
  <c r="J413" i="45" s="1"/>
  <c r="O412" i="45"/>
  <c r="P412" i="45" s="1"/>
  <c r="J412" i="45" s="1"/>
  <c r="O373" i="45"/>
  <c r="P373" i="45" s="1"/>
  <c r="J373" i="45" s="1"/>
  <c r="O372" i="45"/>
  <c r="P372" i="45" s="1"/>
  <c r="J372" i="45" s="1"/>
  <c r="O374" i="45"/>
  <c r="P374" i="45" s="1"/>
  <c r="J374" i="45" s="1"/>
  <c r="O359" i="45"/>
  <c r="P359" i="45" s="1"/>
  <c r="J359" i="45" s="1"/>
  <c r="O361" i="45"/>
  <c r="P361" i="45" s="1"/>
  <c r="J361" i="45" s="1"/>
  <c r="O360" i="45"/>
  <c r="P360" i="45" s="1"/>
  <c r="J360" i="45" s="1"/>
  <c r="O269" i="45"/>
  <c r="P269" i="45" s="1"/>
  <c r="J269" i="45" s="1"/>
  <c r="O270" i="45"/>
  <c r="P270" i="45" s="1"/>
  <c r="J270" i="45" s="1"/>
  <c r="O268" i="45"/>
  <c r="P268" i="45" s="1"/>
  <c r="J268" i="45" s="1"/>
  <c r="O348" i="45"/>
  <c r="P348" i="45" s="1"/>
  <c r="J348" i="45" s="1"/>
  <c r="O347" i="45"/>
  <c r="P347" i="45" s="1"/>
  <c r="J347" i="45" s="1"/>
  <c r="O346" i="45"/>
  <c r="P346" i="45" s="1"/>
  <c r="J346" i="45" s="1"/>
  <c r="O400" i="45"/>
  <c r="P400" i="45" s="1"/>
  <c r="J400" i="45" s="1"/>
  <c r="O399" i="45"/>
  <c r="P399" i="45" s="1"/>
  <c r="J399" i="45" s="1"/>
  <c r="O398" i="45"/>
  <c r="P398" i="45" s="1"/>
  <c r="J398" i="45" s="1"/>
  <c r="O47" i="45"/>
  <c r="P47" i="45" s="1"/>
  <c r="J47" i="45" s="1"/>
  <c r="O49" i="45"/>
  <c r="P49" i="45" s="1"/>
  <c r="J49" i="45" s="1"/>
  <c r="O48" i="45"/>
  <c r="P48" i="45" s="1"/>
  <c r="J48" i="45" s="1"/>
  <c r="O269" i="35"/>
  <c r="P269" i="35" s="1"/>
  <c r="J269" i="35" s="1"/>
  <c r="O270" i="35"/>
  <c r="P270" i="35" s="1"/>
  <c r="J270" i="35" s="1"/>
  <c r="O268" i="35"/>
  <c r="P268" i="35" s="1"/>
  <c r="J268" i="35" s="1"/>
  <c r="O86" i="35"/>
  <c r="P86" i="35" s="1"/>
  <c r="J86" i="35" s="1"/>
  <c r="O88" i="35"/>
  <c r="P88" i="35" s="1"/>
  <c r="J88" i="35" s="1"/>
  <c r="O87" i="35"/>
  <c r="P87" i="35" s="1"/>
  <c r="J87" i="35" s="1"/>
  <c r="O138" i="35"/>
  <c r="P138" i="35" s="1"/>
  <c r="J138" i="35" s="1"/>
  <c r="O140" i="35"/>
  <c r="P140" i="35" s="1"/>
  <c r="J140" i="35" s="1"/>
  <c r="O139" i="35"/>
  <c r="P139" i="35" s="1"/>
  <c r="J139" i="35" s="1"/>
  <c r="O374" i="35"/>
  <c r="P374" i="35" s="1"/>
  <c r="J374" i="35" s="1"/>
  <c r="O165" i="35"/>
  <c r="P165" i="35" s="1"/>
  <c r="J165" i="35" s="1"/>
  <c r="O372" i="35"/>
  <c r="P372" i="35" s="1"/>
  <c r="J372" i="35" s="1"/>
  <c r="O125" i="35"/>
  <c r="P125" i="35" s="1"/>
  <c r="J125" i="35" s="1"/>
  <c r="O127" i="35"/>
  <c r="P127" i="35" s="1"/>
  <c r="J127" i="35" s="1"/>
  <c r="O126" i="35"/>
  <c r="P126" i="35" s="1"/>
  <c r="J126" i="35" s="1"/>
  <c r="O425" i="35"/>
  <c r="P425" i="35" s="1"/>
  <c r="J425" i="35" s="1"/>
  <c r="O424" i="35"/>
  <c r="P424" i="35" s="1"/>
  <c r="J424" i="35" s="1"/>
  <c r="O426" i="35"/>
  <c r="P426" i="35" s="1"/>
  <c r="J426" i="35" s="1"/>
  <c r="O73" i="35"/>
  <c r="P73" i="35" s="1"/>
  <c r="J73" i="35" s="1"/>
  <c r="O75" i="35"/>
  <c r="P75" i="35" s="1"/>
  <c r="J75" i="35" s="1"/>
  <c r="O74" i="35"/>
  <c r="P74" i="35" s="1"/>
  <c r="J74" i="35" s="1"/>
  <c r="O321" i="35"/>
  <c r="P321" i="35" s="1"/>
  <c r="J321" i="35" s="1"/>
  <c r="O320" i="35"/>
  <c r="P320" i="35" s="1"/>
  <c r="J320" i="35" s="1"/>
  <c r="O322" i="35"/>
  <c r="P322" i="35" s="1"/>
  <c r="J322" i="35" s="1"/>
  <c r="O386" i="35"/>
  <c r="P386" i="35" s="1"/>
  <c r="J386" i="35" s="1"/>
  <c r="O385" i="35"/>
  <c r="P385" i="35" s="1"/>
  <c r="J385" i="35" s="1"/>
  <c r="O387" i="35"/>
  <c r="P387" i="35" s="1"/>
  <c r="J387" i="35" s="1"/>
  <c r="O62" i="35"/>
  <c r="P62" i="35" s="1"/>
  <c r="J62" i="35" s="1"/>
  <c r="O113" i="35"/>
  <c r="P113" i="35" s="1"/>
  <c r="J113" i="35" s="1"/>
  <c r="O112" i="35"/>
  <c r="P112" i="35" s="1"/>
  <c r="J112" i="35" s="1"/>
  <c r="O114" i="35"/>
  <c r="P114" i="35" s="1"/>
  <c r="J114" i="35" s="1"/>
  <c r="O60" i="35"/>
  <c r="P60" i="35" s="1"/>
  <c r="J60" i="35" s="1"/>
  <c r="O400" i="35"/>
  <c r="P400" i="35" s="1"/>
  <c r="J400" i="35" s="1"/>
  <c r="O399" i="35"/>
  <c r="P399" i="35" s="1"/>
  <c r="J399" i="35" s="1"/>
  <c r="O398" i="35"/>
  <c r="P398" i="35" s="1"/>
  <c r="J398" i="35" s="1"/>
  <c r="O217" i="35"/>
  <c r="P217" i="35" s="1"/>
  <c r="J217" i="35" s="1"/>
  <c r="O218" i="35"/>
  <c r="P218" i="35" s="1"/>
  <c r="J218" i="35" s="1"/>
  <c r="O216" i="35"/>
  <c r="P216" i="35" s="1"/>
  <c r="J216" i="35" s="1"/>
  <c r="O411" i="35"/>
  <c r="P411" i="35" s="1"/>
  <c r="J411" i="35" s="1"/>
  <c r="O413" i="35"/>
  <c r="P413" i="35" s="1"/>
  <c r="J413" i="35" s="1"/>
  <c r="O412" i="35"/>
  <c r="P412" i="35" s="1"/>
  <c r="J412" i="35" s="1"/>
  <c r="O101" i="43"/>
  <c r="P101" i="43" s="1"/>
  <c r="J101" i="43" s="1"/>
  <c r="O100" i="43"/>
  <c r="P100" i="43" s="1"/>
  <c r="J100" i="43" s="1"/>
  <c r="O99" i="43"/>
  <c r="P99" i="43" s="1"/>
  <c r="J99" i="43" s="1"/>
  <c r="O269" i="43"/>
  <c r="P269" i="43" s="1"/>
  <c r="J269" i="43" s="1"/>
  <c r="O270" i="43"/>
  <c r="P270" i="43" s="1"/>
  <c r="J270" i="43" s="1"/>
  <c r="O268" i="43"/>
  <c r="P268" i="43" s="1"/>
  <c r="J268" i="43" s="1"/>
  <c r="O126" i="43"/>
  <c r="P126" i="43" s="1"/>
  <c r="J126" i="43" s="1"/>
  <c r="O125" i="43"/>
  <c r="P125" i="43" s="1"/>
  <c r="J125" i="43" s="1"/>
  <c r="O127" i="43"/>
  <c r="P127" i="43" s="1"/>
  <c r="J127" i="43" s="1"/>
  <c r="O8" i="43"/>
  <c r="P8" i="43" s="1"/>
  <c r="J8" i="43" s="1"/>
  <c r="O11" i="43"/>
  <c r="P11" i="43" s="1"/>
  <c r="J11" i="43" s="1"/>
  <c r="K11" i="43" s="1"/>
  <c r="O9" i="43"/>
  <c r="P9" i="43" s="1"/>
  <c r="J9" i="43" s="1"/>
  <c r="O10" i="43"/>
  <c r="P10" i="43" s="1"/>
  <c r="J10" i="43" s="1"/>
  <c r="P12" i="43"/>
  <c r="O204" i="43"/>
  <c r="P204" i="43" s="1"/>
  <c r="J204" i="43" s="1"/>
  <c r="O205" i="43"/>
  <c r="P205" i="43" s="1"/>
  <c r="J205" i="43" s="1"/>
  <c r="O203" i="43"/>
  <c r="P203" i="43" s="1"/>
  <c r="J203" i="43" s="1"/>
  <c r="O151" i="43"/>
  <c r="P151" i="43" s="1"/>
  <c r="J151" i="43" s="1"/>
  <c r="O139" i="43"/>
  <c r="P139" i="43" s="1"/>
  <c r="J139" i="43" s="1"/>
  <c r="O138" i="43"/>
  <c r="P138" i="43" s="1"/>
  <c r="J138" i="43" s="1"/>
  <c r="O140" i="43"/>
  <c r="P140" i="43" s="1"/>
  <c r="J140" i="43" s="1"/>
  <c r="O178" i="43"/>
  <c r="P178" i="43" s="1"/>
  <c r="J178" i="43" s="1"/>
  <c r="O177" i="43"/>
  <c r="P177" i="43" s="1"/>
  <c r="J177" i="43" s="1"/>
  <c r="O179" i="43"/>
  <c r="P179" i="43" s="1"/>
  <c r="J179" i="43" s="1"/>
  <c r="O218" i="43"/>
  <c r="P218" i="43" s="1"/>
  <c r="J218" i="43" s="1"/>
  <c r="O217" i="43"/>
  <c r="P217" i="43" s="1"/>
  <c r="J217" i="43" s="1"/>
  <c r="O216" i="43"/>
  <c r="P216" i="43" s="1"/>
  <c r="J216" i="43" s="1"/>
  <c r="O374" i="43"/>
  <c r="P374" i="43" s="1"/>
  <c r="J374" i="43" s="1"/>
  <c r="O399" i="43"/>
  <c r="P399" i="43" s="1"/>
  <c r="J399" i="43" s="1"/>
  <c r="O398" i="43"/>
  <c r="P398" i="43" s="1"/>
  <c r="J398" i="43" s="1"/>
  <c r="O400" i="43"/>
  <c r="P400" i="43" s="1"/>
  <c r="J400" i="43" s="1"/>
  <c r="O425" i="43"/>
  <c r="P425" i="43" s="1"/>
  <c r="J425" i="43" s="1"/>
  <c r="O424" i="43"/>
  <c r="P424" i="43" s="1"/>
  <c r="J424" i="43" s="1"/>
  <c r="O426" i="43"/>
  <c r="P426" i="43" s="1"/>
  <c r="J426" i="43" s="1"/>
  <c r="O74" i="43"/>
  <c r="P74" i="43" s="1"/>
  <c r="J74" i="43" s="1"/>
  <c r="O73" i="43"/>
  <c r="P73" i="43" s="1"/>
  <c r="J73" i="43" s="1"/>
  <c r="O75" i="43"/>
  <c r="P75" i="43" s="1"/>
  <c r="J75" i="43" s="1"/>
  <c r="O372" i="43"/>
  <c r="P372" i="43" s="1"/>
  <c r="J372" i="43" s="1"/>
  <c r="O86" i="43"/>
  <c r="P86" i="43" s="1"/>
  <c r="J86" i="43" s="1"/>
  <c r="O348" i="33"/>
  <c r="P348" i="33" s="1"/>
  <c r="J348" i="33" s="1"/>
  <c r="O347" i="33"/>
  <c r="P347" i="33" s="1"/>
  <c r="J347" i="33" s="1"/>
  <c r="O346" i="33"/>
  <c r="P346" i="33" s="1"/>
  <c r="J346" i="33" s="1"/>
  <c r="O230" i="33"/>
  <c r="P230" i="33" s="1"/>
  <c r="J230" i="33" s="1"/>
  <c r="O231" i="33"/>
  <c r="P231" i="33" s="1"/>
  <c r="J231" i="33" s="1"/>
  <c r="O229" i="33"/>
  <c r="P229" i="33" s="1"/>
  <c r="J229" i="33" s="1"/>
  <c r="O9" i="33"/>
  <c r="P9" i="33" s="1"/>
  <c r="J9" i="33" s="1"/>
  <c r="O10" i="33"/>
  <c r="P10" i="33" s="1"/>
  <c r="J10" i="33" s="1"/>
  <c r="O11" i="33"/>
  <c r="P11" i="33" s="1"/>
  <c r="J11" i="33" s="1"/>
  <c r="K11" i="33" s="1"/>
  <c r="O8" i="33"/>
  <c r="P8" i="33" s="1"/>
  <c r="J8" i="33" s="1"/>
  <c r="P12" i="33"/>
  <c r="O386" i="33"/>
  <c r="P386" i="33" s="1"/>
  <c r="J386" i="33" s="1"/>
  <c r="O385" i="33"/>
  <c r="P385" i="33" s="1"/>
  <c r="J385" i="33" s="1"/>
  <c r="O387" i="33"/>
  <c r="P387" i="33" s="1"/>
  <c r="J387" i="33" s="1"/>
  <c r="O153" i="33"/>
  <c r="P153" i="33" s="1"/>
  <c r="J153" i="33" s="1"/>
  <c r="O152" i="33"/>
  <c r="P152" i="33" s="1"/>
  <c r="J152" i="33" s="1"/>
  <c r="O151" i="33"/>
  <c r="P151" i="33" s="1"/>
  <c r="J151" i="33" s="1"/>
  <c r="O112" i="33"/>
  <c r="P112" i="33" s="1"/>
  <c r="J112" i="33" s="1"/>
  <c r="O114" i="33"/>
  <c r="P114" i="33" s="1"/>
  <c r="J114" i="33" s="1"/>
  <c r="O113" i="33"/>
  <c r="P113" i="33" s="1"/>
  <c r="J113" i="33" s="1"/>
  <c r="O33" i="33"/>
  <c r="P33" i="33" s="1"/>
  <c r="J33" i="33" s="1"/>
  <c r="K33" i="33" s="1"/>
  <c r="O30" i="33"/>
  <c r="P30" i="33" s="1"/>
  <c r="J30" i="33" s="1"/>
  <c r="O32" i="33"/>
  <c r="P32" i="33" s="1"/>
  <c r="J32" i="33" s="1"/>
  <c r="O31" i="33"/>
  <c r="P31" i="33" s="1"/>
  <c r="J31" i="33" s="1"/>
  <c r="O101" i="33"/>
  <c r="P101" i="33" s="1"/>
  <c r="J101" i="33" s="1"/>
  <c r="O100" i="33"/>
  <c r="P100" i="33" s="1"/>
  <c r="J100" i="33" s="1"/>
  <c r="O99" i="33"/>
  <c r="P99" i="33" s="1"/>
  <c r="J99" i="33" s="1"/>
  <c r="O61" i="33"/>
  <c r="P61" i="33" s="1"/>
  <c r="J61" i="33" s="1"/>
  <c r="O60" i="33"/>
  <c r="P60" i="33" s="1"/>
  <c r="J60" i="33" s="1"/>
  <c r="O62" i="33"/>
  <c r="P62" i="33" s="1"/>
  <c r="J62" i="33" s="1"/>
  <c r="O73" i="33"/>
  <c r="P73" i="33" s="1"/>
  <c r="J73" i="33" s="1"/>
  <c r="O75" i="33"/>
  <c r="P75" i="33" s="1"/>
  <c r="J75" i="33" s="1"/>
  <c r="O74" i="33"/>
  <c r="P74" i="33" s="1"/>
  <c r="J74" i="33" s="1"/>
  <c r="O334" i="33"/>
  <c r="P334" i="33" s="1"/>
  <c r="J334" i="33" s="1"/>
  <c r="O333" i="33"/>
  <c r="P333" i="33" s="1"/>
  <c r="J333" i="33" s="1"/>
  <c r="O335" i="33"/>
  <c r="P335" i="33" s="1"/>
  <c r="J335" i="33" s="1"/>
  <c r="O125" i="33"/>
  <c r="P125" i="33" s="1"/>
  <c r="J125" i="33" s="1"/>
  <c r="O126" i="33"/>
  <c r="P126" i="33" s="1"/>
  <c r="J126" i="33" s="1"/>
  <c r="O127" i="33"/>
  <c r="P127" i="33" s="1"/>
  <c r="J127" i="33" s="1"/>
  <c r="O282" i="33"/>
  <c r="P282" i="33" s="1"/>
  <c r="J282" i="33" s="1"/>
  <c r="O281" i="33"/>
  <c r="P281" i="33" s="1"/>
  <c r="J281" i="33" s="1"/>
  <c r="O283" i="33"/>
  <c r="P283" i="33" s="1"/>
  <c r="J283" i="33" s="1"/>
  <c r="O425" i="33"/>
  <c r="P425" i="33" s="1"/>
  <c r="J425" i="33" s="1"/>
  <c r="O424" i="33"/>
  <c r="P424" i="33" s="1"/>
  <c r="J424" i="33" s="1"/>
  <c r="O426" i="33"/>
  <c r="P426" i="33" s="1"/>
  <c r="J426" i="33" s="1"/>
  <c r="O244" i="33"/>
  <c r="P244" i="33" s="1"/>
  <c r="J244" i="33" s="1"/>
  <c r="O243" i="33"/>
  <c r="P243" i="33" s="1"/>
  <c r="J243" i="33" s="1"/>
  <c r="O242" i="33"/>
  <c r="P242" i="33" s="1"/>
  <c r="J242" i="33" s="1"/>
  <c r="O177" i="33"/>
  <c r="P177" i="33" s="1"/>
  <c r="J177" i="33" s="1"/>
  <c r="O178" i="33"/>
  <c r="P178" i="33" s="1"/>
  <c r="J178" i="33" s="1"/>
  <c r="O179" i="33"/>
  <c r="P179" i="33" s="1"/>
  <c r="J179" i="33" s="1"/>
  <c r="O48" i="33"/>
  <c r="P48" i="33" s="1"/>
  <c r="J48" i="33" s="1"/>
  <c r="O49" i="33"/>
  <c r="P49" i="33" s="1"/>
  <c r="J49" i="33" s="1"/>
  <c r="O47" i="33"/>
  <c r="P47" i="33" s="1"/>
  <c r="J47" i="33" s="1"/>
  <c r="O192" i="33"/>
  <c r="P192" i="33" s="1"/>
  <c r="J192" i="33" s="1"/>
  <c r="O191" i="33"/>
  <c r="P191" i="33" s="1"/>
  <c r="J191" i="33" s="1"/>
  <c r="O190" i="33"/>
  <c r="P190" i="33" s="1"/>
  <c r="J190" i="33" s="1"/>
  <c r="O295" i="33"/>
  <c r="P295" i="33" s="1"/>
  <c r="J295" i="33" s="1"/>
  <c r="O294" i="33"/>
  <c r="P294" i="33" s="1"/>
  <c r="J294" i="33" s="1"/>
  <c r="O296" i="33"/>
  <c r="P296" i="33" s="1"/>
  <c r="J296" i="33" s="1"/>
  <c r="AT110" i="46" l="1"/>
  <c r="AQ110" i="46"/>
  <c r="AU110" i="46"/>
  <c r="AP111" i="46"/>
  <c r="AP46" i="46"/>
  <c r="AT45" i="46"/>
  <c r="AQ45" i="46"/>
  <c r="AU45" i="46"/>
  <c r="AQ174" i="44"/>
  <c r="AU174" i="44"/>
  <c r="AQ109" i="44"/>
  <c r="AU109" i="44"/>
  <c r="K166" i="43"/>
  <c r="C174" i="44"/>
  <c r="K8" i="37"/>
  <c r="AK154" i="50"/>
  <c r="C33" i="50"/>
  <c r="AK16" i="36"/>
  <c r="C184" i="48"/>
  <c r="G186" i="48" s="1"/>
  <c r="G187" i="48" s="1"/>
  <c r="AK192" i="48"/>
  <c r="AK146" i="48"/>
  <c r="AK24" i="40"/>
  <c r="C98" i="40"/>
  <c r="F98" i="40" s="1"/>
  <c r="AK88" i="36"/>
  <c r="K165" i="43"/>
  <c r="C174" i="34"/>
  <c r="AK128" i="44"/>
  <c r="AH128" i="44" s="1"/>
  <c r="F46" i="50"/>
  <c r="AK38" i="50"/>
  <c r="C34" i="44"/>
  <c r="C35" i="44" s="1"/>
  <c r="C162" i="44"/>
  <c r="F162" i="44" s="1"/>
  <c r="AK46" i="50"/>
  <c r="C34" i="50"/>
  <c r="AK26" i="50"/>
  <c r="K152" i="49"/>
  <c r="C38" i="50"/>
  <c r="C39" i="50" s="1"/>
  <c r="AK80" i="44"/>
  <c r="AH80" i="44" s="1"/>
  <c r="AK98" i="44"/>
  <c r="AH98" i="44" s="1"/>
  <c r="K61" i="43"/>
  <c r="AK64" i="44"/>
  <c r="AK65" i="44" s="1"/>
  <c r="C192" i="50"/>
  <c r="K62" i="49"/>
  <c r="K61" i="49"/>
  <c r="AK54" i="46"/>
  <c r="C24" i="46"/>
  <c r="C25" i="46" s="1"/>
  <c r="K127" i="45"/>
  <c r="C136" i="46"/>
  <c r="AK102" i="46"/>
  <c r="K335" i="45"/>
  <c r="C190" i="46"/>
  <c r="C145" i="48"/>
  <c r="AK26" i="48"/>
  <c r="AK27" i="48" s="1"/>
  <c r="AK72" i="48"/>
  <c r="AK72" i="36"/>
  <c r="AK73" i="36" s="1"/>
  <c r="K47" i="37"/>
  <c r="C72" i="38"/>
  <c r="AK16" i="44"/>
  <c r="AH16" i="44" s="1"/>
  <c r="C46" i="44"/>
  <c r="F46" i="44" s="1"/>
  <c r="C193" i="44"/>
  <c r="C64" i="44"/>
  <c r="C65" i="44" s="1"/>
  <c r="AK137" i="44"/>
  <c r="K47" i="43"/>
  <c r="AK8" i="44"/>
  <c r="AH8" i="44" s="1"/>
  <c r="K385" i="45"/>
  <c r="AK166" i="46"/>
  <c r="AK167" i="46" s="1"/>
  <c r="K101" i="45"/>
  <c r="K152" i="45"/>
  <c r="K9" i="45"/>
  <c r="K229" i="45"/>
  <c r="AK38" i="46"/>
  <c r="AG42" i="46" s="1"/>
  <c r="K8" i="45"/>
  <c r="C126" i="46"/>
  <c r="F126" i="46" s="1"/>
  <c r="AK182" i="46"/>
  <c r="AH182" i="46" s="1"/>
  <c r="K191" i="45"/>
  <c r="AK144" i="46"/>
  <c r="AH144" i="46" s="1"/>
  <c r="C102" i="46"/>
  <c r="C103" i="46" s="1"/>
  <c r="K74" i="45"/>
  <c r="K177" i="47"/>
  <c r="F152" i="48"/>
  <c r="K49" i="47"/>
  <c r="K166" i="49"/>
  <c r="C110" i="50"/>
  <c r="G108" i="50" s="1"/>
  <c r="K165" i="49"/>
  <c r="AH46" i="50"/>
  <c r="AK110" i="50"/>
  <c r="AK111" i="50" s="1"/>
  <c r="C98" i="50"/>
  <c r="C163" i="50"/>
  <c r="K10" i="49"/>
  <c r="C64" i="40"/>
  <c r="K31" i="39"/>
  <c r="C105" i="38"/>
  <c r="C128" i="36"/>
  <c r="K61" i="35"/>
  <c r="AK136" i="36"/>
  <c r="AK137" i="36" s="1"/>
  <c r="C72" i="36"/>
  <c r="K10" i="35"/>
  <c r="AH96" i="50"/>
  <c r="AI98" i="50" s="1"/>
  <c r="AH40" i="36"/>
  <c r="C40" i="48"/>
  <c r="C41" i="48" s="1"/>
  <c r="K10" i="37"/>
  <c r="C90" i="40"/>
  <c r="C91" i="40" s="1"/>
  <c r="AK24" i="36"/>
  <c r="AK25" i="36" s="1"/>
  <c r="AK138" i="34"/>
  <c r="AH138" i="34" s="1"/>
  <c r="AI48" i="50"/>
  <c r="AI18" i="38"/>
  <c r="AI146" i="38"/>
  <c r="K74" i="33"/>
  <c r="C102" i="34"/>
  <c r="K140" i="43"/>
  <c r="AK174" i="44"/>
  <c r="K74" i="35"/>
  <c r="C102" i="36"/>
  <c r="K73" i="43"/>
  <c r="C38" i="44"/>
  <c r="K62" i="35"/>
  <c r="C192" i="36"/>
  <c r="K413" i="45"/>
  <c r="AK190" i="46"/>
  <c r="K164" i="47"/>
  <c r="C46" i="48"/>
  <c r="K192" i="33"/>
  <c r="AK144" i="34"/>
  <c r="K153" i="33"/>
  <c r="AK154" i="34"/>
  <c r="K73" i="35"/>
  <c r="C38" i="36"/>
  <c r="K411" i="45"/>
  <c r="AK62" i="46"/>
  <c r="K166" i="47"/>
  <c r="G172" i="48"/>
  <c r="G173" i="48" s="1"/>
  <c r="K216" i="47"/>
  <c r="C18" i="48"/>
  <c r="G44" i="38"/>
  <c r="C47" i="38"/>
  <c r="F46" i="38"/>
  <c r="AK139" i="38"/>
  <c r="AH138" i="38"/>
  <c r="K294" i="33"/>
  <c r="AK24" i="34"/>
  <c r="K425" i="33"/>
  <c r="C74" i="34"/>
  <c r="K99" i="33"/>
  <c r="AK38" i="34"/>
  <c r="K114" i="33"/>
  <c r="C162" i="34"/>
  <c r="K346" i="33"/>
  <c r="AK40" i="34"/>
  <c r="K86" i="43"/>
  <c r="AK34" i="44"/>
  <c r="K400" i="43"/>
  <c r="K177" i="43"/>
  <c r="C56" i="44"/>
  <c r="K204" i="43"/>
  <c r="AK118" i="44"/>
  <c r="K126" i="43"/>
  <c r="C88" i="44"/>
  <c r="K411" i="35"/>
  <c r="AK62" i="36"/>
  <c r="K114" i="35"/>
  <c r="C162" i="36"/>
  <c r="K320" i="35"/>
  <c r="C26" i="36"/>
  <c r="K126" i="35"/>
  <c r="C88" i="36"/>
  <c r="K138" i="35"/>
  <c r="AK46" i="36"/>
  <c r="K48" i="45"/>
  <c r="AK72" i="46"/>
  <c r="K348" i="45"/>
  <c r="AK168" i="46"/>
  <c r="AG170" i="46" s="1"/>
  <c r="K372" i="45"/>
  <c r="C40" i="46"/>
  <c r="K32" i="45"/>
  <c r="K179" i="45"/>
  <c r="K322" i="45"/>
  <c r="C154" i="46"/>
  <c r="K424" i="45"/>
  <c r="K74" i="47"/>
  <c r="C102" i="48"/>
  <c r="K88" i="47"/>
  <c r="AK162" i="48"/>
  <c r="K100" i="47"/>
  <c r="AK102" i="48"/>
  <c r="K138" i="47"/>
  <c r="AK46" i="48"/>
  <c r="K192" i="47"/>
  <c r="AK144" i="48"/>
  <c r="K424" i="47"/>
  <c r="C10" i="48"/>
  <c r="K320" i="47"/>
  <c r="C26" i="48"/>
  <c r="K296" i="47"/>
  <c r="AK152" i="48"/>
  <c r="F120" i="38"/>
  <c r="C121" i="38"/>
  <c r="G122" i="38"/>
  <c r="AH174" i="38"/>
  <c r="AI176" i="38" s="1"/>
  <c r="AG172" i="38"/>
  <c r="AG173" i="38" s="1"/>
  <c r="AK175" i="38"/>
  <c r="AK185" i="38"/>
  <c r="AH184" i="38"/>
  <c r="C193" i="38"/>
  <c r="G188" i="38"/>
  <c r="F192" i="38"/>
  <c r="C27" i="38"/>
  <c r="F26" i="38"/>
  <c r="C83" i="38"/>
  <c r="G78" i="38"/>
  <c r="F82" i="38"/>
  <c r="G30" i="38"/>
  <c r="F34" i="38"/>
  <c r="C35" i="38"/>
  <c r="K152" i="39"/>
  <c r="AK90" i="40"/>
  <c r="K218" i="39"/>
  <c r="C146" i="40"/>
  <c r="K269" i="39"/>
  <c r="C118" i="40"/>
  <c r="K49" i="39"/>
  <c r="AK136" i="40"/>
  <c r="K398" i="39"/>
  <c r="AK10" i="40"/>
  <c r="K374" i="39"/>
  <c r="C168" i="40"/>
  <c r="K30" i="49"/>
  <c r="AK64" i="50"/>
  <c r="AK72" i="38"/>
  <c r="K48" i="37"/>
  <c r="C49" i="40"/>
  <c r="F48" i="40"/>
  <c r="F160" i="40"/>
  <c r="G162" i="40" s="1"/>
  <c r="C161" i="40"/>
  <c r="AK19" i="48"/>
  <c r="AH18" i="48"/>
  <c r="C145" i="36"/>
  <c r="F144" i="36"/>
  <c r="G146" i="36" s="1"/>
  <c r="AH118" i="36"/>
  <c r="AG122" i="36"/>
  <c r="AG123" i="36" s="1"/>
  <c r="AK119" i="36"/>
  <c r="F54" i="34"/>
  <c r="G56" i="34" s="1"/>
  <c r="C55" i="34"/>
  <c r="K373" i="43"/>
  <c r="AH32" i="40"/>
  <c r="AI34" i="40" s="1"/>
  <c r="AK33" i="40"/>
  <c r="C111" i="40"/>
  <c r="G108" i="40"/>
  <c r="F110" i="40"/>
  <c r="AK97" i="48"/>
  <c r="AH96" i="48"/>
  <c r="AI98" i="48" s="1"/>
  <c r="C33" i="36"/>
  <c r="F32" i="36"/>
  <c r="G34" i="36" s="1"/>
  <c r="F182" i="34"/>
  <c r="G184" i="34" s="1"/>
  <c r="C183" i="34"/>
  <c r="AK185" i="44"/>
  <c r="AH184" i="44"/>
  <c r="G30" i="44"/>
  <c r="G140" i="50"/>
  <c r="C137" i="50"/>
  <c r="F136" i="50"/>
  <c r="AK147" i="40"/>
  <c r="AH146" i="40"/>
  <c r="AG29" i="38"/>
  <c r="K30" i="47"/>
  <c r="AK64" i="48"/>
  <c r="F48" i="48"/>
  <c r="C49" i="48"/>
  <c r="C145" i="46"/>
  <c r="F144" i="46"/>
  <c r="AK105" i="36"/>
  <c r="AH104" i="36"/>
  <c r="AH192" i="44"/>
  <c r="AG188" i="44"/>
  <c r="AK193" i="44"/>
  <c r="C17" i="44"/>
  <c r="F16" i="44"/>
  <c r="C27" i="34"/>
  <c r="F26" i="34"/>
  <c r="AK191" i="34"/>
  <c r="AH190" i="34"/>
  <c r="AI192" i="34" s="1"/>
  <c r="C185" i="48"/>
  <c r="AH112" i="36"/>
  <c r="AK113" i="36"/>
  <c r="C144" i="38"/>
  <c r="K231" i="37"/>
  <c r="AG124" i="44"/>
  <c r="G188" i="44"/>
  <c r="AK19" i="34"/>
  <c r="AH18" i="34"/>
  <c r="AH126" i="34"/>
  <c r="AI128" i="34" s="1"/>
  <c r="AK127" i="34"/>
  <c r="AC50" i="38"/>
  <c r="AC51" i="38" s="1"/>
  <c r="AG43" i="38"/>
  <c r="C145" i="40"/>
  <c r="F144" i="40"/>
  <c r="G146" i="40" s="1"/>
  <c r="K32" i="35"/>
  <c r="AK192" i="36"/>
  <c r="K307" i="47"/>
  <c r="AK48" i="48"/>
  <c r="F176" i="40"/>
  <c r="C177" i="40"/>
  <c r="C48" i="38"/>
  <c r="K281" i="37"/>
  <c r="F16" i="40"/>
  <c r="G18" i="40" s="1"/>
  <c r="C17" i="40"/>
  <c r="AH62" i="48"/>
  <c r="AI64" i="48" s="1"/>
  <c r="AK63" i="48"/>
  <c r="AK91" i="36"/>
  <c r="AG92" i="36"/>
  <c r="AH90" i="36"/>
  <c r="AK113" i="44"/>
  <c r="AH112" i="44"/>
  <c r="AK83" i="36"/>
  <c r="AH82" i="36"/>
  <c r="K399" i="33"/>
  <c r="AK74" i="34"/>
  <c r="AH168" i="44"/>
  <c r="AK169" i="44"/>
  <c r="AH112" i="40"/>
  <c r="AK113" i="40"/>
  <c r="AG76" i="44"/>
  <c r="AK73" i="44"/>
  <c r="AH72" i="44"/>
  <c r="C89" i="40"/>
  <c r="G92" i="40"/>
  <c r="F88" i="40"/>
  <c r="K177" i="33"/>
  <c r="C56" i="34"/>
  <c r="K348" i="33"/>
  <c r="AK168" i="34"/>
  <c r="K113" i="35"/>
  <c r="C98" i="36"/>
  <c r="K31" i="33"/>
  <c r="AK128" i="34"/>
  <c r="K138" i="43"/>
  <c r="AK46" i="44"/>
  <c r="K86" i="35"/>
  <c r="AK34" i="36"/>
  <c r="K73" i="45"/>
  <c r="C38" i="46"/>
  <c r="K112" i="47"/>
  <c r="C34" i="48"/>
  <c r="K127" i="33"/>
  <c r="C152" i="34"/>
  <c r="K216" i="43"/>
  <c r="C18" i="44"/>
  <c r="K165" i="35"/>
  <c r="C110" i="36"/>
  <c r="K360" i="45"/>
  <c r="AK96" i="46"/>
  <c r="K61" i="47"/>
  <c r="C128" i="48"/>
  <c r="K153" i="47"/>
  <c r="AK154" i="48"/>
  <c r="F182" i="38"/>
  <c r="G184" i="38" s="1"/>
  <c r="C183" i="38"/>
  <c r="K296" i="33"/>
  <c r="AK152" i="34"/>
  <c r="K179" i="33"/>
  <c r="C184" i="34"/>
  <c r="K333" i="33"/>
  <c r="C32" i="34"/>
  <c r="K295" i="33"/>
  <c r="AK88" i="34"/>
  <c r="K178" i="33"/>
  <c r="C120" i="34"/>
  <c r="K283" i="33"/>
  <c r="K334" i="33"/>
  <c r="C96" i="34"/>
  <c r="K100" i="33"/>
  <c r="AK102" i="34"/>
  <c r="K112" i="33"/>
  <c r="C34" i="34"/>
  <c r="K347" i="33"/>
  <c r="AK104" i="34"/>
  <c r="K372" i="43"/>
  <c r="K398" i="43"/>
  <c r="K178" i="43"/>
  <c r="C120" i="44"/>
  <c r="K268" i="43"/>
  <c r="K216" i="35"/>
  <c r="C18" i="36"/>
  <c r="K112" i="35"/>
  <c r="C34" i="36"/>
  <c r="K321" i="35"/>
  <c r="C90" i="36"/>
  <c r="K127" i="35"/>
  <c r="C152" i="36"/>
  <c r="K87" i="35"/>
  <c r="AK98" i="36"/>
  <c r="K49" i="45"/>
  <c r="AK136" i="46"/>
  <c r="K268" i="45"/>
  <c r="K373" i="45"/>
  <c r="C104" i="46"/>
  <c r="K86" i="45"/>
  <c r="AK34" i="46"/>
  <c r="K177" i="45"/>
  <c r="C56" i="46"/>
  <c r="K320" i="45"/>
  <c r="C26" i="46"/>
  <c r="K425" i="45"/>
  <c r="C74" i="46"/>
  <c r="K126" i="47"/>
  <c r="C88" i="48"/>
  <c r="K387" i="47"/>
  <c r="C190" i="48"/>
  <c r="K99" i="47"/>
  <c r="AK38" i="48"/>
  <c r="K268" i="47"/>
  <c r="C54" i="48"/>
  <c r="K190" i="47"/>
  <c r="AK16" i="48"/>
  <c r="K425" i="47"/>
  <c r="C74" i="48"/>
  <c r="K321" i="47"/>
  <c r="C90" i="48"/>
  <c r="K346" i="47"/>
  <c r="AK40" i="48"/>
  <c r="C185" i="38"/>
  <c r="F184" i="38"/>
  <c r="G186" i="38"/>
  <c r="AG30" i="38"/>
  <c r="AG31" i="38" s="1"/>
  <c r="AK35" i="38"/>
  <c r="AH34" i="38"/>
  <c r="AH56" i="38"/>
  <c r="AI56" i="38" s="1"/>
  <c r="AK57" i="38"/>
  <c r="C91" i="38"/>
  <c r="F90" i="38"/>
  <c r="G92" i="38"/>
  <c r="F88" i="38"/>
  <c r="C89" i="38"/>
  <c r="G94" i="38"/>
  <c r="C99" i="38"/>
  <c r="F98" i="38"/>
  <c r="F38" i="38"/>
  <c r="G40" i="38" s="1"/>
  <c r="C39" i="38"/>
  <c r="G42" i="38"/>
  <c r="K153" i="39"/>
  <c r="AK154" i="40"/>
  <c r="K217" i="39"/>
  <c r="C82" i="40"/>
  <c r="K100" i="39"/>
  <c r="AK102" i="40"/>
  <c r="K399" i="39"/>
  <c r="AK74" i="40"/>
  <c r="K372" i="39"/>
  <c r="C40" i="40"/>
  <c r="K32" i="49"/>
  <c r="AK136" i="38"/>
  <c r="K49" i="37"/>
  <c r="AH152" i="44"/>
  <c r="AI154" i="44" s="1"/>
  <c r="AK153" i="44"/>
  <c r="C175" i="44"/>
  <c r="G172" i="44"/>
  <c r="F174" i="44"/>
  <c r="F126" i="44"/>
  <c r="G128" i="44" s="1"/>
  <c r="C127" i="44"/>
  <c r="AH98" i="34"/>
  <c r="AG94" i="34"/>
  <c r="AG95" i="34" s="1"/>
  <c r="AK99" i="34"/>
  <c r="F112" i="46"/>
  <c r="C113" i="46"/>
  <c r="AK182" i="38"/>
  <c r="K205" i="37"/>
  <c r="G156" i="48"/>
  <c r="AK147" i="36"/>
  <c r="AH146" i="36"/>
  <c r="AG140" i="36"/>
  <c r="C137" i="46"/>
  <c r="G140" i="46"/>
  <c r="F136" i="46"/>
  <c r="AH176" i="40"/>
  <c r="AK177" i="40"/>
  <c r="AK191" i="44"/>
  <c r="AH190" i="44"/>
  <c r="AI192" i="44" s="1"/>
  <c r="G106" i="46"/>
  <c r="C16" i="38"/>
  <c r="K229" i="37"/>
  <c r="F176" i="48"/>
  <c r="C177" i="48"/>
  <c r="C63" i="46"/>
  <c r="F62" i="46"/>
  <c r="G64" i="46" s="1"/>
  <c r="AH96" i="36"/>
  <c r="AI98" i="36" s="1"/>
  <c r="AK97" i="36"/>
  <c r="F176" i="46"/>
  <c r="C177" i="46"/>
  <c r="C57" i="36"/>
  <c r="G58" i="36"/>
  <c r="F56" i="36"/>
  <c r="AK103" i="36"/>
  <c r="AH102" i="36"/>
  <c r="AG106" i="36"/>
  <c r="AH176" i="36"/>
  <c r="AK177" i="36"/>
  <c r="K30" i="35"/>
  <c r="AK64" i="36"/>
  <c r="AK81" i="44"/>
  <c r="AG78" i="44"/>
  <c r="AG79" i="44" s="1"/>
  <c r="K346" i="43"/>
  <c r="AH32" i="34"/>
  <c r="AI34" i="34" s="1"/>
  <c r="AK33" i="34"/>
  <c r="K374" i="33"/>
  <c r="C168" i="34"/>
  <c r="C113" i="38"/>
  <c r="F112" i="38"/>
  <c r="K101" i="33"/>
  <c r="AK166" i="34"/>
  <c r="K88" i="35"/>
  <c r="AK162" i="36"/>
  <c r="K47" i="45"/>
  <c r="AK8" i="46"/>
  <c r="K270" i="45"/>
  <c r="K412" i="45"/>
  <c r="AK126" i="46"/>
  <c r="K87" i="45"/>
  <c r="AK98" i="46"/>
  <c r="K112" i="45"/>
  <c r="C34" i="46"/>
  <c r="K321" i="45"/>
  <c r="C90" i="46"/>
  <c r="K294" i="45"/>
  <c r="AK24" i="46"/>
  <c r="K62" i="47"/>
  <c r="C192" i="48"/>
  <c r="K385" i="47"/>
  <c r="C62" i="48"/>
  <c r="K125" i="47"/>
  <c r="C24" i="48"/>
  <c r="K270" i="47"/>
  <c r="C182" i="48"/>
  <c r="K191" i="47"/>
  <c r="AK80" i="48"/>
  <c r="K178" i="47"/>
  <c r="C120" i="48"/>
  <c r="K347" i="47"/>
  <c r="AK104" i="48"/>
  <c r="C57" i="38"/>
  <c r="G58" i="38"/>
  <c r="F56" i="38"/>
  <c r="AG94" i="38"/>
  <c r="AG95" i="38" s="1"/>
  <c r="AH98" i="38"/>
  <c r="AK99" i="38"/>
  <c r="AH120" i="38"/>
  <c r="AI120" i="38" s="1"/>
  <c r="AK121" i="38"/>
  <c r="C153" i="38"/>
  <c r="G156" i="38"/>
  <c r="F152" i="38"/>
  <c r="G158" i="38"/>
  <c r="C163" i="38"/>
  <c r="F162" i="38"/>
  <c r="C167" i="38"/>
  <c r="G170" i="38"/>
  <c r="F166" i="38"/>
  <c r="AK11" i="38"/>
  <c r="AH10" i="38"/>
  <c r="K413" i="39"/>
  <c r="AK190" i="40"/>
  <c r="K412" i="39"/>
  <c r="AK126" i="40"/>
  <c r="K101" i="39"/>
  <c r="AK166" i="40"/>
  <c r="K400" i="39"/>
  <c r="AK138" i="40"/>
  <c r="K373" i="39"/>
  <c r="C104" i="40"/>
  <c r="K9" i="49"/>
  <c r="C72" i="50"/>
  <c r="AH82" i="40"/>
  <c r="AK83" i="40"/>
  <c r="AK19" i="40"/>
  <c r="AH18" i="40"/>
  <c r="AK191" i="48"/>
  <c r="AH190" i="48"/>
  <c r="AI192" i="48" s="1"/>
  <c r="AK17" i="36"/>
  <c r="AG14" i="36"/>
  <c r="AG15" i="36" s="1"/>
  <c r="AH16" i="36"/>
  <c r="AK49" i="44"/>
  <c r="AH48" i="44"/>
  <c r="AK163" i="34"/>
  <c r="AG158" i="34"/>
  <c r="AG159" i="34" s="1"/>
  <c r="AH162" i="34"/>
  <c r="AH80" i="40"/>
  <c r="AK81" i="40"/>
  <c r="AG78" i="40"/>
  <c r="AG79" i="40" s="1"/>
  <c r="AH182" i="40"/>
  <c r="AK183" i="40"/>
  <c r="AG186" i="40"/>
  <c r="AG187" i="40" s="1"/>
  <c r="AH126" i="48"/>
  <c r="AI128" i="48" s="1"/>
  <c r="AK127" i="48"/>
  <c r="AH184" i="36"/>
  <c r="AK185" i="36"/>
  <c r="F146" i="34"/>
  <c r="G142" i="34"/>
  <c r="C147" i="34"/>
  <c r="AH112" i="34"/>
  <c r="AK113" i="34"/>
  <c r="AH88" i="44"/>
  <c r="AK89" i="44"/>
  <c r="K229" i="47"/>
  <c r="C16" i="48"/>
  <c r="AH160" i="40"/>
  <c r="AI162" i="40" s="1"/>
  <c r="AK161" i="40"/>
  <c r="F46" i="40"/>
  <c r="G44" i="40"/>
  <c r="C47" i="40"/>
  <c r="AG142" i="46"/>
  <c r="AG143" i="46" s="1"/>
  <c r="AK19" i="46"/>
  <c r="AH18" i="46"/>
  <c r="AH18" i="36"/>
  <c r="AK19" i="36"/>
  <c r="F62" i="44"/>
  <c r="C63" i="44"/>
  <c r="C129" i="44"/>
  <c r="G124" i="44"/>
  <c r="F128" i="44"/>
  <c r="AK147" i="34"/>
  <c r="AH146" i="34"/>
  <c r="F160" i="48"/>
  <c r="G162" i="48" s="1"/>
  <c r="C161" i="48"/>
  <c r="AG14" i="46"/>
  <c r="AG15" i="46" s="1"/>
  <c r="AH16" i="46"/>
  <c r="AK17" i="46"/>
  <c r="C191" i="44"/>
  <c r="F190" i="44"/>
  <c r="G192" i="44" s="1"/>
  <c r="F96" i="44"/>
  <c r="C97" i="44"/>
  <c r="AG122" i="34"/>
  <c r="AG123" i="34" s="1"/>
  <c r="AK119" i="34"/>
  <c r="AH118" i="34"/>
  <c r="AK177" i="34"/>
  <c r="AH176" i="34"/>
  <c r="AI176" i="34" s="1"/>
  <c r="AH48" i="40"/>
  <c r="AK49" i="40"/>
  <c r="AH168" i="36"/>
  <c r="AK169" i="36"/>
  <c r="C99" i="40"/>
  <c r="G94" i="40"/>
  <c r="G76" i="46"/>
  <c r="F72" i="46"/>
  <c r="C73" i="46"/>
  <c r="C105" i="36"/>
  <c r="F104" i="36"/>
  <c r="C163" i="44"/>
  <c r="F176" i="44"/>
  <c r="G176" i="44" s="1"/>
  <c r="C177" i="44"/>
  <c r="C33" i="44"/>
  <c r="F32" i="44"/>
  <c r="C155" i="40"/>
  <c r="F154" i="40"/>
  <c r="F62" i="40"/>
  <c r="G64" i="40" s="1"/>
  <c r="C63" i="40"/>
  <c r="AK153" i="40"/>
  <c r="AH152" i="40"/>
  <c r="AI154" i="40" s="1"/>
  <c r="AK97" i="40"/>
  <c r="AH96" i="40"/>
  <c r="AI98" i="40" s="1"/>
  <c r="K10" i="43"/>
  <c r="K282" i="33"/>
  <c r="C112" i="34"/>
  <c r="K372" i="35"/>
  <c r="C40" i="36"/>
  <c r="K113" i="45"/>
  <c r="C98" i="46"/>
  <c r="K60" i="47"/>
  <c r="C64" i="48"/>
  <c r="K205" i="47"/>
  <c r="AK182" i="48"/>
  <c r="K348" i="47"/>
  <c r="AK168" i="48"/>
  <c r="AK41" i="38"/>
  <c r="AH40" i="38"/>
  <c r="AI40" i="38" s="1"/>
  <c r="AG158" i="38"/>
  <c r="AG159" i="38" s="1"/>
  <c r="AH162" i="38"/>
  <c r="AK163" i="38"/>
  <c r="AH152" i="38"/>
  <c r="AI154" i="38" s="1"/>
  <c r="AK153" i="38"/>
  <c r="G28" i="38"/>
  <c r="F24" i="38"/>
  <c r="C25" i="38"/>
  <c r="G106" i="38"/>
  <c r="C103" i="38"/>
  <c r="F102" i="38"/>
  <c r="G104" i="38" s="1"/>
  <c r="AH74" i="38"/>
  <c r="AK75" i="38"/>
  <c r="K127" i="39"/>
  <c r="C152" i="40"/>
  <c r="K426" i="39"/>
  <c r="C138" i="40"/>
  <c r="K8" i="39"/>
  <c r="C8" i="40"/>
  <c r="K99" i="39"/>
  <c r="AK38" i="40"/>
  <c r="K73" i="39"/>
  <c r="C38" i="40"/>
  <c r="K322" i="43"/>
  <c r="C145" i="44"/>
  <c r="F144" i="44"/>
  <c r="AK33" i="44"/>
  <c r="AH32" i="44"/>
  <c r="AK147" i="44"/>
  <c r="AH146" i="44"/>
  <c r="C153" i="46"/>
  <c r="G156" i="46"/>
  <c r="F152" i="46"/>
  <c r="AG93" i="38"/>
  <c r="K192" i="43"/>
  <c r="AK144" i="44"/>
  <c r="AG28" i="46"/>
  <c r="AH26" i="46"/>
  <c r="AK27" i="46"/>
  <c r="AK121" i="46"/>
  <c r="AH120" i="46"/>
  <c r="AK33" i="36"/>
  <c r="AH32" i="36"/>
  <c r="AI34" i="36" s="1"/>
  <c r="AK55" i="36"/>
  <c r="AH54" i="36"/>
  <c r="AG58" i="36"/>
  <c r="AG59" i="36" s="1"/>
  <c r="AG156" i="36"/>
  <c r="AH154" i="36"/>
  <c r="AK155" i="36"/>
  <c r="AG142" i="40"/>
  <c r="AG143" i="40" s="1"/>
  <c r="AH144" i="40"/>
  <c r="AK145" i="40"/>
  <c r="AH82" i="34"/>
  <c r="AK83" i="34"/>
  <c r="AH48" i="34"/>
  <c r="AK49" i="34"/>
  <c r="AK193" i="48"/>
  <c r="AG188" i="48"/>
  <c r="AH192" i="48"/>
  <c r="AK57" i="46"/>
  <c r="AH56" i="46"/>
  <c r="K166" i="35"/>
  <c r="C174" i="36"/>
  <c r="G28" i="46"/>
  <c r="AG60" i="44"/>
  <c r="AH64" i="44"/>
  <c r="AH176" i="44"/>
  <c r="AK177" i="44"/>
  <c r="K31" i="35"/>
  <c r="AK128" i="36"/>
  <c r="K309" i="45"/>
  <c r="AK176" i="46"/>
  <c r="C119" i="34"/>
  <c r="F118" i="34"/>
  <c r="G120" i="34" s="1"/>
  <c r="AG12" i="38"/>
  <c r="AK9" i="38"/>
  <c r="AH8" i="38"/>
  <c r="K151" i="33"/>
  <c r="AK26" i="34"/>
  <c r="K242" i="33"/>
  <c r="AK56" i="34"/>
  <c r="K9" i="43"/>
  <c r="C72" i="44"/>
  <c r="K75" i="35"/>
  <c r="C166" i="36"/>
  <c r="K295" i="45"/>
  <c r="AK88" i="46"/>
  <c r="AG92" i="46" s="1"/>
  <c r="K243" i="33"/>
  <c r="AK120" i="34"/>
  <c r="K387" i="35"/>
  <c r="C190" i="36"/>
  <c r="K296" i="45"/>
  <c r="K114" i="47"/>
  <c r="C162" i="48"/>
  <c r="AK25" i="38"/>
  <c r="AH24" i="38"/>
  <c r="AI26" i="38" s="1"/>
  <c r="K86" i="39"/>
  <c r="AK34" i="40"/>
  <c r="K32" i="39"/>
  <c r="AK192" i="40"/>
  <c r="AH32" i="48"/>
  <c r="AI34" i="48" s="1"/>
  <c r="AK33" i="48"/>
  <c r="AH168" i="40"/>
  <c r="AK169" i="40"/>
  <c r="AK155" i="46"/>
  <c r="AH154" i="46"/>
  <c r="AG156" i="46"/>
  <c r="C97" i="36"/>
  <c r="F96" i="36"/>
  <c r="G98" i="36" s="1"/>
  <c r="G94" i="44"/>
  <c r="F98" i="44"/>
  <c r="C99" i="44"/>
  <c r="AK161" i="44"/>
  <c r="AH160" i="44"/>
  <c r="F18" i="34"/>
  <c r="G14" i="34"/>
  <c r="C19" i="34"/>
  <c r="AK105" i="40"/>
  <c r="AH104" i="40"/>
  <c r="AH90" i="46"/>
  <c r="AK91" i="46"/>
  <c r="F26" i="44"/>
  <c r="C27" i="44"/>
  <c r="AG156" i="44"/>
  <c r="AK155" i="44"/>
  <c r="AH154" i="44"/>
  <c r="C47" i="36"/>
  <c r="G44" i="36"/>
  <c r="F46" i="36"/>
  <c r="AG14" i="44"/>
  <c r="AG15" i="44" s="1"/>
  <c r="AK39" i="46"/>
  <c r="AK17" i="40"/>
  <c r="AH16" i="40"/>
  <c r="AG14" i="40"/>
  <c r="AG15" i="40" s="1"/>
  <c r="F126" i="40"/>
  <c r="G128" i="40" s="1"/>
  <c r="C127" i="40"/>
  <c r="AC178" i="38"/>
  <c r="AC179" i="38" s="1"/>
  <c r="AG171" i="38"/>
  <c r="AG186" i="46"/>
  <c r="AG187" i="46" s="1"/>
  <c r="AK185" i="46"/>
  <c r="AH184" i="46"/>
  <c r="AK161" i="36"/>
  <c r="AH160" i="36"/>
  <c r="AI162" i="36" s="1"/>
  <c r="C113" i="44"/>
  <c r="F112" i="44"/>
  <c r="F160" i="44"/>
  <c r="G162" i="44" s="1"/>
  <c r="C161" i="44"/>
  <c r="AK183" i="34"/>
  <c r="AG186" i="34"/>
  <c r="AG187" i="34" s="1"/>
  <c r="AH182" i="34"/>
  <c r="AK73" i="48"/>
  <c r="AG76" i="48"/>
  <c r="AH72" i="48"/>
  <c r="C9" i="46"/>
  <c r="G12" i="46"/>
  <c r="F8" i="46"/>
  <c r="AC114" i="38"/>
  <c r="AC115" i="38" s="1"/>
  <c r="AG107" i="38"/>
  <c r="AH8" i="36"/>
  <c r="AK9" i="36"/>
  <c r="AG12" i="36"/>
  <c r="C49" i="44"/>
  <c r="F48" i="44"/>
  <c r="AK57" i="44"/>
  <c r="AH56" i="44"/>
  <c r="AK111" i="34"/>
  <c r="AH110" i="34"/>
  <c r="AG108" i="34"/>
  <c r="AG109" i="34" s="1"/>
  <c r="AK89" i="40"/>
  <c r="AH88" i="40"/>
  <c r="AI90" i="40" s="1"/>
  <c r="C57" i="48"/>
  <c r="F56" i="48"/>
  <c r="G58" i="48"/>
  <c r="AH82" i="48"/>
  <c r="AK83" i="48"/>
  <c r="K307" i="45"/>
  <c r="AK48" i="46"/>
  <c r="F80" i="40"/>
  <c r="G82" i="40" s="1"/>
  <c r="C81" i="40"/>
  <c r="C176" i="38"/>
  <c r="K283" i="37"/>
  <c r="F32" i="40"/>
  <c r="G34" i="40" s="1"/>
  <c r="C33" i="40"/>
  <c r="F48" i="46"/>
  <c r="C49" i="46"/>
  <c r="AG42" i="36"/>
  <c r="AH38" i="36"/>
  <c r="AI40" i="36" s="1"/>
  <c r="AK39" i="36"/>
  <c r="AH24" i="44"/>
  <c r="AI26" i="44" s="1"/>
  <c r="AK89" i="36"/>
  <c r="AH88" i="36"/>
  <c r="AI90" i="36" s="1"/>
  <c r="F110" i="44"/>
  <c r="C111" i="44"/>
  <c r="G108" i="44"/>
  <c r="AH166" i="46"/>
  <c r="C191" i="40"/>
  <c r="F190" i="40"/>
  <c r="G192" i="40" s="1"/>
  <c r="AK147" i="46"/>
  <c r="AH146" i="46"/>
  <c r="AK121" i="36"/>
  <c r="AH120" i="36"/>
  <c r="K281" i="33"/>
  <c r="C48" i="34"/>
  <c r="K75" i="43"/>
  <c r="C166" i="44"/>
  <c r="K218" i="35"/>
  <c r="C146" i="36"/>
  <c r="K191" i="33"/>
  <c r="AK80" i="34"/>
  <c r="K398" i="45"/>
  <c r="AK10" i="46"/>
  <c r="K152" i="47"/>
  <c r="AK90" i="48"/>
  <c r="K32" i="33"/>
  <c r="AK192" i="34"/>
  <c r="K139" i="43"/>
  <c r="AK110" i="44"/>
  <c r="K398" i="35"/>
  <c r="AK10" i="36"/>
  <c r="K399" i="45"/>
  <c r="AK74" i="46"/>
  <c r="K164" i="45"/>
  <c r="C46" i="46"/>
  <c r="K10" i="47"/>
  <c r="C136" i="48"/>
  <c r="K424" i="39"/>
  <c r="C10" i="40"/>
  <c r="K75" i="39"/>
  <c r="C166" i="40"/>
  <c r="K47" i="33"/>
  <c r="AK8" i="34"/>
  <c r="K244" i="33"/>
  <c r="AK184" i="34"/>
  <c r="K126" i="33"/>
  <c r="C88" i="34"/>
  <c r="K62" i="33"/>
  <c r="C192" i="34"/>
  <c r="K30" i="33"/>
  <c r="AK64" i="34"/>
  <c r="K387" i="33"/>
  <c r="C190" i="34"/>
  <c r="K229" i="33"/>
  <c r="C16" i="34"/>
  <c r="K426" i="43"/>
  <c r="K217" i="43"/>
  <c r="C82" i="44"/>
  <c r="K151" i="43"/>
  <c r="AK26" i="44"/>
  <c r="K8" i="43"/>
  <c r="K100" i="43"/>
  <c r="AK102" i="44"/>
  <c r="K399" i="35"/>
  <c r="AK74" i="36"/>
  <c r="K385" i="35"/>
  <c r="C62" i="36"/>
  <c r="K426" i="35"/>
  <c r="C138" i="36"/>
  <c r="K374" i="35"/>
  <c r="C168" i="36"/>
  <c r="K270" i="35"/>
  <c r="C182" i="36"/>
  <c r="K400" i="45"/>
  <c r="AK138" i="46"/>
  <c r="K361" i="45"/>
  <c r="AK160" i="46"/>
  <c r="K31" i="45"/>
  <c r="K218" i="45"/>
  <c r="C146" i="46"/>
  <c r="K138" i="45"/>
  <c r="AK46" i="46"/>
  <c r="K165" i="45"/>
  <c r="C110" i="46"/>
  <c r="K60" i="45"/>
  <c r="C64" i="46"/>
  <c r="K165" i="47"/>
  <c r="K374" i="47"/>
  <c r="C168" i="48"/>
  <c r="K218" i="47"/>
  <c r="C146" i="48"/>
  <c r="K113" i="47"/>
  <c r="C98" i="48"/>
  <c r="K244" i="47"/>
  <c r="K399" i="47"/>
  <c r="AK74" i="48"/>
  <c r="K8" i="47"/>
  <c r="C8" i="48"/>
  <c r="K204" i="47"/>
  <c r="AK118" i="48"/>
  <c r="AH168" i="38"/>
  <c r="AI168" i="38" s="1"/>
  <c r="AK169" i="38"/>
  <c r="C111" i="38"/>
  <c r="G108" i="38"/>
  <c r="F110" i="38"/>
  <c r="AH88" i="38"/>
  <c r="AI90" i="38" s="1"/>
  <c r="AK89" i="38"/>
  <c r="C191" i="38"/>
  <c r="F190" i="38"/>
  <c r="G192" i="38" s="1"/>
  <c r="C55" i="38"/>
  <c r="F54" i="38"/>
  <c r="G56" i="38" s="1"/>
  <c r="K178" i="39"/>
  <c r="C120" i="40"/>
  <c r="K88" i="39"/>
  <c r="AK162" i="40"/>
  <c r="K425" i="39"/>
  <c r="C74" i="40"/>
  <c r="K9" i="39"/>
  <c r="C72" i="40"/>
  <c r="K139" i="39"/>
  <c r="AK110" i="40"/>
  <c r="K74" i="39"/>
  <c r="C102" i="40"/>
  <c r="K49" i="49"/>
  <c r="AK136" i="50"/>
  <c r="K8" i="35"/>
  <c r="C8" i="36"/>
  <c r="K361" i="47"/>
  <c r="AK160" i="48"/>
  <c r="AG94" i="44"/>
  <c r="AG95" i="44" s="1"/>
  <c r="AK99" i="44"/>
  <c r="F90" i="34"/>
  <c r="C91" i="34"/>
  <c r="AH46" i="34"/>
  <c r="AG44" i="34"/>
  <c r="AG45" i="34" s="1"/>
  <c r="AK47" i="34"/>
  <c r="AK81" i="36"/>
  <c r="AH80" i="36"/>
  <c r="AG78" i="36"/>
  <c r="AG79" i="36" s="1"/>
  <c r="K242" i="39"/>
  <c r="AK56" i="40"/>
  <c r="AK9" i="48"/>
  <c r="AH8" i="48"/>
  <c r="AG12" i="48"/>
  <c r="AH54" i="46"/>
  <c r="AK55" i="46"/>
  <c r="AG58" i="46"/>
  <c r="AG59" i="46" s="1"/>
  <c r="F160" i="46"/>
  <c r="C161" i="46"/>
  <c r="F160" i="36"/>
  <c r="G162" i="36" s="1"/>
  <c r="C161" i="36"/>
  <c r="AG140" i="44"/>
  <c r="AK11" i="34"/>
  <c r="AH10" i="34"/>
  <c r="C97" i="40"/>
  <c r="F96" i="40"/>
  <c r="G98" i="40" s="1"/>
  <c r="AK63" i="40"/>
  <c r="AH62" i="40"/>
  <c r="AI64" i="40" s="1"/>
  <c r="AG78" i="46"/>
  <c r="AG79" i="46" s="1"/>
  <c r="AH80" i="46"/>
  <c r="AK81" i="46"/>
  <c r="F32" i="46"/>
  <c r="G34" i="46" s="1"/>
  <c r="C33" i="46"/>
  <c r="AK91" i="44"/>
  <c r="AG92" i="44"/>
  <c r="AH90" i="44"/>
  <c r="AH18" i="44"/>
  <c r="AK19" i="44"/>
  <c r="K308" i="45"/>
  <c r="AK112" i="46"/>
  <c r="K320" i="39"/>
  <c r="C26" i="40"/>
  <c r="K373" i="33"/>
  <c r="C104" i="34"/>
  <c r="K270" i="43"/>
  <c r="K125" i="35"/>
  <c r="C24" i="36"/>
  <c r="K152" i="33"/>
  <c r="AK90" i="34"/>
  <c r="K269" i="43"/>
  <c r="K88" i="45"/>
  <c r="AK162" i="46"/>
  <c r="K386" i="47"/>
  <c r="C126" i="48"/>
  <c r="K73" i="33"/>
  <c r="C38" i="34"/>
  <c r="K74" i="43"/>
  <c r="C102" i="44"/>
  <c r="K268" i="35"/>
  <c r="C54" i="36"/>
  <c r="K114" i="45"/>
  <c r="K398" i="47"/>
  <c r="AK10" i="48"/>
  <c r="AH104" i="38"/>
  <c r="AI104" i="38" s="1"/>
  <c r="AK105" i="38"/>
  <c r="K177" i="39"/>
  <c r="C56" i="40"/>
  <c r="K10" i="39"/>
  <c r="C136" i="40"/>
  <c r="K8" i="49"/>
  <c r="C8" i="50"/>
  <c r="K49" i="33"/>
  <c r="AK136" i="34"/>
  <c r="K426" i="33"/>
  <c r="C138" i="34"/>
  <c r="K125" i="33"/>
  <c r="C24" i="34"/>
  <c r="K60" i="33"/>
  <c r="C64" i="34"/>
  <c r="K385" i="33"/>
  <c r="C62" i="34"/>
  <c r="K231" i="33"/>
  <c r="C144" i="34"/>
  <c r="K424" i="43"/>
  <c r="K218" i="43"/>
  <c r="C146" i="44"/>
  <c r="K203" i="43"/>
  <c r="AK54" i="44"/>
  <c r="K127" i="43"/>
  <c r="K101" i="43"/>
  <c r="AK166" i="44"/>
  <c r="K412" i="35"/>
  <c r="AK126" i="36"/>
  <c r="K400" i="35"/>
  <c r="AK138" i="36"/>
  <c r="K386" i="35"/>
  <c r="C126" i="36"/>
  <c r="K424" i="35"/>
  <c r="C10" i="36"/>
  <c r="K139" i="35"/>
  <c r="AK110" i="36"/>
  <c r="K269" i="35"/>
  <c r="C118" i="36"/>
  <c r="K346" i="45"/>
  <c r="AK40" i="46"/>
  <c r="K359" i="45"/>
  <c r="AK32" i="46"/>
  <c r="K217" i="45"/>
  <c r="C82" i="46"/>
  <c r="K139" i="45"/>
  <c r="AK110" i="46"/>
  <c r="K166" i="45"/>
  <c r="C174" i="46"/>
  <c r="K62" i="45"/>
  <c r="K73" i="47"/>
  <c r="C38" i="48"/>
  <c r="K86" i="47"/>
  <c r="AK34" i="48"/>
  <c r="K217" i="47"/>
  <c r="C82" i="48"/>
  <c r="K139" i="47"/>
  <c r="AK110" i="48"/>
  <c r="K242" i="47"/>
  <c r="AK56" i="48"/>
  <c r="K400" i="47"/>
  <c r="AK138" i="48"/>
  <c r="K9" i="47"/>
  <c r="C72" i="48"/>
  <c r="K294" i="47"/>
  <c r="AK24" i="48"/>
  <c r="AG108" i="38"/>
  <c r="AG109" i="38" s="1"/>
  <c r="AK111" i="38"/>
  <c r="AH110" i="38"/>
  <c r="AI112" i="38" s="1"/>
  <c r="C175" i="38"/>
  <c r="G172" i="38"/>
  <c r="F174" i="38"/>
  <c r="F18" i="38"/>
  <c r="C19" i="38"/>
  <c r="G14" i="38"/>
  <c r="F62" i="38"/>
  <c r="G64" i="38" s="1"/>
  <c r="C63" i="38"/>
  <c r="C119" i="38"/>
  <c r="F118" i="38"/>
  <c r="G120" i="38" s="1"/>
  <c r="K179" i="39"/>
  <c r="C184" i="40"/>
  <c r="K87" i="39"/>
  <c r="AK98" i="40"/>
  <c r="K270" i="39"/>
  <c r="C182" i="40"/>
  <c r="K47" i="39"/>
  <c r="AK8" i="40"/>
  <c r="K140" i="39"/>
  <c r="AK174" i="40"/>
  <c r="K30" i="39"/>
  <c r="AK64" i="40"/>
  <c r="K31" i="49"/>
  <c r="AK128" i="50"/>
  <c r="K47" i="49"/>
  <c r="AK8" i="50"/>
  <c r="F174" i="40"/>
  <c r="G172" i="40"/>
  <c r="C175" i="40"/>
  <c r="F34" i="40"/>
  <c r="C35" i="40"/>
  <c r="G30" i="40"/>
  <c r="AG157" i="38"/>
  <c r="AK83" i="46"/>
  <c r="AH82" i="46"/>
  <c r="F48" i="36"/>
  <c r="C49" i="36"/>
  <c r="K88" i="43"/>
  <c r="AK162" i="44"/>
  <c r="AH160" i="34"/>
  <c r="AI162" i="34" s="1"/>
  <c r="AK161" i="34"/>
  <c r="AH182" i="36"/>
  <c r="AG186" i="36"/>
  <c r="AG187" i="36" s="1"/>
  <c r="AK183" i="36"/>
  <c r="K244" i="39"/>
  <c r="AK184" i="40"/>
  <c r="F162" i="40"/>
  <c r="G158" i="40"/>
  <c r="C163" i="40"/>
  <c r="C81" i="36"/>
  <c r="F80" i="36"/>
  <c r="G82" i="36" s="1"/>
  <c r="AH96" i="34"/>
  <c r="AI98" i="34" s="1"/>
  <c r="AK97" i="34"/>
  <c r="F46" i="34"/>
  <c r="G44" i="34"/>
  <c r="C47" i="34"/>
  <c r="F176" i="36"/>
  <c r="C177" i="36"/>
  <c r="AK41" i="40"/>
  <c r="AH40" i="40"/>
  <c r="C97" i="48"/>
  <c r="F96" i="48"/>
  <c r="G98" i="48" s="1"/>
  <c r="C191" i="46"/>
  <c r="F190" i="46"/>
  <c r="C97" i="46"/>
  <c r="F96" i="46"/>
  <c r="G98" i="46" s="1"/>
  <c r="AG76" i="36"/>
  <c r="AH72" i="36"/>
  <c r="AG12" i="44"/>
  <c r="AH120" i="44"/>
  <c r="AK121" i="44"/>
  <c r="C175" i="34"/>
  <c r="G172" i="34"/>
  <c r="F174" i="34"/>
  <c r="C81" i="48"/>
  <c r="F80" i="48"/>
  <c r="G82" i="48" s="1"/>
  <c r="K75" i="45"/>
  <c r="C166" i="46"/>
  <c r="C185" i="36"/>
  <c r="F184" i="36"/>
  <c r="G186" i="36"/>
  <c r="AH82" i="44"/>
  <c r="AK83" i="44"/>
  <c r="C155" i="34"/>
  <c r="F154" i="34"/>
  <c r="C111" i="34"/>
  <c r="G108" i="34"/>
  <c r="F110" i="34"/>
  <c r="AG122" i="40"/>
  <c r="AG123" i="40" s="1"/>
  <c r="AH118" i="40"/>
  <c r="AK119" i="40"/>
  <c r="K308" i="47"/>
  <c r="AK112" i="48"/>
  <c r="AK25" i="40"/>
  <c r="AH24" i="40"/>
  <c r="AI26" i="40" s="1"/>
  <c r="C113" i="40"/>
  <c r="F112" i="40"/>
  <c r="F88" i="46"/>
  <c r="C89" i="46"/>
  <c r="G92" i="46"/>
  <c r="C113" i="36"/>
  <c r="F112" i="36"/>
  <c r="K321" i="43"/>
  <c r="F82" i="34"/>
  <c r="C83" i="34"/>
  <c r="G78" i="34"/>
  <c r="AK97" i="44"/>
  <c r="AH96" i="44"/>
  <c r="AI98" i="44" s="1"/>
  <c r="F80" i="44"/>
  <c r="C81" i="44"/>
  <c r="AK103" i="46"/>
  <c r="AH102" i="46"/>
  <c r="AG106" i="46"/>
  <c r="AK137" i="48"/>
  <c r="AG140" i="48"/>
  <c r="AH136" i="48"/>
  <c r="AK153" i="36"/>
  <c r="AH152" i="36"/>
  <c r="AI154" i="36" s="1"/>
  <c r="C41" i="34"/>
  <c r="F40" i="34"/>
  <c r="AK145" i="36"/>
  <c r="AG142" i="36"/>
  <c r="AG143" i="36" s="1"/>
  <c r="AH144" i="36"/>
  <c r="K190" i="33"/>
  <c r="AK16" i="34"/>
  <c r="K399" i="43"/>
  <c r="K75" i="33"/>
  <c r="C166" i="34"/>
  <c r="K374" i="43"/>
  <c r="K217" i="35"/>
  <c r="C82" i="36"/>
  <c r="K269" i="45"/>
  <c r="K269" i="47"/>
  <c r="C118" i="48"/>
  <c r="K99" i="43"/>
  <c r="AK38" i="44"/>
  <c r="K216" i="45"/>
  <c r="C18" i="46"/>
  <c r="K203" i="47"/>
  <c r="AK54" i="48"/>
  <c r="K48" i="33"/>
  <c r="AK72" i="34"/>
  <c r="K424" i="33"/>
  <c r="C10" i="34"/>
  <c r="K335" i="33"/>
  <c r="C160" i="34"/>
  <c r="K61" i="33"/>
  <c r="C128" i="34"/>
  <c r="K113" i="33"/>
  <c r="C98" i="34"/>
  <c r="K386" i="33"/>
  <c r="C126" i="34"/>
  <c r="K230" i="33"/>
  <c r="C80" i="34"/>
  <c r="K425" i="43"/>
  <c r="K179" i="43"/>
  <c r="C184" i="44"/>
  <c r="K205" i="43"/>
  <c r="K125" i="43"/>
  <c r="C24" i="44"/>
  <c r="K413" i="35"/>
  <c r="AK190" i="36"/>
  <c r="K60" i="35"/>
  <c r="C64" i="36"/>
  <c r="K322" i="35"/>
  <c r="C154" i="36"/>
  <c r="K425" i="35"/>
  <c r="C74" i="36"/>
  <c r="K140" i="35"/>
  <c r="AK174" i="36"/>
  <c r="K347" i="45"/>
  <c r="AK104" i="46"/>
  <c r="K374" i="45"/>
  <c r="C168" i="46"/>
  <c r="K30" i="45"/>
  <c r="AK64" i="46"/>
  <c r="K178" i="45"/>
  <c r="C120" i="46"/>
  <c r="K140" i="45"/>
  <c r="AK174" i="46"/>
  <c r="K426" i="45"/>
  <c r="K61" i="45"/>
  <c r="C128" i="46"/>
  <c r="K75" i="47"/>
  <c r="C166" i="48"/>
  <c r="K87" i="47"/>
  <c r="AK98" i="48"/>
  <c r="K101" i="47"/>
  <c r="AK166" i="48"/>
  <c r="K140" i="47"/>
  <c r="K243" i="47"/>
  <c r="K426" i="47"/>
  <c r="C138" i="48"/>
  <c r="K322" i="47"/>
  <c r="C154" i="48"/>
  <c r="K295" i="47"/>
  <c r="AK88" i="48"/>
  <c r="AG44" i="38"/>
  <c r="AG45" i="38" s="1"/>
  <c r="AK47" i="38"/>
  <c r="AH46" i="38"/>
  <c r="AI48" i="38" s="1"/>
  <c r="C155" i="38"/>
  <c r="F154" i="38"/>
  <c r="G142" i="38"/>
  <c r="F146" i="38"/>
  <c r="C147" i="38"/>
  <c r="C127" i="38"/>
  <c r="F126" i="38"/>
  <c r="G128" i="38" s="1"/>
  <c r="C169" i="38"/>
  <c r="F168" i="38"/>
  <c r="K151" i="39"/>
  <c r="AK26" i="40"/>
  <c r="K216" i="39"/>
  <c r="C18" i="40"/>
  <c r="K268" i="39"/>
  <c r="C54" i="40"/>
  <c r="K48" i="39"/>
  <c r="AK72" i="40"/>
  <c r="K138" i="39"/>
  <c r="AK46" i="40"/>
  <c r="K48" i="49"/>
  <c r="AK72" i="50"/>
  <c r="C47" i="44"/>
  <c r="G44" i="44"/>
  <c r="AH34" i="34"/>
  <c r="AK35" i="34"/>
  <c r="AG30" i="34"/>
  <c r="AG31" i="34" s="1"/>
  <c r="AH62" i="34"/>
  <c r="AI64" i="34" s="1"/>
  <c r="AK63" i="34"/>
  <c r="F120" i="36"/>
  <c r="G122" i="36"/>
  <c r="C121" i="36"/>
  <c r="K243" i="39"/>
  <c r="AK120" i="40"/>
  <c r="K373" i="47"/>
  <c r="C104" i="48"/>
  <c r="C113" i="48"/>
  <c r="F112" i="48"/>
  <c r="C81" i="46"/>
  <c r="F80" i="46"/>
  <c r="F16" i="36"/>
  <c r="G18" i="36" s="1"/>
  <c r="C17" i="36"/>
  <c r="AK57" i="36"/>
  <c r="AH56" i="36"/>
  <c r="G60" i="44"/>
  <c r="K31" i="47"/>
  <c r="AK128" i="48"/>
  <c r="K125" i="39"/>
  <c r="C24" i="40"/>
  <c r="AH166" i="36"/>
  <c r="AG170" i="36"/>
  <c r="AK167" i="36"/>
  <c r="AH26" i="48"/>
  <c r="AG28" i="48"/>
  <c r="K62" i="39"/>
  <c r="C192" i="40"/>
  <c r="C80" i="38"/>
  <c r="K230" i="37"/>
  <c r="C33" i="48"/>
  <c r="F32" i="48"/>
  <c r="G34" i="48" s="1"/>
  <c r="AK119" i="46"/>
  <c r="AG122" i="46"/>
  <c r="AG123" i="46" s="1"/>
  <c r="AH118" i="46"/>
  <c r="AG28" i="36"/>
  <c r="AH26" i="36"/>
  <c r="AK27" i="36"/>
  <c r="AH54" i="34"/>
  <c r="AK55" i="34"/>
  <c r="AG58" i="34"/>
  <c r="AG59" i="34" s="1"/>
  <c r="AH126" i="44"/>
  <c r="AK127" i="44"/>
  <c r="K309" i="47"/>
  <c r="AK176" i="48"/>
  <c r="AH62" i="44"/>
  <c r="AK63" i="44"/>
  <c r="K424" i="49"/>
  <c r="C10" i="50"/>
  <c r="K426" i="49"/>
  <c r="C138" i="50"/>
  <c r="C75" i="50"/>
  <c r="F74" i="50"/>
  <c r="AH126" i="50"/>
  <c r="AI128" i="50" s="1"/>
  <c r="AK127" i="50"/>
  <c r="K399" i="49"/>
  <c r="AK74" i="50"/>
  <c r="K398" i="49"/>
  <c r="AK10" i="50"/>
  <c r="AK139" i="50"/>
  <c r="AH138" i="50"/>
  <c r="K386" i="49"/>
  <c r="C126" i="50"/>
  <c r="K387" i="49"/>
  <c r="K385" i="49"/>
  <c r="C62" i="50"/>
  <c r="K372" i="49"/>
  <c r="C40" i="50"/>
  <c r="K374" i="49"/>
  <c r="C168" i="50"/>
  <c r="K373" i="49"/>
  <c r="C104" i="50"/>
  <c r="AH160" i="50"/>
  <c r="AI162" i="50" s="1"/>
  <c r="AK161" i="50"/>
  <c r="K346" i="49"/>
  <c r="AK40" i="50"/>
  <c r="AH168" i="50"/>
  <c r="AK169" i="50"/>
  <c r="AK105" i="50"/>
  <c r="AH104" i="50"/>
  <c r="F90" i="50"/>
  <c r="C91" i="50"/>
  <c r="C155" i="50"/>
  <c r="F154" i="50"/>
  <c r="C27" i="50"/>
  <c r="F26" i="50"/>
  <c r="K295" i="49"/>
  <c r="AK88" i="50"/>
  <c r="K296" i="49"/>
  <c r="AK152" i="50"/>
  <c r="K294" i="49"/>
  <c r="AK24" i="50"/>
  <c r="C49" i="50"/>
  <c r="F48" i="50"/>
  <c r="F112" i="50"/>
  <c r="C113" i="50"/>
  <c r="F176" i="50"/>
  <c r="C177" i="50"/>
  <c r="K270" i="49"/>
  <c r="C182" i="50"/>
  <c r="K269" i="49"/>
  <c r="C118" i="50"/>
  <c r="K268" i="49"/>
  <c r="C54" i="50"/>
  <c r="AH82" i="50"/>
  <c r="AK83" i="50"/>
  <c r="K242" i="49"/>
  <c r="AK56" i="50"/>
  <c r="K244" i="49"/>
  <c r="AK184" i="50"/>
  <c r="K243" i="49"/>
  <c r="AK120" i="50"/>
  <c r="F16" i="50"/>
  <c r="G18" i="50" s="1"/>
  <c r="C17" i="50"/>
  <c r="G78" i="50"/>
  <c r="F82" i="50"/>
  <c r="C83" i="50"/>
  <c r="C147" i="50"/>
  <c r="F146" i="50"/>
  <c r="G142" i="50"/>
  <c r="G14" i="50"/>
  <c r="F18" i="50"/>
  <c r="C19" i="50"/>
  <c r="AH182" i="50"/>
  <c r="AG186" i="50"/>
  <c r="AG187" i="50" s="1"/>
  <c r="AK183" i="50"/>
  <c r="AK55" i="50"/>
  <c r="AG58" i="50"/>
  <c r="AG59" i="50" s="1"/>
  <c r="AH54" i="50"/>
  <c r="AK119" i="50"/>
  <c r="AG122" i="50"/>
  <c r="AG123" i="50" s="1"/>
  <c r="AH118" i="50"/>
  <c r="K190" i="49"/>
  <c r="AK16" i="50"/>
  <c r="AK145" i="50"/>
  <c r="AG142" i="50"/>
  <c r="AG143" i="50" s="1"/>
  <c r="AH144" i="50"/>
  <c r="AI146" i="50" s="1"/>
  <c r="AG78" i="50"/>
  <c r="AG79" i="50" s="1"/>
  <c r="AK81" i="50"/>
  <c r="AH80" i="50"/>
  <c r="K178" i="49"/>
  <c r="C120" i="50"/>
  <c r="K177" i="49"/>
  <c r="C56" i="50"/>
  <c r="K179" i="49"/>
  <c r="G109" i="50"/>
  <c r="J108" i="50"/>
  <c r="G45" i="50"/>
  <c r="J44" i="50"/>
  <c r="F174" i="50"/>
  <c r="G172" i="50"/>
  <c r="C175" i="50"/>
  <c r="AG92" i="50"/>
  <c r="AH90" i="50"/>
  <c r="AK91" i="50"/>
  <c r="AK27" i="50"/>
  <c r="AH26" i="50"/>
  <c r="AG28" i="50"/>
  <c r="AK155" i="50"/>
  <c r="AG156" i="50"/>
  <c r="AH154" i="50"/>
  <c r="AG108" i="50"/>
  <c r="AG109" i="50" s="1"/>
  <c r="AK175" i="50"/>
  <c r="AH174" i="50"/>
  <c r="AI176" i="50" s="1"/>
  <c r="AG172" i="50"/>
  <c r="AG173" i="50" s="1"/>
  <c r="K126" i="49"/>
  <c r="C88" i="50"/>
  <c r="K127" i="49"/>
  <c r="C152" i="50"/>
  <c r="K125" i="49"/>
  <c r="C24" i="50"/>
  <c r="C99" i="50"/>
  <c r="F98" i="50"/>
  <c r="G94" i="50"/>
  <c r="AG42" i="50"/>
  <c r="AK39" i="50"/>
  <c r="AH38" i="50"/>
  <c r="AK167" i="50"/>
  <c r="AG170" i="50"/>
  <c r="AH166" i="50"/>
  <c r="AG106" i="50"/>
  <c r="AK103" i="50"/>
  <c r="AH102" i="50"/>
  <c r="AK35" i="50"/>
  <c r="AH34" i="50"/>
  <c r="AG30" i="50"/>
  <c r="AG31" i="50" s="1"/>
  <c r="AH162" i="50"/>
  <c r="AK163" i="50"/>
  <c r="AG158" i="50"/>
  <c r="AG159" i="50" s="1"/>
  <c r="AK99" i="50"/>
  <c r="AH98" i="50"/>
  <c r="AG94" i="50"/>
  <c r="AG95" i="50" s="1"/>
  <c r="C167" i="50"/>
  <c r="F166" i="50"/>
  <c r="G170" i="50"/>
  <c r="G106" i="50"/>
  <c r="F102" i="50"/>
  <c r="C103" i="50"/>
  <c r="G42" i="50"/>
  <c r="J124" i="50"/>
  <c r="G125" i="50"/>
  <c r="C65" i="50"/>
  <c r="F64" i="50"/>
  <c r="G60" i="50"/>
  <c r="C193" i="50"/>
  <c r="G188" i="50"/>
  <c r="F192" i="50"/>
  <c r="K8" i="33"/>
  <c r="C8" i="34"/>
  <c r="K10" i="33"/>
  <c r="C136" i="34"/>
  <c r="K9" i="33"/>
  <c r="C72" i="34"/>
  <c r="K139" i="37"/>
  <c r="K166" i="37"/>
  <c r="K242" i="37"/>
  <c r="K62" i="37"/>
  <c r="K387" i="37"/>
  <c r="K74" i="37"/>
  <c r="K269" i="37"/>
  <c r="K138" i="37"/>
  <c r="K243" i="37"/>
  <c r="K61" i="37"/>
  <c r="K216" i="37"/>
  <c r="K385" i="37"/>
  <c r="K374" i="37"/>
  <c r="K398" i="37"/>
  <c r="K140" i="37"/>
  <c r="K218" i="37"/>
  <c r="K399" i="37"/>
  <c r="K179" i="37"/>
  <c r="K86" i="37"/>
  <c r="K294" i="37"/>
  <c r="K217" i="37"/>
  <c r="K112" i="37"/>
  <c r="K400" i="37"/>
  <c r="K296" i="37"/>
  <c r="K386" i="37"/>
  <c r="K177" i="37"/>
  <c r="K87" i="37"/>
  <c r="K295" i="37"/>
  <c r="K426" i="37"/>
  <c r="K322" i="37"/>
  <c r="K126" i="37"/>
  <c r="K113" i="37"/>
  <c r="K30" i="37"/>
  <c r="K346" i="37"/>
  <c r="K88" i="37"/>
  <c r="K424" i="37"/>
  <c r="K320" i="37"/>
  <c r="K127" i="37"/>
  <c r="K114" i="37"/>
  <c r="K347" i="37"/>
  <c r="K164" i="37"/>
  <c r="K425" i="37"/>
  <c r="K321" i="37"/>
  <c r="K125" i="37"/>
  <c r="K73" i="37"/>
  <c r="K270" i="37"/>
  <c r="K32" i="37"/>
  <c r="K178" i="37"/>
  <c r="K348" i="37"/>
  <c r="K165" i="37"/>
  <c r="K244" i="37"/>
  <c r="K60" i="37"/>
  <c r="K75" i="37"/>
  <c r="K268" i="37"/>
  <c r="AT111" i="46" l="1"/>
  <c r="AQ111" i="46"/>
  <c r="AU111" i="46"/>
  <c r="AP112" i="46"/>
  <c r="AQ46" i="46"/>
  <c r="AU46" i="46"/>
  <c r="AT46" i="46"/>
  <c r="AP47" i="46"/>
  <c r="AQ175" i="44"/>
  <c r="AU175" i="44"/>
  <c r="AQ110" i="44"/>
  <c r="AU110" i="44"/>
  <c r="AK9" i="44"/>
  <c r="AI64" i="44"/>
  <c r="AH38" i="46"/>
  <c r="AH24" i="36"/>
  <c r="AI26" i="36" s="1"/>
  <c r="AK129" i="44"/>
  <c r="C35" i="50"/>
  <c r="G30" i="50"/>
  <c r="AI128" i="44"/>
  <c r="F162" i="50"/>
  <c r="G158" i="50"/>
  <c r="AH146" i="48"/>
  <c r="AK147" i="48"/>
  <c r="G48" i="36"/>
  <c r="AC86" i="38"/>
  <c r="AC87" i="38" s="1"/>
  <c r="G158" i="44"/>
  <c r="G98" i="44"/>
  <c r="AI90" i="44"/>
  <c r="F184" i="48"/>
  <c r="AK47" i="50"/>
  <c r="AG44" i="50"/>
  <c r="AG45" i="50" s="1"/>
  <c r="AK17" i="44"/>
  <c r="AH136" i="44"/>
  <c r="F34" i="44"/>
  <c r="G34" i="44" s="1"/>
  <c r="G48" i="50"/>
  <c r="AH110" i="50"/>
  <c r="AI112" i="50" s="1"/>
  <c r="F34" i="50"/>
  <c r="F38" i="50"/>
  <c r="F192" i="44"/>
  <c r="F64" i="44"/>
  <c r="G64" i="44" s="1"/>
  <c r="AK183" i="46"/>
  <c r="AI184" i="46"/>
  <c r="F24" i="46"/>
  <c r="F144" i="48"/>
  <c r="G146" i="48" s="1"/>
  <c r="C153" i="48"/>
  <c r="AC150" i="38"/>
  <c r="AC151" i="38" s="1"/>
  <c r="AC22" i="38"/>
  <c r="AC23" i="38" s="1"/>
  <c r="AH136" i="36"/>
  <c r="C127" i="46"/>
  <c r="F16" i="46"/>
  <c r="G18" i="46" s="1"/>
  <c r="C17" i="46"/>
  <c r="AK145" i="46"/>
  <c r="F102" i="46"/>
  <c r="F40" i="48"/>
  <c r="F110" i="50"/>
  <c r="G112" i="50" s="1"/>
  <c r="C111" i="50"/>
  <c r="AI104" i="50"/>
  <c r="G168" i="38"/>
  <c r="AK139" i="34"/>
  <c r="AI18" i="36"/>
  <c r="F90" i="40"/>
  <c r="G90" i="40" s="1"/>
  <c r="AI82" i="44"/>
  <c r="AI18" i="44"/>
  <c r="AI120" i="36"/>
  <c r="AI168" i="50"/>
  <c r="G90" i="38"/>
  <c r="AI56" i="46"/>
  <c r="AI120" i="46"/>
  <c r="AI82" i="46"/>
  <c r="AI82" i="50"/>
  <c r="G176" i="50"/>
  <c r="AI18" i="40"/>
  <c r="G48" i="40"/>
  <c r="G112" i="40"/>
  <c r="AI82" i="40"/>
  <c r="AI146" i="40"/>
  <c r="G176" i="40"/>
  <c r="AI10" i="38"/>
  <c r="G154" i="38"/>
  <c r="G112" i="38"/>
  <c r="G26" i="38"/>
  <c r="AI146" i="46"/>
  <c r="AI18" i="46"/>
  <c r="AI184" i="36"/>
  <c r="AI168" i="36"/>
  <c r="AI146" i="36"/>
  <c r="AI104" i="36"/>
  <c r="AI82" i="36"/>
  <c r="AI56" i="36"/>
  <c r="G112" i="44"/>
  <c r="G48" i="44"/>
  <c r="AI112" i="34"/>
  <c r="AI48" i="34"/>
  <c r="AK127" i="36"/>
  <c r="AH126" i="36"/>
  <c r="AI128" i="36" s="1"/>
  <c r="F26" i="40"/>
  <c r="C27" i="40"/>
  <c r="AG29" i="36"/>
  <c r="AC22" i="36"/>
  <c r="AC23" i="36" s="1"/>
  <c r="AH64" i="46"/>
  <c r="AG60" i="46"/>
  <c r="AK65" i="46"/>
  <c r="AK185" i="48"/>
  <c r="AH184" i="48"/>
  <c r="F82" i="44"/>
  <c r="G82" i="44" s="1"/>
  <c r="G78" i="44"/>
  <c r="C83" i="44"/>
  <c r="G142" i="36"/>
  <c r="F146" i="36"/>
  <c r="C147" i="36"/>
  <c r="AG157" i="46"/>
  <c r="G157" i="46"/>
  <c r="J156" i="46"/>
  <c r="K150" i="46"/>
  <c r="G141" i="46"/>
  <c r="J140" i="46"/>
  <c r="K86" i="38"/>
  <c r="J92" i="38"/>
  <c r="G93" i="38"/>
  <c r="AG171" i="36"/>
  <c r="AC178" i="36"/>
  <c r="AC179" i="36" s="1"/>
  <c r="J44" i="44"/>
  <c r="G45" i="44"/>
  <c r="C55" i="40"/>
  <c r="F54" i="40"/>
  <c r="G56" i="40" s="1"/>
  <c r="AH120" i="48"/>
  <c r="AK121" i="48"/>
  <c r="F166" i="48"/>
  <c r="C167" i="48"/>
  <c r="G170" i="48"/>
  <c r="K178" i="48" s="1"/>
  <c r="K179" i="48" s="1"/>
  <c r="C121" i="46"/>
  <c r="G122" i="46"/>
  <c r="F120" i="46"/>
  <c r="AK175" i="36"/>
  <c r="AH174" i="36"/>
  <c r="AI176" i="36" s="1"/>
  <c r="AG172" i="36"/>
  <c r="AG173" i="36" s="1"/>
  <c r="AH190" i="36"/>
  <c r="AI192" i="36" s="1"/>
  <c r="AK191" i="36"/>
  <c r="F74" i="44"/>
  <c r="C75" i="44"/>
  <c r="AH54" i="48"/>
  <c r="AK55" i="48"/>
  <c r="AG58" i="48"/>
  <c r="AG59" i="48" s="1"/>
  <c r="C119" i="46"/>
  <c r="F118" i="46"/>
  <c r="G120" i="46" s="1"/>
  <c r="AK75" i="44"/>
  <c r="AH74" i="44"/>
  <c r="AI74" i="44" s="1"/>
  <c r="AG107" i="46"/>
  <c r="AC114" i="46"/>
  <c r="AC115" i="46" s="1"/>
  <c r="G45" i="34"/>
  <c r="J44" i="34"/>
  <c r="AG158" i="44"/>
  <c r="AG159" i="44" s="1"/>
  <c r="AH162" i="44"/>
  <c r="AI162" i="44" s="1"/>
  <c r="AK163" i="44"/>
  <c r="G31" i="40"/>
  <c r="J30" i="40"/>
  <c r="AG124" i="50"/>
  <c r="AK129" i="50"/>
  <c r="AH128" i="50"/>
  <c r="F182" i="40"/>
  <c r="G184" i="40" s="1"/>
  <c r="C183" i="40"/>
  <c r="AG93" i="44"/>
  <c r="AC86" i="44"/>
  <c r="AC87" i="44" s="1"/>
  <c r="J108" i="38"/>
  <c r="G109" i="38"/>
  <c r="AK75" i="48"/>
  <c r="AH74" i="48"/>
  <c r="AI74" i="48" s="1"/>
  <c r="C169" i="48"/>
  <c r="F168" i="48"/>
  <c r="G168" i="48" s="1"/>
  <c r="AG44" i="46"/>
  <c r="AG45" i="46" s="1"/>
  <c r="AH46" i="46"/>
  <c r="AK47" i="46"/>
  <c r="AH138" i="46"/>
  <c r="AK139" i="46"/>
  <c r="C63" i="36"/>
  <c r="F62" i="36"/>
  <c r="G64" i="36" s="1"/>
  <c r="AG28" i="44"/>
  <c r="AH26" i="44"/>
  <c r="AK27" i="44"/>
  <c r="F190" i="34"/>
  <c r="G192" i="34" s="1"/>
  <c r="C191" i="34"/>
  <c r="AK185" i="34"/>
  <c r="AH184" i="34"/>
  <c r="AI184" i="34" s="1"/>
  <c r="F136" i="48"/>
  <c r="C137" i="48"/>
  <c r="G140" i="48"/>
  <c r="AG108" i="44"/>
  <c r="AG109" i="44" s="1"/>
  <c r="AK111" i="44"/>
  <c r="AH110" i="44"/>
  <c r="AI112" i="44" s="1"/>
  <c r="AH80" i="34"/>
  <c r="AI82" i="34" s="1"/>
  <c r="AG78" i="34"/>
  <c r="AG79" i="34" s="1"/>
  <c r="AK81" i="34"/>
  <c r="AC150" i="44"/>
  <c r="AC151" i="44" s="1"/>
  <c r="AG157" i="44"/>
  <c r="G77" i="46"/>
  <c r="K84" i="46"/>
  <c r="J76" i="46"/>
  <c r="AH138" i="40"/>
  <c r="AK139" i="40"/>
  <c r="G173" i="44"/>
  <c r="J172" i="44"/>
  <c r="C41" i="40"/>
  <c r="F40" i="40"/>
  <c r="AK155" i="40"/>
  <c r="AG156" i="40"/>
  <c r="AH154" i="40"/>
  <c r="G93" i="40"/>
  <c r="K86" i="40"/>
  <c r="J92" i="40"/>
  <c r="AG93" i="36"/>
  <c r="AC86" i="36"/>
  <c r="AC87" i="36" s="1"/>
  <c r="AK11" i="40"/>
  <c r="AH10" i="40"/>
  <c r="AG92" i="40"/>
  <c r="AK91" i="40"/>
  <c r="AH90" i="40"/>
  <c r="C175" i="48"/>
  <c r="F174" i="48"/>
  <c r="G176" i="48" s="1"/>
  <c r="AK145" i="34"/>
  <c r="AG142" i="34"/>
  <c r="AG143" i="34" s="1"/>
  <c r="AH144" i="34"/>
  <c r="AI146" i="34" s="1"/>
  <c r="C39" i="44"/>
  <c r="F38" i="44"/>
  <c r="G42" i="44"/>
  <c r="AG171" i="46"/>
  <c r="AC178" i="46"/>
  <c r="AC179" i="46" s="1"/>
  <c r="J58" i="48"/>
  <c r="G59" i="48"/>
  <c r="J14" i="34"/>
  <c r="G15" i="34"/>
  <c r="AK153" i="46"/>
  <c r="AH152" i="46"/>
  <c r="AI154" i="46" s="1"/>
  <c r="C167" i="36"/>
  <c r="F166" i="36"/>
  <c r="G170" i="36"/>
  <c r="K22" i="46"/>
  <c r="J28" i="46"/>
  <c r="G29" i="46"/>
  <c r="F64" i="48"/>
  <c r="G60" i="48"/>
  <c r="C65" i="48"/>
  <c r="C137" i="44"/>
  <c r="F136" i="44"/>
  <c r="G140" i="44"/>
  <c r="J158" i="44"/>
  <c r="G159" i="44"/>
  <c r="J94" i="40"/>
  <c r="G95" i="40"/>
  <c r="K150" i="38"/>
  <c r="J156" i="38"/>
  <c r="G157" i="38"/>
  <c r="J58" i="38"/>
  <c r="G59" i="38"/>
  <c r="F182" i="48"/>
  <c r="G184" i="48" s="1"/>
  <c r="C183" i="48"/>
  <c r="AK25" i="46"/>
  <c r="AH24" i="46"/>
  <c r="AI26" i="46" s="1"/>
  <c r="AH126" i="46"/>
  <c r="AK127" i="46"/>
  <c r="AK167" i="34"/>
  <c r="AG170" i="34"/>
  <c r="AH166" i="34"/>
  <c r="AK41" i="44"/>
  <c r="AH40" i="44"/>
  <c r="C17" i="38"/>
  <c r="F16" i="38"/>
  <c r="G18" i="38" s="1"/>
  <c r="C75" i="48"/>
  <c r="F74" i="48"/>
  <c r="C191" i="48"/>
  <c r="F190" i="48"/>
  <c r="G192" i="48" s="1"/>
  <c r="C57" i="46"/>
  <c r="G58" i="46"/>
  <c r="F56" i="46"/>
  <c r="AG140" i="46"/>
  <c r="AK137" i="46"/>
  <c r="AH136" i="46"/>
  <c r="C35" i="36"/>
  <c r="F34" i="36"/>
  <c r="G30" i="36"/>
  <c r="AH10" i="44"/>
  <c r="AI10" i="44" s="1"/>
  <c r="AK11" i="44"/>
  <c r="AG106" i="34"/>
  <c r="AH102" i="34"/>
  <c r="AK103" i="34"/>
  <c r="AK89" i="34"/>
  <c r="AH88" i="34"/>
  <c r="AI90" i="34" s="1"/>
  <c r="G108" i="36"/>
  <c r="C111" i="36"/>
  <c r="F110" i="36"/>
  <c r="G112" i="36" s="1"/>
  <c r="C39" i="46"/>
  <c r="F38" i="46"/>
  <c r="G42" i="46"/>
  <c r="F98" i="36"/>
  <c r="C99" i="36"/>
  <c r="G94" i="36"/>
  <c r="AK75" i="34"/>
  <c r="AH74" i="34"/>
  <c r="AG125" i="44"/>
  <c r="J186" i="48"/>
  <c r="C11" i="48"/>
  <c r="F10" i="48"/>
  <c r="AG158" i="48"/>
  <c r="AG159" i="48" s="1"/>
  <c r="AH162" i="48"/>
  <c r="AK163" i="48"/>
  <c r="C185" i="46"/>
  <c r="G186" i="46"/>
  <c r="F184" i="46"/>
  <c r="AG76" i="46"/>
  <c r="AH72" i="46"/>
  <c r="AK73" i="46"/>
  <c r="F162" i="36"/>
  <c r="C163" i="36"/>
  <c r="G158" i="36"/>
  <c r="C57" i="44"/>
  <c r="G58" i="44"/>
  <c r="F56" i="44"/>
  <c r="C163" i="34"/>
  <c r="F162" i="34"/>
  <c r="G158" i="34"/>
  <c r="G78" i="46"/>
  <c r="F82" i="46"/>
  <c r="G82" i="46" s="1"/>
  <c r="C83" i="46"/>
  <c r="G42" i="34"/>
  <c r="F38" i="34"/>
  <c r="G40" i="34" s="1"/>
  <c r="C39" i="34"/>
  <c r="G14" i="46"/>
  <c r="C19" i="46"/>
  <c r="F18" i="46"/>
  <c r="C111" i="48"/>
  <c r="F110" i="48"/>
  <c r="G112" i="48" s="1"/>
  <c r="G108" i="48"/>
  <c r="AC114" i="36"/>
  <c r="AC115" i="36" s="1"/>
  <c r="AG107" i="36"/>
  <c r="J186" i="38"/>
  <c r="G187" i="38"/>
  <c r="AH48" i="48"/>
  <c r="AK49" i="48"/>
  <c r="AH62" i="46"/>
  <c r="AI64" i="46" s="1"/>
  <c r="AK63" i="46"/>
  <c r="F102" i="36"/>
  <c r="G104" i="36" s="1"/>
  <c r="C103" i="36"/>
  <c r="G106" i="36"/>
  <c r="AH120" i="40"/>
  <c r="AI120" i="40" s="1"/>
  <c r="AK121" i="40"/>
  <c r="G187" i="36"/>
  <c r="J186" i="36"/>
  <c r="J172" i="34"/>
  <c r="G173" i="34"/>
  <c r="AK25" i="48"/>
  <c r="AH24" i="48"/>
  <c r="AI26" i="48" s="1"/>
  <c r="AK111" i="48"/>
  <c r="AH110" i="48"/>
  <c r="AG108" i="48"/>
  <c r="AG109" i="48" s="1"/>
  <c r="G188" i="46"/>
  <c r="F192" i="46"/>
  <c r="G192" i="46" s="1"/>
  <c r="C193" i="46"/>
  <c r="AK33" i="46"/>
  <c r="AH32" i="46"/>
  <c r="AI34" i="46" s="1"/>
  <c r="AK167" i="44"/>
  <c r="AH166" i="44"/>
  <c r="AI168" i="44" s="1"/>
  <c r="AG170" i="44"/>
  <c r="C11" i="44"/>
  <c r="F10" i="44"/>
  <c r="C25" i="34"/>
  <c r="G28" i="34"/>
  <c r="F24" i="34"/>
  <c r="G26" i="34" s="1"/>
  <c r="F162" i="46"/>
  <c r="G162" i="46" s="1"/>
  <c r="C163" i="46"/>
  <c r="G158" i="46"/>
  <c r="C127" i="48"/>
  <c r="F126" i="48"/>
  <c r="G128" i="48" s="1"/>
  <c r="G28" i="36"/>
  <c r="F24" i="36"/>
  <c r="C25" i="36"/>
  <c r="AH112" i="46"/>
  <c r="AK113" i="46"/>
  <c r="AG140" i="50"/>
  <c r="AH136" i="50"/>
  <c r="AI138" i="50" s="1"/>
  <c r="AK137" i="50"/>
  <c r="J108" i="44"/>
  <c r="G109" i="44"/>
  <c r="K20" i="46"/>
  <c r="G13" i="46"/>
  <c r="J12" i="46"/>
  <c r="AK35" i="40"/>
  <c r="AG30" i="40"/>
  <c r="AG31" i="40" s="1"/>
  <c r="AH34" i="40"/>
  <c r="C191" i="36"/>
  <c r="F190" i="36"/>
  <c r="G192" i="36" s="1"/>
  <c r="G76" i="44"/>
  <c r="C73" i="44"/>
  <c r="F72" i="44"/>
  <c r="AG13" i="38"/>
  <c r="AC20" i="38"/>
  <c r="F98" i="46"/>
  <c r="G94" i="46"/>
  <c r="C99" i="46"/>
  <c r="J124" i="44"/>
  <c r="G125" i="44"/>
  <c r="C17" i="48"/>
  <c r="F16" i="48"/>
  <c r="G18" i="48" s="1"/>
  <c r="K178" i="38"/>
  <c r="G171" i="38"/>
  <c r="J170" i="38"/>
  <c r="AK105" i="48"/>
  <c r="AH104" i="48"/>
  <c r="G28" i="48"/>
  <c r="F24" i="48"/>
  <c r="C25" i="48"/>
  <c r="F90" i="46"/>
  <c r="G90" i="46" s="1"/>
  <c r="C91" i="46"/>
  <c r="F182" i="46"/>
  <c r="G184" i="46" s="1"/>
  <c r="C183" i="46"/>
  <c r="K114" i="46"/>
  <c r="G107" i="46"/>
  <c r="J106" i="46"/>
  <c r="AG14" i="48"/>
  <c r="AG15" i="48" s="1"/>
  <c r="AK17" i="48"/>
  <c r="AH16" i="48"/>
  <c r="AI18" i="48" s="1"/>
  <c r="G92" i="48"/>
  <c r="F88" i="48"/>
  <c r="C89" i="48"/>
  <c r="AH34" i="46"/>
  <c r="AG30" i="46"/>
  <c r="AG31" i="46" s="1"/>
  <c r="AK35" i="46"/>
  <c r="AK99" i="36"/>
  <c r="AG94" i="36"/>
  <c r="AG95" i="36" s="1"/>
  <c r="AH98" i="36"/>
  <c r="C19" i="36"/>
  <c r="F18" i="36"/>
  <c r="G14" i="36"/>
  <c r="C41" i="44"/>
  <c r="F40" i="44"/>
  <c r="F96" i="34"/>
  <c r="G98" i="34" s="1"/>
  <c r="C97" i="34"/>
  <c r="C33" i="34"/>
  <c r="F32" i="34"/>
  <c r="G34" i="34" s="1"/>
  <c r="AK155" i="48"/>
  <c r="AH154" i="48"/>
  <c r="AG156" i="48"/>
  <c r="F18" i="44"/>
  <c r="G18" i="44" s="1"/>
  <c r="G14" i="44"/>
  <c r="C19" i="44"/>
  <c r="AK35" i="36"/>
  <c r="AG30" i="36"/>
  <c r="AG31" i="36" s="1"/>
  <c r="AH34" i="36"/>
  <c r="AK169" i="34"/>
  <c r="AH168" i="34"/>
  <c r="F104" i="44"/>
  <c r="C105" i="44"/>
  <c r="AK73" i="38"/>
  <c r="AG76" i="38"/>
  <c r="AH72" i="38"/>
  <c r="AI74" i="38" s="1"/>
  <c r="K180" i="38"/>
  <c r="J188" i="38"/>
  <c r="G189" i="38"/>
  <c r="AK145" i="48"/>
  <c r="AH144" i="48"/>
  <c r="AI146" i="48" s="1"/>
  <c r="AG142" i="48"/>
  <c r="AG143" i="48" s="1"/>
  <c r="F102" i="48"/>
  <c r="C103" i="48"/>
  <c r="G106" i="48"/>
  <c r="AK193" i="46"/>
  <c r="AG188" i="46"/>
  <c r="AH192" i="46"/>
  <c r="AH46" i="36"/>
  <c r="AI48" i="36" s="1"/>
  <c r="AG44" i="36"/>
  <c r="AG45" i="36" s="1"/>
  <c r="AK47" i="36"/>
  <c r="AK63" i="36"/>
  <c r="AH62" i="36"/>
  <c r="AI64" i="36" s="1"/>
  <c r="AH138" i="44"/>
  <c r="AI138" i="44" s="1"/>
  <c r="AK139" i="44"/>
  <c r="AH38" i="34"/>
  <c r="AG42" i="34"/>
  <c r="AK39" i="34"/>
  <c r="AK57" i="48"/>
  <c r="AH56" i="48"/>
  <c r="AI56" i="48" s="1"/>
  <c r="AH174" i="48"/>
  <c r="AG172" i="48"/>
  <c r="AG173" i="48" s="1"/>
  <c r="AK175" i="48"/>
  <c r="C83" i="36"/>
  <c r="G78" i="36"/>
  <c r="F82" i="36"/>
  <c r="AK57" i="40"/>
  <c r="AH56" i="40"/>
  <c r="AI56" i="40" s="1"/>
  <c r="AH74" i="36"/>
  <c r="AI74" i="36" s="1"/>
  <c r="AK75" i="36"/>
  <c r="C175" i="36"/>
  <c r="G172" i="36"/>
  <c r="F174" i="36"/>
  <c r="G176" i="36" s="1"/>
  <c r="AK65" i="48"/>
  <c r="AG60" i="48"/>
  <c r="AH64" i="48"/>
  <c r="AG140" i="40"/>
  <c r="AH136" i="40"/>
  <c r="AK137" i="40"/>
  <c r="J122" i="38"/>
  <c r="G123" i="38"/>
  <c r="F46" i="48"/>
  <c r="G48" i="48" s="1"/>
  <c r="C47" i="48"/>
  <c r="G44" i="48"/>
  <c r="AG29" i="48"/>
  <c r="AK129" i="48"/>
  <c r="AG124" i="48"/>
  <c r="AH128" i="48"/>
  <c r="AK47" i="40"/>
  <c r="AH46" i="40"/>
  <c r="AI48" i="40" s="1"/>
  <c r="AG44" i="40"/>
  <c r="AG45" i="40" s="1"/>
  <c r="AG28" i="40"/>
  <c r="AH26" i="40"/>
  <c r="AK27" i="40"/>
  <c r="G143" i="38"/>
  <c r="J142" i="38"/>
  <c r="C155" i="48"/>
  <c r="F154" i="48"/>
  <c r="G154" i="48" s="1"/>
  <c r="AK167" i="48"/>
  <c r="AG170" i="48"/>
  <c r="AH166" i="48"/>
  <c r="C139" i="46"/>
  <c r="F138" i="46"/>
  <c r="G138" i="46" s="1"/>
  <c r="C169" i="46"/>
  <c r="F168" i="46"/>
  <c r="C155" i="36"/>
  <c r="F154" i="36"/>
  <c r="AK183" i="44"/>
  <c r="AG186" i="44"/>
  <c r="AG187" i="44" s="1"/>
  <c r="AH182" i="44"/>
  <c r="AI184" i="44" s="1"/>
  <c r="C127" i="34"/>
  <c r="F126" i="34"/>
  <c r="G128" i="34" s="1"/>
  <c r="AG42" i="44"/>
  <c r="AH38" i="44"/>
  <c r="AK39" i="44"/>
  <c r="C169" i="44"/>
  <c r="F168" i="44"/>
  <c r="AC148" i="48"/>
  <c r="AG141" i="48"/>
  <c r="AG77" i="36"/>
  <c r="AC84" i="36"/>
  <c r="J172" i="40"/>
  <c r="G173" i="40"/>
  <c r="AH174" i="40"/>
  <c r="AI176" i="40" s="1"/>
  <c r="AG172" i="40"/>
  <c r="AG173" i="40" s="1"/>
  <c r="AK175" i="40"/>
  <c r="C185" i="40"/>
  <c r="G186" i="40"/>
  <c r="F184" i="40"/>
  <c r="AH118" i="48"/>
  <c r="AK119" i="48"/>
  <c r="AG122" i="48"/>
  <c r="AG123" i="48" s="1"/>
  <c r="G94" i="48"/>
  <c r="F98" i="48"/>
  <c r="C99" i="48"/>
  <c r="F64" i="46"/>
  <c r="C65" i="46"/>
  <c r="G60" i="46"/>
  <c r="AG124" i="46"/>
  <c r="AH128" i="46"/>
  <c r="AK129" i="46"/>
  <c r="C169" i="36"/>
  <c r="F168" i="36"/>
  <c r="AG106" i="44"/>
  <c r="AH102" i="44"/>
  <c r="AI104" i="44" s="1"/>
  <c r="AK103" i="44"/>
  <c r="F138" i="44"/>
  <c r="C139" i="44"/>
  <c r="C193" i="34"/>
  <c r="F192" i="34"/>
  <c r="G188" i="34"/>
  <c r="C167" i="40"/>
  <c r="G170" i="40"/>
  <c r="F166" i="40"/>
  <c r="AK75" i="46"/>
  <c r="AH74" i="46"/>
  <c r="AG92" i="48"/>
  <c r="AH90" i="48"/>
  <c r="AK91" i="48"/>
  <c r="C167" i="44"/>
  <c r="F166" i="44"/>
  <c r="G170" i="44"/>
  <c r="AC50" i="36"/>
  <c r="AC51" i="36" s="1"/>
  <c r="AG43" i="36"/>
  <c r="G45" i="36"/>
  <c r="J44" i="36"/>
  <c r="AG93" i="46"/>
  <c r="AC22" i="46"/>
  <c r="AC23" i="46" s="1"/>
  <c r="AG29" i="46"/>
  <c r="G42" i="40"/>
  <c r="C39" i="40"/>
  <c r="F38" i="40"/>
  <c r="C153" i="40"/>
  <c r="G156" i="40"/>
  <c r="F152" i="40"/>
  <c r="G154" i="40" s="1"/>
  <c r="G76" i="50"/>
  <c r="F72" i="50"/>
  <c r="G74" i="50" s="1"/>
  <c r="C73" i="50"/>
  <c r="AH126" i="40"/>
  <c r="AI128" i="40" s="1"/>
  <c r="AK127" i="40"/>
  <c r="G157" i="48"/>
  <c r="J156" i="48"/>
  <c r="AG106" i="40"/>
  <c r="AK103" i="40"/>
  <c r="AH102" i="40"/>
  <c r="AI104" i="40" s="1"/>
  <c r="AG77" i="44"/>
  <c r="AC84" i="44"/>
  <c r="G31" i="44"/>
  <c r="J30" i="44"/>
  <c r="AG60" i="50"/>
  <c r="AK65" i="50"/>
  <c r="AH64" i="50"/>
  <c r="F118" i="40"/>
  <c r="G120" i="40" s="1"/>
  <c r="C119" i="40"/>
  <c r="J30" i="38"/>
  <c r="G31" i="38"/>
  <c r="F38" i="36"/>
  <c r="C39" i="36"/>
  <c r="G42" i="36"/>
  <c r="AK191" i="46"/>
  <c r="AH190" i="46"/>
  <c r="AH174" i="44"/>
  <c r="AI176" i="44" s="1"/>
  <c r="AK175" i="44"/>
  <c r="AG172" i="44"/>
  <c r="AG173" i="44" s="1"/>
  <c r="C81" i="38"/>
  <c r="F80" i="38"/>
  <c r="G82" i="38" s="1"/>
  <c r="AH110" i="36"/>
  <c r="AI112" i="36" s="1"/>
  <c r="AG108" i="36"/>
  <c r="AG109" i="36" s="1"/>
  <c r="AK111" i="36"/>
  <c r="G12" i="50"/>
  <c r="F8" i="50"/>
  <c r="C9" i="50"/>
  <c r="F18" i="40"/>
  <c r="G14" i="40"/>
  <c r="C19" i="40"/>
  <c r="C129" i="46"/>
  <c r="G124" i="46"/>
  <c r="F128" i="46"/>
  <c r="G128" i="46" s="1"/>
  <c r="F160" i="34"/>
  <c r="G162" i="34" s="1"/>
  <c r="C161" i="34"/>
  <c r="AK99" i="40"/>
  <c r="AH98" i="40"/>
  <c r="AG94" i="40"/>
  <c r="AG95" i="40" s="1"/>
  <c r="AG12" i="34"/>
  <c r="AK9" i="34"/>
  <c r="AH8" i="34"/>
  <c r="AI10" i="34" s="1"/>
  <c r="AC150" i="36"/>
  <c r="AC151" i="36" s="1"/>
  <c r="AG157" i="36"/>
  <c r="G107" i="38"/>
  <c r="J106" i="38"/>
  <c r="K106" i="38" s="1"/>
  <c r="K108" i="38" s="1"/>
  <c r="K114" i="38"/>
  <c r="AK75" i="40"/>
  <c r="AH74" i="40"/>
  <c r="K148" i="50"/>
  <c r="J140" i="50"/>
  <c r="G141" i="50"/>
  <c r="G109" i="34"/>
  <c r="J108" i="34"/>
  <c r="G76" i="48"/>
  <c r="C73" i="48"/>
  <c r="F72" i="48"/>
  <c r="G78" i="48"/>
  <c r="F82" i="48"/>
  <c r="C83" i="48"/>
  <c r="F174" i="46"/>
  <c r="G176" i="46" s="1"/>
  <c r="G172" i="46"/>
  <c r="C175" i="46"/>
  <c r="AH40" i="46"/>
  <c r="AI40" i="46" s="1"/>
  <c r="AK41" i="46"/>
  <c r="F126" i="36"/>
  <c r="G128" i="36" s="1"/>
  <c r="C127" i="36"/>
  <c r="G156" i="44"/>
  <c r="C153" i="44"/>
  <c r="F152" i="44"/>
  <c r="C145" i="34"/>
  <c r="F144" i="34"/>
  <c r="G146" i="34" s="1"/>
  <c r="G58" i="40"/>
  <c r="C57" i="40"/>
  <c r="F56" i="40"/>
  <c r="C55" i="36"/>
  <c r="F54" i="36"/>
  <c r="G56" i="36" s="1"/>
  <c r="AG158" i="46"/>
  <c r="AG159" i="46" s="1"/>
  <c r="AH162" i="46"/>
  <c r="AK163" i="46"/>
  <c r="F182" i="44"/>
  <c r="G184" i="44" s="1"/>
  <c r="C183" i="44"/>
  <c r="C103" i="40"/>
  <c r="F102" i="40"/>
  <c r="G106" i="40"/>
  <c r="AG158" i="40"/>
  <c r="AG159" i="40" s="1"/>
  <c r="AH162" i="40"/>
  <c r="AK163" i="40"/>
  <c r="AH48" i="46"/>
  <c r="AK49" i="46"/>
  <c r="AC20" i="36"/>
  <c r="AG13" i="36"/>
  <c r="AH120" i="34"/>
  <c r="AI120" i="34" s="1"/>
  <c r="AK121" i="34"/>
  <c r="AH56" i="34"/>
  <c r="AI56" i="34" s="1"/>
  <c r="AK57" i="34"/>
  <c r="AH144" i="44"/>
  <c r="AI146" i="44" s="1"/>
  <c r="AK145" i="44"/>
  <c r="AG142" i="44"/>
  <c r="AG143" i="44" s="1"/>
  <c r="K22" i="38"/>
  <c r="G29" i="38"/>
  <c r="J28" i="38"/>
  <c r="AH168" i="48"/>
  <c r="AI168" i="48" s="1"/>
  <c r="AK169" i="48"/>
  <c r="F40" i="36"/>
  <c r="G40" i="36" s="1"/>
  <c r="C41" i="36"/>
  <c r="C121" i="48"/>
  <c r="F120" i="48"/>
  <c r="G122" i="48"/>
  <c r="C63" i="48"/>
  <c r="F62" i="48"/>
  <c r="G64" i="48" s="1"/>
  <c r="F34" i="46"/>
  <c r="G30" i="46"/>
  <c r="C35" i="46"/>
  <c r="AG12" i="46"/>
  <c r="AH8" i="46"/>
  <c r="AK9" i="46"/>
  <c r="F168" i="34"/>
  <c r="C169" i="34"/>
  <c r="AK137" i="38"/>
  <c r="AH136" i="38"/>
  <c r="AI138" i="38" s="1"/>
  <c r="AG140" i="38"/>
  <c r="AH40" i="48"/>
  <c r="AK41" i="48"/>
  <c r="F54" i="48"/>
  <c r="G56" i="48" s="1"/>
  <c r="C55" i="48"/>
  <c r="C75" i="46"/>
  <c r="F74" i="46"/>
  <c r="G74" i="46" s="1"/>
  <c r="C105" i="46"/>
  <c r="F104" i="46"/>
  <c r="G104" i="46" s="1"/>
  <c r="F152" i="36"/>
  <c r="C153" i="36"/>
  <c r="G156" i="36"/>
  <c r="C55" i="44"/>
  <c r="F54" i="44"/>
  <c r="G56" i="44" s="1"/>
  <c r="AH104" i="34"/>
  <c r="AI104" i="34" s="1"/>
  <c r="AK105" i="34"/>
  <c r="F176" i="34"/>
  <c r="G176" i="34" s="1"/>
  <c r="G186" i="34"/>
  <c r="F184" i="34"/>
  <c r="C185" i="34"/>
  <c r="C129" i="48"/>
  <c r="F128" i="48"/>
  <c r="G124" i="48"/>
  <c r="C153" i="34"/>
  <c r="F152" i="34"/>
  <c r="G154" i="34" s="1"/>
  <c r="G156" i="34"/>
  <c r="AG44" i="44"/>
  <c r="AG45" i="44" s="1"/>
  <c r="AH46" i="44"/>
  <c r="AI48" i="44" s="1"/>
  <c r="AK47" i="44"/>
  <c r="G58" i="34"/>
  <c r="F56" i="34"/>
  <c r="C57" i="34"/>
  <c r="C145" i="38"/>
  <c r="F144" i="38"/>
  <c r="G146" i="38" s="1"/>
  <c r="AH152" i="48"/>
  <c r="AI154" i="48" s="1"/>
  <c r="AK153" i="48"/>
  <c r="AK47" i="48"/>
  <c r="AG44" i="48"/>
  <c r="AG45" i="48" s="1"/>
  <c r="AH46" i="48"/>
  <c r="F10" i="46"/>
  <c r="G10" i="46" s="1"/>
  <c r="C11" i="46"/>
  <c r="C41" i="46"/>
  <c r="F40" i="46"/>
  <c r="C89" i="36"/>
  <c r="F88" i="36"/>
  <c r="G92" i="36"/>
  <c r="C89" i="44"/>
  <c r="G92" i="44"/>
  <c r="F88" i="44"/>
  <c r="AK35" i="44"/>
  <c r="AG30" i="44"/>
  <c r="AG31" i="44" s="1"/>
  <c r="AH34" i="44"/>
  <c r="AI34" i="44" s="1"/>
  <c r="G45" i="38"/>
  <c r="J44" i="38"/>
  <c r="AK185" i="40"/>
  <c r="AH184" i="40"/>
  <c r="AI184" i="40" s="1"/>
  <c r="AK11" i="48"/>
  <c r="AH10" i="48"/>
  <c r="AI10" i="48" s="1"/>
  <c r="C193" i="40"/>
  <c r="F192" i="40"/>
  <c r="G188" i="40"/>
  <c r="F24" i="40"/>
  <c r="G28" i="40"/>
  <c r="C25" i="40"/>
  <c r="AG76" i="50"/>
  <c r="AH72" i="50"/>
  <c r="AK73" i="50"/>
  <c r="AH88" i="48"/>
  <c r="AI90" i="48" s="1"/>
  <c r="AK89" i="48"/>
  <c r="C81" i="34"/>
  <c r="F80" i="34"/>
  <c r="G82" i="34" s="1"/>
  <c r="F182" i="36"/>
  <c r="G184" i="36" s="1"/>
  <c r="C183" i="36"/>
  <c r="F176" i="38"/>
  <c r="G176" i="38" s="1"/>
  <c r="C177" i="38"/>
  <c r="C155" i="44"/>
  <c r="F154" i="44"/>
  <c r="G143" i="34"/>
  <c r="J142" i="34"/>
  <c r="AK167" i="40"/>
  <c r="AH166" i="40"/>
  <c r="AI168" i="40" s="1"/>
  <c r="AG170" i="40"/>
  <c r="AC180" i="44"/>
  <c r="AG189" i="44"/>
  <c r="G123" i="36"/>
  <c r="J122" i="36"/>
  <c r="AH72" i="40"/>
  <c r="AK73" i="40"/>
  <c r="AG76" i="40"/>
  <c r="F138" i="48"/>
  <c r="G138" i="48" s="1"/>
  <c r="C139" i="48"/>
  <c r="AG94" i="48"/>
  <c r="AG95" i="48" s="1"/>
  <c r="AK99" i="48"/>
  <c r="AH98" i="48"/>
  <c r="AK175" i="46"/>
  <c r="AH174" i="46"/>
  <c r="AG172" i="46"/>
  <c r="AG173" i="46" s="1"/>
  <c r="AK105" i="46"/>
  <c r="AH104" i="46"/>
  <c r="AI104" i="46" s="1"/>
  <c r="C185" i="44"/>
  <c r="G186" i="44"/>
  <c r="F184" i="44"/>
  <c r="C99" i="34"/>
  <c r="F98" i="34"/>
  <c r="G94" i="34"/>
  <c r="AK73" i="34"/>
  <c r="AH72" i="34"/>
  <c r="AG76" i="34"/>
  <c r="C119" i="48"/>
  <c r="F118" i="48"/>
  <c r="G120" i="48" s="1"/>
  <c r="F166" i="34"/>
  <c r="G170" i="34"/>
  <c r="C167" i="34"/>
  <c r="G93" i="46"/>
  <c r="J92" i="46"/>
  <c r="K86" i="46"/>
  <c r="G170" i="46"/>
  <c r="F166" i="46"/>
  <c r="C167" i="46"/>
  <c r="AK9" i="50"/>
  <c r="AG12" i="50"/>
  <c r="AH8" i="50"/>
  <c r="AG12" i="40"/>
  <c r="AH8" i="40"/>
  <c r="AK9" i="40"/>
  <c r="G173" i="38"/>
  <c r="J172" i="38"/>
  <c r="C9" i="48"/>
  <c r="G12" i="48"/>
  <c r="F8" i="48"/>
  <c r="C147" i="48"/>
  <c r="F146" i="48"/>
  <c r="G142" i="48"/>
  <c r="G108" i="46"/>
  <c r="C111" i="46"/>
  <c r="F110" i="46"/>
  <c r="G112" i="46" s="1"/>
  <c r="AH160" i="46"/>
  <c r="AI162" i="46" s="1"/>
  <c r="AK161" i="46"/>
  <c r="G12" i="44"/>
  <c r="C9" i="44"/>
  <c r="F8" i="44"/>
  <c r="C17" i="34"/>
  <c r="F16" i="34"/>
  <c r="G18" i="34" s="1"/>
  <c r="G92" i="34"/>
  <c r="C89" i="34"/>
  <c r="F88" i="34"/>
  <c r="G90" i="34" s="1"/>
  <c r="AK11" i="36"/>
  <c r="AH10" i="36"/>
  <c r="AI10" i="36" s="1"/>
  <c r="AK11" i="46"/>
  <c r="AH10" i="46"/>
  <c r="AI10" i="46" s="1"/>
  <c r="F48" i="34"/>
  <c r="G48" i="34" s="1"/>
  <c r="C49" i="34"/>
  <c r="AG77" i="48"/>
  <c r="AK177" i="46"/>
  <c r="AH176" i="46"/>
  <c r="AI176" i="46" s="1"/>
  <c r="AC52" i="44"/>
  <c r="AG61" i="44"/>
  <c r="AG42" i="40"/>
  <c r="AH38" i="40"/>
  <c r="AI40" i="40" s="1"/>
  <c r="AK39" i="40"/>
  <c r="F104" i="40"/>
  <c r="G104" i="40" s="1"/>
  <c r="C105" i="40"/>
  <c r="AK191" i="40"/>
  <c r="AH190" i="40"/>
  <c r="AI192" i="40" s="1"/>
  <c r="J58" i="36"/>
  <c r="G59" i="36"/>
  <c r="AC148" i="36"/>
  <c r="AG141" i="36"/>
  <c r="AK193" i="50"/>
  <c r="AH192" i="50"/>
  <c r="AG188" i="50"/>
  <c r="F82" i="40"/>
  <c r="G78" i="40"/>
  <c r="C83" i="40"/>
  <c r="J188" i="44"/>
  <c r="G189" i="44"/>
  <c r="K180" i="44"/>
  <c r="C169" i="40"/>
  <c r="F168" i="40"/>
  <c r="C147" i="40"/>
  <c r="G142" i="40"/>
  <c r="F146" i="40"/>
  <c r="G79" i="38"/>
  <c r="J78" i="38"/>
  <c r="G14" i="48"/>
  <c r="F18" i="48"/>
  <c r="C19" i="48"/>
  <c r="AK155" i="34"/>
  <c r="AH154" i="34"/>
  <c r="AG156" i="34"/>
  <c r="C193" i="36"/>
  <c r="G188" i="36"/>
  <c r="F192" i="36"/>
  <c r="C103" i="34"/>
  <c r="F102" i="34"/>
  <c r="G106" i="34"/>
  <c r="AK177" i="48"/>
  <c r="AH176" i="48"/>
  <c r="F104" i="48"/>
  <c r="G104" i="48" s="1"/>
  <c r="C105" i="48"/>
  <c r="F38" i="48"/>
  <c r="G40" i="48" s="1"/>
  <c r="C39" i="48"/>
  <c r="G42" i="48"/>
  <c r="G142" i="44"/>
  <c r="F146" i="44"/>
  <c r="G146" i="44" s="1"/>
  <c r="C147" i="44"/>
  <c r="AK91" i="34"/>
  <c r="AG92" i="34"/>
  <c r="AH90" i="34"/>
  <c r="G28" i="44"/>
  <c r="F24" i="44"/>
  <c r="G26" i="44" s="1"/>
  <c r="C25" i="44"/>
  <c r="AK17" i="34"/>
  <c r="AH16" i="34"/>
  <c r="AI18" i="34" s="1"/>
  <c r="AG14" i="34"/>
  <c r="AG15" i="34" s="1"/>
  <c r="F90" i="44"/>
  <c r="G90" i="44" s="1"/>
  <c r="C91" i="44"/>
  <c r="G15" i="38"/>
  <c r="J14" i="38"/>
  <c r="G142" i="46"/>
  <c r="K148" i="46" s="1"/>
  <c r="F146" i="46"/>
  <c r="G146" i="46" s="1"/>
  <c r="C147" i="46"/>
  <c r="G44" i="46"/>
  <c r="F46" i="46"/>
  <c r="G48" i="46" s="1"/>
  <c r="C47" i="46"/>
  <c r="K50" i="38"/>
  <c r="G43" i="38"/>
  <c r="J42" i="38"/>
  <c r="G61" i="44"/>
  <c r="K52" i="44"/>
  <c r="J60" i="44"/>
  <c r="G79" i="34"/>
  <c r="J78" i="34"/>
  <c r="AK113" i="48"/>
  <c r="AH112" i="48"/>
  <c r="AC20" i="44"/>
  <c r="AG13" i="44"/>
  <c r="G159" i="40"/>
  <c r="J158" i="40"/>
  <c r="AK139" i="48"/>
  <c r="AH138" i="48"/>
  <c r="AI138" i="48" s="1"/>
  <c r="AK35" i="48"/>
  <c r="AG30" i="48"/>
  <c r="AG31" i="48" s="1"/>
  <c r="AH34" i="48"/>
  <c r="AG108" i="46"/>
  <c r="AG109" i="46" s="1"/>
  <c r="AK111" i="46"/>
  <c r="AH110" i="46"/>
  <c r="C119" i="36"/>
  <c r="F118" i="36"/>
  <c r="G120" i="36" s="1"/>
  <c r="AH138" i="36"/>
  <c r="AI138" i="36" s="1"/>
  <c r="AK139" i="36"/>
  <c r="AG58" i="44"/>
  <c r="AG59" i="44" s="1"/>
  <c r="AH54" i="44"/>
  <c r="AI56" i="44" s="1"/>
  <c r="AK55" i="44"/>
  <c r="C63" i="34"/>
  <c r="F62" i="34"/>
  <c r="G64" i="34" s="1"/>
  <c r="AK137" i="34"/>
  <c r="AG140" i="34"/>
  <c r="AH136" i="34"/>
  <c r="AI138" i="34" s="1"/>
  <c r="F102" i="44"/>
  <c r="C103" i="44"/>
  <c r="G106" i="44"/>
  <c r="F118" i="44"/>
  <c r="G120" i="44" s="1"/>
  <c r="C119" i="44"/>
  <c r="C105" i="34"/>
  <c r="F104" i="34"/>
  <c r="AG141" i="44"/>
  <c r="AC148" i="44"/>
  <c r="AG13" i="48"/>
  <c r="AC20" i="48"/>
  <c r="AK161" i="48"/>
  <c r="AH160" i="48"/>
  <c r="AI162" i="48" s="1"/>
  <c r="AK111" i="40"/>
  <c r="AG108" i="40"/>
  <c r="AG109" i="40" s="1"/>
  <c r="AH110" i="40"/>
  <c r="AI112" i="40" s="1"/>
  <c r="C121" i="40"/>
  <c r="G122" i="40"/>
  <c r="F120" i="40"/>
  <c r="AG43" i="46"/>
  <c r="AC50" i="46"/>
  <c r="AC51" i="46" s="1"/>
  <c r="J94" i="44"/>
  <c r="G95" i="44"/>
  <c r="G158" i="48"/>
  <c r="K150" i="48" s="1"/>
  <c r="C163" i="48"/>
  <c r="F162" i="48"/>
  <c r="AK89" i="46"/>
  <c r="AH88" i="46"/>
  <c r="AI90" i="46" s="1"/>
  <c r="AG28" i="34"/>
  <c r="AK27" i="34"/>
  <c r="AH26" i="34"/>
  <c r="AG189" i="48"/>
  <c r="AG186" i="48"/>
  <c r="AG187" i="48" s="1"/>
  <c r="AH182" i="48"/>
  <c r="AK183" i="48"/>
  <c r="C113" i="34"/>
  <c r="F112" i="34"/>
  <c r="G112" i="34" s="1"/>
  <c r="G45" i="40"/>
  <c r="J44" i="40"/>
  <c r="J158" i="38"/>
  <c r="G159" i="38"/>
  <c r="AK81" i="48"/>
  <c r="AG78" i="48"/>
  <c r="AG79" i="48" s="1"/>
  <c r="AH80" i="48"/>
  <c r="AI82" i="48" s="1"/>
  <c r="C193" i="48"/>
  <c r="G188" i="48"/>
  <c r="F192" i="48"/>
  <c r="AG94" i="46"/>
  <c r="AG95" i="46" s="1"/>
  <c r="AH98" i="46"/>
  <c r="AK99" i="46"/>
  <c r="AK163" i="36"/>
  <c r="AH162" i="36"/>
  <c r="AG158" i="36"/>
  <c r="AG159" i="36" s="1"/>
  <c r="AK183" i="38"/>
  <c r="AH182" i="38"/>
  <c r="AI184" i="38" s="1"/>
  <c r="AG186" i="38"/>
  <c r="AG187" i="38" s="1"/>
  <c r="J94" i="38"/>
  <c r="G95" i="38"/>
  <c r="F90" i="48"/>
  <c r="C91" i="48"/>
  <c r="AG42" i="48"/>
  <c r="AH38" i="48"/>
  <c r="AK39" i="48"/>
  <c r="C27" i="46"/>
  <c r="F26" i="46"/>
  <c r="G26" i="46" s="1"/>
  <c r="F54" i="46"/>
  <c r="G56" i="46" s="1"/>
  <c r="C55" i="46"/>
  <c r="F90" i="36"/>
  <c r="G90" i="36" s="1"/>
  <c r="C91" i="36"/>
  <c r="C121" i="44"/>
  <c r="G122" i="44"/>
  <c r="K116" i="44" s="1"/>
  <c r="F120" i="44"/>
  <c r="G30" i="34"/>
  <c r="C35" i="34"/>
  <c r="F34" i="34"/>
  <c r="C121" i="34"/>
  <c r="G122" i="34"/>
  <c r="F120" i="34"/>
  <c r="AH152" i="34"/>
  <c r="AI154" i="34" s="1"/>
  <c r="AK153" i="34"/>
  <c r="AH96" i="46"/>
  <c r="AI98" i="46" s="1"/>
  <c r="AK97" i="46"/>
  <c r="G30" i="48"/>
  <c r="C35" i="48"/>
  <c r="F34" i="48"/>
  <c r="C49" i="38"/>
  <c r="F48" i="38"/>
  <c r="G48" i="38" s="1"/>
  <c r="J108" i="40"/>
  <c r="G109" i="40"/>
  <c r="F26" i="48"/>
  <c r="C27" i="48"/>
  <c r="AG106" i="48"/>
  <c r="AH102" i="48"/>
  <c r="AK103" i="48"/>
  <c r="C155" i="46"/>
  <c r="F154" i="46"/>
  <c r="G154" i="46" s="1"/>
  <c r="AH168" i="46"/>
  <c r="AI168" i="46" s="1"/>
  <c r="AK169" i="46"/>
  <c r="F26" i="36"/>
  <c r="G26" i="36" s="1"/>
  <c r="C27" i="36"/>
  <c r="AG122" i="44"/>
  <c r="AG123" i="44" s="1"/>
  <c r="AH118" i="44"/>
  <c r="AI120" i="44" s="1"/>
  <c r="AK119" i="44"/>
  <c r="AK41" i="34"/>
  <c r="AH40" i="34"/>
  <c r="AK25" i="34"/>
  <c r="AH24" i="34"/>
  <c r="AI26" i="34" s="1"/>
  <c r="F138" i="50"/>
  <c r="G138" i="50" s="1"/>
  <c r="C139" i="50"/>
  <c r="C11" i="50"/>
  <c r="F10" i="50"/>
  <c r="AK11" i="50"/>
  <c r="AH10" i="50"/>
  <c r="AH74" i="50"/>
  <c r="AK75" i="50"/>
  <c r="F62" i="50"/>
  <c r="G64" i="50" s="1"/>
  <c r="C63" i="50"/>
  <c r="C191" i="50"/>
  <c r="F190" i="50"/>
  <c r="G192" i="50" s="1"/>
  <c r="C127" i="50"/>
  <c r="F126" i="50"/>
  <c r="G128" i="50" s="1"/>
  <c r="F104" i="50"/>
  <c r="G104" i="50" s="1"/>
  <c r="C105" i="50"/>
  <c r="F168" i="50"/>
  <c r="G168" i="50" s="1"/>
  <c r="C169" i="50"/>
  <c r="F40" i="50"/>
  <c r="G40" i="50" s="1"/>
  <c r="C41" i="50"/>
  <c r="AK41" i="50"/>
  <c r="AH40" i="50"/>
  <c r="AI40" i="50" s="1"/>
  <c r="AK25" i="50"/>
  <c r="AH24" i="50"/>
  <c r="AI26" i="50" s="1"/>
  <c r="AK153" i="50"/>
  <c r="AH152" i="50"/>
  <c r="AI154" i="50" s="1"/>
  <c r="AH88" i="50"/>
  <c r="AI90" i="50" s="1"/>
  <c r="AK89" i="50"/>
  <c r="C55" i="50"/>
  <c r="F54" i="50"/>
  <c r="G56" i="50" s="1"/>
  <c r="F118" i="50"/>
  <c r="G120" i="50" s="1"/>
  <c r="C119" i="50"/>
  <c r="F182" i="50"/>
  <c r="G184" i="50" s="1"/>
  <c r="C183" i="50"/>
  <c r="AH120" i="50"/>
  <c r="AI120" i="50" s="1"/>
  <c r="AK121" i="50"/>
  <c r="AK185" i="50"/>
  <c r="AH184" i="50"/>
  <c r="AI184" i="50" s="1"/>
  <c r="AH56" i="50"/>
  <c r="AI56" i="50" s="1"/>
  <c r="AK57" i="50"/>
  <c r="J14" i="50"/>
  <c r="G15" i="50"/>
  <c r="J142" i="50"/>
  <c r="G143" i="50"/>
  <c r="G79" i="50"/>
  <c r="J78" i="50"/>
  <c r="AH16" i="50"/>
  <c r="AI18" i="50" s="1"/>
  <c r="AK17" i="50"/>
  <c r="AG14" i="50"/>
  <c r="AG15" i="50" s="1"/>
  <c r="C185" i="50"/>
  <c r="F184" i="50"/>
  <c r="G186" i="50"/>
  <c r="C57" i="50"/>
  <c r="G58" i="50"/>
  <c r="F56" i="50"/>
  <c r="C121" i="50"/>
  <c r="G122" i="50"/>
  <c r="K116" i="50" s="1"/>
  <c r="K117" i="50" s="1"/>
  <c r="F120" i="50"/>
  <c r="J172" i="50"/>
  <c r="G173" i="50"/>
  <c r="AG29" i="50"/>
  <c r="AC22" i="50"/>
  <c r="AC23" i="50" s="1"/>
  <c r="AG157" i="50"/>
  <c r="AC150" i="50"/>
  <c r="AC151" i="50" s="1"/>
  <c r="AC86" i="50"/>
  <c r="AC87" i="50" s="1"/>
  <c r="AG93" i="50"/>
  <c r="G28" i="50"/>
  <c r="C25" i="50"/>
  <c r="F24" i="50"/>
  <c r="G26" i="50" s="1"/>
  <c r="G156" i="50"/>
  <c r="F152" i="50"/>
  <c r="G154" i="50" s="1"/>
  <c r="C153" i="50"/>
  <c r="G92" i="50"/>
  <c r="F88" i="50"/>
  <c r="G90" i="50" s="1"/>
  <c r="C89" i="50"/>
  <c r="J94" i="50"/>
  <c r="G95" i="50"/>
  <c r="AC114" i="50"/>
  <c r="AC115" i="50" s="1"/>
  <c r="AG107" i="50"/>
  <c r="AC178" i="50"/>
  <c r="AC179" i="50" s="1"/>
  <c r="AG171" i="50"/>
  <c r="AC50" i="50"/>
  <c r="AC51" i="50" s="1"/>
  <c r="AG43" i="50"/>
  <c r="G107" i="50"/>
  <c r="K114" i="50"/>
  <c r="J106" i="50"/>
  <c r="K106" i="50" s="1"/>
  <c r="K108" i="50" s="1"/>
  <c r="G171" i="50"/>
  <c r="K178" i="50"/>
  <c r="J170" i="50"/>
  <c r="J42" i="50"/>
  <c r="K42" i="50" s="1"/>
  <c r="K44" i="50" s="1"/>
  <c r="K50" i="50"/>
  <c r="G43" i="50"/>
  <c r="O101" i="50"/>
  <c r="G61" i="50"/>
  <c r="K52" i="50"/>
  <c r="J60" i="50"/>
  <c r="J188" i="50"/>
  <c r="K180" i="50"/>
  <c r="G189" i="50"/>
  <c r="AT112" i="46" l="1"/>
  <c r="AQ112" i="46"/>
  <c r="AU112" i="46"/>
  <c r="AP113" i="46"/>
  <c r="AT47" i="46"/>
  <c r="AQ47" i="46"/>
  <c r="AU47" i="46"/>
  <c r="AP48" i="46"/>
  <c r="AQ176" i="44"/>
  <c r="AU176" i="44"/>
  <c r="AQ111" i="44"/>
  <c r="AU111" i="44"/>
  <c r="G138" i="44"/>
  <c r="N116" i="50"/>
  <c r="AI192" i="46"/>
  <c r="AC22" i="48"/>
  <c r="AC23" i="48" s="1"/>
  <c r="AC86" i="46"/>
  <c r="AC87" i="46" s="1"/>
  <c r="AC150" i="46"/>
  <c r="AC151" i="46" s="1"/>
  <c r="AC116" i="44"/>
  <c r="AI128" i="46"/>
  <c r="J158" i="50"/>
  <c r="G159" i="50"/>
  <c r="G31" i="50"/>
  <c r="J30" i="50"/>
  <c r="AC84" i="48"/>
  <c r="AI10" i="50"/>
  <c r="G40" i="46"/>
  <c r="AC180" i="48"/>
  <c r="AI40" i="34"/>
  <c r="G40" i="44"/>
  <c r="G154" i="44"/>
  <c r="G90" i="48"/>
  <c r="G26" i="48"/>
  <c r="AI48" i="48"/>
  <c r="AI74" i="50"/>
  <c r="G168" i="40"/>
  <c r="G104" i="34"/>
  <c r="G10" i="50"/>
  <c r="AI176" i="48"/>
  <c r="AI40" i="48"/>
  <c r="AI48" i="46"/>
  <c r="AI168" i="34"/>
  <c r="AI10" i="40"/>
  <c r="G26" i="40"/>
  <c r="G40" i="40"/>
  <c r="AI74" i="40"/>
  <c r="AI138" i="40"/>
  <c r="AI104" i="48"/>
  <c r="AI112" i="48"/>
  <c r="AI120" i="48"/>
  <c r="AI184" i="48"/>
  <c r="G74" i="48"/>
  <c r="G10" i="48"/>
  <c r="AI138" i="46"/>
  <c r="AI112" i="46"/>
  <c r="AI74" i="46"/>
  <c r="G168" i="46"/>
  <c r="G168" i="36"/>
  <c r="G154" i="36"/>
  <c r="AI40" i="44"/>
  <c r="G168" i="44"/>
  <c r="G104" i="44"/>
  <c r="G74" i="44"/>
  <c r="G10" i="44"/>
  <c r="G168" i="34"/>
  <c r="AI74" i="34"/>
  <c r="K170" i="38"/>
  <c r="K172" i="38" s="1"/>
  <c r="AC86" i="34"/>
  <c r="AC87" i="34" s="1"/>
  <c r="AG93" i="34"/>
  <c r="G95" i="34"/>
  <c r="J94" i="34"/>
  <c r="G15" i="36"/>
  <c r="J14" i="36"/>
  <c r="G29" i="48"/>
  <c r="K22" i="48"/>
  <c r="J28" i="48"/>
  <c r="G79" i="46"/>
  <c r="J78" i="46"/>
  <c r="K76" i="46" s="1"/>
  <c r="K78" i="46" s="1"/>
  <c r="AC117" i="44"/>
  <c r="Y101" i="44"/>
  <c r="Y102" i="44" s="1"/>
  <c r="AC114" i="34"/>
  <c r="AC115" i="34" s="1"/>
  <c r="AG107" i="34"/>
  <c r="AC148" i="46"/>
  <c r="AG141" i="46"/>
  <c r="K156" i="38"/>
  <c r="K158" i="38" s="1"/>
  <c r="N148" i="46"/>
  <c r="O163" i="46"/>
  <c r="K149" i="46"/>
  <c r="AG61" i="46"/>
  <c r="AC52" i="46"/>
  <c r="AG107" i="48"/>
  <c r="AC114" i="48"/>
  <c r="AC115" i="48" s="1"/>
  <c r="AG77" i="50"/>
  <c r="AC84" i="50"/>
  <c r="AG13" i="46"/>
  <c r="AC20" i="46"/>
  <c r="Y35" i="36"/>
  <c r="Y36" i="36" s="1"/>
  <c r="AC21" i="36"/>
  <c r="J94" i="48"/>
  <c r="G95" i="48"/>
  <c r="J30" i="48"/>
  <c r="G31" i="48"/>
  <c r="G45" i="46"/>
  <c r="J44" i="46"/>
  <c r="AC149" i="36"/>
  <c r="Y163" i="36"/>
  <c r="Y164" i="36" s="1"/>
  <c r="J92" i="34"/>
  <c r="K86" i="34"/>
  <c r="G93" i="34"/>
  <c r="G171" i="34"/>
  <c r="K178" i="34"/>
  <c r="J170" i="34"/>
  <c r="K170" i="34" s="1"/>
  <c r="K172" i="34" s="1"/>
  <c r="K86" i="44"/>
  <c r="J92" i="44"/>
  <c r="K92" i="44" s="1"/>
  <c r="K94" i="44" s="1"/>
  <c r="G93" i="44"/>
  <c r="AG141" i="38"/>
  <c r="AC148" i="38"/>
  <c r="G79" i="48"/>
  <c r="J78" i="48"/>
  <c r="O163" i="50"/>
  <c r="K149" i="50"/>
  <c r="N148" i="50"/>
  <c r="K20" i="50"/>
  <c r="G13" i="50"/>
  <c r="J12" i="50"/>
  <c r="K12" i="50" s="1"/>
  <c r="K14" i="50" s="1"/>
  <c r="AG171" i="48"/>
  <c r="AC178" i="48"/>
  <c r="AC179" i="48" s="1"/>
  <c r="AG29" i="40"/>
  <c r="AC22" i="40"/>
  <c r="AC23" i="40" s="1"/>
  <c r="AG141" i="40"/>
  <c r="AC148" i="40"/>
  <c r="G107" i="48"/>
  <c r="K114" i="48"/>
  <c r="J106" i="48"/>
  <c r="N180" i="38"/>
  <c r="O165" i="38"/>
  <c r="K181" i="38"/>
  <c r="N114" i="46"/>
  <c r="K115" i="46"/>
  <c r="K117" i="44"/>
  <c r="N116" i="44"/>
  <c r="G159" i="34"/>
  <c r="J158" i="34"/>
  <c r="K151" i="38"/>
  <c r="N150" i="38"/>
  <c r="J172" i="48"/>
  <c r="G141" i="48"/>
  <c r="K148" i="48"/>
  <c r="J140" i="48"/>
  <c r="G171" i="48"/>
  <c r="J170" i="48"/>
  <c r="G143" i="36"/>
  <c r="J142" i="36"/>
  <c r="AC22" i="34"/>
  <c r="AC23" i="34" s="1"/>
  <c r="AG29" i="34"/>
  <c r="K180" i="36"/>
  <c r="J188" i="36"/>
  <c r="K186" i="36" s="1"/>
  <c r="K188" i="36" s="1"/>
  <c r="G189" i="36"/>
  <c r="G13" i="48"/>
  <c r="J12" i="48"/>
  <c r="K20" i="48"/>
  <c r="AC20" i="50"/>
  <c r="AG13" i="50"/>
  <c r="AC84" i="40"/>
  <c r="AG77" i="40"/>
  <c r="Y99" i="44"/>
  <c r="AC85" i="44"/>
  <c r="AC86" i="48"/>
  <c r="AC87" i="48" s="1"/>
  <c r="AG93" i="48"/>
  <c r="AC21" i="48"/>
  <c r="Y35" i="48"/>
  <c r="Y36" i="48" s="1"/>
  <c r="G107" i="44"/>
  <c r="K114" i="44"/>
  <c r="O101" i="44" s="1"/>
  <c r="J106" i="44"/>
  <c r="K106" i="44" s="1"/>
  <c r="K108" i="44" s="1"/>
  <c r="O37" i="44"/>
  <c r="K53" i="44"/>
  <c r="N52" i="44"/>
  <c r="AC150" i="34"/>
  <c r="AC151" i="34" s="1"/>
  <c r="AG157" i="34"/>
  <c r="AG43" i="40"/>
  <c r="AC50" i="40"/>
  <c r="AC51" i="40" s="1"/>
  <c r="G29" i="40"/>
  <c r="J28" i="40"/>
  <c r="K28" i="40" s="1"/>
  <c r="K30" i="40" s="1"/>
  <c r="K22" i="40"/>
  <c r="J124" i="48"/>
  <c r="G125" i="48"/>
  <c r="K116" i="48"/>
  <c r="G31" i="46"/>
  <c r="J30" i="46"/>
  <c r="K28" i="46" s="1"/>
  <c r="K30" i="46" s="1"/>
  <c r="G59" i="40"/>
  <c r="J58" i="40"/>
  <c r="J124" i="46"/>
  <c r="K116" i="46"/>
  <c r="G125" i="46"/>
  <c r="G43" i="40"/>
  <c r="K50" i="40"/>
  <c r="J42" i="40"/>
  <c r="K42" i="40" s="1"/>
  <c r="K44" i="40" s="1"/>
  <c r="AG125" i="46"/>
  <c r="AC116" i="46"/>
  <c r="J44" i="48"/>
  <c r="G45" i="48"/>
  <c r="J76" i="44"/>
  <c r="K84" i="44"/>
  <c r="G77" i="44"/>
  <c r="N20" i="46"/>
  <c r="O35" i="46"/>
  <c r="K21" i="46"/>
  <c r="G107" i="36"/>
  <c r="J106" i="36"/>
  <c r="K114" i="36"/>
  <c r="K186" i="38"/>
  <c r="K188" i="38" s="1"/>
  <c r="J14" i="46"/>
  <c r="K12" i="46" s="1"/>
  <c r="K14" i="46" s="1"/>
  <c r="G15" i="46"/>
  <c r="G59" i="46"/>
  <c r="J58" i="46"/>
  <c r="J60" i="48"/>
  <c r="K58" i="48" s="1"/>
  <c r="K60" i="48" s="1"/>
  <c r="K52" i="48"/>
  <c r="G61" i="48"/>
  <c r="J42" i="44"/>
  <c r="K42" i="44" s="1"/>
  <c r="K44" i="44" s="1"/>
  <c r="K50" i="44"/>
  <c r="G43" i="44"/>
  <c r="K92" i="40"/>
  <c r="K94" i="40" s="1"/>
  <c r="AG29" i="44"/>
  <c r="AC22" i="44"/>
  <c r="AC23" i="44" s="1"/>
  <c r="N150" i="46"/>
  <c r="K151" i="46"/>
  <c r="J142" i="40"/>
  <c r="G143" i="40"/>
  <c r="AC20" i="34"/>
  <c r="AG13" i="34"/>
  <c r="J170" i="44"/>
  <c r="K170" i="44" s="1"/>
  <c r="K172" i="44" s="1"/>
  <c r="K178" i="44"/>
  <c r="G171" i="44"/>
  <c r="J60" i="46"/>
  <c r="K52" i="46"/>
  <c r="G61" i="46"/>
  <c r="AC52" i="48"/>
  <c r="AG61" i="48"/>
  <c r="AC84" i="38"/>
  <c r="AG77" i="38"/>
  <c r="J92" i="48"/>
  <c r="K86" i="48"/>
  <c r="G93" i="48"/>
  <c r="K22" i="34"/>
  <c r="G29" i="34"/>
  <c r="J28" i="34"/>
  <c r="J94" i="36"/>
  <c r="G95" i="36"/>
  <c r="G109" i="36"/>
  <c r="J108" i="36"/>
  <c r="J30" i="36"/>
  <c r="G31" i="36"/>
  <c r="N86" i="40"/>
  <c r="K87" i="40"/>
  <c r="G79" i="44"/>
  <c r="J78" i="44"/>
  <c r="Y165" i="48"/>
  <c r="AC181" i="48"/>
  <c r="Y163" i="44"/>
  <c r="Y164" i="44" s="1"/>
  <c r="AC149" i="44"/>
  <c r="AC21" i="44"/>
  <c r="K42" i="38"/>
  <c r="K44" i="38" s="1"/>
  <c r="G143" i="46"/>
  <c r="J142" i="46"/>
  <c r="K140" i="46" s="1"/>
  <c r="K142" i="46" s="1"/>
  <c r="J142" i="44"/>
  <c r="G143" i="44"/>
  <c r="G107" i="34"/>
  <c r="J106" i="34"/>
  <c r="K106" i="34" s="1"/>
  <c r="K108" i="34" s="1"/>
  <c r="K114" i="34"/>
  <c r="Y37" i="44"/>
  <c r="AC53" i="44"/>
  <c r="G143" i="48"/>
  <c r="J142" i="48"/>
  <c r="G171" i="46"/>
  <c r="K178" i="46"/>
  <c r="J170" i="46"/>
  <c r="J186" i="44"/>
  <c r="K186" i="44" s="1"/>
  <c r="K188" i="44" s="1"/>
  <c r="G187" i="44"/>
  <c r="J188" i="40"/>
  <c r="G189" i="40"/>
  <c r="K180" i="40"/>
  <c r="K84" i="48"/>
  <c r="G77" i="48"/>
  <c r="J76" i="48"/>
  <c r="K115" i="38"/>
  <c r="N114" i="38"/>
  <c r="G43" i="36"/>
  <c r="K50" i="36"/>
  <c r="J42" i="36"/>
  <c r="K42" i="36" s="1"/>
  <c r="K44" i="36" s="1"/>
  <c r="AC114" i="40"/>
  <c r="AC115" i="40" s="1"/>
  <c r="AG107" i="40"/>
  <c r="J76" i="50"/>
  <c r="K76" i="50" s="1"/>
  <c r="K78" i="50" s="1"/>
  <c r="K84" i="50"/>
  <c r="G77" i="50"/>
  <c r="K178" i="40"/>
  <c r="J170" i="40"/>
  <c r="K170" i="40" s="1"/>
  <c r="K172" i="40" s="1"/>
  <c r="G171" i="40"/>
  <c r="Y99" i="36"/>
  <c r="AC85" i="36"/>
  <c r="AG43" i="44"/>
  <c r="AC50" i="44"/>
  <c r="AC51" i="44" s="1"/>
  <c r="J94" i="46"/>
  <c r="K92" i="46" s="1"/>
  <c r="K94" i="46" s="1"/>
  <c r="G95" i="46"/>
  <c r="K22" i="36"/>
  <c r="G29" i="36"/>
  <c r="J28" i="36"/>
  <c r="AG77" i="46"/>
  <c r="AC84" i="46"/>
  <c r="G109" i="46"/>
  <c r="J108" i="46"/>
  <c r="K106" i="46" s="1"/>
  <c r="K108" i="46" s="1"/>
  <c r="J122" i="44"/>
  <c r="K122" i="44" s="1"/>
  <c r="K124" i="44" s="1"/>
  <c r="G123" i="44"/>
  <c r="G159" i="48"/>
  <c r="J158" i="48"/>
  <c r="K156" i="48" s="1"/>
  <c r="K158" i="48" s="1"/>
  <c r="J42" i="48"/>
  <c r="K50" i="48"/>
  <c r="G43" i="48"/>
  <c r="AC180" i="50"/>
  <c r="AG189" i="50"/>
  <c r="N86" i="46"/>
  <c r="K87" i="46"/>
  <c r="AC84" i="34"/>
  <c r="AG77" i="34"/>
  <c r="K28" i="38"/>
  <c r="K30" i="38" s="1"/>
  <c r="G173" i="46"/>
  <c r="J172" i="46"/>
  <c r="G15" i="40"/>
  <c r="J14" i="40"/>
  <c r="AG61" i="50"/>
  <c r="AC52" i="50"/>
  <c r="AC114" i="44"/>
  <c r="AC115" i="44" s="1"/>
  <c r="AG107" i="44"/>
  <c r="J186" i="40"/>
  <c r="G187" i="40"/>
  <c r="G79" i="36"/>
  <c r="J78" i="36"/>
  <c r="AG43" i="34"/>
  <c r="AC50" i="34"/>
  <c r="AC51" i="34" s="1"/>
  <c r="G15" i="44"/>
  <c r="J14" i="44"/>
  <c r="K179" i="38"/>
  <c r="N178" i="38"/>
  <c r="O178" i="38" s="1"/>
  <c r="O180" i="38" s="1"/>
  <c r="J108" i="48"/>
  <c r="G109" i="48"/>
  <c r="G43" i="34"/>
  <c r="J42" i="34"/>
  <c r="K42" i="34" s="1"/>
  <c r="K44" i="34" s="1"/>
  <c r="K50" i="34"/>
  <c r="J58" i="44"/>
  <c r="K58" i="44" s="1"/>
  <c r="K60" i="44" s="1"/>
  <c r="G59" i="44"/>
  <c r="AC178" i="34"/>
  <c r="AC179" i="34" s="1"/>
  <c r="AG171" i="34"/>
  <c r="AC86" i="40"/>
  <c r="AC87" i="40" s="1"/>
  <c r="AG93" i="40"/>
  <c r="K92" i="38"/>
  <c r="K94" i="38" s="1"/>
  <c r="G31" i="34"/>
  <c r="J30" i="34"/>
  <c r="G123" i="40"/>
  <c r="J122" i="40"/>
  <c r="G79" i="40"/>
  <c r="J78" i="40"/>
  <c r="G93" i="36"/>
  <c r="J92" i="36"/>
  <c r="K92" i="36" s="1"/>
  <c r="K94" i="36" s="1"/>
  <c r="K86" i="36"/>
  <c r="J58" i="34"/>
  <c r="G59" i="34"/>
  <c r="K140" i="50"/>
  <c r="K142" i="50" s="1"/>
  <c r="J188" i="48"/>
  <c r="K186" i="48" s="1"/>
  <c r="K188" i="48" s="1"/>
  <c r="G189" i="48"/>
  <c r="AC148" i="34"/>
  <c r="AG141" i="34"/>
  <c r="K51" i="38"/>
  <c r="N50" i="38"/>
  <c r="J28" i="44"/>
  <c r="K28" i="44" s="1"/>
  <c r="K30" i="44" s="1"/>
  <c r="K22" i="44"/>
  <c r="G29" i="44"/>
  <c r="K20" i="44"/>
  <c r="G13" i="44"/>
  <c r="J12" i="44"/>
  <c r="AC20" i="40"/>
  <c r="AG13" i="40"/>
  <c r="Y165" i="44"/>
  <c r="AC181" i="44"/>
  <c r="K150" i="36"/>
  <c r="G157" i="36"/>
  <c r="J156" i="36"/>
  <c r="J122" i="48"/>
  <c r="G123" i="48"/>
  <c r="G107" i="40"/>
  <c r="J106" i="40"/>
  <c r="K106" i="40" s="1"/>
  <c r="K108" i="40" s="1"/>
  <c r="K114" i="40"/>
  <c r="G157" i="40"/>
  <c r="K150" i="40"/>
  <c r="J156" i="40"/>
  <c r="K156" i="40" s="1"/>
  <c r="K158" i="40" s="1"/>
  <c r="G189" i="34"/>
  <c r="J188" i="34"/>
  <c r="K180" i="34"/>
  <c r="AC116" i="48"/>
  <c r="AG125" i="48"/>
  <c r="G173" i="36"/>
  <c r="J172" i="36"/>
  <c r="Y35" i="38"/>
  <c r="Y36" i="38" s="1"/>
  <c r="AC21" i="38"/>
  <c r="J188" i="46"/>
  <c r="K180" i="46"/>
  <c r="G189" i="46"/>
  <c r="G187" i="46"/>
  <c r="J186" i="46"/>
  <c r="K186" i="46" s="1"/>
  <c r="K188" i="46" s="1"/>
  <c r="J42" i="46"/>
  <c r="G43" i="46"/>
  <c r="K50" i="46"/>
  <c r="K148" i="44"/>
  <c r="J140" i="44"/>
  <c r="G141" i="44"/>
  <c r="K23" i="46"/>
  <c r="N22" i="46"/>
  <c r="AG157" i="40"/>
  <c r="AC150" i="40"/>
  <c r="AC151" i="40" s="1"/>
  <c r="AG125" i="50"/>
  <c r="AC116" i="50"/>
  <c r="N86" i="38"/>
  <c r="K87" i="38"/>
  <c r="J122" i="34"/>
  <c r="G123" i="34"/>
  <c r="AC50" i="48"/>
  <c r="AC51" i="48" s="1"/>
  <c r="AG43" i="48"/>
  <c r="G15" i="48"/>
  <c r="J14" i="48"/>
  <c r="K181" i="44"/>
  <c r="N180" i="44"/>
  <c r="O165" i="44"/>
  <c r="Y99" i="48"/>
  <c r="AC85" i="48"/>
  <c r="AG171" i="40"/>
  <c r="AC178" i="40"/>
  <c r="AC179" i="40" s="1"/>
  <c r="J156" i="34"/>
  <c r="G157" i="34"/>
  <c r="K150" i="34"/>
  <c r="G187" i="34"/>
  <c r="J186" i="34"/>
  <c r="K23" i="38"/>
  <c r="N22" i="38"/>
  <c r="G157" i="44"/>
  <c r="J156" i="44"/>
  <c r="K156" i="44" s="1"/>
  <c r="K158" i="44" s="1"/>
  <c r="K150" i="44"/>
  <c r="K151" i="48"/>
  <c r="N150" i="48"/>
  <c r="AC149" i="48"/>
  <c r="Y163" i="48"/>
  <c r="Y164" i="48" s="1"/>
  <c r="AG189" i="46"/>
  <c r="AC180" i="46"/>
  <c r="AC150" i="48"/>
  <c r="AC151" i="48" s="1"/>
  <c r="AG157" i="48"/>
  <c r="AG141" i="50"/>
  <c r="AC148" i="50"/>
  <c r="G159" i="46"/>
  <c r="J158" i="46"/>
  <c r="K156" i="46" s="1"/>
  <c r="K158" i="46" s="1"/>
  <c r="AC178" i="44"/>
  <c r="AC179" i="44" s="1"/>
  <c r="AG171" i="44"/>
  <c r="J158" i="36"/>
  <c r="G159" i="36"/>
  <c r="K178" i="36"/>
  <c r="G171" i="36"/>
  <c r="J170" i="36"/>
  <c r="K85" i="46"/>
  <c r="O99" i="46"/>
  <c r="N84" i="46"/>
  <c r="G123" i="46"/>
  <c r="J122" i="46"/>
  <c r="K170" i="50"/>
  <c r="K172" i="50" s="1"/>
  <c r="J186" i="50"/>
  <c r="K186" i="50" s="1"/>
  <c r="K188" i="50" s="1"/>
  <c r="G187" i="50"/>
  <c r="J58" i="50"/>
  <c r="K58" i="50" s="1"/>
  <c r="K60" i="50" s="1"/>
  <c r="G59" i="50"/>
  <c r="G123" i="50"/>
  <c r="J122" i="50"/>
  <c r="K122" i="50" s="1"/>
  <c r="K124" i="50" s="1"/>
  <c r="J156" i="50"/>
  <c r="K156" i="50" s="1"/>
  <c r="K158" i="50" s="1"/>
  <c r="G157" i="50"/>
  <c r="K150" i="50"/>
  <c r="J28" i="50"/>
  <c r="K28" i="50" s="1"/>
  <c r="K30" i="50" s="1"/>
  <c r="G29" i="50"/>
  <c r="K22" i="50"/>
  <c r="G93" i="50"/>
  <c r="K86" i="50"/>
  <c r="J92" i="50"/>
  <c r="K92" i="50" s="1"/>
  <c r="K94" i="50" s="1"/>
  <c r="N50" i="50"/>
  <c r="K51" i="50"/>
  <c r="N178" i="50"/>
  <c r="K179" i="50"/>
  <c r="N114" i="50"/>
  <c r="O114" i="50" s="1"/>
  <c r="O116" i="50" s="1"/>
  <c r="K115" i="50"/>
  <c r="K181" i="50"/>
  <c r="O165" i="50"/>
  <c r="N180" i="50"/>
  <c r="K53" i="50"/>
  <c r="N52" i="50"/>
  <c r="O37" i="50"/>
  <c r="O106" i="50"/>
  <c r="O102" i="50"/>
  <c r="O110" i="50"/>
  <c r="AT113" i="46" l="1"/>
  <c r="AQ113" i="46"/>
  <c r="AU113" i="46"/>
  <c r="AQ48" i="46"/>
  <c r="AU48" i="46"/>
  <c r="AT48" i="46"/>
  <c r="AP49" i="46"/>
  <c r="AQ177" i="44"/>
  <c r="AU177" i="44"/>
  <c r="AQ112" i="44"/>
  <c r="AU112" i="44"/>
  <c r="Y35" i="44"/>
  <c r="Y36" i="44" s="1"/>
  <c r="K92" i="34"/>
  <c r="K94" i="34" s="1"/>
  <c r="O20" i="46"/>
  <c r="O22" i="46" s="1"/>
  <c r="K76" i="48"/>
  <c r="K78" i="48" s="1"/>
  <c r="K140" i="44"/>
  <c r="K142" i="44" s="1"/>
  <c r="K170" i="46"/>
  <c r="K172" i="46" s="1"/>
  <c r="K122" i="46"/>
  <c r="K124" i="46" s="1"/>
  <c r="K106" i="36"/>
  <c r="K108" i="36" s="1"/>
  <c r="K12" i="44"/>
  <c r="K14" i="44" s="1"/>
  <c r="O50" i="50"/>
  <c r="O52" i="50" s="1"/>
  <c r="K42" i="48"/>
  <c r="K44" i="48" s="1"/>
  <c r="O148" i="46"/>
  <c r="O150" i="46" s="1"/>
  <c r="K76" i="44"/>
  <c r="K78" i="44" s="1"/>
  <c r="K186" i="40"/>
  <c r="K188" i="40" s="1"/>
  <c r="K28" i="48"/>
  <c r="K30" i="48" s="1"/>
  <c r="K170" i="36"/>
  <c r="K172" i="36" s="1"/>
  <c r="O35" i="44"/>
  <c r="N20" i="44"/>
  <c r="K21" i="44"/>
  <c r="N180" i="48"/>
  <c r="O165" i="48"/>
  <c r="K87" i="48"/>
  <c r="N86" i="48"/>
  <c r="K115" i="36"/>
  <c r="N114" i="36"/>
  <c r="N178" i="48"/>
  <c r="O170" i="38"/>
  <c r="O174" i="38"/>
  <c r="O166" i="38"/>
  <c r="O172" i="50"/>
  <c r="O164" i="50"/>
  <c r="O168" i="50"/>
  <c r="P170" i="50" s="1"/>
  <c r="R164" i="50"/>
  <c r="AC149" i="46"/>
  <c r="Y163" i="46"/>
  <c r="Y164" i="46" s="1"/>
  <c r="N22" i="48"/>
  <c r="K23" i="48"/>
  <c r="N178" i="40"/>
  <c r="K179" i="40"/>
  <c r="N150" i="34"/>
  <c r="K151" i="34"/>
  <c r="K115" i="40"/>
  <c r="N114" i="40"/>
  <c r="AC53" i="50"/>
  <c r="Y37" i="50"/>
  <c r="Y99" i="34"/>
  <c r="AC85" i="34"/>
  <c r="Y38" i="44"/>
  <c r="V36" i="44"/>
  <c r="K53" i="48"/>
  <c r="N52" i="48"/>
  <c r="O37" i="48"/>
  <c r="K117" i="46"/>
  <c r="N116" i="46"/>
  <c r="O114" i="46" s="1"/>
  <c r="O116" i="46" s="1"/>
  <c r="O101" i="46"/>
  <c r="K122" i="48"/>
  <c r="K124" i="48" s="1"/>
  <c r="AC21" i="50"/>
  <c r="Y35" i="50"/>
  <c r="Y36" i="50" s="1"/>
  <c r="K140" i="48"/>
  <c r="K142" i="48" s="1"/>
  <c r="N178" i="34"/>
  <c r="K179" i="34"/>
  <c r="K42" i="46"/>
  <c r="K44" i="46" s="1"/>
  <c r="AC21" i="46"/>
  <c r="Y35" i="46"/>
  <c r="Y36" i="46" s="1"/>
  <c r="Y37" i="46"/>
  <c r="AC53" i="46"/>
  <c r="Y101" i="48"/>
  <c r="Y102" i="48" s="1"/>
  <c r="AC117" i="48"/>
  <c r="Y166" i="44"/>
  <c r="V164" i="44"/>
  <c r="AC85" i="46"/>
  <c r="Y99" i="46"/>
  <c r="N114" i="34"/>
  <c r="K115" i="34"/>
  <c r="N178" i="44"/>
  <c r="O178" i="44" s="1"/>
  <c r="O180" i="44" s="1"/>
  <c r="K179" i="44"/>
  <c r="K23" i="40"/>
  <c r="N22" i="40"/>
  <c r="O35" i="48"/>
  <c r="K21" i="48"/>
  <c r="N20" i="48"/>
  <c r="K149" i="48"/>
  <c r="N148" i="48"/>
  <c r="O148" i="48" s="1"/>
  <c r="O150" i="48" s="1"/>
  <c r="O163" i="48"/>
  <c r="K106" i="48"/>
  <c r="K108" i="48" s="1"/>
  <c r="N178" i="36"/>
  <c r="K179" i="36"/>
  <c r="N150" i="44"/>
  <c r="K151" i="44"/>
  <c r="N84" i="50"/>
  <c r="O99" i="50"/>
  <c r="K85" i="50"/>
  <c r="O100" i="46"/>
  <c r="O108" i="46"/>
  <c r="R100" i="46"/>
  <c r="O104" i="46"/>
  <c r="K156" i="34"/>
  <c r="K158" i="34" s="1"/>
  <c r="O165" i="46"/>
  <c r="K181" i="46"/>
  <c r="N180" i="46"/>
  <c r="O165" i="34"/>
  <c r="K181" i="34"/>
  <c r="N180" i="34"/>
  <c r="O84" i="46"/>
  <c r="O86" i="46" s="1"/>
  <c r="Y99" i="38"/>
  <c r="AC85" i="38"/>
  <c r="K58" i="46"/>
  <c r="K60" i="46" s="1"/>
  <c r="AC117" i="46"/>
  <c r="Y101" i="46"/>
  <c r="Y102" i="46" s="1"/>
  <c r="O46" i="44"/>
  <c r="O42" i="44"/>
  <c r="O38" i="44"/>
  <c r="K12" i="48"/>
  <c r="K14" i="48" s="1"/>
  <c r="K115" i="48"/>
  <c r="N114" i="48"/>
  <c r="AC149" i="38"/>
  <c r="Y163" i="38"/>
  <c r="Y164" i="38" s="1"/>
  <c r="Y99" i="50"/>
  <c r="AC85" i="50"/>
  <c r="K23" i="44"/>
  <c r="N22" i="44"/>
  <c r="AC181" i="46"/>
  <c r="Y165" i="46"/>
  <c r="AC117" i="50"/>
  <c r="Y101" i="50"/>
  <c r="Y102" i="50" s="1"/>
  <c r="N148" i="44"/>
  <c r="K149" i="44"/>
  <c r="O163" i="44"/>
  <c r="K186" i="34"/>
  <c r="K188" i="34" s="1"/>
  <c r="K28" i="36"/>
  <c r="K30" i="36" s="1"/>
  <c r="K179" i="46"/>
  <c r="N178" i="46"/>
  <c r="K28" i="34"/>
  <c r="K30" i="34" s="1"/>
  <c r="O40" i="46"/>
  <c r="O36" i="46"/>
  <c r="O44" i="46"/>
  <c r="O102" i="44"/>
  <c r="O106" i="44"/>
  <c r="O110" i="44"/>
  <c r="N86" i="34"/>
  <c r="K87" i="34"/>
  <c r="R164" i="46"/>
  <c r="O168" i="46"/>
  <c r="O164" i="46"/>
  <c r="O172" i="46"/>
  <c r="Y163" i="50"/>
  <c r="Y164" i="50" s="1"/>
  <c r="AC149" i="50"/>
  <c r="O174" i="44"/>
  <c r="O170" i="44"/>
  <c r="O166" i="44"/>
  <c r="N150" i="36"/>
  <c r="K151" i="36"/>
  <c r="K51" i="46"/>
  <c r="N50" i="46"/>
  <c r="AC21" i="40"/>
  <c r="Y35" i="40"/>
  <c r="Y36" i="40" s="1"/>
  <c r="Y165" i="50"/>
  <c r="AC181" i="50"/>
  <c r="Y100" i="36"/>
  <c r="K85" i="48"/>
  <c r="N84" i="48"/>
  <c r="O99" i="48"/>
  <c r="AC53" i="48"/>
  <c r="Y37" i="48"/>
  <c r="Y35" i="34"/>
  <c r="Y36" i="34" s="1"/>
  <c r="AC21" i="34"/>
  <c r="K115" i="44"/>
  <c r="N114" i="44"/>
  <c r="O114" i="44" s="1"/>
  <c r="O116" i="44" s="1"/>
  <c r="Y100" i="44"/>
  <c r="V100" i="44"/>
  <c r="Y163" i="40"/>
  <c r="Y164" i="40" s="1"/>
  <c r="AC149" i="40"/>
  <c r="K21" i="50"/>
  <c r="O35" i="50"/>
  <c r="N20" i="50"/>
  <c r="Y100" i="48"/>
  <c r="V100" i="48"/>
  <c r="K156" i="36"/>
  <c r="K158" i="36" s="1"/>
  <c r="N86" i="36"/>
  <c r="K87" i="36"/>
  <c r="K23" i="36"/>
  <c r="N22" i="36"/>
  <c r="K181" i="40"/>
  <c r="N180" i="40"/>
  <c r="O165" i="40"/>
  <c r="K23" i="34"/>
  <c r="N22" i="34"/>
  <c r="N50" i="44"/>
  <c r="O50" i="44" s="1"/>
  <c r="O52" i="44" s="1"/>
  <c r="K51" i="44"/>
  <c r="N50" i="40"/>
  <c r="K51" i="40"/>
  <c r="K170" i="48"/>
  <c r="K172" i="48" s="1"/>
  <c r="K92" i="48"/>
  <c r="K94" i="48" s="1"/>
  <c r="N150" i="40"/>
  <c r="K151" i="40"/>
  <c r="AC149" i="34"/>
  <c r="Y163" i="34"/>
  <c r="Y164" i="34" s="1"/>
  <c r="N50" i="34"/>
  <c r="K51" i="34"/>
  <c r="N50" i="48"/>
  <c r="K51" i="48"/>
  <c r="N50" i="36"/>
  <c r="K51" i="36"/>
  <c r="V164" i="48"/>
  <c r="Y166" i="48"/>
  <c r="O37" i="46"/>
  <c r="R36" i="46" s="1"/>
  <c r="N52" i="46"/>
  <c r="K53" i="46"/>
  <c r="N84" i="44"/>
  <c r="K85" i="44"/>
  <c r="O99" i="44"/>
  <c r="O101" i="48"/>
  <c r="K117" i="48"/>
  <c r="N116" i="48"/>
  <c r="AC85" i="40"/>
  <c r="Y99" i="40"/>
  <c r="O165" i="36"/>
  <c r="N180" i="36"/>
  <c r="K181" i="36"/>
  <c r="K87" i="44"/>
  <c r="N86" i="44"/>
  <c r="K23" i="50"/>
  <c r="N22" i="50"/>
  <c r="O20" i="50" s="1"/>
  <c r="O22" i="50" s="1"/>
  <c r="K151" i="50"/>
  <c r="N150" i="50"/>
  <c r="O148" i="50" s="1"/>
  <c r="O150" i="50" s="1"/>
  <c r="K87" i="50"/>
  <c r="N86" i="50"/>
  <c r="O178" i="50"/>
  <c r="O180" i="50" s="1"/>
  <c r="O42" i="50"/>
  <c r="O46" i="50"/>
  <c r="O38" i="50"/>
  <c r="O174" i="50"/>
  <c r="O166" i="50"/>
  <c r="O170" i="50"/>
  <c r="AT49" i="46" l="1"/>
  <c r="AQ49" i="46"/>
  <c r="AU49" i="46"/>
  <c r="AP50" i="46"/>
  <c r="AQ179" i="44"/>
  <c r="AU179" i="44"/>
  <c r="AT179" i="44"/>
  <c r="AQ113" i="44"/>
  <c r="AU113" i="44"/>
  <c r="O20" i="44"/>
  <c r="O22" i="44" s="1"/>
  <c r="P174" i="50"/>
  <c r="O178" i="34"/>
  <c r="O180" i="34" s="1"/>
  <c r="O178" i="48"/>
  <c r="O180" i="48" s="1"/>
  <c r="O50" i="48"/>
  <c r="O52" i="48" s="1"/>
  <c r="O20" i="48"/>
  <c r="O22" i="48" s="1"/>
  <c r="O178" i="46"/>
  <c r="O180" i="46" s="1"/>
  <c r="O50" i="46"/>
  <c r="O52" i="46" s="1"/>
  <c r="O84" i="50"/>
  <c r="O86" i="50" s="1"/>
  <c r="O84" i="44"/>
  <c r="O86" i="44" s="1"/>
  <c r="Y100" i="34"/>
  <c r="V100" i="34"/>
  <c r="V100" i="40"/>
  <c r="Y100" i="40"/>
  <c r="O166" i="40"/>
  <c r="O170" i="40"/>
  <c r="O174" i="40"/>
  <c r="V101" i="48"/>
  <c r="O84" i="48"/>
  <c r="O86" i="48" s="1"/>
  <c r="V164" i="46"/>
  <c r="Y166" i="46"/>
  <c r="O114" i="48"/>
  <c r="O116" i="48" s="1"/>
  <c r="O108" i="50"/>
  <c r="P110" i="50" s="1"/>
  <c r="R100" i="50"/>
  <c r="O104" i="50"/>
  <c r="P106" i="50" s="1"/>
  <c r="O100" i="50"/>
  <c r="O168" i="48"/>
  <c r="P170" i="48" s="1"/>
  <c r="R164" i="48"/>
  <c r="O164" i="48"/>
  <c r="O172" i="48"/>
  <c r="Y38" i="50"/>
  <c r="V36" i="50"/>
  <c r="O178" i="40"/>
  <c r="O180" i="40" s="1"/>
  <c r="O170" i="46"/>
  <c r="P170" i="46" s="1"/>
  <c r="O174" i="46"/>
  <c r="P174" i="46" s="1"/>
  <c r="O166" i="46"/>
  <c r="O42" i="48"/>
  <c r="O38" i="48"/>
  <c r="O46" i="48"/>
  <c r="O174" i="48"/>
  <c r="O166" i="48"/>
  <c r="O170" i="48"/>
  <c r="AR73" i="44"/>
  <c r="V101" i="44"/>
  <c r="O38" i="46"/>
  <c r="O46" i="46"/>
  <c r="P46" i="46" s="1"/>
  <c r="O42" i="46"/>
  <c r="P42" i="46" s="1"/>
  <c r="Y100" i="38"/>
  <c r="V100" i="38"/>
  <c r="O174" i="36"/>
  <c r="O170" i="36"/>
  <c r="O166" i="36"/>
  <c r="O104" i="48"/>
  <c r="P106" i="48" s="1"/>
  <c r="R100" i="48"/>
  <c r="AR73" i="48" s="1"/>
  <c r="O108" i="48"/>
  <c r="O100" i="48"/>
  <c r="R36" i="50"/>
  <c r="O44" i="50"/>
  <c r="P46" i="50" s="1"/>
  <c r="O36" i="50"/>
  <c r="O40" i="50"/>
  <c r="P42" i="50" s="1"/>
  <c r="R164" i="44"/>
  <c r="AR137" i="44" s="1"/>
  <c r="O168" i="44"/>
  <c r="P170" i="44" s="1"/>
  <c r="O164" i="44"/>
  <c r="O172" i="44"/>
  <c r="P174" i="44" s="1"/>
  <c r="O148" i="44"/>
  <c r="O150" i="44" s="1"/>
  <c r="O106" i="48"/>
  <c r="O102" i="48"/>
  <c r="O110" i="48"/>
  <c r="AR136" i="46"/>
  <c r="R165" i="46"/>
  <c r="AR72" i="46"/>
  <c r="R101" i="46"/>
  <c r="Y100" i="46"/>
  <c r="V100" i="46"/>
  <c r="V36" i="46"/>
  <c r="Y38" i="46"/>
  <c r="V37" i="44"/>
  <c r="AR136" i="50"/>
  <c r="R165" i="50"/>
  <c r="V165" i="48"/>
  <c r="AR137" i="48"/>
  <c r="O104" i="44"/>
  <c r="P106" i="44" s="1"/>
  <c r="O100" i="44"/>
  <c r="R100" i="44"/>
  <c r="O108" i="44"/>
  <c r="P110" i="44" s="1"/>
  <c r="Y38" i="48"/>
  <c r="V36" i="48"/>
  <c r="V164" i="50"/>
  <c r="Y166" i="50"/>
  <c r="R37" i="46"/>
  <c r="AR8" i="46"/>
  <c r="Y100" i="50"/>
  <c r="V100" i="50"/>
  <c r="O178" i="36"/>
  <c r="O180" i="36" s="1"/>
  <c r="R36" i="48"/>
  <c r="O44" i="48"/>
  <c r="O40" i="48"/>
  <c r="P42" i="48" s="1"/>
  <c r="O36" i="48"/>
  <c r="O174" i="34"/>
  <c r="O170" i="34"/>
  <c r="O166" i="34"/>
  <c r="V165" i="44"/>
  <c r="O110" i="46"/>
  <c r="P110" i="46" s="1"/>
  <c r="O102" i="46"/>
  <c r="O106" i="46"/>
  <c r="P106" i="46" s="1"/>
  <c r="O36" i="44"/>
  <c r="R36" i="44"/>
  <c r="AR9" i="44" s="1"/>
  <c r="O40" i="44"/>
  <c r="P42" i="44" s="1"/>
  <c r="O44" i="44"/>
  <c r="P46" i="44" s="1"/>
  <c r="AQ50" i="46" l="1"/>
  <c r="AU50" i="46"/>
  <c r="AT50" i="46"/>
  <c r="AP51" i="46"/>
  <c r="AQ181" i="44"/>
  <c r="AU181" i="44"/>
  <c r="AT181" i="44"/>
  <c r="AQ114" i="44"/>
  <c r="AU114" i="44"/>
  <c r="P174" i="48"/>
  <c r="P110" i="48"/>
  <c r="P46" i="48"/>
  <c r="AS136" i="50"/>
  <c r="AP136" i="50"/>
  <c r="AR144" i="50"/>
  <c r="AR152" i="50"/>
  <c r="AS152" i="50" s="1"/>
  <c r="AR140" i="50"/>
  <c r="AR138" i="50"/>
  <c r="AS72" i="46"/>
  <c r="AR88" i="46"/>
  <c r="AS88" i="46" s="1"/>
  <c r="AR76" i="46"/>
  <c r="AR74" i="46"/>
  <c r="AP72" i="46"/>
  <c r="AR80" i="46"/>
  <c r="AR75" i="48"/>
  <c r="AR89" i="48"/>
  <c r="AS89" i="48" s="1"/>
  <c r="AR81" i="48"/>
  <c r="AS73" i="48"/>
  <c r="AR77" i="48"/>
  <c r="V101" i="50"/>
  <c r="AR73" i="50"/>
  <c r="AS9" i="44"/>
  <c r="AR17" i="44"/>
  <c r="AR25" i="44"/>
  <c r="AS25" i="44" s="1"/>
  <c r="AR13" i="44"/>
  <c r="AR11" i="44"/>
  <c r="R101" i="48"/>
  <c r="AR72" i="48"/>
  <c r="V37" i="50"/>
  <c r="AR9" i="50"/>
  <c r="AR72" i="50"/>
  <c r="R101" i="50"/>
  <c r="AR8" i="48"/>
  <c r="R37" i="48"/>
  <c r="R165" i="44"/>
  <c r="AR136" i="44"/>
  <c r="R37" i="44"/>
  <c r="AR8" i="44"/>
  <c r="AR72" i="44"/>
  <c r="R101" i="44"/>
  <c r="AP136" i="46"/>
  <c r="AR140" i="46"/>
  <c r="AS136" i="46"/>
  <c r="AR138" i="46"/>
  <c r="AR152" i="46"/>
  <c r="AS152" i="46" s="1"/>
  <c r="AR144" i="46"/>
  <c r="AR12" i="46"/>
  <c r="AS8" i="46"/>
  <c r="AR16" i="46"/>
  <c r="AR24" i="46"/>
  <c r="AS24" i="46" s="1"/>
  <c r="AR10" i="46"/>
  <c r="AP8" i="46"/>
  <c r="AS137" i="44"/>
  <c r="AR139" i="44"/>
  <c r="AR141" i="44"/>
  <c r="AR145" i="44"/>
  <c r="AR153" i="44"/>
  <c r="AS153" i="44" s="1"/>
  <c r="AR9" i="46"/>
  <c r="V37" i="46"/>
  <c r="AR139" i="48"/>
  <c r="AS137" i="48"/>
  <c r="AR153" i="48"/>
  <c r="AS153" i="48" s="1"/>
  <c r="AR145" i="48"/>
  <c r="AR141" i="48"/>
  <c r="AR73" i="46"/>
  <c r="V101" i="46"/>
  <c r="AR136" i="48"/>
  <c r="R165" i="48"/>
  <c r="AR137" i="46"/>
  <c r="V165" i="46"/>
  <c r="V101" i="40"/>
  <c r="AR137" i="50"/>
  <c r="V165" i="50"/>
  <c r="AR8" i="50"/>
  <c r="R37" i="50"/>
  <c r="V101" i="38"/>
  <c r="AR73" i="38"/>
  <c r="AS73" i="38" s="1"/>
  <c r="AS73" i="44"/>
  <c r="AR75" i="44"/>
  <c r="AR89" i="44"/>
  <c r="AS89" i="44" s="1"/>
  <c r="AR77" i="44"/>
  <c r="AR81" i="44"/>
  <c r="AR73" i="34"/>
  <c r="AS73" i="34" s="1"/>
  <c r="V101" i="34"/>
  <c r="AR9" i="48"/>
  <c r="V37" i="48"/>
  <c r="AT51" i="46" l="1"/>
  <c r="AQ51" i="46"/>
  <c r="AU51" i="46"/>
  <c r="AP52" i="46"/>
  <c r="AT182" i="44"/>
  <c r="AQ182" i="44"/>
  <c r="AU182" i="44"/>
  <c r="AQ115" i="44"/>
  <c r="AU115" i="44"/>
  <c r="AR20" i="46"/>
  <c r="AS12" i="46"/>
  <c r="AR28" i="46"/>
  <c r="AS28" i="46" s="1"/>
  <c r="AS72" i="50"/>
  <c r="AR88" i="50"/>
  <c r="AS88" i="50" s="1"/>
  <c r="AR80" i="50"/>
  <c r="AP72" i="50"/>
  <c r="AP73" i="50" s="1"/>
  <c r="AR74" i="50"/>
  <c r="AR76" i="50"/>
  <c r="AR97" i="48"/>
  <c r="AS97" i="48" s="1"/>
  <c r="AS81" i="48"/>
  <c r="AR143" i="44"/>
  <c r="AS139" i="44"/>
  <c r="AR155" i="44"/>
  <c r="AS155" i="44" s="1"/>
  <c r="AR147" i="44"/>
  <c r="AS144" i="46"/>
  <c r="AR160" i="46"/>
  <c r="AS160" i="46" s="1"/>
  <c r="AR16" i="44"/>
  <c r="AR10" i="44"/>
  <c r="AP8" i="44"/>
  <c r="AR12" i="44"/>
  <c r="AS8" i="44"/>
  <c r="AS24" i="44"/>
  <c r="AS9" i="50"/>
  <c r="AR25" i="50"/>
  <c r="AS25" i="50" s="1"/>
  <c r="AR17" i="50"/>
  <c r="AR13" i="50"/>
  <c r="AR11" i="50"/>
  <c r="AR33" i="44"/>
  <c r="AS33" i="44" s="1"/>
  <c r="AS17" i="44"/>
  <c r="AR154" i="50"/>
  <c r="AS154" i="50" s="1"/>
  <c r="AR146" i="50"/>
  <c r="AS138" i="50"/>
  <c r="AR142" i="50"/>
  <c r="AS81" i="44"/>
  <c r="AR97" i="44"/>
  <c r="AS97" i="44" s="1"/>
  <c r="AS8" i="50"/>
  <c r="AP8" i="50"/>
  <c r="AP9" i="50" s="1"/>
  <c r="AR16" i="50"/>
  <c r="AR24" i="50"/>
  <c r="AS24" i="50" s="1"/>
  <c r="AR10" i="50"/>
  <c r="AR12" i="50"/>
  <c r="AR152" i="48"/>
  <c r="AS152" i="48" s="1"/>
  <c r="AR140" i="48"/>
  <c r="AR144" i="48"/>
  <c r="AS136" i="48"/>
  <c r="AP136" i="48"/>
  <c r="AR138" i="48"/>
  <c r="AR155" i="48"/>
  <c r="AS155" i="48" s="1"/>
  <c r="AR143" i="48"/>
  <c r="AR147" i="48"/>
  <c r="AS139" i="48"/>
  <c r="AR91" i="48"/>
  <c r="AS91" i="48" s="1"/>
  <c r="AS75" i="48"/>
  <c r="AR83" i="48"/>
  <c r="AR79" i="48"/>
  <c r="AR156" i="50"/>
  <c r="AS156" i="50" s="1"/>
  <c r="AR148" i="50"/>
  <c r="AS140" i="50"/>
  <c r="AR93" i="44"/>
  <c r="AS93" i="44" s="1"/>
  <c r="AR85" i="44"/>
  <c r="AS77" i="44"/>
  <c r="AQ8" i="46"/>
  <c r="AU8" i="46"/>
  <c r="AT8" i="46"/>
  <c r="AR142" i="46"/>
  <c r="AR146" i="46"/>
  <c r="AR154" i="46"/>
  <c r="AS154" i="46" s="1"/>
  <c r="AS138" i="46"/>
  <c r="AR138" i="44"/>
  <c r="AP136" i="44"/>
  <c r="AR152" i="44"/>
  <c r="AS152" i="44" s="1"/>
  <c r="AR140" i="44"/>
  <c r="AS136" i="44"/>
  <c r="AR144" i="44"/>
  <c r="AR76" i="48"/>
  <c r="AS72" i="48"/>
  <c r="AR74" i="48"/>
  <c r="AR80" i="48"/>
  <c r="AR88" i="48"/>
  <c r="AS88" i="48" s="1"/>
  <c r="AP72" i="48"/>
  <c r="AS73" i="50"/>
  <c r="AR89" i="50"/>
  <c r="AS89" i="50" s="1"/>
  <c r="AR81" i="50"/>
  <c r="AR75" i="50"/>
  <c r="AR77" i="50"/>
  <c r="AS80" i="46"/>
  <c r="AR96" i="46"/>
  <c r="AS96" i="46" s="1"/>
  <c r="AR161" i="44"/>
  <c r="AS161" i="44" s="1"/>
  <c r="AS145" i="44"/>
  <c r="AR153" i="46"/>
  <c r="AS153" i="46" s="1"/>
  <c r="AR141" i="46"/>
  <c r="AS137" i="46"/>
  <c r="AR139" i="46"/>
  <c r="AR145" i="46"/>
  <c r="AR149" i="44"/>
  <c r="AS141" i="44"/>
  <c r="AR157" i="44"/>
  <c r="AS157" i="44" s="1"/>
  <c r="AR76" i="44"/>
  <c r="AS72" i="44"/>
  <c r="AR74" i="44"/>
  <c r="AR80" i="44"/>
  <c r="AP72" i="44"/>
  <c r="AR88" i="44"/>
  <c r="AS88" i="44" s="1"/>
  <c r="AS137" i="50"/>
  <c r="AR139" i="50"/>
  <c r="AR141" i="50"/>
  <c r="AP137" i="50"/>
  <c r="AP138" i="50" s="1"/>
  <c r="AR145" i="50"/>
  <c r="AR153" i="50"/>
  <c r="AS153" i="50" s="1"/>
  <c r="AR81" i="46"/>
  <c r="AS73" i="46"/>
  <c r="AR75" i="46"/>
  <c r="AR89" i="46"/>
  <c r="AS89" i="46" s="1"/>
  <c r="AR77" i="46"/>
  <c r="AP73" i="46"/>
  <c r="AR17" i="46"/>
  <c r="AS9" i="46"/>
  <c r="AR11" i="46"/>
  <c r="AR25" i="46"/>
  <c r="AS25" i="46" s="1"/>
  <c r="AR13" i="46"/>
  <c r="AP9" i="46"/>
  <c r="AP10" i="46" s="1"/>
  <c r="AR18" i="46"/>
  <c r="AR14" i="46"/>
  <c r="AS10" i="46"/>
  <c r="AR26" i="46"/>
  <c r="AS26" i="46" s="1"/>
  <c r="AU72" i="46"/>
  <c r="AQ72" i="46"/>
  <c r="AT72" i="46"/>
  <c r="AR160" i="50"/>
  <c r="AS160" i="50" s="1"/>
  <c r="AS144" i="50"/>
  <c r="AR11" i="48"/>
  <c r="AR17" i="48"/>
  <c r="AS9" i="48"/>
  <c r="AR25" i="48"/>
  <c r="AS25" i="48" s="1"/>
  <c r="AR13" i="48"/>
  <c r="AR83" i="44"/>
  <c r="AR79" i="44"/>
  <c r="AS75" i="44"/>
  <c r="AR91" i="44"/>
  <c r="AS91" i="44" s="1"/>
  <c r="AR149" i="48"/>
  <c r="AR157" i="48"/>
  <c r="AS157" i="48" s="1"/>
  <c r="AS141" i="48"/>
  <c r="AS140" i="46"/>
  <c r="AR156" i="46"/>
  <c r="AS156" i="46" s="1"/>
  <c r="AR148" i="46"/>
  <c r="AR19" i="44"/>
  <c r="AR15" i="44"/>
  <c r="AS11" i="44"/>
  <c r="AR27" i="44"/>
  <c r="AS27" i="44" s="1"/>
  <c r="AR82" i="46"/>
  <c r="AR78" i="46"/>
  <c r="AS74" i="46"/>
  <c r="AR90" i="46"/>
  <c r="AS90" i="46" s="1"/>
  <c r="AU136" i="50"/>
  <c r="AT136" i="50"/>
  <c r="AQ136" i="50"/>
  <c r="AR161" i="48"/>
  <c r="AS161" i="48" s="1"/>
  <c r="AS145" i="48"/>
  <c r="AS16" i="46"/>
  <c r="AR32" i="46"/>
  <c r="AS32" i="46" s="1"/>
  <c r="AP137" i="46"/>
  <c r="AQ136" i="46"/>
  <c r="AU136" i="46"/>
  <c r="AT136" i="46"/>
  <c r="AR12" i="48"/>
  <c r="AR10" i="48"/>
  <c r="AR16" i="48"/>
  <c r="AR24" i="48"/>
  <c r="AS24" i="48" s="1"/>
  <c r="AS8" i="48"/>
  <c r="AP8" i="48"/>
  <c r="AP9" i="48" s="1"/>
  <c r="AR21" i="44"/>
  <c r="AS13" i="44"/>
  <c r="AR29" i="44"/>
  <c r="AS29" i="44" s="1"/>
  <c r="AR85" i="48"/>
  <c r="AS77" i="48"/>
  <c r="AR93" i="48"/>
  <c r="AS93" i="48" s="1"/>
  <c r="AS76" i="46"/>
  <c r="AR84" i="46"/>
  <c r="AR92" i="46"/>
  <c r="AS92" i="46" s="1"/>
  <c r="AQ52" i="46" l="1"/>
  <c r="AU52" i="46"/>
  <c r="AT52" i="46"/>
  <c r="AP53" i="46"/>
  <c r="AQ183" i="44"/>
  <c r="AT183" i="44"/>
  <c r="AU183" i="44"/>
  <c r="AQ116" i="44"/>
  <c r="AU116" i="44"/>
  <c r="AQ10" i="46"/>
  <c r="AU10" i="46"/>
  <c r="AT10" i="46"/>
  <c r="AQ9" i="50"/>
  <c r="AU9" i="50"/>
  <c r="AT9" i="50"/>
  <c r="AT8" i="48"/>
  <c r="AQ8" i="48"/>
  <c r="AU8" i="48"/>
  <c r="AS19" i="44"/>
  <c r="AR35" i="44"/>
  <c r="AS35" i="44" s="1"/>
  <c r="AR15" i="46"/>
  <c r="AS11" i="46"/>
  <c r="AR27" i="46"/>
  <c r="AS27" i="46" s="1"/>
  <c r="AR19" i="46"/>
  <c r="AP11" i="46"/>
  <c r="AQ72" i="48"/>
  <c r="AU72" i="48"/>
  <c r="AT72" i="48"/>
  <c r="AP73" i="48"/>
  <c r="AS142" i="46"/>
  <c r="AR150" i="46"/>
  <c r="AR158" i="46"/>
  <c r="AS158" i="46" s="1"/>
  <c r="AS144" i="48"/>
  <c r="AR160" i="48"/>
  <c r="AS160" i="48" s="1"/>
  <c r="AP74" i="50"/>
  <c r="AR78" i="50"/>
  <c r="AS74" i="50"/>
  <c r="AR82" i="50"/>
  <c r="AR90" i="50"/>
  <c r="AS90" i="50" s="1"/>
  <c r="AR100" i="46"/>
  <c r="AS100" i="46" s="1"/>
  <c r="AS84" i="46"/>
  <c r="AR31" i="44"/>
  <c r="AS31" i="44" s="1"/>
  <c r="AS15" i="44"/>
  <c r="AR23" i="44"/>
  <c r="AS149" i="48"/>
  <c r="AR165" i="48"/>
  <c r="AS165" i="48" s="1"/>
  <c r="AR97" i="46"/>
  <c r="AS97" i="46" s="1"/>
  <c r="AS81" i="46"/>
  <c r="AR165" i="44"/>
  <c r="AS165" i="44" s="1"/>
  <c r="AS149" i="44"/>
  <c r="AR156" i="44"/>
  <c r="AS156" i="44" s="1"/>
  <c r="AR148" i="44"/>
  <c r="AS140" i="44"/>
  <c r="AS17" i="48"/>
  <c r="AR33" i="48"/>
  <c r="AS33" i="48" s="1"/>
  <c r="AP73" i="44"/>
  <c r="AU72" i="44"/>
  <c r="AT72" i="44"/>
  <c r="AQ72" i="44"/>
  <c r="AR161" i="46"/>
  <c r="AS161" i="46" s="1"/>
  <c r="AS145" i="46"/>
  <c r="AR164" i="50"/>
  <c r="AS164" i="50" s="1"/>
  <c r="AS148" i="50"/>
  <c r="AR163" i="48"/>
  <c r="AS163" i="48" s="1"/>
  <c r="AS147" i="48"/>
  <c r="AS140" i="48"/>
  <c r="AR148" i="48"/>
  <c r="AR156" i="48"/>
  <c r="AS156" i="48" s="1"/>
  <c r="AS147" i="44"/>
  <c r="AR163" i="44"/>
  <c r="AS163" i="44" s="1"/>
  <c r="AT72" i="50"/>
  <c r="AQ72" i="50"/>
  <c r="AU72" i="50"/>
  <c r="AS21" i="44"/>
  <c r="AR37" i="44"/>
  <c r="AS37" i="44" s="1"/>
  <c r="AU137" i="46"/>
  <c r="AT137" i="46"/>
  <c r="AQ137" i="46"/>
  <c r="AR164" i="46"/>
  <c r="AS164" i="46" s="1"/>
  <c r="AS148" i="46"/>
  <c r="AR15" i="48"/>
  <c r="AS11" i="48"/>
  <c r="AR19" i="48"/>
  <c r="AR27" i="48"/>
  <c r="AS27" i="48" s="1"/>
  <c r="AS17" i="46"/>
  <c r="AR33" i="46"/>
  <c r="AS33" i="46" s="1"/>
  <c r="AR161" i="50"/>
  <c r="AS161" i="50" s="1"/>
  <c r="AS145" i="50"/>
  <c r="AR96" i="44"/>
  <c r="AS96" i="44" s="1"/>
  <c r="AS80" i="44"/>
  <c r="AS139" i="46"/>
  <c r="AR155" i="46"/>
  <c r="AS155" i="46" s="1"/>
  <c r="AR143" i="46"/>
  <c r="AR147" i="46"/>
  <c r="AR85" i="50"/>
  <c r="AS77" i="50"/>
  <c r="AR93" i="50"/>
  <c r="AS93" i="50" s="1"/>
  <c r="AR96" i="48"/>
  <c r="AS96" i="48" s="1"/>
  <c r="AS80" i="48"/>
  <c r="AT136" i="44"/>
  <c r="AQ136" i="44"/>
  <c r="AU136" i="44"/>
  <c r="AP137" i="44"/>
  <c r="AP138" i="44" s="1"/>
  <c r="AR159" i="48"/>
  <c r="AS159" i="48" s="1"/>
  <c r="AR151" i="48"/>
  <c r="AS143" i="48"/>
  <c r="AR19" i="50"/>
  <c r="AR27" i="50"/>
  <c r="AS27" i="50" s="1"/>
  <c r="AR15" i="50"/>
  <c r="AS11" i="50"/>
  <c r="AR28" i="44"/>
  <c r="AS28" i="44" s="1"/>
  <c r="AS12" i="44"/>
  <c r="AR20" i="44"/>
  <c r="AS80" i="50"/>
  <c r="AR96" i="50"/>
  <c r="AS96" i="50" s="1"/>
  <c r="AQ137" i="50"/>
  <c r="AT137" i="50"/>
  <c r="AU137" i="50"/>
  <c r="AR90" i="44"/>
  <c r="AS90" i="44" s="1"/>
  <c r="AP74" i="44"/>
  <c r="AR82" i="44"/>
  <c r="AR78" i="44"/>
  <c r="AS74" i="44"/>
  <c r="AR91" i="50"/>
  <c r="AS91" i="50" s="1"/>
  <c r="AR83" i="50"/>
  <c r="AS75" i="50"/>
  <c r="AP75" i="50"/>
  <c r="AR79" i="50"/>
  <c r="AR78" i="48"/>
  <c r="AR90" i="48"/>
  <c r="AS90" i="48" s="1"/>
  <c r="AS74" i="48"/>
  <c r="AR82" i="48"/>
  <c r="AS138" i="44"/>
  <c r="AR142" i="44"/>
  <c r="AR154" i="44"/>
  <c r="AS154" i="44" s="1"/>
  <c r="AR146" i="44"/>
  <c r="AR95" i="48"/>
  <c r="AS95" i="48" s="1"/>
  <c r="AS79" i="48"/>
  <c r="AR87" i="48"/>
  <c r="AS12" i="50"/>
  <c r="AR20" i="50"/>
  <c r="AR28" i="50"/>
  <c r="AS28" i="50" s="1"/>
  <c r="AS142" i="50"/>
  <c r="AR158" i="50"/>
  <c r="AS158" i="50" s="1"/>
  <c r="AR150" i="50"/>
  <c r="AQ8" i="44"/>
  <c r="AT8" i="44"/>
  <c r="AU8" i="44"/>
  <c r="AP9" i="44"/>
  <c r="AP10" i="44" s="1"/>
  <c r="AS16" i="48"/>
  <c r="AR32" i="48"/>
  <c r="AS32" i="48" s="1"/>
  <c r="AR86" i="46"/>
  <c r="AS78" i="46"/>
  <c r="AR94" i="46"/>
  <c r="AS94" i="46" s="1"/>
  <c r="AR95" i="44"/>
  <c r="AS95" i="44" s="1"/>
  <c r="AR87" i="44"/>
  <c r="AS79" i="44"/>
  <c r="AR22" i="46"/>
  <c r="AS14" i="46"/>
  <c r="AR30" i="46"/>
  <c r="AS30" i="46" s="1"/>
  <c r="AP74" i="46"/>
  <c r="AT73" i="46"/>
  <c r="AU73" i="46"/>
  <c r="AQ73" i="46"/>
  <c r="AR101" i="48"/>
  <c r="AS101" i="48" s="1"/>
  <c r="AS85" i="48"/>
  <c r="AR18" i="48"/>
  <c r="AR14" i="48"/>
  <c r="AR26" i="48"/>
  <c r="AS26" i="48" s="1"/>
  <c r="AS10" i="48"/>
  <c r="AS82" i="46"/>
  <c r="AR98" i="46"/>
  <c r="AS98" i="46" s="1"/>
  <c r="AR99" i="44"/>
  <c r="AS99" i="44" s="1"/>
  <c r="AS83" i="44"/>
  <c r="AR34" i="46"/>
  <c r="AS34" i="46" s="1"/>
  <c r="AS18" i="46"/>
  <c r="AR85" i="46"/>
  <c r="AR93" i="46"/>
  <c r="AS93" i="46" s="1"/>
  <c r="AS77" i="46"/>
  <c r="AS141" i="50"/>
  <c r="AR157" i="50"/>
  <c r="AS157" i="50" s="1"/>
  <c r="AR149" i="50"/>
  <c r="AR157" i="46"/>
  <c r="AS157" i="46" s="1"/>
  <c r="AS141" i="46"/>
  <c r="AR149" i="46"/>
  <c r="AS81" i="50"/>
  <c r="AR97" i="50"/>
  <c r="AS97" i="50" s="1"/>
  <c r="AR99" i="48"/>
  <c r="AS99" i="48" s="1"/>
  <c r="AS83" i="48"/>
  <c r="AP10" i="50"/>
  <c r="AP11" i="50" s="1"/>
  <c r="AR14" i="50"/>
  <c r="AR18" i="50"/>
  <c r="AS10" i="50"/>
  <c r="AR26" i="50"/>
  <c r="AS26" i="50" s="1"/>
  <c r="AR21" i="50"/>
  <c r="AR29" i="50"/>
  <c r="AS29" i="50" s="1"/>
  <c r="AS13" i="50"/>
  <c r="AS26" i="44"/>
  <c r="AR18" i="44"/>
  <c r="AR14" i="44"/>
  <c r="AS10" i="44"/>
  <c r="AR159" i="44"/>
  <c r="AS159" i="44" s="1"/>
  <c r="AR151" i="44"/>
  <c r="AS143" i="44"/>
  <c r="AR28" i="48"/>
  <c r="AS28" i="48" s="1"/>
  <c r="AR20" i="48"/>
  <c r="AS12" i="48"/>
  <c r="AP10" i="48"/>
  <c r="AQ9" i="48"/>
  <c r="AU9" i="48"/>
  <c r="AT9" i="48"/>
  <c r="AU9" i="46"/>
  <c r="AT9" i="46"/>
  <c r="AQ9" i="46"/>
  <c r="AR143" i="50"/>
  <c r="AS139" i="50"/>
  <c r="AR155" i="50"/>
  <c r="AS155" i="50" s="1"/>
  <c r="AR147" i="50"/>
  <c r="AP139" i="50"/>
  <c r="AR92" i="44"/>
  <c r="AS92" i="44" s="1"/>
  <c r="AR84" i="44"/>
  <c r="AS76" i="44"/>
  <c r="AR84" i="48"/>
  <c r="AR92" i="48"/>
  <c r="AS92" i="48" s="1"/>
  <c r="AS76" i="48"/>
  <c r="AP138" i="46"/>
  <c r="AS138" i="48"/>
  <c r="AR142" i="48"/>
  <c r="AR154" i="48"/>
  <c r="AS154" i="48" s="1"/>
  <c r="AR146" i="48"/>
  <c r="AR162" i="50"/>
  <c r="AS162" i="50" s="1"/>
  <c r="AS146" i="50"/>
  <c r="AR33" i="50"/>
  <c r="AS33" i="50" s="1"/>
  <c r="AS17" i="50"/>
  <c r="AS32" i="44"/>
  <c r="AS16" i="44"/>
  <c r="AR21" i="48"/>
  <c r="AS13" i="48"/>
  <c r="AR29" i="48"/>
  <c r="AS29" i="48" s="1"/>
  <c r="AR29" i="46"/>
  <c r="AS29" i="46" s="1"/>
  <c r="AR21" i="46"/>
  <c r="AS13" i="46"/>
  <c r="AR79" i="46"/>
  <c r="AR83" i="46"/>
  <c r="AS75" i="46"/>
  <c r="AR91" i="46"/>
  <c r="AS91" i="46" s="1"/>
  <c r="AT73" i="50"/>
  <c r="AQ73" i="50"/>
  <c r="AU73" i="50"/>
  <c r="AS144" i="44"/>
  <c r="AR160" i="44"/>
  <c r="AS160" i="44" s="1"/>
  <c r="AR101" i="44"/>
  <c r="AS101" i="44" s="1"/>
  <c r="AS85" i="44"/>
  <c r="AU136" i="48"/>
  <c r="AT136" i="48"/>
  <c r="AQ136" i="48"/>
  <c r="AP137" i="48"/>
  <c r="AR32" i="50"/>
  <c r="AS32" i="50" s="1"/>
  <c r="AS16" i="50"/>
  <c r="AR162" i="46"/>
  <c r="AS162" i="46" s="1"/>
  <c r="AS146" i="46"/>
  <c r="AQ8" i="50"/>
  <c r="AU8" i="50"/>
  <c r="AT8" i="50"/>
  <c r="AT138" i="50"/>
  <c r="AQ138" i="50"/>
  <c r="AU138" i="50"/>
  <c r="AR92" i="50"/>
  <c r="AS92" i="50" s="1"/>
  <c r="AS76" i="50"/>
  <c r="AR84" i="50"/>
  <c r="AR36" i="46"/>
  <c r="AS36" i="46" s="1"/>
  <c r="AS20" i="46"/>
  <c r="AT53" i="46" l="1"/>
  <c r="AQ53" i="46"/>
  <c r="AU53" i="46"/>
  <c r="AP54" i="46"/>
  <c r="AT184" i="44"/>
  <c r="AQ184" i="44"/>
  <c r="AU184" i="44"/>
  <c r="AP186" i="44"/>
  <c r="AQ117" i="44"/>
  <c r="AU117" i="44"/>
  <c r="AP12" i="50"/>
  <c r="AP13" i="50" s="1"/>
  <c r="AT138" i="44"/>
  <c r="AU138" i="44"/>
  <c r="AQ138" i="44"/>
  <c r="AR99" i="46"/>
  <c r="AS99" i="46" s="1"/>
  <c r="AS83" i="46"/>
  <c r="AR37" i="48"/>
  <c r="AS37" i="48" s="1"/>
  <c r="AS21" i="48"/>
  <c r="AR151" i="50"/>
  <c r="AR159" i="50"/>
  <c r="AS159" i="50" s="1"/>
  <c r="AS143" i="50"/>
  <c r="AS150" i="50"/>
  <c r="AR166" i="50"/>
  <c r="AS166" i="50" s="1"/>
  <c r="AT74" i="50"/>
  <c r="AQ74" i="50"/>
  <c r="AU74" i="50"/>
  <c r="AQ10" i="48"/>
  <c r="AU10" i="48"/>
  <c r="AT10" i="48"/>
  <c r="AR165" i="50"/>
  <c r="AS165" i="50" s="1"/>
  <c r="AS149" i="50"/>
  <c r="AR98" i="48"/>
  <c r="AS98" i="48" s="1"/>
  <c r="AS82" i="48"/>
  <c r="AR95" i="46"/>
  <c r="AS95" i="46" s="1"/>
  <c r="AS79" i="46"/>
  <c r="AR87" i="46"/>
  <c r="AR150" i="48"/>
  <c r="AR158" i="48"/>
  <c r="AS158" i="48" s="1"/>
  <c r="AS142" i="48"/>
  <c r="AR22" i="44"/>
  <c r="AR30" i="44"/>
  <c r="AS30" i="44" s="1"/>
  <c r="AS14" i="44"/>
  <c r="AR102" i="46"/>
  <c r="AS102" i="46" s="1"/>
  <c r="AS86" i="46"/>
  <c r="AR94" i="44"/>
  <c r="AS94" i="44" s="1"/>
  <c r="AR86" i="44"/>
  <c r="AS78" i="44"/>
  <c r="AR35" i="50"/>
  <c r="AS35" i="50" s="1"/>
  <c r="AS19" i="50"/>
  <c r="AS147" i="46"/>
  <c r="AR163" i="46"/>
  <c r="AS163" i="46" s="1"/>
  <c r="AU73" i="44"/>
  <c r="AT73" i="44"/>
  <c r="AQ73" i="44"/>
  <c r="AR100" i="44"/>
  <c r="AS100" i="44" s="1"/>
  <c r="AS84" i="44"/>
  <c r="AS34" i="44"/>
  <c r="AS18" i="44"/>
  <c r="AS18" i="50"/>
  <c r="AR34" i="50"/>
  <c r="AS34" i="50" s="1"/>
  <c r="AR38" i="46"/>
  <c r="AS38" i="46" s="1"/>
  <c r="AS22" i="46"/>
  <c r="AR94" i="48"/>
  <c r="AS94" i="48" s="1"/>
  <c r="AR86" i="48"/>
  <c r="AS78" i="48"/>
  <c r="AS82" i="44"/>
  <c r="AR98" i="44"/>
  <c r="AS98" i="44" s="1"/>
  <c r="AT11" i="50"/>
  <c r="AQ11" i="50"/>
  <c r="AU11" i="50"/>
  <c r="AR159" i="46"/>
  <c r="AS159" i="46" s="1"/>
  <c r="AR151" i="46"/>
  <c r="AS143" i="46"/>
  <c r="AP12" i="46"/>
  <c r="AT11" i="46"/>
  <c r="AQ11" i="46"/>
  <c r="AU11" i="46"/>
  <c r="AP11" i="44"/>
  <c r="AU10" i="44"/>
  <c r="AT10" i="44"/>
  <c r="AQ10" i="44"/>
  <c r="AS18" i="48"/>
  <c r="AR34" i="48"/>
  <c r="AS34" i="48" s="1"/>
  <c r="AP138" i="48"/>
  <c r="AP139" i="48" s="1"/>
  <c r="AQ137" i="48"/>
  <c r="AT137" i="48"/>
  <c r="AU137" i="48"/>
  <c r="AR36" i="48"/>
  <c r="AS36" i="48" s="1"/>
  <c r="AS20" i="48"/>
  <c r="AP139" i="46"/>
  <c r="AP140" i="46" s="1"/>
  <c r="AU138" i="46"/>
  <c r="AQ138" i="46"/>
  <c r="AT138" i="46"/>
  <c r="AR30" i="50"/>
  <c r="AS30" i="50" s="1"/>
  <c r="AS14" i="50"/>
  <c r="AR22" i="50"/>
  <c r="AP14" i="50"/>
  <c r="AP15" i="50" s="1"/>
  <c r="AS149" i="46"/>
  <c r="AR165" i="46"/>
  <c r="AS165" i="46" s="1"/>
  <c r="AR162" i="44"/>
  <c r="AS162" i="44" s="1"/>
  <c r="AS146" i="44"/>
  <c r="AR95" i="50"/>
  <c r="AS95" i="50" s="1"/>
  <c r="AR87" i="50"/>
  <c r="AS79" i="50"/>
  <c r="AP75" i="44"/>
  <c r="AT74" i="44"/>
  <c r="AQ74" i="44"/>
  <c r="AU74" i="44"/>
  <c r="AS20" i="44"/>
  <c r="AR36" i="44"/>
  <c r="AS36" i="44" s="1"/>
  <c r="AP11" i="48"/>
  <c r="AP12" i="48" s="1"/>
  <c r="AR35" i="46"/>
  <c r="AS35" i="46" s="1"/>
  <c r="AS19" i="46"/>
  <c r="AR162" i="48"/>
  <c r="AS162" i="48" s="1"/>
  <c r="AS146" i="48"/>
  <c r="AU74" i="46"/>
  <c r="AT74" i="46"/>
  <c r="AQ74" i="46"/>
  <c r="AR31" i="50"/>
  <c r="AS31" i="50" s="1"/>
  <c r="AS15" i="50"/>
  <c r="AR23" i="50"/>
  <c r="AR31" i="48"/>
  <c r="AS31" i="48" s="1"/>
  <c r="AS15" i="48"/>
  <c r="AR23" i="48"/>
  <c r="AS23" i="44"/>
  <c r="AS84" i="50"/>
  <c r="AR100" i="50"/>
  <c r="AS100" i="50" s="1"/>
  <c r="AS21" i="46"/>
  <c r="AR37" i="46"/>
  <c r="AS37" i="46" s="1"/>
  <c r="AP140" i="50"/>
  <c r="AU139" i="50"/>
  <c r="AT139" i="50"/>
  <c r="AQ139" i="50"/>
  <c r="AU13" i="50"/>
  <c r="AT13" i="50"/>
  <c r="AQ13" i="50"/>
  <c r="AQ10" i="50"/>
  <c r="AU10" i="50"/>
  <c r="AT10" i="50"/>
  <c r="AS87" i="44"/>
  <c r="AR103" i="44"/>
  <c r="AS103" i="44" s="1"/>
  <c r="AT9" i="44"/>
  <c r="AQ9" i="44"/>
  <c r="AU9" i="44"/>
  <c r="AQ12" i="50"/>
  <c r="AT12" i="50"/>
  <c r="AU12" i="50"/>
  <c r="AP76" i="50"/>
  <c r="AU75" i="50"/>
  <c r="AT75" i="50"/>
  <c r="AQ75" i="50"/>
  <c r="AR166" i="46"/>
  <c r="AS166" i="46" s="1"/>
  <c r="AS150" i="46"/>
  <c r="AS21" i="50"/>
  <c r="AR37" i="50"/>
  <c r="AS37" i="50" s="1"/>
  <c r="AR103" i="48"/>
  <c r="AS103" i="48" s="1"/>
  <c r="AS87" i="48"/>
  <c r="AT137" i="44"/>
  <c r="AQ137" i="44"/>
  <c r="AU137" i="44"/>
  <c r="AP139" i="44"/>
  <c r="AR101" i="50"/>
  <c r="AS101" i="50" s="1"/>
  <c r="AS85" i="50"/>
  <c r="AR86" i="50"/>
  <c r="AR94" i="50"/>
  <c r="AS94" i="50" s="1"/>
  <c r="AS78" i="50"/>
  <c r="AP75" i="46"/>
  <c r="AS147" i="50"/>
  <c r="AR163" i="50"/>
  <c r="AS163" i="50" s="1"/>
  <c r="AR167" i="44"/>
  <c r="AS167" i="44" s="1"/>
  <c r="AS151" i="44"/>
  <c r="AS85" i="46"/>
  <c r="AR101" i="46"/>
  <c r="AS101" i="46" s="1"/>
  <c r="AR36" i="50"/>
  <c r="AS36" i="50" s="1"/>
  <c r="AS20" i="50"/>
  <c r="AR158" i="44"/>
  <c r="AS158" i="44" s="1"/>
  <c r="AR150" i="44"/>
  <c r="AS142" i="44"/>
  <c r="AS151" i="48"/>
  <c r="AR167" i="48"/>
  <c r="AS167" i="48" s="1"/>
  <c r="AS19" i="48"/>
  <c r="AR35" i="48"/>
  <c r="AS35" i="48" s="1"/>
  <c r="AR98" i="50"/>
  <c r="AS98" i="50" s="1"/>
  <c r="AS82" i="50"/>
  <c r="AR100" i="48"/>
  <c r="AS100" i="48" s="1"/>
  <c r="AS84" i="48"/>
  <c r="AR22" i="48"/>
  <c r="AS14" i="48"/>
  <c r="AR30" i="48"/>
  <c r="AS30" i="48" s="1"/>
  <c r="AS83" i="50"/>
  <c r="AR99" i="50"/>
  <c r="AS99" i="50" s="1"/>
  <c r="AR164" i="48"/>
  <c r="AS164" i="48" s="1"/>
  <c r="AS148" i="48"/>
  <c r="AR164" i="44"/>
  <c r="AS164" i="44" s="1"/>
  <c r="AS148" i="44"/>
  <c r="AP74" i="48"/>
  <c r="AQ73" i="48"/>
  <c r="AU73" i="48"/>
  <c r="AT73" i="48"/>
  <c r="AR23" i="46"/>
  <c r="AR31" i="46"/>
  <c r="AS31" i="46" s="1"/>
  <c r="AS15" i="46"/>
  <c r="AP144" i="50"/>
  <c r="AP16" i="50"/>
  <c r="AQ54" i="46" l="1"/>
  <c r="AU54" i="46"/>
  <c r="AT54" i="46"/>
  <c r="AP55" i="46"/>
  <c r="AT186" i="44"/>
  <c r="AQ186" i="44"/>
  <c r="AU186" i="44"/>
  <c r="AP187" i="44"/>
  <c r="AQ15" i="50"/>
  <c r="AT15" i="50"/>
  <c r="AU15" i="50"/>
  <c r="AP141" i="50"/>
  <c r="AP77" i="50"/>
  <c r="AQ12" i="48"/>
  <c r="AU12" i="48"/>
  <c r="AT12" i="48"/>
  <c r="AP140" i="48"/>
  <c r="AP141" i="48" s="1"/>
  <c r="AT139" i="48"/>
  <c r="AU139" i="48"/>
  <c r="AQ139" i="48"/>
  <c r="AP76" i="46"/>
  <c r="AQ75" i="46"/>
  <c r="AT75" i="46"/>
  <c r="AU75" i="46"/>
  <c r="AR39" i="50"/>
  <c r="AS39" i="50" s="1"/>
  <c r="AS23" i="50"/>
  <c r="AR167" i="50"/>
  <c r="AS167" i="50" s="1"/>
  <c r="AS151" i="50"/>
  <c r="AQ74" i="48"/>
  <c r="AU74" i="48"/>
  <c r="AT74" i="48"/>
  <c r="AP75" i="48"/>
  <c r="AQ140" i="46"/>
  <c r="AT140" i="46"/>
  <c r="AU140" i="46"/>
  <c r="AP140" i="44"/>
  <c r="AP141" i="44" s="1"/>
  <c r="AT139" i="44"/>
  <c r="AQ139" i="44"/>
  <c r="AU139" i="44"/>
  <c r="AQ76" i="50"/>
  <c r="AT76" i="50"/>
  <c r="AU76" i="50"/>
  <c r="AT75" i="44"/>
  <c r="AQ75" i="44"/>
  <c r="AU75" i="44"/>
  <c r="AP76" i="44"/>
  <c r="AR167" i="46"/>
  <c r="AS167" i="46" s="1"/>
  <c r="AS151" i="46"/>
  <c r="AS150" i="48"/>
  <c r="AR166" i="48"/>
  <c r="AS166" i="48" s="1"/>
  <c r="AQ11" i="48"/>
  <c r="AU11" i="48"/>
  <c r="AT11" i="48"/>
  <c r="AU14" i="50"/>
  <c r="AQ14" i="50"/>
  <c r="AT14" i="50"/>
  <c r="AU139" i="46"/>
  <c r="AT139" i="46"/>
  <c r="AQ139" i="46"/>
  <c r="AP141" i="46"/>
  <c r="AU11" i="44"/>
  <c r="AT11" i="44"/>
  <c r="AQ11" i="44"/>
  <c r="AS86" i="48"/>
  <c r="AR102" i="48"/>
  <c r="AS102" i="48" s="1"/>
  <c r="AP12" i="44"/>
  <c r="AS23" i="46"/>
  <c r="AR39" i="46"/>
  <c r="AS39" i="46" s="1"/>
  <c r="AP13" i="48"/>
  <c r="AP14" i="48" s="1"/>
  <c r="AR38" i="50"/>
  <c r="AS38" i="50" s="1"/>
  <c r="AS22" i="50"/>
  <c r="AS87" i="46"/>
  <c r="AR103" i="46"/>
  <c r="AS103" i="46" s="1"/>
  <c r="AR102" i="44"/>
  <c r="AS102" i="44" s="1"/>
  <c r="AS86" i="44"/>
  <c r="AR38" i="48"/>
  <c r="AS38" i="48" s="1"/>
  <c r="AS22" i="48"/>
  <c r="AU140" i="50"/>
  <c r="AT140" i="50"/>
  <c r="AQ140" i="50"/>
  <c r="AR103" i="50"/>
  <c r="AS103" i="50" s="1"/>
  <c r="AS87" i="50"/>
  <c r="AT138" i="48"/>
  <c r="AQ138" i="48"/>
  <c r="AU138" i="48"/>
  <c r="AR39" i="48"/>
  <c r="AS39" i="48" s="1"/>
  <c r="AS23" i="48"/>
  <c r="AS150" i="44"/>
  <c r="AR166" i="44"/>
  <c r="AS166" i="44" s="1"/>
  <c r="AR102" i="50"/>
  <c r="AS102" i="50" s="1"/>
  <c r="AS86" i="50"/>
  <c r="AQ12" i="46"/>
  <c r="AU12" i="46"/>
  <c r="AT12" i="46"/>
  <c r="AP13" i="46"/>
  <c r="AP14" i="46" s="1"/>
  <c r="AS22" i="44"/>
  <c r="AR38" i="44"/>
  <c r="AS38" i="44" s="1"/>
  <c r="AU16" i="50"/>
  <c r="AT16" i="50"/>
  <c r="AQ16" i="50"/>
  <c r="AP17" i="50"/>
  <c r="AQ144" i="50"/>
  <c r="AU144" i="50"/>
  <c r="AT144" i="50"/>
  <c r="AT55" i="46" l="1"/>
  <c r="AQ55" i="46"/>
  <c r="AU55" i="46"/>
  <c r="AT187" i="44"/>
  <c r="AQ187" i="44"/>
  <c r="AU187" i="44"/>
  <c r="AP188" i="44"/>
  <c r="AA34" i="7"/>
  <c r="U35" i="7"/>
  <c r="U36" i="7"/>
  <c r="AA36" i="7"/>
  <c r="O35" i="7"/>
  <c r="O36" i="7"/>
  <c r="I36" i="7"/>
  <c r="AT141" i="50"/>
  <c r="AU141" i="50"/>
  <c r="AQ141" i="50"/>
  <c r="AP142" i="50"/>
  <c r="AP78" i="50"/>
  <c r="AP79" i="50" s="1"/>
  <c r="AP80" i="50" s="1"/>
  <c r="AT77" i="50"/>
  <c r="AQ77" i="50"/>
  <c r="AU77" i="50"/>
  <c r="O23" i="7"/>
  <c r="U28" i="7"/>
  <c r="AA33" i="7"/>
  <c r="O28" i="7"/>
  <c r="U30" i="7"/>
  <c r="U25" i="7"/>
  <c r="O29" i="7"/>
  <c r="AA27" i="7"/>
  <c r="O25" i="7"/>
  <c r="AA24" i="7"/>
  <c r="AA29" i="7"/>
  <c r="O30" i="7"/>
  <c r="U32" i="7"/>
  <c r="U23" i="7"/>
  <c r="AA28" i="7"/>
  <c r="O33" i="7"/>
  <c r="AA32" i="7"/>
  <c r="AA23" i="7"/>
  <c r="AA31" i="7"/>
  <c r="AA30" i="7"/>
  <c r="O24" i="7"/>
  <c r="I23" i="7"/>
  <c r="I25" i="7"/>
  <c r="O11" i="7"/>
  <c r="O14" i="7"/>
  <c r="O21" i="7"/>
  <c r="AA16" i="7"/>
  <c r="AA11" i="7"/>
  <c r="I21" i="7"/>
  <c r="AT14" i="48"/>
  <c r="AQ14" i="48"/>
  <c r="AU14" i="48"/>
  <c r="AT76" i="44"/>
  <c r="AQ76" i="44"/>
  <c r="AU76" i="44"/>
  <c r="AP15" i="46"/>
  <c r="AQ14" i="46"/>
  <c r="AU14" i="46"/>
  <c r="AT14" i="46"/>
  <c r="AA21" i="7"/>
  <c r="U20" i="7"/>
  <c r="AP142" i="48"/>
  <c r="AQ141" i="48"/>
  <c r="AT141" i="48"/>
  <c r="AU141" i="48"/>
  <c r="U34" i="7" s="1"/>
  <c r="I19" i="7"/>
  <c r="O18" i="7"/>
  <c r="AA18" i="7"/>
  <c r="AA19" i="7"/>
  <c r="AP77" i="44"/>
  <c r="AP78" i="44" s="1"/>
  <c r="AP15" i="48"/>
  <c r="O15" i="7"/>
  <c r="I9" i="7"/>
  <c r="AA13" i="7"/>
  <c r="AA14" i="7"/>
  <c r="U13" i="7"/>
  <c r="I14" i="7"/>
  <c r="AQ75" i="48"/>
  <c r="AU75" i="48"/>
  <c r="AT75" i="48"/>
  <c r="AP142" i="46"/>
  <c r="AQ141" i="46"/>
  <c r="AT141" i="46"/>
  <c r="AU141" i="46"/>
  <c r="AA17" i="7"/>
  <c r="AU140" i="48"/>
  <c r="AT140" i="48"/>
  <c r="AQ140" i="48"/>
  <c r="AP142" i="44"/>
  <c r="AQ141" i="44"/>
  <c r="AT141" i="44"/>
  <c r="AU141" i="44"/>
  <c r="AU76" i="46"/>
  <c r="AQ76" i="46"/>
  <c r="AT76" i="46"/>
  <c r="AP77" i="46"/>
  <c r="AU13" i="46"/>
  <c r="AQ13" i="46"/>
  <c r="AT13" i="46"/>
  <c r="U9" i="7"/>
  <c r="AA9" i="7"/>
  <c r="AP13" i="44"/>
  <c r="AU12" i="44"/>
  <c r="AQ12" i="44"/>
  <c r="AT12" i="44"/>
  <c r="AP76" i="48"/>
  <c r="U18" i="7"/>
  <c r="AA7" i="7"/>
  <c r="AQ13" i="48"/>
  <c r="AU13" i="48"/>
  <c r="U12" i="7" s="1"/>
  <c r="AT13" i="48"/>
  <c r="AQ140" i="44"/>
  <c r="AT140" i="44"/>
  <c r="AU140" i="44"/>
  <c r="U21" i="7"/>
  <c r="AT17" i="50"/>
  <c r="AU17" i="50"/>
  <c r="AQ17" i="50"/>
  <c r="AP18" i="50"/>
  <c r="AP84" i="50"/>
  <c r="AT188" i="44" l="1"/>
  <c r="AQ188" i="44"/>
  <c r="AU188" i="44"/>
  <c r="AP189" i="44"/>
  <c r="AQ142" i="50"/>
  <c r="AU142" i="50"/>
  <c r="AA26" i="7" s="1"/>
  <c r="AT142" i="50"/>
  <c r="AP143" i="50"/>
  <c r="AP145" i="50" s="1"/>
  <c r="AU80" i="50"/>
  <c r="AT80" i="50"/>
  <c r="AQ80" i="50"/>
  <c r="AT78" i="50"/>
  <c r="AQ78" i="50"/>
  <c r="AU78" i="50"/>
  <c r="AU79" i="50"/>
  <c r="AQ79" i="50"/>
  <c r="AT79" i="50"/>
  <c r="AP81" i="50"/>
  <c r="AP82" i="50" s="1"/>
  <c r="AP79" i="44"/>
  <c r="AP80" i="44" s="1"/>
  <c r="AT80" i="44" s="1"/>
  <c r="AP78" i="46"/>
  <c r="AP79" i="46" s="1"/>
  <c r="AP80" i="46" s="1"/>
  <c r="AT142" i="46"/>
  <c r="AU142" i="46"/>
  <c r="AQ142" i="46"/>
  <c r="AT15" i="46"/>
  <c r="AQ15" i="46"/>
  <c r="AU15" i="46"/>
  <c r="AP16" i="46"/>
  <c r="AT77" i="46"/>
  <c r="AU77" i="46"/>
  <c r="AQ77" i="46"/>
  <c r="AQ13" i="44"/>
  <c r="AU13" i="44"/>
  <c r="AT13" i="44"/>
  <c r="AP14" i="44"/>
  <c r="AP77" i="48"/>
  <c r="AP16" i="48"/>
  <c r="AT15" i="48"/>
  <c r="AU15" i="48"/>
  <c r="U14" i="7" s="1"/>
  <c r="AQ15" i="48"/>
  <c r="AU142" i="44"/>
  <c r="AT142" i="44"/>
  <c r="AQ142" i="44"/>
  <c r="AP143" i="44"/>
  <c r="AU76" i="48"/>
  <c r="AT76" i="48"/>
  <c r="AQ76" i="48"/>
  <c r="AP143" i="46"/>
  <c r="AP144" i="46" s="1"/>
  <c r="AQ77" i="44"/>
  <c r="AU77" i="44"/>
  <c r="AT77" i="44"/>
  <c r="AU78" i="44"/>
  <c r="AT78" i="44"/>
  <c r="AQ78" i="44"/>
  <c r="AU142" i="48"/>
  <c r="AT142" i="48"/>
  <c r="AQ142" i="48"/>
  <c r="AP143" i="48"/>
  <c r="AQ84" i="50"/>
  <c r="AU84" i="50"/>
  <c r="AT84" i="50"/>
  <c r="AT18" i="50"/>
  <c r="AQ18" i="50"/>
  <c r="AU18" i="50"/>
  <c r="AP19" i="50"/>
  <c r="AT189" i="44" l="1"/>
  <c r="AQ189" i="44"/>
  <c r="AU189" i="44"/>
  <c r="AP146" i="50"/>
  <c r="AP147" i="50" s="1"/>
  <c r="AQ145" i="50"/>
  <c r="AU145" i="50"/>
  <c r="AT145" i="50"/>
  <c r="AT143" i="50"/>
  <c r="AU143" i="50"/>
  <c r="AQ143" i="50"/>
  <c r="AU82" i="50"/>
  <c r="AT82" i="50"/>
  <c r="AQ82" i="50"/>
  <c r="AT81" i="50"/>
  <c r="AU81" i="50"/>
  <c r="AQ81" i="50"/>
  <c r="AP83" i="50"/>
  <c r="AQ79" i="44"/>
  <c r="AQ80" i="44"/>
  <c r="AU80" i="44"/>
  <c r="AT79" i="44"/>
  <c r="AU79" i="44"/>
  <c r="AP81" i="44"/>
  <c r="AP82" i="44" s="1"/>
  <c r="AP83" i="44" s="1"/>
  <c r="AP84" i="44" s="1"/>
  <c r="AT84" i="44" s="1"/>
  <c r="AP145" i="46"/>
  <c r="AQ145" i="46" s="1"/>
  <c r="AP144" i="48"/>
  <c r="AU143" i="48"/>
  <c r="AQ143" i="48"/>
  <c r="AT143" i="48"/>
  <c r="AT80" i="46"/>
  <c r="AQ80" i="46"/>
  <c r="AU80" i="46"/>
  <c r="AP144" i="44"/>
  <c r="AU143" i="44"/>
  <c r="AT143" i="44"/>
  <c r="AQ143" i="44"/>
  <c r="AT16" i="48"/>
  <c r="AU16" i="48"/>
  <c r="AQ16" i="48"/>
  <c r="AU79" i="46"/>
  <c r="AT79" i="46"/>
  <c r="AQ79" i="46"/>
  <c r="AQ16" i="46"/>
  <c r="AU16" i="46"/>
  <c r="AT16" i="46"/>
  <c r="AP17" i="46"/>
  <c r="AP17" i="48"/>
  <c r="AP18" i="48" s="1"/>
  <c r="AT77" i="48"/>
  <c r="AQ77" i="48"/>
  <c r="AU77" i="48"/>
  <c r="AP78" i="48"/>
  <c r="AQ144" i="46"/>
  <c r="AT144" i="46"/>
  <c r="AU144" i="46"/>
  <c r="AQ143" i="46"/>
  <c r="AT143" i="46"/>
  <c r="AU143" i="46"/>
  <c r="AQ14" i="44"/>
  <c r="AU14" i="44"/>
  <c r="AT14" i="44"/>
  <c r="AP15" i="44"/>
  <c r="AU78" i="46"/>
  <c r="O20" i="7" s="1"/>
  <c r="AT78" i="46"/>
  <c r="AQ78" i="46"/>
  <c r="AP81" i="46"/>
  <c r="AU19" i="50"/>
  <c r="AA20" i="7" s="1"/>
  <c r="AT19" i="50"/>
  <c r="AQ19" i="50"/>
  <c r="AP20" i="50"/>
  <c r="AT147" i="50" l="1"/>
  <c r="AU147" i="50"/>
  <c r="AQ147" i="50"/>
  <c r="AP148" i="50"/>
  <c r="AT146" i="50"/>
  <c r="AU146" i="50"/>
  <c r="AA35" i="7" s="1"/>
  <c r="AQ146" i="50"/>
  <c r="AP85" i="50"/>
  <c r="AU83" i="50"/>
  <c r="AA12" i="7" s="1"/>
  <c r="AT83" i="50"/>
  <c r="AQ83" i="50"/>
  <c r="AP146" i="46"/>
  <c r="AT146" i="46" s="1"/>
  <c r="U33" i="7"/>
  <c r="AP79" i="48"/>
  <c r="AQ79" i="48" s="1"/>
  <c r="AQ84" i="44"/>
  <c r="AT82" i="44"/>
  <c r="AP85" i="44"/>
  <c r="AT85" i="44" s="1"/>
  <c r="AU81" i="44"/>
  <c r="AU82" i="44"/>
  <c r="AU83" i="44"/>
  <c r="AU84" i="44"/>
  <c r="AQ81" i="44"/>
  <c r="AQ83" i="44"/>
  <c r="AQ82" i="44"/>
  <c r="AT83" i="44"/>
  <c r="AT81" i="44"/>
  <c r="AT145" i="46"/>
  <c r="AU145" i="46"/>
  <c r="AQ18" i="48"/>
  <c r="AU18" i="48"/>
  <c r="AT18" i="48"/>
  <c r="AP19" i="48"/>
  <c r="AP20" i="48" s="1"/>
  <c r="AQ78" i="48"/>
  <c r="AT78" i="48"/>
  <c r="AU78" i="48"/>
  <c r="AP18" i="46"/>
  <c r="AP19" i="46" s="1"/>
  <c r="AP82" i="46"/>
  <c r="AP83" i="46" s="1"/>
  <c r="AU17" i="46"/>
  <c r="AQ17" i="46"/>
  <c r="AT17" i="46"/>
  <c r="AT144" i="48"/>
  <c r="AU144" i="48"/>
  <c r="AQ144" i="48"/>
  <c r="AT17" i="48"/>
  <c r="AU17" i="48"/>
  <c r="AQ17" i="48"/>
  <c r="AP145" i="44"/>
  <c r="AP146" i="44" s="1"/>
  <c r="AU144" i="44"/>
  <c r="AT144" i="44"/>
  <c r="AQ144" i="44"/>
  <c r="AU15" i="44"/>
  <c r="AT15" i="44"/>
  <c r="AQ15" i="44"/>
  <c r="AP16" i="44"/>
  <c r="AP145" i="48"/>
  <c r="AU81" i="46"/>
  <c r="AT81" i="46"/>
  <c r="AQ81" i="46"/>
  <c r="AU20" i="50"/>
  <c r="AT20" i="50"/>
  <c r="AQ20" i="50"/>
  <c r="AP21" i="50"/>
  <c r="AP86" i="44" l="1"/>
  <c r="AP87" i="44" s="1"/>
  <c r="AT148" i="50"/>
  <c r="AU148" i="50"/>
  <c r="AQ148" i="50"/>
  <c r="AP149" i="50"/>
  <c r="AU85" i="50"/>
  <c r="AT85" i="50"/>
  <c r="AQ85" i="50"/>
  <c r="AP86" i="50"/>
  <c r="AP87" i="50" s="1"/>
  <c r="AQ146" i="46"/>
  <c r="AP147" i="46"/>
  <c r="AQ147" i="46" s="1"/>
  <c r="AU146" i="46"/>
  <c r="AP80" i="48"/>
  <c r="AQ80" i="48" s="1"/>
  <c r="AT79" i="48"/>
  <c r="AU79" i="48"/>
  <c r="AU85" i="44"/>
  <c r="AQ85" i="44"/>
  <c r="AP21" i="48"/>
  <c r="AT21" i="48" s="1"/>
  <c r="AU20" i="48"/>
  <c r="AT20" i="48"/>
  <c r="AQ20" i="48"/>
  <c r="AT19" i="46"/>
  <c r="AQ19" i="46"/>
  <c r="AU19" i="46"/>
  <c r="O16" i="7" s="1"/>
  <c r="AT145" i="48"/>
  <c r="AU145" i="48"/>
  <c r="AQ145" i="48"/>
  <c r="AQ82" i="46"/>
  <c r="AT82" i="46"/>
  <c r="AU82" i="46"/>
  <c r="O19" i="7" s="1"/>
  <c r="AT19" i="48"/>
  <c r="AQ19" i="48"/>
  <c r="AU19" i="48"/>
  <c r="U17" i="7" s="1"/>
  <c r="AQ83" i="46"/>
  <c r="AU83" i="46"/>
  <c r="AT83" i="46"/>
  <c r="AU16" i="44"/>
  <c r="AQ16" i="44"/>
  <c r="AT16" i="44"/>
  <c r="AP17" i="44"/>
  <c r="AP146" i="48"/>
  <c r="AU18" i="46"/>
  <c r="AT18" i="46"/>
  <c r="AQ18" i="46"/>
  <c r="AQ145" i="44"/>
  <c r="AU145" i="44"/>
  <c r="AT145" i="44"/>
  <c r="AU146" i="44"/>
  <c r="AQ146" i="44"/>
  <c r="AT146" i="44"/>
  <c r="AP20" i="46"/>
  <c r="AP21" i="46" s="1"/>
  <c r="AP147" i="44"/>
  <c r="AP84" i="46"/>
  <c r="AP85" i="46" s="1"/>
  <c r="AP88" i="50"/>
  <c r="AQ21" i="50"/>
  <c r="AU21" i="50"/>
  <c r="AA25" i="7" s="1"/>
  <c r="AT21" i="50"/>
  <c r="AP22" i="50"/>
  <c r="AP22" i="48"/>
  <c r="AQ86" i="44" l="1"/>
  <c r="AT86" i="44"/>
  <c r="AU86" i="44"/>
  <c r="AU149" i="50"/>
  <c r="AA15" i="7" s="1"/>
  <c r="AT149" i="50"/>
  <c r="AP150" i="50"/>
  <c r="AQ149" i="50"/>
  <c r="AT87" i="50"/>
  <c r="AQ87" i="50"/>
  <c r="AU87" i="50"/>
  <c r="AU86" i="50"/>
  <c r="AT86" i="50"/>
  <c r="AQ86" i="50"/>
  <c r="AT147" i="46"/>
  <c r="AP148" i="46"/>
  <c r="AT148" i="46" s="1"/>
  <c r="AU147" i="46"/>
  <c r="AP81" i="48"/>
  <c r="AT81" i="48" s="1"/>
  <c r="AT80" i="48"/>
  <c r="AU80" i="48"/>
  <c r="U24" i="7" s="1"/>
  <c r="AU21" i="48"/>
  <c r="AQ21" i="48"/>
  <c r="AQ85" i="46"/>
  <c r="AT85" i="46"/>
  <c r="AU85" i="46"/>
  <c r="AU21" i="46"/>
  <c r="AT21" i="46"/>
  <c r="AQ21" i="46"/>
  <c r="AT20" i="46"/>
  <c r="AQ20" i="46"/>
  <c r="AU20" i="46"/>
  <c r="AU84" i="46"/>
  <c r="AQ84" i="46"/>
  <c r="AT84" i="46"/>
  <c r="AP22" i="46"/>
  <c r="AQ147" i="44"/>
  <c r="AU147" i="44"/>
  <c r="AT147" i="44"/>
  <c r="AT17" i="44"/>
  <c r="AU17" i="44"/>
  <c r="AQ17" i="44"/>
  <c r="AP18" i="44"/>
  <c r="AP86" i="46"/>
  <c r="AP148" i="44"/>
  <c r="AP147" i="48"/>
  <c r="AQ146" i="48"/>
  <c r="AU146" i="48"/>
  <c r="AT146" i="48"/>
  <c r="AT22" i="50"/>
  <c r="AQ22" i="50"/>
  <c r="AU22" i="50"/>
  <c r="AP23" i="50"/>
  <c r="AQ88" i="50"/>
  <c r="AT88" i="50"/>
  <c r="AU88" i="50"/>
  <c r="AP89" i="50"/>
  <c r="AP152" i="50"/>
  <c r="AU22" i="48"/>
  <c r="U29" i="7" s="1"/>
  <c r="AT22" i="48"/>
  <c r="AQ22" i="48"/>
  <c r="AP23" i="48"/>
  <c r="AQ87" i="44"/>
  <c r="AU87" i="44"/>
  <c r="I20" i="7" s="1"/>
  <c r="AT87" i="44"/>
  <c r="AP88" i="44"/>
  <c r="AA10" i="7" l="1"/>
  <c r="AU150" i="50"/>
  <c r="AT150" i="50"/>
  <c r="AQ150" i="50"/>
  <c r="AP151" i="50"/>
  <c r="AP149" i="46"/>
  <c r="AT149" i="46" s="1"/>
  <c r="AU148" i="46"/>
  <c r="AQ148" i="46"/>
  <c r="AQ81" i="48"/>
  <c r="AP82" i="48"/>
  <c r="AP83" i="48" s="1"/>
  <c r="AU81" i="48"/>
  <c r="AT147" i="48"/>
  <c r="AU147" i="48"/>
  <c r="U19" i="7" s="1"/>
  <c r="AQ147" i="48"/>
  <c r="AQ148" i="44"/>
  <c r="AU148" i="44"/>
  <c r="I26" i="7" s="1"/>
  <c r="AT148" i="44"/>
  <c r="AU86" i="46"/>
  <c r="AQ86" i="46"/>
  <c r="AT86" i="46"/>
  <c r="AP148" i="48"/>
  <c r="AP87" i="46"/>
  <c r="AP149" i="44"/>
  <c r="AT18" i="44"/>
  <c r="AU18" i="44"/>
  <c r="AQ18" i="44"/>
  <c r="AP19" i="44"/>
  <c r="AU22" i="46"/>
  <c r="AT22" i="46"/>
  <c r="AQ22" i="46"/>
  <c r="AP23" i="46"/>
  <c r="AQ89" i="50"/>
  <c r="AT89" i="50"/>
  <c r="AU89" i="50"/>
  <c r="AP90" i="50"/>
  <c r="AT23" i="50"/>
  <c r="AU23" i="50"/>
  <c r="AQ23" i="50"/>
  <c r="AP24" i="50"/>
  <c r="AU152" i="50"/>
  <c r="AT152" i="50"/>
  <c r="AQ152" i="50"/>
  <c r="AP153" i="50"/>
  <c r="AU23" i="48"/>
  <c r="AT23" i="48"/>
  <c r="AQ23" i="48"/>
  <c r="AP24" i="48"/>
  <c r="AQ88" i="44"/>
  <c r="AU88" i="44"/>
  <c r="AP89" i="44"/>
  <c r="AU151" i="50" l="1"/>
  <c r="AT151" i="50"/>
  <c r="AQ151" i="50"/>
  <c r="AP150" i="46"/>
  <c r="AP151" i="46" s="1"/>
  <c r="AU149" i="46"/>
  <c r="AQ149" i="46"/>
  <c r="AU83" i="48"/>
  <c r="AT83" i="48"/>
  <c r="AQ83" i="48"/>
  <c r="AP84" i="48"/>
  <c r="AT84" i="48" s="1"/>
  <c r="AQ82" i="48"/>
  <c r="AT82" i="48"/>
  <c r="AU82" i="48"/>
  <c r="U10" i="7" s="1"/>
  <c r="AT19" i="44"/>
  <c r="AQ19" i="44"/>
  <c r="AU19" i="44"/>
  <c r="AQ87" i="46"/>
  <c r="AT87" i="46"/>
  <c r="AU87" i="46"/>
  <c r="AU23" i="46"/>
  <c r="AT23" i="46"/>
  <c r="AQ23" i="46"/>
  <c r="AP20" i="44"/>
  <c r="AP21" i="44" s="1"/>
  <c r="AP150" i="44"/>
  <c r="AP151" i="44" s="1"/>
  <c r="AT149" i="44"/>
  <c r="AQ149" i="44"/>
  <c r="AU149" i="44"/>
  <c r="I30" i="7" s="1"/>
  <c r="AU148" i="48"/>
  <c r="AQ148" i="48"/>
  <c r="AT148" i="48"/>
  <c r="AP149" i="48"/>
  <c r="AP24" i="46"/>
  <c r="AP88" i="46"/>
  <c r="AU153" i="50"/>
  <c r="AT153" i="50"/>
  <c r="AQ153" i="50"/>
  <c r="AP154" i="50"/>
  <c r="AU24" i="50"/>
  <c r="AT24" i="50"/>
  <c r="AQ24" i="50"/>
  <c r="AP25" i="50"/>
  <c r="AQ90" i="50"/>
  <c r="AU90" i="50"/>
  <c r="AT90" i="50"/>
  <c r="AP91" i="50"/>
  <c r="AQ24" i="48"/>
  <c r="AU24" i="48"/>
  <c r="AT24" i="48"/>
  <c r="AP25" i="48"/>
  <c r="AQ89" i="44"/>
  <c r="AU89" i="44"/>
  <c r="AP90" i="44"/>
  <c r="AU150" i="46" l="1"/>
  <c r="AP152" i="46"/>
  <c r="AQ150" i="46"/>
  <c r="AT150" i="46"/>
  <c r="AU84" i="48"/>
  <c r="U27" i="7" s="1"/>
  <c r="AP85" i="48"/>
  <c r="AP86" i="48" s="1"/>
  <c r="AQ84" i="48"/>
  <c r="AP89" i="46"/>
  <c r="AT21" i="44"/>
  <c r="AU21" i="44"/>
  <c r="AQ21" i="44"/>
  <c r="AP150" i="48"/>
  <c r="AP22" i="44"/>
  <c r="AU151" i="44"/>
  <c r="AQ151" i="44"/>
  <c r="AT151" i="44"/>
  <c r="AP152" i="44"/>
  <c r="AU24" i="46"/>
  <c r="AQ24" i="46"/>
  <c r="AQ150" i="44"/>
  <c r="AU150" i="44"/>
  <c r="AT150" i="44"/>
  <c r="AU88" i="46"/>
  <c r="AQ88" i="46"/>
  <c r="AQ149" i="48"/>
  <c r="AT149" i="48"/>
  <c r="AU149" i="48"/>
  <c r="AU20" i="44"/>
  <c r="I18" i="7" s="1"/>
  <c r="AQ20" i="44"/>
  <c r="AT20" i="44"/>
  <c r="AP25" i="46"/>
  <c r="AT151" i="46"/>
  <c r="AQ151" i="46"/>
  <c r="AU151" i="46"/>
  <c r="AQ25" i="50"/>
  <c r="AT25" i="50"/>
  <c r="AU25" i="50"/>
  <c r="AA8" i="7" s="1"/>
  <c r="AP26" i="50"/>
  <c r="AQ154" i="50"/>
  <c r="AU154" i="50"/>
  <c r="AT154" i="50"/>
  <c r="AP155" i="50"/>
  <c r="AU91" i="50"/>
  <c r="AT91" i="50"/>
  <c r="AQ91" i="50"/>
  <c r="AP92" i="50"/>
  <c r="AQ25" i="48"/>
  <c r="AT25" i="48"/>
  <c r="AU25" i="48"/>
  <c r="AP26" i="48"/>
  <c r="AU90" i="44"/>
  <c r="AQ90" i="44"/>
  <c r="AP91" i="44"/>
  <c r="AP153" i="46" l="1"/>
  <c r="AT152" i="46"/>
  <c r="AQ152" i="46"/>
  <c r="AU152" i="46"/>
  <c r="AT85" i="48"/>
  <c r="AU85" i="48"/>
  <c r="AQ85" i="48"/>
  <c r="AQ22" i="44"/>
  <c r="AU22" i="44"/>
  <c r="AT22" i="44"/>
  <c r="AU86" i="48"/>
  <c r="U15" i="7" s="1"/>
  <c r="AQ86" i="48"/>
  <c r="AT86" i="48"/>
  <c r="AP87" i="48"/>
  <c r="AP88" i="48" s="1"/>
  <c r="AQ25" i="46"/>
  <c r="AU25" i="46"/>
  <c r="AT150" i="48"/>
  <c r="AQ150" i="48"/>
  <c r="AU150" i="48"/>
  <c r="AP151" i="48"/>
  <c r="AU152" i="44"/>
  <c r="AQ152" i="44"/>
  <c r="AP153" i="44"/>
  <c r="AP154" i="44" s="1"/>
  <c r="AU89" i="46"/>
  <c r="AQ89" i="46"/>
  <c r="AP90" i="46"/>
  <c r="AP23" i="44"/>
  <c r="AP26" i="46"/>
  <c r="AU92" i="50"/>
  <c r="AT92" i="50"/>
  <c r="AQ92" i="50"/>
  <c r="AP93" i="50"/>
  <c r="AQ155" i="50"/>
  <c r="AU155" i="50"/>
  <c r="AT155" i="50"/>
  <c r="AP156" i="50"/>
  <c r="AT26" i="50"/>
  <c r="AU26" i="50"/>
  <c r="AQ26" i="50"/>
  <c r="AP27" i="50"/>
  <c r="AQ26" i="48"/>
  <c r="AU26" i="48"/>
  <c r="AT26" i="48"/>
  <c r="AP27" i="48"/>
  <c r="AU91" i="44"/>
  <c r="AQ91" i="44"/>
  <c r="AP92" i="44"/>
  <c r="I22" i="7" l="1"/>
  <c r="I24" i="7"/>
  <c r="AU153" i="46"/>
  <c r="AQ153" i="46"/>
  <c r="AP154" i="46"/>
  <c r="AT88" i="48"/>
  <c r="AQ88" i="48"/>
  <c r="AU88" i="48"/>
  <c r="AQ24" i="44"/>
  <c r="AU24" i="44"/>
  <c r="AQ26" i="46"/>
  <c r="AU26" i="46"/>
  <c r="AU154" i="44"/>
  <c r="AQ154" i="44"/>
  <c r="AU153" i="44"/>
  <c r="AQ153" i="44"/>
  <c r="AU23" i="44"/>
  <c r="AT23" i="44"/>
  <c r="AQ23" i="44"/>
  <c r="AP25" i="44"/>
  <c r="AQ87" i="48"/>
  <c r="AT87" i="48"/>
  <c r="AU87" i="48"/>
  <c r="AT151" i="48"/>
  <c r="AU151" i="48"/>
  <c r="U31" i="7" s="1"/>
  <c r="AQ151" i="48"/>
  <c r="AP152" i="48"/>
  <c r="AU90" i="46"/>
  <c r="AQ90" i="46"/>
  <c r="AP91" i="46"/>
  <c r="AP27" i="46"/>
  <c r="AP89" i="48"/>
  <c r="AP155" i="44"/>
  <c r="AT156" i="50"/>
  <c r="AU156" i="50"/>
  <c r="AQ156" i="50"/>
  <c r="AP157" i="50"/>
  <c r="AQ93" i="50"/>
  <c r="AU93" i="50"/>
  <c r="AT93" i="50"/>
  <c r="AP94" i="50"/>
  <c r="AT27" i="50"/>
  <c r="AU27" i="50"/>
  <c r="AQ27" i="50"/>
  <c r="AP28" i="50"/>
  <c r="AQ27" i="48"/>
  <c r="AU27" i="48"/>
  <c r="AT27" i="48"/>
  <c r="AP28" i="48"/>
  <c r="AU92" i="44"/>
  <c r="AQ92" i="44"/>
  <c r="AP93" i="44"/>
  <c r="AU154" i="46" l="1"/>
  <c r="AQ154" i="46"/>
  <c r="AP155" i="46"/>
  <c r="AU27" i="46"/>
  <c r="AQ27" i="46"/>
  <c r="AP90" i="48"/>
  <c r="AP92" i="46"/>
  <c r="AU91" i="46"/>
  <c r="AQ91" i="46"/>
  <c r="AT152" i="48"/>
  <c r="AQ152" i="48"/>
  <c r="AU152" i="48"/>
  <c r="AP153" i="48"/>
  <c r="AU89" i="48"/>
  <c r="AQ89" i="48"/>
  <c r="AT89" i="48"/>
  <c r="AQ25" i="44"/>
  <c r="AU25" i="44"/>
  <c r="I32" i="7" s="1"/>
  <c r="AQ155" i="44"/>
  <c r="AU155" i="44"/>
  <c r="I35" i="7" s="1"/>
  <c r="AP28" i="46"/>
  <c r="AP156" i="44"/>
  <c r="AT157" i="50"/>
  <c r="AU157" i="50"/>
  <c r="AQ157" i="50"/>
  <c r="AP158" i="50"/>
  <c r="AU28" i="50"/>
  <c r="AQ28" i="50"/>
  <c r="AT28" i="50"/>
  <c r="AP29" i="50"/>
  <c r="AU94" i="50"/>
  <c r="AT94" i="50"/>
  <c r="AQ94" i="50"/>
  <c r="AP95" i="50"/>
  <c r="AT28" i="48"/>
  <c r="AQ28" i="48"/>
  <c r="AU28" i="48"/>
  <c r="AP29" i="48"/>
  <c r="AU93" i="44"/>
  <c r="I28" i="7" s="1"/>
  <c r="AQ93" i="44"/>
  <c r="AP94" i="44"/>
  <c r="AQ155" i="46" l="1"/>
  <c r="AU155" i="46"/>
  <c r="O26" i="7" s="1"/>
  <c r="AP156" i="46"/>
  <c r="AU92" i="46"/>
  <c r="AQ92" i="46"/>
  <c r="AQ28" i="46"/>
  <c r="AU28" i="46"/>
  <c r="AP91" i="48"/>
  <c r="AP27" i="44"/>
  <c r="AP28" i="44" s="1"/>
  <c r="AP93" i="46"/>
  <c r="AP29" i="46"/>
  <c r="AP30" i="46" s="1"/>
  <c r="AQ90" i="48"/>
  <c r="AT90" i="48"/>
  <c r="AU90" i="48"/>
  <c r="AU156" i="44"/>
  <c r="I11" i="7" s="1"/>
  <c r="AQ156" i="44"/>
  <c r="AP157" i="44"/>
  <c r="AU153" i="48"/>
  <c r="AT153" i="48"/>
  <c r="AQ153" i="48"/>
  <c r="AP154" i="48"/>
  <c r="AQ26" i="44"/>
  <c r="AU26" i="44"/>
  <c r="AQ158" i="50"/>
  <c r="AT158" i="50"/>
  <c r="AU158" i="50"/>
  <c r="AP159" i="50"/>
  <c r="AU95" i="50"/>
  <c r="AT95" i="50"/>
  <c r="AQ95" i="50"/>
  <c r="AP96" i="50"/>
  <c r="AU29" i="50"/>
  <c r="AQ29" i="50"/>
  <c r="AT29" i="50"/>
  <c r="AP30" i="50"/>
  <c r="AU29" i="48"/>
  <c r="AT29" i="48"/>
  <c r="AQ29" i="48"/>
  <c r="AP30" i="48"/>
  <c r="AU94" i="44"/>
  <c r="AQ94" i="44"/>
  <c r="AP95" i="44"/>
  <c r="AP157" i="46" l="1"/>
  <c r="AP158" i="46" s="1"/>
  <c r="AQ156" i="46"/>
  <c r="AU156" i="46"/>
  <c r="AQ28" i="44"/>
  <c r="AU28" i="44"/>
  <c r="AP29" i="44"/>
  <c r="AP30" i="44" s="1"/>
  <c r="AP31" i="44" s="1"/>
  <c r="AP155" i="48"/>
  <c r="AU29" i="46"/>
  <c r="AQ29" i="46"/>
  <c r="AU30" i="46"/>
  <c r="AQ30" i="46"/>
  <c r="AU93" i="46"/>
  <c r="O12" i="7" s="1"/>
  <c r="AQ93" i="46"/>
  <c r="AP94" i="46"/>
  <c r="AQ27" i="44"/>
  <c r="AU27" i="44"/>
  <c r="AQ91" i="48"/>
  <c r="AT91" i="48"/>
  <c r="AU91" i="48"/>
  <c r="U7" i="7" s="1"/>
  <c r="AP92" i="48"/>
  <c r="AP31" i="46"/>
  <c r="AP32" i="46" s="1"/>
  <c r="AU157" i="44"/>
  <c r="AQ157" i="44"/>
  <c r="AT154" i="48"/>
  <c r="AQ154" i="48"/>
  <c r="AU154" i="48"/>
  <c r="AP158" i="44"/>
  <c r="AQ159" i="50"/>
  <c r="AT159" i="50"/>
  <c r="AU159" i="50"/>
  <c r="AP160" i="50"/>
  <c r="AQ96" i="50"/>
  <c r="AT96" i="50"/>
  <c r="AU96" i="50"/>
  <c r="AP97" i="50"/>
  <c r="AU30" i="50"/>
  <c r="AT30" i="50"/>
  <c r="AQ30" i="50"/>
  <c r="AP31" i="50"/>
  <c r="AT30" i="48"/>
  <c r="AQ30" i="48"/>
  <c r="AU30" i="48"/>
  <c r="AP31" i="48"/>
  <c r="AU95" i="44"/>
  <c r="AQ95" i="44"/>
  <c r="AP96" i="44"/>
  <c r="AQ158" i="46" l="1"/>
  <c r="AU158" i="46"/>
  <c r="AP159" i="46"/>
  <c r="AQ157" i="46"/>
  <c r="AU157" i="46"/>
  <c r="AQ31" i="44"/>
  <c r="AU31" i="44"/>
  <c r="AU32" i="46"/>
  <c r="AQ32" i="46"/>
  <c r="AP33" i="46"/>
  <c r="AQ29" i="44"/>
  <c r="AU29" i="44"/>
  <c r="I16" i="7" s="1"/>
  <c r="AP33" i="44"/>
  <c r="AQ30" i="44"/>
  <c r="AU30" i="44"/>
  <c r="I27" i="7" s="1"/>
  <c r="AQ94" i="46"/>
  <c r="AU94" i="46"/>
  <c r="AP95" i="46"/>
  <c r="AQ158" i="44"/>
  <c r="AU158" i="44"/>
  <c r="AP159" i="44"/>
  <c r="AQ31" i="46"/>
  <c r="AU31" i="46"/>
  <c r="AQ92" i="48"/>
  <c r="AT92" i="48"/>
  <c r="AU92" i="48"/>
  <c r="AP93" i="48"/>
  <c r="AT155" i="48"/>
  <c r="AQ155" i="48"/>
  <c r="AU155" i="48"/>
  <c r="AP156" i="48"/>
  <c r="AU160" i="50"/>
  <c r="AT160" i="50"/>
  <c r="AQ160" i="50"/>
  <c r="AP161" i="50"/>
  <c r="AQ97" i="50"/>
  <c r="AU97" i="50"/>
  <c r="AT97" i="50"/>
  <c r="AP98" i="50"/>
  <c r="AU31" i="50"/>
  <c r="AT31" i="50"/>
  <c r="AQ31" i="50"/>
  <c r="AP32" i="50"/>
  <c r="AU31" i="48"/>
  <c r="U11" i="7" s="1"/>
  <c r="AT31" i="48"/>
  <c r="AQ31" i="48"/>
  <c r="AP32" i="48"/>
  <c r="AU96" i="44"/>
  <c r="AQ96" i="44"/>
  <c r="AP97" i="44"/>
  <c r="O9" i="7" l="1"/>
  <c r="AU159" i="46"/>
  <c r="AQ159" i="46"/>
  <c r="AP160" i="46"/>
  <c r="AU33" i="46"/>
  <c r="AP34" i="46"/>
  <c r="AU33" i="44"/>
  <c r="I31" i="7" s="1"/>
  <c r="AQ33" i="44"/>
  <c r="AU95" i="46"/>
  <c r="AQ95" i="46"/>
  <c r="AP96" i="46"/>
  <c r="AP97" i="46" s="1"/>
  <c r="AQ33" i="46"/>
  <c r="AU32" i="44"/>
  <c r="AQ32" i="44"/>
  <c r="AQ159" i="44"/>
  <c r="AU159" i="44"/>
  <c r="AP160" i="44"/>
  <c r="AQ93" i="48"/>
  <c r="AT93" i="48"/>
  <c r="AU93" i="48"/>
  <c r="AP94" i="48"/>
  <c r="AU34" i="44"/>
  <c r="AU156" i="48"/>
  <c r="AT156" i="48"/>
  <c r="AQ156" i="48"/>
  <c r="AP157" i="48"/>
  <c r="AQ98" i="50"/>
  <c r="AT98" i="50"/>
  <c r="AU98" i="50"/>
  <c r="AP99" i="50"/>
  <c r="AU161" i="50"/>
  <c r="AT161" i="50"/>
  <c r="AQ161" i="50"/>
  <c r="AP162" i="50"/>
  <c r="AT32" i="50"/>
  <c r="AU32" i="50"/>
  <c r="AQ32" i="50"/>
  <c r="AP33" i="50"/>
  <c r="AU32" i="48"/>
  <c r="AT32" i="48"/>
  <c r="AQ32" i="48"/>
  <c r="AP33" i="48"/>
  <c r="AQ97" i="44"/>
  <c r="AU97" i="44"/>
  <c r="AP98" i="44"/>
  <c r="AH104" i="44" l="1"/>
  <c r="AK105" i="44"/>
  <c r="AP35" i="46"/>
  <c r="AP36" i="46" s="1"/>
  <c r="AP161" i="46"/>
  <c r="AQ160" i="46"/>
  <c r="AU160" i="46"/>
  <c r="AU34" i="46"/>
  <c r="AQ34" i="46"/>
  <c r="AP98" i="46"/>
  <c r="AQ98" i="46" s="1"/>
  <c r="AU97" i="46"/>
  <c r="AQ97" i="46"/>
  <c r="AU94" i="48"/>
  <c r="AT94" i="48"/>
  <c r="AQ94" i="48"/>
  <c r="AQ34" i="44"/>
  <c r="AP35" i="44"/>
  <c r="AU35" i="44" s="1"/>
  <c r="I12" i="7" s="1"/>
  <c r="AU160" i="44"/>
  <c r="AQ160" i="44"/>
  <c r="AP161" i="44"/>
  <c r="AU157" i="48"/>
  <c r="AT157" i="48"/>
  <c r="AQ157" i="48"/>
  <c r="AP158" i="48"/>
  <c r="AP95" i="48"/>
  <c r="AP96" i="48" s="1"/>
  <c r="AQ96" i="46"/>
  <c r="AU96" i="46"/>
  <c r="AU162" i="50"/>
  <c r="AT162" i="50"/>
  <c r="AQ162" i="50"/>
  <c r="AP163" i="50"/>
  <c r="AT99" i="50"/>
  <c r="AU99" i="50"/>
  <c r="AQ99" i="50"/>
  <c r="AP100" i="50"/>
  <c r="AT33" i="50"/>
  <c r="AU33" i="50"/>
  <c r="AQ33" i="50"/>
  <c r="AP34" i="50"/>
  <c r="AU33" i="48"/>
  <c r="AQ33" i="48"/>
  <c r="AT33" i="48"/>
  <c r="AP34" i="48"/>
  <c r="AQ98" i="44"/>
  <c r="AU98" i="44"/>
  <c r="I17" i="7" s="1"/>
  <c r="AP99" i="44"/>
  <c r="AU35" i="46" l="1"/>
  <c r="O17" i="7" s="1"/>
  <c r="AQ35" i="46"/>
  <c r="AU161" i="46"/>
  <c r="AQ161" i="46"/>
  <c r="AP162" i="46"/>
  <c r="AU98" i="46"/>
  <c r="O13" i="7" s="1"/>
  <c r="AQ35" i="44"/>
  <c r="AQ161" i="44"/>
  <c r="AU161" i="44"/>
  <c r="I13" i="7" s="1"/>
  <c r="AP162" i="44"/>
  <c r="AP163" i="44" s="1"/>
  <c r="AP36" i="44"/>
  <c r="AQ36" i="44" s="1"/>
  <c r="AQ95" i="48"/>
  <c r="AT95" i="48"/>
  <c r="AU95" i="48"/>
  <c r="AP97" i="48"/>
  <c r="AU96" i="48"/>
  <c r="AQ96" i="48"/>
  <c r="AT96" i="48"/>
  <c r="AQ158" i="48"/>
  <c r="AU158" i="48"/>
  <c r="AT158" i="48"/>
  <c r="AP159" i="48"/>
  <c r="AP99" i="46"/>
  <c r="AU99" i="46" s="1"/>
  <c r="AU100" i="50"/>
  <c r="AT100" i="50"/>
  <c r="AQ100" i="50"/>
  <c r="AP101" i="50"/>
  <c r="AU163" i="50"/>
  <c r="AT163" i="50"/>
  <c r="AQ163" i="50"/>
  <c r="AP164" i="50"/>
  <c r="AQ34" i="50"/>
  <c r="AU34" i="50"/>
  <c r="AT34" i="50"/>
  <c r="AP35" i="50"/>
  <c r="AT34" i="48"/>
  <c r="AQ34" i="48"/>
  <c r="AU34" i="48"/>
  <c r="AP35" i="48"/>
  <c r="AU36" i="46"/>
  <c r="AQ36" i="46"/>
  <c r="AP37" i="46"/>
  <c r="AQ99" i="44"/>
  <c r="AU99" i="44"/>
  <c r="AP100" i="44"/>
  <c r="O32" i="7" l="1"/>
  <c r="AP163" i="46"/>
  <c r="AQ162" i="46"/>
  <c r="AU162" i="46"/>
  <c r="AU36" i="44"/>
  <c r="I15" i="7" s="1"/>
  <c r="AP100" i="46"/>
  <c r="AU100" i="46" s="1"/>
  <c r="AP37" i="44"/>
  <c r="AQ99" i="46"/>
  <c r="AU163" i="44"/>
  <c r="AQ163" i="44"/>
  <c r="AP164" i="44"/>
  <c r="AU162" i="44"/>
  <c r="AQ162" i="44"/>
  <c r="AU97" i="48"/>
  <c r="AQ97" i="48"/>
  <c r="AT97" i="48"/>
  <c r="AP98" i="48"/>
  <c r="AP99" i="48" s="1"/>
  <c r="AT159" i="48"/>
  <c r="AQ159" i="48"/>
  <c r="AU159" i="48"/>
  <c r="AP160" i="48"/>
  <c r="AP161" i="48" s="1"/>
  <c r="AQ164" i="50"/>
  <c r="AT164" i="50"/>
  <c r="AU164" i="50"/>
  <c r="AP165" i="50"/>
  <c r="AT101" i="50"/>
  <c r="AU101" i="50"/>
  <c r="AQ101" i="50"/>
  <c r="AP102" i="50"/>
  <c r="AT35" i="50"/>
  <c r="AU35" i="50"/>
  <c r="AQ35" i="50"/>
  <c r="AP36" i="50"/>
  <c r="AU35" i="48"/>
  <c r="AQ35" i="48"/>
  <c r="AT35" i="48"/>
  <c r="AP36" i="48"/>
  <c r="AQ37" i="46"/>
  <c r="AU37" i="46"/>
  <c r="AP38" i="46"/>
  <c r="AU100" i="44"/>
  <c r="I29" i="7" s="1"/>
  <c r="AQ100" i="44"/>
  <c r="AP101" i="44"/>
  <c r="AP38" i="44" l="1"/>
  <c r="AQ163" i="46"/>
  <c r="AU163" i="46"/>
  <c r="AP164" i="46"/>
  <c r="AP101" i="46"/>
  <c r="AQ100" i="46"/>
  <c r="AQ37" i="44"/>
  <c r="AU37" i="44"/>
  <c r="AT161" i="48"/>
  <c r="AQ161" i="48"/>
  <c r="AU161" i="48"/>
  <c r="AP162" i="48"/>
  <c r="AT99" i="48"/>
  <c r="AU99" i="48"/>
  <c r="AQ99" i="48"/>
  <c r="AU98" i="48"/>
  <c r="AQ98" i="48"/>
  <c r="AT98" i="48"/>
  <c r="AP100" i="48"/>
  <c r="AP165" i="44"/>
  <c r="AP166" i="44" s="1"/>
  <c r="AQ164" i="44"/>
  <c r="AU164" i="44"/>
  <c r="AT160" i="48"/>
  <c r="AU160" i="48"/>
  <c r="AQ160" i="48"/>
  <c r="U8" i="7"/>
  <c r="U22" i="7"/>
  <c r="AU102" i="50"/>
  <c r="AT102" i="50"/>
  <c r="AQ102" i="50"/>
  <c r="AP103" i="50"/>
  <c r="AQ165" i="50"/>
  <c r="AU165" i="50"/>
  <c r="AT165" i="50"/>
  <c r="AP166" i="50"/>
  <c r="AU36" i="50"/>
  <c r="AQ36" i="50"/>
  <c r="AT36" i="50"/>
  <c r="AP37" i="50"/>
  <c r="AQ36" i="48"/>
  <c r="AU36" i="48"/>
  <c r="AT36" i="48"/>
  <c r="AP37" i="48"/>
  <c r="AQ38" i="46"/>
  <c r="AU38" i="46"/>
  <c r="O7" i="7" s="1"/>
  <c r="AP39" i="46"/>
  <c r="AU101" i="44"/>
  <c r="AQ101" i="44"/>
  <c r="AP102" i="44"/>
  <c r="I34" i="7" l="1"/>
  <c r="AU38" i="44"/>
  <c r="I7" i="7"/>
  <c r="AQ38" i="44"/>
  <c r="AP102" i="46"/>
  <c r="AP103" i="46" s="1"/>
  <c r="AU164" i="46"/>
  <c r="AQ164" i="46"/>
  <c r="AP165" i="46"/>
  <c r="AU101" i="46"/>
  <c r="AQ101" i="46"/>
  <c r="AQ166" i="44"/>
  <c r="AU166" i="44"/>
  <c r="AQ100" i="48"/>
  <c r="AU100" i="48"/>
  <c r="AT100" i="48"/>
  <c r="AQ165" i="44"/>
  <c r="AU165" i="44"/>
  <c r="I33" i="7" s="1"/>
  <c r="AP167" i="44"/>
  <c r="AT162" i="48"/>
  <c r="AU162" i="48"/>
  <c r="AQ162" i="48"/>
  <c r="AP101" i="48"/>
  <c r="AP163" i="48"/>
  <c r="O22" i="7"/>
  <c r="O8" i="7"/>
  <c r="AQ166" i="50"/>
  <c r="AU166" i="50"/>
  <c r="AT166" i="50"/>
  <c r="AP167" i="50"/>
  <c r="AT103" i="50"/>
  <c r="AU103" i="50"/>
  <c r="AQ103" i="50"/>
  <c r="AT37" i="50"/>
  <c r="AU37" i="50"/>
  <c r="AQ37" i="50"/>
  <c r="AP38" i="50"/>
  <c r="AQ37" i="48"/>
  <c r="AT37" i="48"/>
  <c r="AU37" i="48"/>
  <c r="AP38" i="48"/>
  <c r="AQ39" i="46"/>
  <c r="AU39" i="46"/>
  <c r="O27" i="7" s="1"/>
  <c r="AQ102" i="44"/>
  <c r="AU102" i="44"/>
  <c r="AP103" i="44"/>
  <c r="AQ102" i="46" l="1"/>
  <c r="AU102" i="46"/>
  <c r="AP166" i="46"/>
  <c r="AQ165" i="46"/>
  <c r="AU165" i="46"/>
  <c r="AP102" i="48"/>
  <c r="AQ167" i="44"/>
  <c r="AU167" i="44"/>
  <c r="AT163" i="48"/>
  <c r="AU163" i="48"/>
  <c r="AQ163" i="48"/>
  <c r="AP164" i="48"/>
  <c r="AT101" i="48"/>
  <c r="AQ101" i="48"/>
  <c r="AU101" i="48"/>
  <c r="AQ167" i="50"/>
  <c r="AU167" i="50"/>
  <c r="AA22" i="7" s="1"/>
  <c r="AT167" i="50"/>
  <c r="AT38" i="50"/>
  <c r="AU38" i="50"/>
  <c r="AQ38" i="50"/>
  <c r="AP39" i="50"/>
  <c r="AQ38" i="48"/>
  <c r="AT38" i="48"/>
  <c r="AU38" i="48"/>
  <c r="AP39" i="48"/>
  <c r="AU103" i="46"/>
  <c r="AQ103" i="46"/>
  <c r="AU103" i="44"/>
  <c r="AQ103" i="44"/>
  <c r="O10" i="7" l="1"/>
  <c r="O34" i="7"/>
  <c r="I8" i="7"/>
  <c r="I10" i="7"/>
  <c r="AU166" i="46"/>
  <c r="AQ166" i="46"/>
  <c r="AP167" i="46"/>
  <c r="AQ102" i="48"/>
  <c r="AU102" i="48"/>
  <c r="AT102" i="48"/>
  <c r="AQ164" i="48"/>
  <c r="AU164" i="48"/>
  <c r="AT164" i="48"/>
  <c r="AP165" i="48"/>
  <c r="AP103" i="48"/>
  <c r="AT39" i="50"/>
  <c r="AU39" i="50"/>
  <c r="AQ39" i="50"/>
  <c r="AQ39" i="48"/>
  <c r="AU39" i="48"/>
  <c r="AT39" i="48"/>
  <c r="AQ167" i="46" l="1"/>
  <c r="AU167" i="46"/>
  <c r="O31" i="7" s="1"/>
  <c r="AQ165" i="48"/>
  <c r="AT165" i="48"/>
  <c r="AU165" i="48"/>
  <c r="AT103" i="48"/>
  <c r="AU103" i="48"/>
  <c r="AQ103" i="48"/>
  <c r="AP166" i="48"/>
  <c r="AG192" i="42"/>
  <c r="E192" i="42"/>
  <c r="AG190" i="42"/>
  <c r="E190" i="42"/>
  <c r="I188" i="42"/>
  <c r="I186" i="42"/>
  <c r="AG184" i="42"/>
  <c r="E184" i="42"/>
  <c r="AG182" i="42"/>
  <c r="E182" i="42"/>
  <c r="M180" i="42"/>
  <c r="M178" i="42"/>
  <c r="AG176" i="42"/>
  <c r="E176" i="42"/>
  <c r="AG174" i="42"/>
  <c r="N174" i="42"/>
  <c r="E174" i="42"/>
  <c r="N172" i="42"/>
  <c r="I172" i="42"/>
  <c r="N170" i="42"/>
  <c r="I170" i="42"/>
  <c r="AG168" i="42"/>
  <c r="N168" i="42"/>
  <c r="E168" i="42"/>
  <c r="AG166" i="42"/>
  <c r="E166" i="42"/>
  <c r="AG162" i="42"/>
  <c r="E162" i="42"/>
  <c r="AG160" i="42"/>
  <c r="AI160" i="42" s="1"/>
  <c r="E160" i="42"/>
  <c r="I158" i="42"/>
  <c r="I156" i="42"/>
  <c r="AG154" i="42"/>
  <c r="E154" i="42"/>
  <c r="AG152" i="42"/>
  <c r="E152" i="42"/>
  <c r="M150" i="42"/>
  <c r="M148" i="42"/>
  <c r="AG146" i="42"/>
  <c r="E146" i="42"/>
  <c r="AG144" i="42"/>
  <c r="E144" i="42"/>
  <c r="I142" i="42"/>
  <c r="I140" i="42"/>
  <c r="AG138" i="42"/>
  <c r="E138" i="42"/>
  <c r="AG136" i="42"/>
  <c r="E136" i="42"/>
  <c r="AG128" i="42"/>
  <c r="E128" i="42"/>
  <c r="AG126" i="42"/>
  <c r="E126" i="42"/>
  <c r="I124" i="42"/>
  <c r="I122" i="42"/>
  <c r="AG120" i="42"/>
  <c r="E120" i="42"/>
  <c r="AG118" i="42"/>
  <c r="E118" i="42"/>
  <c r="M116" i="42"/>
  <c r="M114" i="42"/>
  <c r="AG112" i="42"/>
  <c r="E112" i="42"/>
  <c r="AG110" i="42"/>
  <c r="N110" i="42"/>
  <c r="E110" i="42"/>
  <c r="N108" i="42"/>
  <c r="I108" i="42"/>
  <c r="N106" i="42"/>
  <c r="I106" i="42"/>
  <c r="AG104" i="42"/>
  <c r="N104" i="42"/>
  <c r="E104" i="42"/>
  <c r="AG102" i="42"/>
  <c r="E102" i="42"/>
  <c r="AG98" i="42"/>
  <c r="E98" i="42"/>
  <c r="AG96" i="42"/>
  <c r="E96" i="42"/>
  <c r="I94" i="42"/>
  <c r="I92" i="42"/>
  <c r="AG90" i="42"/>
  <c r="E90" i="42"/>
  <c r="AG88" i="42"/>
  <c r="E88" i="42"/>
  <c r="M86" i="42"/>
  <c r="M84" i="42"/>
  <c r="AG82" i="42"/>
  <c r="E82" i="42"/>
  <c r="AG80" i="42"/>
  <c r="E80" i="42"/>
  <c r="I78" i="42"/>
  <c r="I76" i="42"/>
  <c r="AG74" i="42"/>
  <c r="E74" i="42"/>
  <c r="AG72" i="42"/>
  <c r="E72" i="42"/>
  <c r="AG64" i="42"/>
  <c r="E64" i="42"/>
  <c r="AG62" i="42"/>
  <c r="E62" i="42"/>
  <c r="I60" i="42"/>
  <c r="I58" i="42"/>
  <c r="AG56" i="42"/>
  <c r="E56" i="42"/>
  <c r="AG54" i="42"/>
  <c r="AI54" i="42" s="1"/>
  <c r="E54" i="42"/>
  <c r="M52" i="42"/>
  <c r="M50" i="42"/>
  <c r="AG48" i="42"/>
  <c r="E48" i="42"/>
  <c r="AG46" i="42"/>
  <c r="N46" i="42"/>
  <c r="E46" i="42"/>
  <c r="N44" i="42"/>
  <c r="I44" i="42"/>
  <c r="N42" i="42"/>
  <c r="I42" i="42"/>
  <c r="AG40" i="42"/>
  <c r="N40" i="42"/>
  <c r="E40" i="42"/>
  <c r="AG38" i="42"/>
  <c r="E38" i="42"/>
  <c r="AG34" i="42"/>
  <c r="E34" i="42"/>
  <c r="AG32" i="42"/>
  <c r="E32" i="42"/>
  <c r="I30" i="42"/>
  <c r="I28" i="42"/>
  <c r="AG26" i="42"/>
  <c r="E26" i="42"/>
  <c r="AG24" i="42"/>
  <c r="E24" i="42"/>
  <c r="M22" i="42"/>
  <c r="M20" i="42"/>
  <c r="AG18" i="42"/>
  <c r="E18" i="42"/>
  <c r="AG16" i="42"/>
  <c r="E16" i="42"/>
  <c r="I14" i="42"/>
  <c r="I12" i="42"/>
  <c r="AG10" i="42"/>
  <c r="E10" i="42"/>
  <c r="AG8" i="42"/>
  <c r="E8" i="42"/>
  <c r="G8" i="42" s="1"/>
  <c r="N426" i="41"/>
  <c r="I426" i="41"/>
  <c r="N425" i="41"/>
  <c r="I425" i="41"/>
  <c r="N424" i="41"/>
  <c r="I424" i="41"/>
  <c r="H424" i="41"/>
  <c r="J431" i="41" s="1"/>
  <c r="K431" i="41" s="1"/>
  <c r="N413" i="41"/>
  <c r="I413" i="41"/>
  <c r="N412" i="41"/>
  <c r="I412" i="41"/>
  <c r="N411" i="41"/>
  <c r="I411" i="41"/>
  <c r="H411" i="41"/>
  <c r="B418" i="41" s="1"/>
  <c r="C418" i="41" s="1"/>
  <c r="N400" i="41"/>
  <c r="I400" i="41"/>
  <c r="N399" i="41"/>
  <c r="I399" i="41"/>
  <c r="N398" i="41"/>
  <c r="I398" i="41"/>
  <c r="H398" i="41"/>
  <c r="J406" i="41" s="1"/>
  <c r="K406" i="41" s="1"/>
  <c r="N387" i="41"/>
  <c r="I387" i="41"/>
  <c r="N386" i="41"/>
  <c r="I386" i="41"/>
  <c r="N385" i="41"/>
  <c r="I385" i="41"/>
  <c r="H385" i="41"/>
  <c r="N374" i="41"/>
  <c r="I374" i="41"/>
  <c r="N373" i="41"/>
  <c r="I373" i="41"/>
  <c r="N372" i="41"/>
  <c r="I372" i="41"/>
  <c r="H372" i="41"/>
  <c r="J379" i="41" s="1"/>
  <c r="K379" i="41" s="1"/>
  <c r="N361" i="41"/>
  <c r="I361" i="41"/>
  <c r="N360" i="41"/>
  <c r="I360" i="41"/>
  <c r="N359" i="41"/>
  <c r="I359" i="41"/>
  <c r="H359" i="41"/>
  <c r="B366" i="41" s="1"/>
  <c r="C366" i="41" s="1"/>
  <c r="N348" i="41"/>
  <c r="I348" i="41"/>
  <c r="N347" i="41"/>
  <c r="I347" i="41"/>
  <c r="N346" i="41"/>
  <c r="I346" i="41"/>
  <c r="H346" i="41"/>
  <c r="J354" i="41" s="1"/>
  <c r="K354" i="41" s="1"/>
  <c r="N335" i="41"/>
  <c r="I335" i="41"/>
  <c r="N334" i="41"/>
  <c r="I334" i="41"/>
  <c r="N333" i="41"/>
  <c r="I333" i="41"/>
  <c r="H333" i="41"/>
  <c r="N322" i="41"/>
  <c r="I322" i="41"/>
  <c r="N321" i="41"/>
  <c r="I321" i="41"/>
  <c r="N320" i="41"/>
  <c r="I320" i="41"/>
  <c r="H320" i="41"/>
  <c r="D320" i="41" s="1"/>
  <c r="N309" i="41"/>
  <c r="I309" i="41"/>
  <c r="N308" i="41"/>
  <c r="I308" i="41"/>
  <c r="N307" i="41"/>
  <c r="I307" i="41"/>
  <c r="H307" i="41"/>
  <c r="B314" i="41" s="1"/>
  <c r="N296" i="41"/>
  <c r="I296" i="41"/>
  <c r="N295" i="41"/>
  <c r="I295" i="41"/>
  <c r="N294" i="41"/>
  <c r="I294" i="41"/>
  <c r="H294" i="41"/>
  <c r="B302" i="41" s="1"/>
  <c r="C302" i="41" s="1"/>
  <c r="N283" i="41"/>
  <c r="I283" i="41"/>
  <c r="N282" i="41"/>
  <c r="I282" i="41"/>
  <c r="N281" i="41"/>
  <c r="I281" i="41"/>
  <c r="H281" i="41"/>
  <c r="J287" i="41" s="1"/>
  <c r="K287" i="41" s="1"/>
  <c r="N270" i="41"/>
  <c r="I270" i="41"/>
  <c r="N269" i="41"/>
  <c r="I269" i="41"/>
  <c r="N268" i="41"/>
  <c r="I268" i="41"/>
  <c r="H268" i="41"/>
  <c r="D270" i="41" s="1"/>
  <c r="N257" i="41"/>
  <c r="I257" i="41"/>
  <c r="N256" i="41"/>
  <c r="I256" i="41"/>
  <c r="N255" i="41"/>
  <c r="I255" i="41"/>
  <c r="H255" i="41"/>
  <c r="J263" i="41" s="1"/>
  <c r="K263" i="41" s="1"/>
  <c r="N244" i="41"/>
  <c r="I244" i="41"/>
  <c r="N243" i="41"/>
  <c r="I243" i="41"/>
  <c r="N242" i="41"/>
  <c r="I242" i="41"/>
  <c r="H242" i="41"/>
  <c r="B250" i="41" s="1"/>
  <c r="C250" i="41" s="1"/>
  <c r="N231" i="41"/>
  <c r="I231" i="41"/>
  <c r="N230" i="41"/>
  <c r="I230" i="41"/>
  <c r="N229" i="41"/>
  <c r="I229" i="41"/>
  <c r="H229" i="41"/>
  <c r="J236" i="41" s="1"/>
  <c r="K236" i="41" s="1"/>
  <c r="N218" i="41"/>
  <c r="I218" i="41"/>
  <c r="N217" i="41"/>
  <c r="I217" i="41"/>
  <c r="N216" i="41"/>
  <c r="I216" i="41"/>
  <c r="H216" i="41"/>
  <c r="D218" i="41" s="1"/>
  <c r="N205" i="41"/>
  <c r="I205" i="41"/>
  <c r="N204" i="41"/>
  <c r="I204" i="41"/>
  <c r="N203" i="41"/>
  <c r="I203" i="41"/>
  <c r="H203" i="41"/>
  <c r="J211" i="41" s="1"/>
  <c r="K211" i="41" s="1"/>
  <c r="N192" i="41"/>
  <c r="I192" i="41"/>
  <c r="N191" i="41"/>
  <c r="I191" i="41"/>
  <c r="N190" i="41"/>
  <c r="I190" i="41"/>
  <c r="H190" i="41"/>
  <c r="L190" i="41" s="1"/>
  <c r="N179" i="41"/>
  <c r="I179" i="41"/>
  <c r="N178" i="41"/>
  <c r="I178" i="41"/>
  <c r="N177" i="41"/>
  <c r="I177" i="41"/>
  <c r="H177" i="41"/>
  <c r="J184" i="41" s="1"/>
  <c r="K184" i="41" s="1"/>
  <c r="N166" i="41"/>
  <c r="I166" i="41"/>
  <c r="N165" i="41"/>
  <c r="I165" i="41"/>
  <c r="N164" i="41"/>
  <c r="I164" i="41"/>
  <c r="H164" i="41"/>
  <c r="N153" i="41"/>
  <c r="I153" i="41"/>
  <c r="N152" i="41"/>
  <c r="I152" i="41"/>
  <c r="N151" i="41"/>
  <c r="I151" i="41"/>
  <c r="H151" i="41"/>
  <c r="J159" i="41" s="1"/>
  <c r="K159" i="41" s="1"/>
  <c r="N140" i="41"/>
  <c r="I140" i="41"/>
  <c r="N139" i="41"/>
  <c r="I139" i="41"/>
  <c r="N138" i="41"/>
  <c r="I138" i="41"/>
  <c r="H138" i="41"/>
  <c r="N127" i="41"/>
  <c r="I127" i="41"/>
  <c r="N126" i="41"/>
  <c r="I126" i="41"/>
  <c r="N125" i="41"/>
  <c r="I125" i="41"/>
  <c r="H125" i="41"/>
  <c r="D126" i="41" s="1"/>
  <c r="N114" i="41"/>
  <c r="I114" i="41"/>
  <c r="N113" i="41"/>
  <c r="I113" i="41"/>
  <c r="N112" i="41"/>
  <c r="I112" i="41"/>
  <c r="H112" i="41"/>
  <c r="N101" i="41"/>
  <c r="I101" i="41"/>
  <c r="N100" i="41"/>
  <c r="I100" i="41"/>
  <c r="N99" i="41"/>
  <c r="I99" i="41"/>
  <c r="H99" i="41"/>
  <c r="J105" i="41" s="1"/>
  <c r="K105" i="41" s="1"/>
  <c r="N88" i="41"/>
  <c r="I88" i="41"/>
  <c r="N87" i="41"/>
  <c r="I87" i="41"/>
  <c r="N86" i="41"/>
  <c r="I86" i="41"/>
  <c r="H86" i="41"/>
  <c r="N75" i="41"/>
  <c r="I75" i="41"/>
  <c r="N74" i="41"/>
  <c r="I74" i="41"/>
  <c r="N73" i="41"/>
  <c r="I73" i="41"/>
  <c r="H73" i="41"/>
  <c r="B80" i="41" s="1"/>
  <c r="C80" i="41" s="1"/>
  <c r="N62" i="41"/>
  <c r="I62" i="41"/>
  <c r="N61" i="41"/>
  <c r="I61" i="41"/>
  <c r="N60" i="41"/>
  <c r="I60" i="41"/>
  <c r="H60" i="41"/>
  <c r="L60" i="41" s="1"/>
  <c r="N49" i="41"/>
  <c r="I49" i="41"/>
  <c r="N48" i="41"/>
  <c r="I48" i="41"/>
  <c r="N47" i="41"/>
  <c r="I47" i="41"/>
  <c r="H47" i="41"/>
  <c r="E48" i="41" s="1"/>
  <c r="N33" i="41"/>
  <c r="I33" i="41"/>
  <c r="N32" i="41"/>
  <c r="I32" i="41"/>
  <c r="N31" i="41"/>
  <c r="I31" i="41"/>
  <c r="N30" i="41"/>
  <c r="I30" i="41"/>
  <c r="H30" i="41"/>
  <c r="J40" i="41" s="1"/>
  <c r="K40" i="41" s="1"/>
  <c r="O12" i="41"/>
  <c r="N12" i="41"/>
  <c r="M12" i="41"/>
  <c r="L12" i="41"/>
  <c r="I12" i="41"/>
  <c r="J12" i="41" s="1"/>
  <c r="K12" i="41" s="1"/>
  <c r="N11" i="41"/>
  <c r="I11" i="41"/>
  <c r="N10" i="41"/>
  <c r="L10" i="41"/>
  <c r="I10" i="41"/>
  <c r="N9" i="41"/>
  <c r="I9" i="41"/>
  <c r="N8" i="41"/>
  <c r="L8" i="41"/>
  <c r="I8" i="41"/>
  <c r="H8" i="41"/>
  <c r="E10" i="41" s="1"/>
  <c r="D229" i="41" l="1"/>
  <c r="AI110" i="42"/>
  <c r="AI174" i="42"/>
  <c r="P44" i="42"/>
  <c r="D307" i="41"/>
  <c r="E294" i="41"/>
  <c r="D151" i="41"/>
  <c r="AI88" i="42"/>
  <c r="G80" i="42"/>
  <c r="G32" i="42"/>
  <c r="AQ166" i="48"/>
  <c r="AU166" i="48"/>
  <c r="AT166" i="48"/>
  <c r="AP167" i="48"/>
  <c r="L229" i="41"/>
  <c r="AI166" i="42"/>
  <c r="B237" i="41"/>
  <c r="C237" i="41" s="1"/>
  <c r="AI80" i="42"/>
  <c r="D230" i="41"/>
  <c r="J248" i="41"/>
  <c r="K248" i="41" s="1"/>
  <c r="G54" i="42"/>
  <c r="G136" i="42"/>
  <c r="E231" i="41"/>
  <c r="E230" i="41"/>
  <c r="AI38" i="42"/>
  <c r="L242" i="41"/>
  <c r="AI32" i="42"/>
  <c r="G62" i="42"/>
  <c r="G174" i="42"/>
  <c r="P172" i="42"/>
  <c r="G102" i="42"/>
  <c r="AI152" i="42"/>
  <c r="P104" i="42"/>
  <c r="G160" i="42"/>
  <c r="G166" i="42"/>
  <c r="G182" i="42"/>
  <c r="J133" i="41"/>
  <c r="K133" i="41" s="1"/>
  <c r="G126" i="42"/>
  <c r="AI144" i="42"/>
  <c r="D203" i="41"/>
  <c r="B300" i="41"/>
  <c r="C300" i="41" s="1"/>
  <c r="AI24" i="42"/>
  <c r="AI46" i="42"/>
  <c r="G72" i="42"/>
  <c r="P108" i="42"/>
  <c r="AI126" i="42"/>
  <c r="E125" i="41"/>
  <c r="D255" i="41"/>
  <c r="L295" i="41"/>
  <c r="J301" i="41"/>
  <c r="K301" i="41" s="1"/>
  <c r="AI72" i="42"/>
  <c r="D296" i="41"/>
  <c r="L294" i="41"/>
  <c r="E296" i="41"/>
  <c r="G96" i="42"/>
  <c r="G118" i="42"/>
  <c r="G190" i="42"/>
  <c r="B54" i="41"/>
  <c r="C54" i="41" s="1"/>
  <c r="L9" i="41"/>
  <c r="L11" i="41"/>
  <c r="L411" i="41"/>
  <c r="AI16" i="42"/>
  <c r="G46" i="42"/>
  <c r="AI96" i="42"/>
  <c r="AI102" i="42"/>
  <c r="AI118" i="42"/>
  <c r="G144" i="42"/>
  <c r="AI190" i="42"/>
  <c r="B263" i="41"/>
  <c r="C263" i="41" s="1"/>
  <c r="L256" i="41"/>
  <c r="P168" i="42"/>
  <c r="D269" i="41"/>
  <c r="G38" i="42"/>
  <c r="J275" i="41"/>
  <c r="K275" i="41" s="1"/>
  <c r="D347" i="41"/>
  <c r="L360" i="41"/>
  <c r="AI62" i="42"/>
  <c r="E152" i="41"/>
  <c r="D61" i="41"/>
  <c r="J302" i="41"/>
  <c r="K302" i="41" s="1"/>
  <c r="E347" i="41"/>
  <c r="B274" i="41"/>
  <c r="C274" i="41" s="1"/>
  <c r="E269" i="41"/>
  <c r="J197" i="41"/>
  <c r="K197" i="41" s="1"/>
  <c r="B209" i="41"/>
  <c r="C209" i="41" s="1"/>
  <c r="J300" i="41"/>
  <c r="K300" i="41" s="1"/>
  <c r="L346" i="41"/>
  <c r="D359" i="41"/>
  <c r="L30" i="41"/>
  <c r="L31" i="41"/>
  <c r="L32" i="41"/>
  <c r="L33" i="41"/>
  <c r="L62" i="41"/>
  <c r="B157" i="41"/>
  <c r="C157" i="41" s="1"/>
  <c r="E268" i="41"/>
  <c r="L269" i="41"/>
  <c r="E295" i="41"/>
  <c r="L296" i="41"/>
  <c r="B301" i="41"/>
  <c r="C301" i="41" s="1"/>
  <c r="D346" i="41"/>
  <c r="L348" i="41"/>
  <c r="E359" i="41"/>
  <c r="D424" i="41"/>
  <c r="E426" i="41"/>
  <c r="AI8" i="42"/>
  <c r="G16" i="42"/>
  <c r="G110" i="42"/>
  <c r="AI182" i="42"/>
  <c r="E413" i="41"/>
  <c r="D411" i="41"/>
  <c r="L398" i="41"/>
  <c r="L400" i="41"/>
  <c r="D399" i="41"/>
  <c r="E399" i="41"/>
  <c r="D398" i="41"/>
  <c r="D372" i="41"/>
  <c r="E374" i="41"/>
  <c r="E361" i="41"/>
  <c r="L359" i="41"/>
  <c r="E346" i="41"/>
  <c r="L347" i="41"/>
  <c r="C352" i="41"/>
  <c r="B353" i="41"/>
  <c r="C353" i="41" s="1"/>
  <c r="D348" i="41"/>
  <c r="J353" i="41"/>
  <c r="K353" i="41" s="1"/>
  <c r="E348" i="41"/>
  <c r="B354" i="41"/>
  <c r="C354" i="41" s="1"/>
  <c r="B326" i="41"/>
  <c r="C326" i="41" s="1"/>
  <c r="E320" i="41"/>
  <c r="E322" i="41"/>
  <c r="B313" i="41"/>
  <c r="C313" i="41" s="1"/>
  <c r="E308" i="41"/>
  <c r="E307" i="41"/>
  <c r="L308" i="41"/>
  <c r="J313" i="41"/>
  <c r="J314" i="41"/>
  <c r="K314" i="41" s="1"/>
  <c r="B315" i="41"/>
  <c r="C315" i="41" s="1"/>
  <c r="L307" i="41"/>
  <c r="D309" i="41"/>
  <c r="J315" i="41"/>
  <c r="E309" i="41"/>
  <c r="D294" i="41"/>
  <c r="D295" i="41"/>
  <c r="B289" i="41"/>
  <c r="C289" i="41" s="1"/>
  <c r="D283" i="41"/>
  <c r="J289" i="41"/>
  <c r="K289" i="41" s="1"/>
  <c r="D282" i="41"/>
  <c r="L283" i="41"/>
  <c r="B287" i="41"/>
  <c r="C287" i="41" s="1"/>
  <c r="B288" i="41"/>
  <c r="C288" i="41" s="1"/>
  <c r="E282" i="41"/>
  <c r="E281" i="41"/>
  <c r="L282" i="41"/>
  <c r="D268" i="41"/>
  <c r="J274" i="41"/>
  <c r="K274" i="41" s="1"/>
  <c r="B276" i="41"/>
  <c r="C276" i="41" s="1"/>
  <c r="J276" i="41"/>
  <c r="K276" i="41" s="1"/>
  <c r="E270" i="41"/>
  <c r="E255" i="41"/>
  <c r="D257" i="41"/>
  <c r="E256" i="41"/>
  <c r="J261" i="41"/>
  <c r="K261" i="41" s="1"/>
  <c r="B262" i="41"/>
  <c r="C262" i="41" s="1"/>
  <c r="J250" i="41"/>
  <c r="K250" i="41" s="1"/>
  <c r="L231" i="41"/>
  <c r="E229" i="41"/>
  <c r="B235" i="41"/>
  <c r="C235" i="41" s="1"/>
  <c r="L230" i="41"/>
  <c r="B236" i="41"/>
  <c r="C236" i="41" s="1"/>
  <c r="E205" i="41"/>
  <c r="D204" i="41"/>
  <c r="L205" i="41"/>
  <c r="E204" i="41"/>
  <c r="E203" i="41"/>
  <c r="L204" i="41"/>
  <c r="B210" i="41"/>
  <c r="C210" i="41" s="1"/>
  <c r="B211" i="41"/>
  <c r="C211" i="41" s="1"/>
  <c r="J196" i="41"/>
  <c r="K196" i="41" s="1"/>
  <c r="J198" i="41"/>
  <c r="K198" i="41" s="1"/>
  <c r="D192" i="41"/>
  <c r="B184" i="41"/>
  <c r="C184" i="41" s="1"/>
  <c r="E177" i="41"/>
  <c r="B183" i="41"/>
  <c r="C183" i="41" s="1"/>
  <c r="L178" i="41"/>
  <c r="B185" i="41"/>
  <c r="C185" i="41" s="1"/>
  <c r="L177" i="41"/>
  <c r="E179" i="41"/>
  <c r="D178" i="41"/>
  <c r="L179" i="41"/>
  <c r="D177" i="41"/>
  <c r="E178" i="41"/>
  <c r="E151" i="41"/>
  <c r="L152" i="41"/>
  <c r="B158" i="41"/>
  <c r="C158" i="41" s="1"/>
  <c r="B159" i="41"/>
  <c r="C159" i="41" s="1"/>
  <c r="E153" i="41"/>
  <c r="D152" i="41"/>
  <c r="L153" i="41"/>
  <c r="D125" i="41"/>
  <c r="E126" i="41"/>
  <c r="L127" i="41"/>
  <c r="B133" i="41"/>
  <c r="C133" i="41" s="1"/>
  <c r="L126" i="41"/>
  <c r="J131" i="41"/>
  <c r="K131" i="41" s="1"/>
  <c r="B132" i="41"/>
  <c r="C132" i="41" s="1"/>
  <c r="B131" i="41"/>
  <c r="C131" i="41" s="1"/>
  <c r="L125" i="41"/>
  <c r="D127" i="41"/>
  <c r="E127" i="41"/>
  <c r="J132" i="41"/>
  <c r="K132" i="41" s="1"/>
  <c r="L73" i="41"/>
  <c r="B79" i="41"/>
  <c r="C79" i="41" s="1"/>
  <c r="J81" i="41"/>
  <c r="K81" i="41" s="1"/>
  <c r="L74" i="41"/>
  <c r="J80" i="41"/>
  <c r="K80" i="41" s="1"/>
  <c r="E73" i="41"/>
  <c r="B66" i="41"/>
  <c r="C66" i="41" s="1"/>
  <c r="D60" i="41"/>
  <c r="L61" i="41"/>
  <c r="E60" i="41"/>
  <c r="J67" i="41"/>
  <c r="K67" i="41" s="1"/>
  <c r="B68" i="41"/>
  <c r="C68" i="41" s="1"/>
  <c r="D62" i="41"/>
  <c r="E62" i="41"/>
  <c r="F32" i="41"/>
  <c r="J38" i="41"/>
  <c r="K38" i="41" s="1"/>
  <c r="J42" i="41"/>
  <c r="K42" i="41" s="1"/>
  <c r="E31" i="41"/>
  <c r="J17" i="41"/>
  <c r="K17" i="41" s="1"/>
  <c r="J18" i="41"/>
  <c r="K18" i="41" s="1"/>
  <c r="J22" i="41"/>
  <c r="K22" i="41" s="1"/>
  <c r="J25" i="41"/>
  <c r="K25" i="41" s="1"/>
  <c r="D8" i="41"/>
  <c r="D11" i="41"/>
  <c r="D12" i="41"/>
  <c r="B19" i="41"/>
  <c r="C19" i="41" s="1"/>
  <c r="B23" i="41"/>
  <c r="C23" i="41" s="1"/>
  <c r="J24" i="41"/>
  <c r="K24" i="41" s="1"/>
  <c r="J21" i="41"/>
  <c r="K21" i="41" s="1"/>
  <c r="B22" i="41"/>
  <c r="C22" i="41" s="1"/>
  <c r="G9" i="41"/>
  <c r="B18" i="41"/>
  <c r="C18" i="41" s="1"/>
  <c r="E8" i="41"/>
  <c r="D10" i="41"/>
  <c r="E11" i="41"/>
  <c r="E12" i="41"/>
  <c r="B16" i="41"/>
  <c r="C16" i="41" s="1"/>
  <c r="J19" i="41"/>
  <c r="K19" i="41" s="1"/>
  <c r="J23" i="41"/>
  <c r="K23" i="41" s="1"/>
  <c r="F8" i="41"/>
  <c r="E9" i="41"/>
  <c r="F10" i="41"/>
  <c r="F11" i="41"/>
  <c r="F12" i="41"/>
  <c r="J16" i="41"/>
  <c r="K16" i="41" s="1"/>
  <c r="B20" i="41"/>
  <c r="C20" i="41" s="1"/>
  <c r="B21" i="41"/>
  <c r="C21" i="41" s="1"/>
  <c r="B25" i="41"/>
  <c r="C25" i="41" s="1"/>
  <c r="D9" i="41"/>
  <c r="G8" i="41"/>
  <c r="F9" i="41"/>
  <c r="G10" i="41"/>
  <c r="G11" i="41"/>
  <c r="G12" i="41"/>
  <c r="B17" i="41"/>
  <c r="C17" i="41" s="1"/>
  <c r="J20" i="41"/>
  <c r="K20" i="41" s="1"/>
  <c r="B24" i="41"/>
  <c r="C24" i="41" s="1"/>
  <c r="E33" i="41"/>
  <c r="L88" i="41"/>
  <c r="D87" i="41"/>
  <c r="B93" i="41"/>
  <c r="C93" i="41" s="1"/>
  <c r="D86" i="41"/>
  <c r="J92" i="41"/>
  <c r="K92" i="41" s="1"/>
  <c r="L87" i="41"/>
  <c r="J94" i="41"/>
  <c r="K94" i="41" s="1"/>
  <c r="E88" i="41"/>
  <c r="L86" i="41"/>
  <c r="B94" i="41"/>
  <c r="C94" i="41" s="1"/>
  <c r="D88" i="41"/>
  <c r="E87" i="41"/>
  <c r="E86" i="41"/>
  <c r="B92" i="41"/>
  <c r="C92" i="41" s="1"/>
  <c r="J93" i="41"/>
  <c r="K93" i="41" s="1"/>
  <c r="B146" i="41"/>
  <c r="C146" i="41" s="1"/>
  <c r="B144" i="41"/>
  <c r="C144" i="41" s="1"/>
  <c r="L139" i="41"/>
  <c r="E138" i="41"/>
  <c r="E140" i="41"/>
  <c r="B145" i="41"/>
  <c r="C145" i="41" s="1"/>
  <c r="E139" i="41"/>
  <c r="L140" i="41"/>
  <c r="D139" i="41"/>
  <c r="J145" i="41"/>
  <c r="K145" i="41" s="1"/>
  <c r="D140" i="41"/>
  <c r="J144" i="41"/>
  <c r="K144" i="41" s="1"/>
  <c r="L138" i="41"/>
  <c r="J146" i="41"/>
  <c r="K146" i="41" s="1"/>
  <c r="D138" i="41"/>
  <c r="D32" i="41"/>
  <c r="B41" i="41"/>
  <c r="C41" i="41" s="1"/>
  <c r="B39" i="41"/>
  <c r="C39" i="41" s="1"/>
  <c r="B37" i="41"/>
  <c r="C37" i="41" s="1"/>
  <c r="D30" i="41"/>
  <c r="F33" i="41"/>
  <c r="F31" i="41"/>
  <c r="D33" i="41"/>
  <c r="D31" i="41"/>
  <c r="B42" i="41"/>
  <c r="C42" i="41" s="1"/>
  <c r="B40" i="41"/>
  <c r="C40" i="41" s="1"/>
  <c r="B38" i="41"/>
  <c r="C38" i="41" s="1"/>
  <c r="J41" i="41"/>
  <c r="K41" i="41" s="1"/>
  <c r="J39" i="41"/>
  <c r="K39" i="41" s="1"/>
  <c r="J37" i="41"/>
  <c r="K37" i="41" s="1"/>
  <c r="E32" i="41"/>
  <c r="F30" i="41"/>
  <c r="E30" i="41"/>
  <c r="E49" i="41"/>
  <c r="J54" i="41"/>
  <c r="K54" i="41" s="1"/>
  <c r="L47" i="41"/>
  <c r="L49" i="41"/>
  <c r="D48" i="41"/>
  <c r="J55" i="41"/>
  <c r="K55" i="41" s="1"/>
  <c r="J53" i="41"/>
  <c r="K53" i="41" s="1"/>
  <c r="B55" i="41"/>
  <c r="C55" i="41" s="1"/>
  <c r="B53" i="41"/>
  <c r="C53" i="41" s="1"/>
  <c r="L48" i="41"/>
  <c r="E47" i="41"/>
  <c r="D47" i="41"/>
  <c r="D49" i="41"/>
  <c r="L99" i="41"/>
  <c r="B105" i="41"/>
  <c r="C105" i="41" s="1"/>
  <c r="L100" i="41"/>
  <c r="D99" i="41"/>
  <c r="B107" i="41"/>
  <c r="C107" i="41" s="1"/>
  <c r="E101" i="41"/>
  <c r="D101" i="41"/>
  <c r="J106" i="41"/>
  <c r="K106" i="41" s="1"/>
  <c r="B106" i="41"/>
  <c r="C106" i="41" s="1"/>
  <c r="E100" i="41"/>
  <c r="L101" i="41"/>
  <c r="D100" i="41"/>
  <c r="J107" i="41"/>
  <c r="K107" i="41" s="1"/>
  <c r="E99" i="41"/>
  <c r="B171" i="41"/>
  <c r="C171" i="41" s="1"/>
  <c r="E165" i="41"/>
  <c r="L166" i="41"/>
  <c r="D165" i="41"/>
  <c r="B172" i="41"/>
  <c r="C172" i="41" s="1"/>
  <c r="B170" i="41"/>
  <c r="C170" i="41" s="1"/>
  <c r="L165" i="41"/>
  <c r="E164" i="41"/>
  <c r="E166" i="41"/>
  <c r="D164" i="41"/>
  <c r="J171" i="41"/>
  <c r="K171" i="41" s="1"/>
  <c r="D166" i="41"/>
  <c r="J170" i="41"/>
  <c r="K170" i="41" s="1"/>
  <c r="L164" i="41"/>
  <c r="J172" i="41"/>
  <c r="K172" i="41" s="1"/>
  <c r="B120" i="41"/>
  <c r="C120" i="41" s="1"/>
  <c r="E114" i="41"/>
  <c r="D112" i="41"/>
  <c r="D74" i="41"/>
  <c r="J66" i="41"/>
  <c r="K66" i="41" s="1"/>
  <c r="J68" i="41"/>
  <c r="K68" i="41" s="1"/>
  <c r="E74" i="41"/>
  <c r="L112" i="41"/>
  <c r="D114" i="41"/>
  <c r="B118" i="41"/>
  <c r="C118" i="41" s="1"/>
  <c r="J120" i="41"/>
  <c r="K120" i="41" s="1"/>
  <c r="J223" i="41"/>
  <c r="K223" i="41" s="1"/>
  <c r="E61" i="41"/>
  <c r="B67" i="41"/>
  <c r="C67" i="41" s="1"/>
  <c r="D75" i="41"/>
  <c r="L113" i="41"/>
  <c r="J118" i="41"/>
  <c r="K118" i="41" s="1"/>
  <c r="B198" i="41"/>
  <c r="C198" i="41" s="1"/>
  <c r="B196" i="41"/>
  <c r="C196" i="41" s="1"/>
  <c r="L191" i="41"/>
  <c r="E190" i="41"/>
  <c r="E192" i="41"/>
  <c r="D190" i="41"/>
  <c r="B197" i="41"/>
  <c r="C197" i="41" s="1"/>
  <c r="E191" i="41"/>
  <c r="L192" i="41"/>
  <c r="D191" i="41"/>
  <c r="D73" i="41"/>
  <c r="E75" i="41"/>
  <c r="B81" i="41"/>
  <c r="C81" i="41" s="1"/>
  <c r="E112" i="41"/>
  <c r="L114" i="41"/>
  <c r="B119" i="41"/>
  <c r="C119" i="41" s="1"/>
  <c r="J79" i="41"/>
  <c r="K79" i="41" s="1"/>
  <c r="D113" i="41"/>
  <c r="J119" i="41"/>
  <c r="K119" i="41" s="1"/>
  <c r="L75" i="41"/>
  <c r="E113" i="41"/>
  <c r="B223" i="41"/>
  <c r="C223" i="41" s="1"/>
  <c r="E217" i="41"/>
  <c r="L218" i="41"/>
  <c r="D217" i="41"/>
  <c r="J224" i="41"/>
  <c r="K224" i="41" s="1"/>
  <c r="J222" i="41"/>
  <c r="K222" i="41" s="1"/>
  <c r="B224" i="41"/>
  <c r="C224" i="41" s="1"/>
  <c r="B222" i="41"/>
  <c r="C222" i="41" s="1"/>
  <c r="L217" i="41"/>
  <c r="E216" i="41"/>
  <c r="E218" i="41"/>
  <c r="D216" i="41"/>
  <c r="L216" i="41"/>
  <c r="L151" i="41"/>
  <c r="L203" i="41"/>
  <c r="D243" i="41"/>
  <c r="L244" i="41"/>
  <c r="L255" i="41"/>
  <c r="E257" i="41"/>
  <c r="B261" i="41"/>
  <c r="C261" i="41" s="1"/>
  <c r="C314" i="41"/>
  <c r="J327" i="41"/>
  <c r="K327" i="41" s="1"/>
  <c r="D322" i="41"/>
  <c r="L320" i="41"/>
  <c r="B327" i="41"/>
  <c r="C327" i="41" s="1"/>
  <c r="E321" i="41"/>
  <c r="L322" i="41"/>
  <c r="D321" i="41"/>
  <c r="J328" i="41"/>
  <c r="K328" i="41" s="1"/>
  <c r="J326" i="41"/>
  <c r="K326" i="41" s="1"/>
  <c r="L321" i="41"/>
  <c r="D153" i="41"/>
  <c r="J158" i="41"/>
  <c r="K158" i="41" s="1"/>
  <c r="J183" i="41"/>
  <c r="K183" i="41" s="1"/>
  <c r="J185" i="41"/>
  <c r="K185" i="41" s="1"/>
  <c r="D205" i="41"/>
  <c r="J210" i="41"/>
  <c r="K210" i="41" s="1"/>
  <c r="J235" i="41"/>
  <c r="K235" i="41" s="1"/>
  <c r="J237" i="41"/>
  <c r="K237" i="41" s="1"/>
  <c r="E243" i="41"/>
  <c r="B249" i="41"/>
  <c r="C249" i="41" s="1"/>
  <c r="B328" i="41"/>
  <c r="C328" i="41" s="1"/>
  <c r="D244" i="41"/>
  <c r="J249" i="41"/>
  <c r="K249" i="41" s="1"/>
  <c r="B341" i="41"/>
  <c r="C341" i="41" s="1"/>
  <c r="B339" i="41"/>
  <c r="C339" i="41" s="1"/>
  <c r="L334" i="41"/>
  <c r="E333" i="41"/>
  <c r="E335" i="41"/>
  <c r="D333" i="41"/>
  <c r="J340" i="41"/>
  <c r="K340" i="41" s="1"/>
  <c r="D335" i="41"/>
  <c r="L333" i="41"/>
  <c r="B340" i="41"/>
  <c r="C340" i="41" s="1"/>
  <c r="E334" i="41"/>
  <c r="L335" i="41"/>
  <c r="D334" i="41"/>
  <c r="J341" i="41"/>
  <c r="K341" i="41" s="1"/>
  <c r="J339" i="41"/>
  <c r="K339" i="41" s="1"/>
  <c r="D242" i="41"/>
  <c r="E244" i="41"/>
  <c r="L257" i="41"/>
  <c r="D256" i="41"/>
  <c r="J157" i="41"/>
  <c r="K157" i="41" s="1"/>
  <c r="D179" i="41"/>
  <c r="J209" i="41"/>
  <c r="K209" i="41" s="1"/>
  <c r="D231" i="41"/>
  <c r="E242" i="41"/>
  <c r="L243" i="41"/>
  <c r="B248" i="41"/>
  <c r="C248" i="41" s="1"/>
  <c r="J262" i="41"/>
  <c r="K262" i="41" s="1"/>
  <c r="L268" i="41"/>
  <c r="L270" i="41"/>
  <c r="B275" i="41"/>
  <c r="C275" i="41" s="1"/>
  <c r="E283" i="41"/>
  <c r="D281" i="41"/>
  <c r="L281" i="41"/>
  <c r="J288" i="41"/>
  <c r="K288" i="41" s="1"/>
  <c r="B393" i="41"/>
  <c r="C393" i="41" s="1"/>
  <c r="B391" i="41"/>
  <c r="C391" i="41" s="1"/>
  <c r="L386" i="41"/>
  <c r="E385" i="41"/>
  <c r="E387" i="41"/>
  <c r="D385" i="41"/>
  <c r="J392" i="41"/>
  <c r="K392" i="41" s="1"/>
  <c r="D387" i="41"/>
  <c r="L385" i="41"/>
  <c r="B392" i="41"/>
  <c r="C392" i="41" s="1"/>
  <c r="E386" i="41"/>
  <c r="L387" i="41"/>
  <c r="D386" i="41"/>
  <c r="J393" i="41"/>
  <c r="K393" i="41" s="1"/>
  <c r="J391" i="41"/>
  <c r="K391" i="41" s="1"/>
  <c r="D361" i="41"/>
  <c r="J366" i="41"/>
  <c r="K366" i="41" s="1"/>
  <c r="E372" i="41"/>
  <c r="L373" i="41"/>
  <c r="B378" i="41"/>
  <c r="C378" i="41" s="1"/>
  <c r="B380" i="41"/>
  <c r="C380" i="41" s="1"/>
  <c r="B405" i="41"/>
  <c r="C405" i="41" s="1"/>
  <c r="D413" i="41"/>
  <c r="M413" i="41" s="1"/>
  <c r="J418" i="41"/>
  <c r="K418" i="41" s="1"/>
  <c r="E424" i="41"/>
  <c r="L425" i="41"/>
  <c r="B430" i="41"/>
  <c r="C430" i="41" s="1"/>
  <c r="B432" i="41"/>
  <c r="C432" i="41" s="1"/>
  <c r="P40" i="42"/>
  <c r="B365" i="41"/>
  <c r="C365" i="41" s="1"/>
  <c r="B367" i="41"/>
  <c r="C367" i="41" s="1"/>
  <c r="J378" i="41"/>
  <c r="K378" i="41" s="1"/>
  <c r="J380" i="41"/>
  <c r="K380" i="41" s="1"/>
  <c r="D400" i="41"/>
  <c r="J405" i="41"/>
  <c r="K405" i="41" s="1"/>
  <c r="E411" i="41"/>
  <c r="L412" i="41"/>
  <c r="B417" i="41"/>
  <c r="C417" i="41" s="1"/>
  <c r="B419" i="41"/>
  <c r="C419" i="41" s="1"/>
  <c r="J430" i="41"/>
  <c r="K430" i="41" s="1"/>
  <c r="J432" i="41"/>
  <c r="K432" i="41" s="1"/>
  <c r="D373" i="41"/>
  <c r="L374" i="41"/>
  <c r="E400" i="41"/>
  <c r="D425" i="41"/>
  <c r="L426" i="41"/>
  <c r="J365" i="41"/>
  <c r="K365" i="41" s="1"/>
  <c r="J367" i="41"/>
  <c r="K367" i="41" s="1"/>
  <c r="E373" i="41"/>
  <c r="B379" i="41"/>
  <c r="C379" i="41" s="1"/>
  <c r="E398" i="41"/>
  <c r="L399" i="41"/>
  <c r="B404" i="41"/>
  <c r="C404" i="41" s="1"/>
  <c r="B406" i="41"/>
  <c r="C406" i="41" s="1"/>
  <c r="J417" i="41"/>
  <c r="K417" i="41" s="1"/>
  <c r="J419" i="41"/>
  <c r="K419" i="41" s="1"/>
  <c r="E425" i="41"/>
  <c r="B431" i="41"/>
  <c r="C431" i="41" s="1"/>
  <c r="D308" i="41"/>
  <c r="L309" i="41"/>
  <c r="D360" i="41"/>
  <c r="L361" i="41"/>
  <c r="L372" i="41"/>
  <c r="D412" i="41"/>
  <c r="L413" i="41"/>
  <c r="L424" i="41"/>
  <c r="K352" i="41"/>
  <c r="E360" i="41"/>
  <c r="D374" i="41"/>
  <c r="J404" i="41"/>
  <c r="K404" i="41" s="1"/>
  <c r="E412" i="41"/>
  <c r="D426" i="41"/>
  <c r="G24" i="42"/>
  <c r="G152" i="42"/>
  <c r="AI136" i="42"/>
  <c r="G88" i="42"/>
  <c r="AG192" i="1"/>
  <c r="E192" i="1"/>
  <c r="AG190" i="1"/>
  <c r="E190" i="1"/>
  <c r="I188" i="1"/>
  <c r="I186" i="1"/>
  <c r="AG184" i="1"/>
  <c r="E184" i="1"/>
  <c r="AG182" i="1"/>
  <c r="E182" i="1"/>
  <c r="M180" i="1"/>
  <c r="M178" i="1"/>
  <c r="AG176" i="1"/>
  <c r="E176" i="1"/>
  <c r="AG174" i="1"/>
  <c r="N174" i="1"/>
  <c r="E174" i="1"/>
  <c r="N172" i="1"/>
  <c r="I172" i="1"/>
  <c r="N170" i="1"/>
  <c r="I170" i="1"/>
  <c r="AG168" i="1"/>
  <c r="N168" i="1"/>
  <c r="E168" i="1"/>
  <c r="AG166" i="1"/>
  <c r="E166" i="1"/>
  <c r="AG162" i="1"/>
  <c r="E162" i="1"/>
  <c r="AG160" i="1"/>
  <c r="E160" i="1"/>
  <c r="I158" i="1"/>
  <c r="I156" i="1"/>
  <c r="AG154" i="1"/>
  <c r="E154" i="1"/>
  <c r="AG152" i="1"/>
  <c r="E152" i="1"/>
  <c r="M150" i="1"/>
  <c r="M148" i="1"/>
  <c r="AG146" i="1"/>
  <c r="E146" i="1"/>
  <c r="AG144" i="1"/>
  <c r="E144" i="1"/>
  <c r="I142" i="1"/>
  <c r="I140" i="1"/>
  <c r="AG138" i="1"/>
  <c r="E138" i="1"/>
  <c r="AG136" i="1"/>
  <c r="E136" i="1"/>
  <c r="AG128" i="1"/>
  <c r="E128" i="1"/>
  <c r="AG126" i="1"/>
  <c r="E126" i="1"/>
  <c r="I124" i="1"/>
  <c r="I122" i="1"/>
  <c r="AG120" i="1"/>
  <c r="E120" i="1"/>
  <c r="AG118" i="1"/>
  <c r="E118" i="1"/>
  <c r="M116" i="1"/>
  <c r="M114" i="1"/>
  <c r="AG112" i="1"/>
  <c r="E112" i="1"/>
  <c r="AG110" i="1"/>
  <c r="N110" i="1"/>
  <c r="E110" i="1"/>
  <c r="N108" i="1"/>
  <c r="I108" i="1"/>
  <c r="N106" i="1"/>
  <c r="I106" i="1"/>
  <c r="AG104" i="1"/>
  <c r="N104" i="1"/>
  <c r="P104" i="1" s="1"/>
  <c r="E104" i="1"/>
  <c r="AG102" i="1"/>
  <c r="E102" i="1"/>
  <c r="AG98" i="1"/>
  <c r="E98" i="1"/>
  <c r="AG96" i="1"/>
  <c r="E96" i="1"/>
  <c r="I94" i="1"/>
  <c r="I92" i="1"/>
  <c r="AG90" i="1"/>
  <c r="E90" i="1"/>
  <c r="AG88" i="1"/>
  <c r="E88" i="1"/>
  <c r="M86" i="1"/>
  <c r="M84" i="1"/>
  <c r="AG82" i="1"/>
  <c r="E82" i="1"/>
  <c r="AG80" i="1"/>
  <c r="E80" i="1"/>
  <c r="I78" i="1"/>
  <c r="I76" i="1"/>
  <c r="AG74" i="1"/>
  <c r="E74" i="1"/>
  <c r="AG72" i="1"/>
  <c r="E72" i="1"/>
  <c r="N426" i="14"/>
  <c r="I426" i="14"/>
  <c r="N425" i="14"/>
  <c r="I425" i="14"/>
  <c r="N424" i="14"/>
  <c r="I424" i="14"/>
  <c r="H424" i="14"/>
  <c r="E426" i="14" s="1"/>
  <c r="N413" i="14"/>
  <c r="I413" i="14"/>
  <c r="N412" i="14"/>
  <c r="I412" i="14"/>
  <c r="N411" i="14"/>
  <c r="I411" i="14"/>
  <c r="H411" i="14"/>
  <c r="E413" i="14" s="1"/>
  <c r="N400" i="14"/>
  <c r="I400" i="14"/>
  <c r="N399" i="14"/>
  <c r="I399" i="14"/>
  <c r="N398" i="14"/>
  <c r="I398" i="14"/>
  <c r="H398" i="14"/>
  <c r="E400" i="14" s="1"/>
  <c r="N387" i="14"/>
  <c r="I387" i="14"/>
  <c r="N386" i="14"/>
  <c r="I386" i="14"/>
  <c r="N385" i="14"/>
  <c r="I385" i="14"/>
  <c r="H385" i="14"/>
  <c r="E387" i="14" s="1"/>
  <c r="N374" i="14"/>
  <c r="I374" i="14"/>
  <c r="N373" i="14"/>
  <c r="I373" i="14"/>
  <c r="N372" i="14"/>
  <c r="I372" i="14"/>
  <c r="H372" i="14"/>
  <c r="E374" i="14" s="1"/>
  <c r="N361" i="14"/>
  <c r="I361" i="14"/>
  <c r="N360" i="14"/>
  <c r="I360" i="14"/>
  <c r="N359" i="14"/>
  <c r="I359" i="14"/>
  <c r="H359" i="14"/>
  <c r="E361" i="14" s="1"/>
  <c r="N348" i="14"/>
  <c r="I348" i="14"/>
  <c r="N347" i="14"/>
  <c r="I347" i="14"/>
  <c r="N346" i="14"/>
  <c r="I346" i="14"/>
  <c r="H346" i="14"/>
  <c r="E348" i="14" s="1"/>
  <c r="N335" i="14"/>
  <c r="I335" i="14"/>
  <c r="N334" i="14"/>
  <c r="I334" i="14"/>
  <c r="N333" i="14"/>
  <c r="I333" i="14"/>
  <c r="H333" i="14"/>
  <c r="E335" i="14" s="1"/>
  <c r="N322" i="14"/>
  <c r="I322" i="14"/>
  <c r="N321" i="14"/>
  <c r="I321" i="14"/>
  <c r="N320" i="14"/>
  <c r="I320" i="14"/>
  <c r="H320" i="14"/>
  <c r="E322" i="14" s="1"/>
  <c r="N309" i="14"/>
  <c r="I309" i="14"/>
  <c r="N308" i="14"/>
  <c r="I308" i="14"/>
  <c r="N307" i="14"/>
  <c r="I307" i="14"/>
  <c r="H307" i="14"/>
  <c r="E309" i="14" s="1"/>
  <c r="N296" i="14"/>
  <c r="I296" i="14"/>
  <c r="N295" i="14"/>
  <c r="I295" i="14"/>
  <c r="N294" i="14"/>
  <c r="I294" i="14"/>
  <c r="H294" i="14"/>
  <c r="E296" i="14" s="1"/>
  <c r="N283" i="14"/>
  <c r="I283" i="14"/>
  <c r="N282" i="14"/>
  <c r="I282" i="14"/>
  <c r="N281" i="14"/>
  <c r="I281" i="14"/>
  <c r="H281" i="14"/>
  <c r="E283" i="14" s="1"/>
  <c r="N270" i="14"/>
  <c r="I270" i="14"/>
  <c r="N269" i="14"/>
  <c r="I269" i="14"/>
  <c r="N268" i="14"/>
  <c r="I268" i="14"/>
  <c r="H268" i="14"/>
  <c r="E270" i="14" s="1"/>
  <c r="N257" i="14"/>
  <c r="I257" i="14"/>
  <c r="N256" i="14"/>
  <c r="I256" i="14"/>
  <c r="N255" i="14"/>
  <c r="I255" i="14"/>
  <c r="H255" i="14"/>
  <c r="E257" i="14" s="1"/>
  <c r="N244" i="14"/>
  <c r="I244" i="14"/>
  <c r="N243" i="14"/>
  <c r="I243" i="14"/>
  <c r="N242" i="14"/>
  <c r="I242" i="14"/>
  <c r="H242" i="14"/>
  <c r="E244" i="14" s="1"/>
  <c r="N231" i="14"/>
  <c r="I231" i="14"/>
  <c r="N230" i="14"/>
  <c r="I230" i="14"/>
  <c r="N229" i="14"/>
  <c r="I229" i="14"/>
  <c r="H229" i="14"/>
  <c r="E231" i="14" s="1"/>
  <c r="N218" i="14"/>
  <c r="I218" i="14"/>
  <c r="N217" i="14"/>
  <c r="I217" i="14"/>
  <c r="N216" i="14"/>
  <c r="I216" i="14"/>
  <c r="H216" i="14"/>
  <c r="E218" i="14" s="1"/>
  <c r="N205" i="14"/>
  <c r="I205" i="14"/>
  <c r="N204" i="14"/>
  <c r="I204" i="14"/>
  <c r="N203" i="14"/>
  <c r="I203" i="14"/>
  <c r="H203" i="14"/>
  <c r="E205" i="14" s="1"/>
  <c r="N192" i="14"/>
  <c r="I192" i="14"/>
  <c r="N191" i="14"/>
  <c r="I191" i="14"/>
  <c r="N190" i="14"/>
  <c r="I190" i="14"/>
  <c r="H190" i="14"/>
  <c r="E192" i="14" s="1"/>
  <c r="N179" i="14"/>
  <c r="I179" i="14"/>
  <c r="N178" i="14"/>
  <c r="I178" i="14"/>
  <c r="N177" i="14"/>
  <c r="I177" i="14"/>
  <c r="H177" i="14"/>
  <c r="E179" i="14" s="1"/>
  <c r="N166" i="14"/>
  <c r="I166" i="14"/>
  <c r="N165" i="14"/>
  <c r="I165" i="14"/>
  <c r="N164" i="14"/>
  <c r="I164" i="14"/>
  <c r="H164" i="14"/>
  <c r="E166" i="14" s="1"/>
  <c r="N153" i="14"/>
  <c r="I153" i="14"/>
  <c r="N152" i="14"/>
  <c r="I152" i="14"/>
  <c r="N151" i="14"/>
  <c r="I151" i="14"/>
  <c r="H151" i="14"/>
  <c r="E153" i="14" s="1"/>
  <c r="N140" i="14"/>
  <c r="I140" i="14"/>
  <c r="N139" i="14"/>
  <c r="I139" i="14"/>
  <c r="N138" i="14"/>
  <c r="I138" i="14"/>
  <c r="H138" i="14"/>
  <c r="E140" i="14" s="1"/>
  <c r="N127" i="14"/>
  <c r="I127" i="14"/>
  <c r="N126" i="14"/>
  <c r="I126" i="14"/>
  <c r="N125" i="14"/>
  <c r="I125" i="14"/>
  <c r="H125" i="14"/>
  <c r="E127" i="14" s="1"/>
  <c r="N114" i="14"/>
  <c r="I114" i="14"/>
  <c r="N113" i="14"/>
  <c r="I113" i="14"/>
  <c r="N112" i="14"/>
  <c r="I112" i="14"/>
  <c r="H112" i="14"/>
  <c r="E114" i="14" s="1"/>
  <c r="N101" i="14"/>
  <c r="I101" i="14"/>
  <c r="N100" i="14"/>
  <c r="I100" i="14"/>
  <c r="N99" i="14"/>
  <c r="I99" i="14"/>
  <c r="H99" i="14"/>
  <c r="E101" i="14" s="1"/>
  <c r="N88" i="14"/>
  <c r="I88" i="14"/>
  <c r="N87" i="14"/>
  <c r="I87" i="14"/>
  <c r="N86" i="14"/>
  <c r="I86" i="14"/>
  <c r="H86" i="14"/>
  <c r="J93" i="14" s="1"/>
  <c r="K93" i="14" s="1"/>
  <c r="N75" i="14"/>
  <c r="I75" i="14"/>
  <c r="N74" i="14"/>
  <c r="I74" i="14"/>
  <c r="N73" i="14"/>
  <c r="I73" i="14"/>
  <c r="H73" i="14"/>
  <c r="E75" i="14" s="1"/>
  <c r="N62" i="14"/>
  <c r="I62" i="14"/>
  <c r="N61" i="14"/>
  <c r="I61" i="14"/>
  <c r="N60" i="14"/>
  <c r="I60" i="14"/>
  <c r="H60" i="14"/>
  <c r="E62" i="14" s="1"/>
  <c r="B393" i="14"/>
  <c r="C393" i="14" s="1"/>
  <c r="B352" i="14"/>
  <c r="C352" i="14" s="1"/>
  <c r="J237" i="14"/>
  <c r="K237" i="14" s="1"/>
  <c r="B235" i="14"/>
  <c r="C235" i="14" s="1"/>
  <c r="H47" i="14"/>
  <c r="E49" i="14" s="1"/>
  <c r="N49" i="14"/>
  <c r="I49" i="14"/>
  <c r="N48" i="14"/>
  <c r="I48" i="14"/>
  <c r="N47" i="14"/>
  <c r="I47" i="14"/>
  <c r="H30" i="14"/>
  <c r="E33" i="14" s="1"/>
  <c r="N33" i="14"/>
  <c r="I33" i="14"/>
  <c r="N32" i="14"/>
  <c r="I32" i="14"/>
  <c r="N31" i="14"/>
  <c r="I31" i="14"/>
  <c r="N30" i="14"/>
  <c r="I30" i="14"/>
  <c r="N12" i="14"/>
  <c r="N11" i="14"/>
  <c r="N10" i="14"/>
  <c r="I12" i="14"/>
  <c r="I11" i="14"/>
  <c r="N9" i="14"/>
  <c r="N8" i="14"/>
  <c r="H8" i="14"/>
  <c r="AI182" i="1" l="1"/>
  <c r="AI96" i="1"/>
  <c r="AI190" i="1"/>
  <c r="AU167" i="48"/>
  <c r="U26" i="7" s="1"/>
  <c r="AQ167" i="48"/>
  <c r="AT167" i="48"/>
  <c r="J223" i="14"/>
  <c r="K223" i="14" s="1"/>
  <c r="AI174" i="1"/>
  <c r="G160" i="1"/>
  <c r="J404" i="14"/>
  <c r="K404" i="14" s="1"/>
  <c r="B379" i="14"/>
  <c r="C379" i="14" s="1"/>
  <c r="J379" i="14"/>
  <c r="K379" i="14" s="1"/>
  <c r="J380" i="14"/>
  <c r="K380" i="14" s="1"/>
  <c r="B378" i="14"/>
  <c r="C378" i="14" s="1"/>
  <c r="J378" i="14"/>
  <c r="K378" i="14" s="1"/>
  <c r="B380" i="14"/>
  <c r="C380" i="14" s="1"/>
  <c r="E372" i="14"/>
  <c r="B366" i="14"/>
  <c r="C366" i="14" s="1"/>
  <c r="B354" i="14"/>
  <c r="C354" i="14" s="1"/>
  <c r="E346" i="14"/>
  <c r="J339" i="14"/>
  <c r="K339" i="14" s="1"/>
  <c r="B326" i="14"/>
  <c r="C326" i="14" s="1"/>
  <c r="J301" i="14"/>
  <c r="K301" i="14" s="1"/>
  <c r="B302" i="14"/>
  <c r="C302" i="14" s="1"/>
  <c r="B248" i="14"/>
  <c r="C248" i="14" s="1"/>
  <c r="J248" i="14"/>
  <c r="K248" i="14" s="1"/>
  <c r="B249" i="14"/>
  <c r="C249" i="14" s="1"/>
  <c r="B250" i="14"/>
  <c r="C250" i="14" s="1"/>
  <c r="J250" i="14"/>
  <c r="K250" i="14" s="1"/>
  <c r="J235" i="14"/>
  <c r="K235" i="14" s="1"/>
  <c r="J236" i="14"/>
  <c r="K236" i="14" s="1"/>
  <c r="B237" i="14"/>
  <c r="C237" i="14" s="1"/>
  <c r="B224" i="14"/>
  <c r="C224" i="14" s="1"/>
  <c r="B222" i="14"/>
  <c r="C222" i="14" s="1"/>
  <c r="B223" i="14"/>
  <c r="C223" i="14" s="1"/>
  <c r="E216" i="14"/>
  <c r="J120" i="14"/>
  <c r="K120" i="14" s="1"/>
  <c r="B106" i="14"/>
  <c r="C106" i="14" s="1"/>
  <c r="B93" i="14"/>
  <c r="C93" i="14" s="1"/>
  <c r="J80" i="14"/>
  <c r="K80" i="14" s="1"/>
  <c r="M425" i="41"/>
  <c r="M426" i="41"/>
  <c r="M424" i="41"/>
  <c r="M412" i="41"/>
  <c r="M411" i="41"/>
  <c r="O413" i="41" s="1"/>
  <c r="AI160" i="1"/>
  <c r="G190" i="1"/>
  <c r="G80" i="1"/>
  <c r="G102" i="1"/>
  <c r="AI126" i="1"/>
  <c r="AI152" i="1"/>
  <c r="AI102" i="1"/>
  <c r="G144" i="1"/>
  <c r="G166" i="1"/>
  <c r="P172" i="1"/>
  <c r="G110" i="1"/>
  <c r="AI166" i="1"/>
  <c r="G174" i="1"/>
  <c r="E242" i="14"/>
  <c r="J94" i="14"/>
  <c r="K94" i="14" s="1"/>
  <c r="E243" i="14"/>
  <c r="J432" i="14"/>
  <c r="K432" i="14" s="1"/>
  <c r="E229" i="14"/>
  <c r="E294" i="14"/>
  <c r="L296" i="14"/>
  <c r="L372" i="14"/>
  <c r="D373" i="14"/>
  <c r="L217" i="14"/>
  <c r="E373" i="14"/>
  <c r="L61" i="14"/>
  <c r="L230" i="14"/>
  <c r="D243" i="14"/>
  <c r="L295" i="14"/>
  <c r="J17" i="14"/>
  <c r="K17" i="14" s="1"/>
  <c r="D8" i="14"/>
  <c r="B81" i="14"/>
  <c r="C81" i="14" s="1"/>
  <c r="J393" i="14"/>
  <c r="K393" i="14" s="1"/>
  <c r="E73" i="14"/>
  <c r="E99" i="14"/>
  <c r="E333" i="14"/>
  <c r="L386" i="14"/>
  <c r="AI88" i="1"/>
  <c r="G126" i="1"/>
  <c r="G152" i="1"/>
  <c r="L359" i="14"/>
  <c r="E385" i="14"/>
  <c r="J366" i="14"/>
  <c r="K366" i="14" s="1"/>
  <c r="B391" i="14"/>
  <c r="C391" i="14" s="1"/>
  <c r="AI144" i="1"/>
  <c r="B133" i="14"/>
  <c r="C133" i="14" s="1"/>
  <c r="B367" i="14"/>
  <c r="C367" i="14" s="1"/>
  <c r="J391" i="14"/>
  <c r="K391" i="14" s="1"/>
  <c r="E60" i="14"/>
  <c r="L385" i="14"/>
  <c r="AI72" i="1"/>
  <c r="G136" i="1"/>
  <c r="B198" i="14"/>
  <c r="C198" i="14" s="1"/>
  <c r="B392" i="14"/>
  <c r="C392" i="14" s="1"/>
  <c r="L360" i="14"/>
  <c r="G96" i="1"/>
  <c r="AI110" i="1"/>
  <c r="AI136" i="1"/>
  <c r="D48" i="14"/>
  <c r="J392" i="14"/>
  <c r="K392" i="14" s="1"/>
  <c r="L74" i="14"/>
  <c r="J92" i="14"/>
  <c r="K92" i="14" s="1"/>
  <c r="L242" i="14"/>
  <c r="E359" i="14"/>
  <c r="M296" i="41"/>
  <c r="M295" i="41"/>
  <c r="M294" i="41"/>
  <c r="K313" i="41"/>
  <c r="M346" i="41"/>
  <c r="M268" i="41"/>
  <c r="M229" i="41"/>
  <c r="B131" i="14"/>
  <c r="C131" i="14" s="1"/>
  <c r="B327" i="14"/>
  <c r="C327" i="14" s="1"/>
  <c r="D126" i="14"/>
  <c r="D295" i="14"/>
  <c r="J106" i="14"/>
  <c r="K106" i="14" s="1"/>
  <c r="J131" i="14"/>
  <c r="K131" i="14" s="1"/>
  <c r="B300" i="14"/>
  <c r="C300" i="14" s="1"/>
  <c r="J302" i="14"/>
  <c r="K302" i="14" s="1"/>
  <c r="J352" i="14"/>
  <c r="K352" i="14" s="1"/>
  <c r="J354" i="14"/>
  <c r="K354" i="14" s="1"/>
  <c r="J405" i="14"/>
  <c r="K405" i="14" s="1"/>
  <c r="E295" i="14"/>
  <c r="L334" i="14"/>
  <c r="J133" i="14"/>
  <c r="K133" i="14" s="1"/>
  <c r="J275" i="14"/>
  <c r="K275" i="14" s="1"/>
  <c r="B405" i="14"/>
  <c r="C405" i="14" s="1"/>
  <c r="L308" i="14"/>
  <c r="G72" i="1"/>
  <c r="J327" i="14"/>
  <c r="K327" i="14" s="1"/>
  <c r="L125" i="14"/>
  <c r="L320" i="14"/>
  <c r="L321" i="14"/>
  <c r="L398" i="14"/>
  <c r="L399" i="14"/>
  <c r="B419" i="14"/>
  <c r="C419" i="14" s="1"/>
  <c r="AI80" i="1"/>
  <c r="G118" i="1"/>
  <c r="B92" i="14"/>
  <c r="C92" i="14" s="1"/>
  <c r="J107" i="14"/>
  <c r="K107" i="14" s="1"/>
  <c r="B132" i="14"/>
  <c r="C132" i="14" s="1"/>
  <c r="B301" i="14"/>
  <c r="C301" i="14" s="1"/>
  <c r="B314" i="14"/>
  <c r="C314" i="14" s="1"/>
  <c r="J328" i="14"/>
  <c r="K328" i="14" s="1"/>
  <c r="B353" i="14"/>
  <c r="C353" i="14" s="1"/>
  <c r="B365" i="14"/>
  <c r="C365" i="14" s="1"/>
  <c r="J406" i="14"/>
  <c r="K406" i="14" s="1"/>
  <c r="L87" i="14"/>
  <c r="L99" i="14"/>
  <c r="L100" i="14"/>
  <c r="E125" i="14"/>
  <c r="L126" i="14"/>
  <c r="L127" i="14"/>
  <c r="L243" i="14"/>
  <c r="L244" i="14"/>
  <c r="E307" i="14"/>
  <c r="E320" i="14"/>
  <c r="L346" i="14"/>
  <c r="L347" i="14"/>
  <c r="L373" i="14"/>
  <c r="L374" i="14"/>
  <c r="E398" i="14"/>
  <c r="G88" i="1"/>
  <c r="P108" i="1"/>
  <c r="AI118" i="1"/>
  <c r="P168" i="1"/>
  <c r="G182" i="1"/>
  <c r="M231" i="41"/>
  <c r="M257" i="41"/>
  <c r="M256" i="41"/>
  <c r="M73" i="41"/>
  <c r="M398" i="41"/>
  <c r="M399" i="41"/>
  <c r="M372" i="41"/>
  <c r="M361" i="41"/>
  <c r="M347" i="41"/>
  <c r="M308" i="41"/>
  <c r="M309" i="41"/>
  <c r="M307" i="41"/>
  <c r="K315" i="41"/>
  <c r="M283" i="41"/>
  <c r="M282" i="41"/>
  <c r="M218" i="41"/>
  <c r="M203" i="41"/>
  <c r="M205" i="41"/>
  <c r="M192" i="41"/>
  <c r="M125" i="41"/>
  <c r="M126" i="41"/>
  <c r="M127" i="41"/>
  <c r="M62" i="41"/>
  <c r="M61" i="41"/>
  <c r="M8" i="41"/>
  <c r="M10" i="41"/>
  <c r="M9" i="41"/>
  <c r="M11" i="41"/>
  <c r="M99" i="41"/>
  <c r="M179" i="41"/>
  <c r="M359" i="41"/>
  <c r="M255" i="41"/>
  <c r="M190" i="41"/>
  <c r="M151" i="41"/>
  <c r="M270" i="41"/>
  <c r="M47" i="41"/>
  <c r="M387" i="41"/>
  <c r="M100" i="41"/>
  <c r="M30" i="41"/>
  <c r="M373" i="41"/>
  <c r="M322" i="41"/>
  <c r="M269" i="41"/>
  <c r="M230" i="41"/>
  <c r="M140" i="41"/>
  <c r="M88" i="41"/>
  <c r="M360" i="41"/>
  <c r="M385" i="41"/>
  <c r="M335" i="41"/>
  <c r="M243" i="41"/>
  <c r="M113" i="41"/>
  <c r="M204" i="41"/>
  <c r="M152" i="41"/>
  <c r="M191" i="41"/>
  <c r="M74" i="41"/>
  <c r="M166" i="41"/>
  <c r="M165" i="41"/>
  <c r="M87" i="41"/>
  <c r="M374" i="41"/>
  <c r="M400" i="41"/>
  <c r="M386" i="41"/>
  <c r="M281" i="41"/>
  <c r="M242" i="41"/>
  <c r="M153" i="41"/>
  <c r="M178" i="41"/>
  <c r="M75" i="41"/>
  <c r="M112" i="41"/>
  <c r="M139" i="41"/>
  <c r="M333" i="41"/>
  <c r="M244" i="41"/>
  <c r="M321" i="41"/>
  <c r="M177" i="41"/>
  <c r="M60" i="41"/>
  <c r="M164" i="41"/>
  <c r="M31" i="41"/>
  <c r="M32" i="41"/>
  <c r="M86" i="41"/>
  <c r="M348" i="41"/>
  <c r="M334" i="41"/>
  <c r="M216" i="41"/>
  <c r="M217" i="41"/>
  <c r="M320" i="41"/>
  <c r="M114" i="41"/>
  <c r="M101" i="41"/>
  <c r="M49" i="41"/>
  <c r="M48" i="41"/>
  <c r="M33" i="41"/>
  <c r="M138" i="41"/>
  <c r="L12" i="14"/>
  <c r="L30" i="14"/>
  <c r="L31" i="14"/>
  <c r="L32" i="14"/>
  <c r="L33" i="14"/>
  <c r="L8" i="14"/>
  <c r="L9" i="14"/>
  <c r="L10" i="14"/>
  <c r="L11" i="14"/>
  <c r="B418" i="14"/>
  <c r="C418" i="14" s="1"/>
  <c r="B417" i="14"/>
  <c r="C417" i="14" s="1"/>
  <c r="B432" i="14"/>
  <c r="C432" i="14" s="1"/>
  <c r="B431" i="14"/>
  <c r="C431" i="14" s="1"/>
  <c r="B430" i="14"/>
  <c r="C430" i="14" s="1"/>
  <c r="E424" i="14"/>
  <c r="L425" i="14"/>
  <c r="D425" i="14"/>
  <c r="L426" i="14"/>
  <c r="E425" i="14"/>
  <c r="J430" i="14"/>
  <c r="K430" i="14" s="1"/>
  <c r="L424" i="14"/>
  <c r="D426" i="14"/>
  <c r="J431" i="14"/>
  <c r="K431" i="14" s="1"/>
  <c r="D424" i="14"/>
  <c r="E411" i="14"/>
  <c r="L412" i="14"/>
  <c r="J418" i="14"/>
  <c r="K418" i="14" s="1"/>
  <c r="D412" i="14"/>
  <c r="L413" i="14"/>
  <c r="J417" i="14"/>
  <c r="K417" i="14" s="1"/>
  <c r="E412" i="14"/>
  <c r="J419" i="14"/>
  <c r="K419" i="14" s="1"/>
  <c r="L411" i="14"/>
  <c r="D413" i="14"/>
  <c r="M413" i="14" s="1"/>
  <c r="D411" i="14"/>
  <c r="B406" i="14"/>
  <c r="C406" i="14" s="1"/>
  <c r="D399" i="14"/>
  <c r="L400" i="14"/>
  <c r="E399" i="14"/>
  <c r="D400" i="14"/>
  <c r="B404" i="14"/>
  <c r="C404" i="14" s="1"/>
  <c r="D398" i="14"/>
  <c r="D386" i="14"/>
  <c r="L387" i="14"/>
  <c r="E386" i="14"/>
  <c r="D387" i="14"/>
  <c r="D385" i="14"/>
  <c r="D374" i="14"/>
  <c r="D372" i="14"/>
  <c r="J367" i="14"/>
  <c r="K367" i="14" s="1"/>
  <c r="D360" i="14"/>
  <c r="L361" i="14"/>
  <c r="E360" i="14"/>
  <c r="D361" i="14"/>
  <c r="J365" i="14"/>
  <c r="K365" i="14" s="1"/>
  <c r="D359" i="14"/>
  <c r="D347" i="14"/>
  <c r="L348" i="14"/>
  <c r="E347" i="14"/>
  <c r="D348" i="14"/>
  <c r="J353" i="14"/>
  <c r="K353" i="14" s="1"/>
  <c r="D346" i="14"/>
  <c r="B340" i="14"/>
  <c r="C340" i="14" s="1"/>
  <c r="J340" i="14"/>
  <c r="K340" i="14" s="1"/>
  <c r="D334" i="14"/>
  <c r="L335" i="14"/>
  <c r="B341" i="14"/>
  <c r="C341" i="14" s="1"/>
  <c r="E334" i="14"/>
  <c r="J341" i="14"/>
  <c r="K341" i="14" s="1"/>
  <c r="L333" i="14"/>
  <c r="D335" i="14"/>
  <c r="B339" i="14"/>
  <c r="C339" i="14" s="1"/>
  <c r="D333" i="14"/>
  <c r="J326" i="14"/>
  <c r="K326" i="14" s="1"/>
  <c r="D321" i="14"/>
  <c r="L322" i="14"/>
  <c r="E321" i="14"/>
  <c r="D322" i="14"/>
  <c r="B328" i="14"/>
  <c r="C328" i="14" s="1"/>
  <c r="D320" i="14"/>
  <c r="J314" i="14"/>
  <c r="K314" i="14" s="1"/>
  <c r="B315" i="14"/>
  <c r="C315" i="14" s="1"/>
  <c r="D308" i="14"/>
  <c r="L309" i="14"/>
  <c r="J315" i="14"/>
  <c r="K315" i="14" s="1"/>
  <c r="E308" i="14"/>
  <c r="B313" i="14"/>
  <c r="C313" i="14" s="1"/>
  <c r="L307" i="14"/>
  <c r="J313" i="14"/>
  <c r="K313" i="14" s="1"/>
  <c r="D309" i="14"/>
  <c r="D307" i="14"/>
  <c r="L294" i="14"/>
  <c r="D296" i="14"/>
  <c r="J300" i="14"/>
  <c r="K300" i="14" s="1"/>
  <c r="D294" i="14"/>
  <c r="E281" i="14"/>
  <c r="L282" i="14"/>
  <c r="B287" i="14"/>
  <c r="C287" i="14" s="1"/>
  <c r="J287" i="14"/>
  <c r="K287" i="14" s="1"/>
  <c r="D282" i="14"/>
  <c r="L283" i="14"/>
  <c r="B288" i="14"/>
  <c r="C288" i="14" s="1"/>
  <c r="E282" i="14"/>
  <c r="J288" i="14"/>
  <c r="K288" i="14" s="1"/>
  <c r="L281" i="14"/>
  <c r="B289" i="14"/>
  <c r="C289" i="14" s="1"/>
  <c r="D283" i="14"/>
  <c r="J289" i="14"/>
  <c r="K289" i="14" s="1"/>
  <c r="D281" i="14"/>
  <c r="B275" i="14"/>
  <c r="C275" i="14" s="1"/>
  <c r="E268" i="14"/>
  <c r="L269" i="14"/>
  <c r="B276" i="14"/>
  <c r="C276" i="14" s="1"/>
  <c r="J276" i="14"/>
  <c r="K276" i="14" s="1"/>
  <c r="D269" i="14"/>
  <c r="L270" i="14"/>
  <c r="E269" i="14"/>
  <c r="L268" i="14"/>
  <c r="B274" i="14"/>
  <c r="C274" i="14" s="1"/>
  <c r="D270" i="14"/>
  <c r="J274" i="14"/>
  <c r="K274" i="14" s="1"/>
  <c r="D268" i="14"/>
  <c r="E255" i="14"/>
  <c r="L256" i="14"/>
  <c r="B261" i="14"/>
  <c r="C261" i="14" s="1"/>
  <c r="J261" i="14"/>
  <c r="K261" i="14" s="1"/>
  <c r="D256" i="14"/>
  <c r="L257" i="14"/>
  <c r="B262" i="14"/>
  <c r="C262" i="14" s="1"/>
  <c r="E256" i="14"/>
  <c r="J262" i="14"/>
  <c r="K262" i="14" s="1"/>
  <c r="L255" i="14"/>
  <c r="B263" i="14"/>
  <c r="C263" i="14" s="1"/>
  <c r="D257" i="14"/>
  <c r="J263" i="14"/>
  <c r="K263" i="14" s="1"/>
  <c r="D255" i="14"/>
  <c r="D244" i="14"/>
  <c r="J249" i="14"/>
  <c r="K249" i="14" s="1"/>
  <c r="D242" i="14"/>
  <c r="B236" i="14"/>
  <c r="C236" i="14" s="1"/>
  <c r="D230" i="14"/>
  <c r="L231" i="14"/>
  <c r="E230" i="14"/>
  <c r="L229" i="14"/>
  <c r="D231" i="14"/>
  <c r="D229" i="14"/>
  <c r="M229" i="14" s="1"/>
  <c r="J224" i="14"/>
  <c r="K224" i="14" s="1"/>
  <c r="D217" i="14"/>
  <c r="L218" i="14"/>
  <c r="E217" i="14"/>
  <c r="L216" i="14"/>
  <c r="D218" i="14"/>
  <c r="J222" i="14"/>
  <c r="K222" i="14" s="1"/>
  <c r="D216" i="14"/>
  <c r="E203" i="14"/>
  <c r="L204" i="14"/>
  <c r="J209" i="14"/>
  <c r="K209" i="14" s="1"/>
  <c r="B210" i="14"/>
  <c r="C210" i="14" s="1"/>
  <c r="D204" i="14"/>
  <c r="L205" i="14"/>
  <c r="E204" i="14"/>
  <c r="J210" i="14"/>
  <c r="K210" i="14" s="1"/>
  <c r="L203" i="14"/>
  <c r="B211" i="14"/>
  <c r="C211" i="14" s="1"/>
  <c r="D205" i="14"/>
  <c r="B209" i="14"/>
  <c r="C209" i="14" s="1"/>
  <c r="J211" i="14"/>
  <c r="K211" i="14" s="1"/>
  <c r="D203" i="14"/>
  <c r="J197" i="14"/>
  <c r="K197" i="14" s="1"/>
  <c r="E190" i="14"/>
  <c r="L191" i="14"/>
  <c r="J198" i="14"/>
  <c r="K198" i="14" s="1"/>
  <c r="D191" i="14"/>
  <c r="L192" i="14"/>
  <c r="B196" i="14"/>
  <c r="C196" i="14" s="1"/>
  <c r="E191" i="14"/>
  <c r="J196" i="14"/>
  <c r="K196" i="14" s="1"/>
  <c r="L190" i="14"/>
  <c r="B197" i="14"/>
  <c r="C197" i="14" s="1"/>
  <c r="D192" i="14"/>
  <c r="D190" i="14"/>
  <c r="J183" i="14"/>
  <c r="K183" i="14" s="1"/>
  <c r="E177" i="14"/>
  <c r="L178" i="14"/>
  <c r="B184" i="14"/>
  <c r="C184" i="14" s="1"/>
  <c r="J184" i="14"/>
  <c r="K184" i="14" s="1"/>
  <c r="D178" i="14"/>
  <c r="L179" i="14"/>
  <c r="B185" i="14"/>
  <c r="C185" i="14" s="1"/>
  <c r="E178" i="14"/>
  <c r="J185" i="14"/>
  <c r="K185" i="14" s="1"/>
  <c r="L177" i="14"/>
  <c r="D179" i="14"/>
  <c r="B183" i="14"/>
  <c r="C183" i="14" s="1"/>
  <c r="D177" i="14"/>
  <c r="J172" i="14"/>
  <c r="K172" i="14" s="1"/>
  <c r="E164" i="14"/>
  <c r="L165" i="14"/>
  <c r="B170" i="14"/>
  <c r="C170" i="14" s="1"/>
  <c r="L166" i="14"/>
  <c r="J170" i="14"/>
  <c r="K170" i="14" s="1"/>
  <c r="D165" i="14"/>
  <c r="B171" i="14"/>
  <c r="C171" i="14" s="1"/>
  <c r="E165" i="14"/>
  <c r="L164" i="14"/>
  <c r="J171" i="14"/>
  <c r="K171" i="14" s="1"/>
  <c r="D166" i="14"/>
  <c r="B172" i="14"/>
  <c r="C172" i="14" s="1"/>
  <c r="D164" i="14"/>
  <c r="B158" i="14"/>
  <c r="C158" i="14" s="1"/>
  <c r="E151" i="14"/>
  <c r="L152" i="14"/>
  <c r="J158" i="14"/>
  <c r="K158" i="14" s="1"/>
  <c r="B159" i="14"/>
  <c r="C159" i="14" s="1"/>
  <c r="J159" i="14"/>
  <c r="K159" i="14" s="1"/>
  <c r="D152" i="14"/>
  <c r="L153" i="14"/>
  <c r="E152" i="14"/>
  <c r="L151" i="14"/>
  <c r="B157" i="14"/>
  <c r="C157" i="14" s="1"/>
  <c r="D153" i="14"/>
  <c r="J157" i="14"/>
  <c r="K157" i="14" s="1"/>
  <c r="D151" i="14"/>
  <c r="E138" i="14"/>
  <c r="L139" i="14"/>
  <c r="J144" i="14"/>
  <c r="K144" i="14" s="1"/>
  <c r="D139" i="14"/>
  <c r="L140" i="14"/>
  <c r="B145" i="14"/>
  <c r="C145" i="14" s="1"/>
  <c r="E139" i="14"/>
  <c r="J145" i="14"/>
  <c r="K145" i="14" s="1"/>
  <c r="L138" i="14"/>
  <c r="B144" i="14"/>
  <c r="C144" i="14" s="1"/>
  <c r="B146" i="14"/>
  <c r="C146" i="14" s="1"/>
  <c r="D140" i="14"/>
  <c r="J146" i="14"/>
  <c r="K146" i="14" s="1"/>
  <c r="D138" i="14"/>
  <c r="J132" i="14"/>
  <c r="K132" i="14" s="1"/>
  <c r="E126" i="14"/>
  <c r="M126" i="14" s="1"/>
  <c r="D127" i="14"/>
  <c r="D125" i="14"/>
  <c r="B120" i="14"/>
  <c r="C120" i="14" s="1"/>
  <c r="E112" i="14"/>
  <c r="L113" i="14"/>
  <c r="D113" i="14"/>
  <c r="L114" i="14"/>
  <c r="B118" i="14"/>
  <c r="C118" i="14" s="1"/>
  <c r="E113" i="14"/>
  <c r="J118" i="14"/>
  <c r="K118" i="14" s="1"/>
  <c r="L112" i="14"/>
  <c r="B119" i="14"/>
  <c r="C119" i="14" s="1"/>
  <c r="D114" i="14"/>
  <c r="J119" i="14"/>
  <c r="K119" i="14" s="1"/>
  <c r="D112" i="14"/>
  <c r="B105" i="14"/>
  <c r="C105" i="14" s="1"/>
  <c r="D100" i="14"/>
  <c r="L101" i="14"/>
  <c r="J105" i="14"/>
  <c r="K105" i="14" s="1"/>
  <c r="E100" i="14"/>
  <c r="D101" i="14"/>
  <c r="B107" i="14"/>
  <c r="C107" i="14" s="1"/>
  <c r="D99" i="14"/>
  <c r="E88" i="14"/>
  <c r="E87" i="14"/>
  <c r="B94" i="14"/>
  <c r="C94" i="14" s="1"/>
  <c r="D87" i="14"/>
  <c r="L88" i="14"/>
  <c r="L86" i="14"/>
  <c r="D86" i="14"/>
  <c r="J81" i="14"/>
  <c r="K81" i="14" s="1"/>
  <c r="D74" i="14"/>
  <c r="L75" i="14"/>
  <c r="B79" i="14"/>
  <c r="C79" i="14" s="1"/>
  <c r="E74" i="14"/>
  <c r="J79" i="14"/>
  <c r="K79" i="14" s="1"/>
  <c r="L73" i="14"/>
  <c r="B80" i="14"/>
  <c r="C80" i="14" s="1"/>
  <c r="D75" i="14"/>
  <c r="D73" i="14"/>
  <c r="J66" i="14"/>
  <c r="K66" i="14" s="1"/>
  <c r="D61" i="14"/>
  <c r="L62" i="14"/>
  <c r="B66" i="14"/>
  <c r="C66" i="14" s="1"/>
  <c r="B67" i="14"/>
  <c r="C67" i="14" s="1"/>
  <c r="E61" i="14"/>
  <c r="J67" i="14"/>
  <c r="K67" i="14" s="1"/>
  <c r="L60" i="14"/>
  <c r="B68" i="14"/>
  <c r="C68" i="14" s="1"/>
  <c r="D62" i="14"/>
  <c r="J68" i="14"/>
  <c r="K68" i="14" s="1"/>
  <c r="D60" i="14"/>
  <c r="F10" i="14"/>
  <c r="F11" i="14"/>
  <c r="F12" i="14"/>
  <c r="G8" i="14"/>
  <c r="G9" i="14"/>
  <c r="G10" i="14"/>
  <c r="F8" i="14"/>
  <c r="G11" i="14"/>
  <c r="F9" i="14"/>
  <c r="G12" i="14"/>
  <c r="B16" i="14"/>
  <c r="C16" i="14" s="1"/>
  <c r="F31" i="14"/>
  <c r="J38" i="14"/>
  <c r="K38" i="14" s="1"/>
  <c r="J37" i="14"/>
  <c r="K37" i="14" s="1"/>
  <c r="B37" i="14"/>
  <c r="C37" i="14" s="1"/>
  <c r="B38" i="14"/>
  <c r="C38" i="14" s="1"/>
  <c r="J42" i="14"/>
  <c r="K42" i="14" s="1"/>
  <c r="B39" i="14"/>
  <c r="C39" i="14" s="1"/>
  <c r="J41" i="14"/>
  <c r="K41" i="14" s="1"/>
  <c r="B40" i="14"/>
  <c r="C40" i="14" s="1"/>
  <c r="J40" i="14"/>
  <c r="K40" i="14" s="1"/>
  <c r="B41" i="14"/>
  <c r="C41" i="14" s="1"/>
  <c r="J39" i="14"/>
  <c r="K39" i="14" s="1"/>
  <c r="B42" i="14"/>
  <c r="C42" i="14" s="1"/>
  <c r="B55" i="14"/>
  <c r="C55" i="14" s="1"/>
  <c r="B54" i="14"/>
  <c r="C54" i="14" s="1"/>
  <c r="B53" i="14"/>
  <c r="C53" i="14" s="1"/>
  <c r="J53" i="14"/>
  <c r="K53" i="14" s="1"/>
  <c r="J54" i="14"/>
  <c r="K54" i="14" s="1"/>
  <c r="J55" i="14"/>
  <c r="K55" i="14" s="1"/>
  <c r="F30" i="14"/>
  <c r="F32" i="14"/>
  <c r="F33" i="14"/>
  <c r="D47" i="14"/>
  <c r="E47" i="14"/>
  <c r="E48" i="14"/>
  <c r="D49" i="14"/>
  <c r="E31" i="14"/>
  <c r="D31" i="14"/>
  <c r="D30" i="14"/>
  <c r="D32" i="14"/>
  <c r="D33" i="14"/>
  <c r="E30" i="14"/>
  <c r="E32" i="14"/>
  <c r="L47" i="14"/>
  <c r="L49" i="14"/>
  <c r="L48" i="14"/>
  <c r="D9" i="14"/>
  <c r="D12" i="14"/>
  <c r="D11" i="14"/>
  <c r="E9" i="14"/>
  <c r="E8" i="14"/>
  <c r="E10" i="14"/>
  <c r="E11" i="14"/>
  <c r="E12" i="14"/>
  <c r="D10" i="14"/>
  <c r="B17" i="14"/>
  <c r="C17" i="14" s="1"/>
  <c r="J24" i="14"/>
  <c r="K24" i="14" s="1"/>
  <c r="J23" i="14"/>
  <c r="K23" i="14" s="1"/>
  <c r="J25" i="14"/>
  <c r="K25" i="14" s="1"/>
  <c r="B24" i="14"/>
  <c r="C24" i="14" s="1"/>
  <c r="B25" i="14"/>
  <c r="C25" i="14" s="1"/>
  <c r="B22" i="14"/>
  <c r="C22" i="14" s="1"/>
  <c r="B23" i="14"/>
  <c r="C23" i="14" s="1"/>
  <c r="J22" i="14"/>
  <c r="K22" i="14" s="1"/>
  <c r="J21" i="14"/>
  <c r="K21" i="14" s="1"/>
  <c r="J18" i="14"/>
  <c r="K18" i="14" s="1"/>
  <c r="B19" i="14"/>
  <c r="C19" i="14" s="1"/>
  <c r="J19" i="14"/>
  <c r="K19" i="14" s="1"/>
  <c r="B20" i="14"/>
  <c r="C20" i="14" s="1"/>
  <c r="B21" i="14"/>
  <c r="C21" i="14" s="1"/>
  <c r="J20" i="14"/>
  <c r="K20" i="14" s="1"/>
  <c r="B18" i="14"/>
  <c r="C18" i="14" s="1"/>
  <c r="J16" i="14"/>
  <c r="K16" i="14" s="1"/>
  <c r="I10" i="14"/>
  <c r="I9" i="14"/>
  <c r="I8" i="14"/>
  <c r="E64" i="1"/>
  <c r="E62" i="1"/>
  <c r="E48" i="1"/>
  <c r="E46" i="1"/>
  <c r="E34" i="1"/>
  <c r="E32" i="1"/>
  <c r="E56" i="1"/>
  <c r="E54" i="1"/>
  <c r="E40" i="1"/>
  <c r="E38" i="1"/>
  <c r="E26" i="1"/>
  <c r="E24" i="1"/>
  <c r="AG64" i="1"/>
  <c r="AG62" i="1"/>
  <c r="AG48" i="1"/>
  <c r="AG46" i="1"/>
  <c r="AG34" i="1"/>
  <c r="AG32" i="1"/>
  <c r="AG56" i="1"/>
  <c r="AG54" i="1"/>
  <c r="AG40" i="1"/>
  <c r="AG38" i="1"/>
  <c r="AG26" i="1"/>
  <c r="AG24" i="1"/>
  <c r="AG18" i="1"/>
  <c r="AG16" i="1"/>
  <c r="AG10" i="1"/>
  <c r="AG8" i="1"/>
  <c r="E18" i="1"/>
  <c r="E16" i="1"/>
  <c r="E10" i="1"/>
  <c r="E8" i="1"/>
  <c r="M22" i="1"/>
  <c r="M20" i="1"/>
  <c r="I14" i="1"/>
  <c r="I12" i="1"/>
  <c r="I44" i="1"/>
  <c r="I42" i="1"/>
  <c r="I30" i="1"/>
  <c r="I28" i="1"/>
  <c r="M52" i="1"/>
  <c r="M50" i="1"/>
  <c r="I60" i="1"/>
  <c r="I58" i="1"/>
  <c r="B1" i="7"/>
  <c r="N46" i="1"/>
  <c r="N44" i="1"/>
  <c r="N42" i="1"/>
  <c r="N40" i="1"/>
  <c r="O294" i="41" l="1"/>
  <c r="O296" i="41"/>
  <c r="P296" i="41" s="1"/>
  <c r="J296" i="41" s="1"/>
  <c r="O231" i="41"/>
  <c r="P231" i="41" s="1"/>
  <c r="J231" i="41" s="1"/>
  <c r="O126" i="41"/>
  <c r="P126" i="41" s="1"/>
  <c r="J126" i="41" s="1"/>
  <c r="K126" i="41" s="1"/>
  <c r="P294" i="41"/>
  <c r="J294" i="41" s="1"/>
  <c r="K294" i="41" s="1"/>
  <c r="M372" i="14"/>
  <c r="O73" i="41"/>
  <c r="P73" i="41" s="1"/>
  <c r="J73" i="41" s="1"/>
  <c r="M374" i="14"/>
  <c r="O295" i="41"/>
  <c r="P295" i="41" s="1"/>
  <c r="J295" i="41" s="1"/>
  <c r="M373" i="14"/>
  <c r="M242" i="14"/>
  <c r="M411" i="14"/>
  <c r="M412" i="14"/>
  <c r="O411" i="14" s="1"/>
  <c r="M231" i="14"/>
  <c r="O425" i="41"/>
  <c r="P425" i="41" s="1"/>
  <c r="J425" i="41" s="1"/>
  <c r="O426" i="41"/>
  <c r="P426" i="41" s="1"/>
  <c r="J426" i="41" s="1"/>
  <c r="O424" i="41"/>
  <c r="P424" i="41" s="1"/>
  <c r="J424" i="41" s="1"/>
  <c r="O412" i="41"/>
  <c r="P412" i="41" s="1"/>
  <c r="J412" i="41" s="1"/>
  <c r="O411" i="41"/>
  <c r="P411" i="41" s="1"/>
  <c r="J411" i="41" s="1"/>
  <c r="P413" i="41"/>
  <c r="J413" i="41" s="1"/>
  <c r="M424" i="14"/>
  <c r="M307" i="14"/>
  <c r="M385" i="14"/>
  <c r="M348" i="14"/>
  <c r="O268" i="41"/>
  <c r="P268" i="41" s="1"/>
  <c r="J268" i="41" s="1"/>
  <c r="M125" i="14"/>
  <c r="M387" i="14"/>
  <c r="M400" i="14"/>
  <c r="M73" i="14"/>
  <c r="M127" i="14"/>
  <c r="M164" i="14"/>
  <c r="M257" i="14"/>
  <c r="M320" i="14"/>
  <c r="O400" i="41"/>
  <c r="P400" i="41" s="1"/>
  <c r="J400" i="41" s="1"/>
  <c r="O205" i="41"/>
  <c r="P205" i="41" s="1"/>
  <c r="J205" i="41" s="1"/>
  <c r="M60" i="14"/>
  <c r="M138" i="14"/>
  <c r="M190" i="14"/>
  <c r="M191" i="14"/>
  <c r="M268" i="14"/>
  <c r="M269" i="14"/>
  <c r="M361" i="14"/>
  <c r="M75" i="14"/>
  <c r="M308" i="14"/>
  <c r="M335" i="14"/>
  <c r="M99" i="14"/>
  <c r="M192" i="14"/>
  <c r="M218" i="14"/>
  <c r="M151" i="14"/>
  <c r="M166" i="14"/>
  <c r="M399" i="14"/>
  <c r="M101" i="14"/>
  <c r="M100" i="14"/>
  <c r="M165" i="14"/>
  <c r="M216" i="14"/>
  <c r="M360" i="14"/>
  <c r="M204" i="14"/>
  <c r="M230" i="14"/>
  <c r="O230" i="14" s="1"/>
  <c r="P230" i="14" s="1"/>
  <c r="J230" i="14" s="1"/>
  <c r="K230" i="14" s="1"/>
  <c r="M255" i="14"/>
  <c r="M270" i="14"/>
  <c r="M309" i="14"/>
  <c r="M322" i="14"/>
  <c r="M398" i="14"/>
  <c r="O400" i="14" s="1"/>
  <c r="P400" i="14" s="1"/>
  <c r="J400" i="14" s="1"/>
  <c r="K400" i="14" s="1"/>
  <c r="O374" i="41"/>
  <c r="P374" i="41" s="1"/>
  <c r="J374" i="41" s="1"/>
  <c r="M282" i="14"/>
  <c r="M333" i="14"/>
  <c r="M346" i="14"/>
  <c r="M359" i="14"/>
  <c r="O11" i="41"/>
  <c r="P11" i="41" s="1"/>
  <c r="J11" i="41" s="1"/>
  <c r="O127" i="41"/>
  <c r="P127" i="41" s="1"/>
  <c r="J127" i="41" s="1"/>
  <c r="O309" i="41"/>
  <c r="P309" i="41" s="1"/>
  <c r="J309" i="41" s="1"/>
  <c r="O346" i="41"/>
  <c r="P346" i="41" s="1"/>
  <c r="J346" i="41" s="1"/>
  <c r="O308" i="41"/>
  <c r="P308" i="41" s="1"/>
  <c r="J308" i="41" s="1"/>
  <c r="O307" i="41"/>
  <c r="P307" i="41" s="1"/>
  <c r="J307" i="41" s="1"/>
  <c r="O229" i="41"/>
  <c r="P229" i="41" s="1"/>
  <c r="J229" i="41" s="1"/>
  <c r="O125" i="41"/>
  <c r="P125" i="41" s="1"/>
  <c r="J125" i="41" s="1"/>
  <c r="O230" i="41"/>
  <c r="P230" i="41" s="1"/>
  <c r="J230" i="41" s="1"/>
  <c r="O74" i="41"/>
  <c r="P74" i="41" s="1"/>
  <c r="J74" i="41" s="1"/>
  <c r="O10" i="41"/>
  <c r="P10" i="41" s="1"/>
  <c r="J10" i="41" s="1"/>
  <c r="O8" i="41"/>
  <c r="P8" i="41" s="1"/>
  <c r="J8" i="41" s="1"/>
  <c r="K8" i="41" s="1"/>
  <c r="O9" i="41"/>
  <c r="P9" i="41" s="1"/>
  <c r="J9" i="41" s="1"/>
  <c r="K9" i="41" s="1"/>
  <c r="P12" i="41"/>
  <c r="O217" i="41"/>
  <c r="P217" i="41" s="1"/>
  <c r="J217" i="41" s="1"/>
  <c r="O216" i="41"/>
  <c r="P216" i="41" s="1"/>
  <c r="J216" i="41" s="1"/>
  <c r="O218" i="41"/>
  <c r="P218" i="41" s="1"/>
  <c r="J218" i="41" s="1"/>
  <c r="O385" i="41"/>
  <c r="P385" i="41" s="1"/>
  <c r="J385" i="41" s="1"/>
  <c r="O387" i="41"/>
  <c r="P387" i="41" s="1"/>
  <c r="J387" i="41" s="1"/>
  <c r="O386" i="41"/>
  <c r="P386" i="41" s="1"/>
  <c r="J386" i="41" s="1"/>
  <c r="O203" i="41"/>
  <c r="P203" i="41" s="1"/>
  <c r="J203" i="41" s="1"/>
  <c r="O75" i="41"/>
  <c r="P75" i="41" s="1"/>
  <c r="J75" i="41" s="1"/>
  <c r="O398" i="41"/>
  <c r="P398" i="41" s="1"/>
  <c r="J398" i="41" s="1"/>
  <c r="O138" i="41"/>
  <c r="P138" i="41" s="1"/>
  <c r="J138" i="41" s="1"/>
  <c r="O139" i="41"/>
  <c r="P139" i="41" s="1"/>
  <c r="J139" i="41" s="1"/>
  <c r="O140" i="41"/>
  <c r="P140" i="41" s="1"/>
  <c r="J140" i="41" s="1"/>
  <c r="O60" i="41"/>
  <c r="P60" i="41" s="1"/>
  <c r="J60" i="41" s="1"/>
  <c r="K60" i="41" s="1"/>
  <c r="O62" i="41"/>
  <c r="P62" i="41" s="1"/>
  <c r="J62" i="41" s="1"/>
  <c r="O61" i="41"/>
  <c r="P61" i="41" s="1"/>
  <c r="J61" i="41" s="1"/>
  <c r="K61" i="41" s="1"/>
  <c r="O204" i="41"/>
  <c r="P204" i="41" s="1"/>
  <c r="J204" i="41" s="1"/>
  <c r="O32" i="41"/>
  <c r="P32" i="41" s="1"/>
  <c r="J32" i="41" s="1"/>
  <c r="O30" i="41"/>
  <c r="P30" i="41" s="1"/>
  <c r="J30" i="41" s="1"/>
  <c r="K30" i="41" s="1"/>
  <c r="O31" i="41"/>
  <c r="P31" i="41" s="1"/>
  <c r="J31" i="41" s="1"/>
  <c r="K31" i="41" s="1"/>
  <c r="O33" i="41"/>
  <c r="P33" i="41" s="1"/>
  <c r="J33" i="41" s="1"/>
  <c r="K33" i="41" s="1"/>
  <c r="O372" i="41"/>
  <c r="P372" i="41" s="1"/>
  <c r="J372" i="41" s="1"/>
  <c r="O87" i="41"/>
  <c r="P87" i="41" s="1"/>
  <c r="J87" i="41" s="1"/>
  <c r="O88" i="41"/>
  <c r="P88" i="41" s="1"/>
  <c r="J88" i="41" s="1"/>
  <c r="O86" i="41"/>
  <c r="P86" i="41" s="1"/>
  <c r="J86" i="41" s="1"/>
  <c r="O179" i="41"/>
  <c r="P179" i="41" s="1"/>
  <c r="J179" i="41" s="1"/>
  <c r="O178" i="41"/>
  <c r="P178" i="41" s="1"/>
  <c r="J178" i="41" s="1"/>
  <c r="O177" i="41"/>
  <c r="P177" i="41" s="1"/>
  <c r="J177" i="41" s="1"/>
  <c r="O49" i="41"/>
  <c r="P49" i="41" s="1"/>
  <c r="J49" i="41" s="1"/>
  <c r="O48" i="41"/>
  <c r="P48" i="41" s="1"/>
  <c r="J48" i="41" s="1"/>
  <c r="K48" i="41" s="1"/>
  <c r="O47" i="41"/>
  <c r="P47" i="41" s="1"/>
  <c r="J47" i="41" s="1"/>
  <c r="K47" i="41" s="1"/>
  <c r="O360" i="41"/>
  <c r="P360" i="41" s="1"/>
  <c r="J360" i="41" s="1"/>
  <c r="O359" i="41"/>
  <c r="P359" i="41" s="1"/>
  <c r="J359" i="41" s="1"/>
  <c r="O361" i="41"/>
  <c r="P361" i="41" s="1"/>
  <c r="J361" i="41" s="1"/>
  <c r="O373" i="41"/>
  <c r="P373" i="41" s="1"/>
  <c r="J373" i="41" s="1"/>
  <c r="O153" i="41"/>
  <c r="P153" i="41" s="1"/>
  <c r="J153" i="41" s="1"/>
  <c r="O152" i="41"/>
  <c r="P152" i="41" s="1"/>
  <c r="J152" i="41" s="1"/>
  <c r="O151" i="41"/>
  <c r="P151" i="41" s="1"/>
  <c r="J151" i="41" s="1"/>
  <c r="O269" i="41"/>
  <c r="P269" i="41" s="1"/>
  <c r="J269" i="41" s="1"/>
  <c r="O242" i="41"/>
  <c r="P242" i="41" s="1"/>
  <c r="J242" i="41" s="1"/>
  <c r="O244" i="41"/>
  <c r="P244" i="41" s="1"/>
  <c r="J244" i="41" s="1"/>
  <c r="O243" i="41"/>
  <c r="P243" i="41" s="1"/>
  <c r="J243" i="41" s="1"/>
  <c r="O347" i="41"/>
  <c r="P347" i="41" s="1"/>
  <c r="J347" i="41" s="1"/>
  <c r="O190" i="41"/>
  <c r="P190" i="41" s="1"/>
  <c r="J190" i="41" s="1"/>
  <c r="O191" i="41"/>
  <c r="P191" i="41" s="1"/>
  <c r="J191" i="41" s="1"/>
  <c r="O192" i="41"/>
  <c r="P192" i="41" s="1"/>
  <c r="J192" i="41" s="1"/>
  <c r="O270" i="41"/>
  <c r="P270" i="41" s="1"/>
  <c r="J270" i="41" s="1"/>
  <c r="O322" i="41"/>
  <c r="P322" i="41" s="1"/>
  <c r="J322" i="41" s="1"/>
  <c r="O321" i="41"/>
  <c r="P321" i="41" s="1"/>
  <c r="J321" i="41" s="1"/>
  <c r="O320" i="41"/>
  <c r="P320" i="41" s="1"/>
  <c r="J320" i="41" s="1"/>
  <c r="O282" i="41"/>
  <c r="P282" i="41" s="1"/>
  <c r="J282" i="41" s="1"/>
  <c r="O281" i="41"/>
  <c r="P281" i="41" s="1"/>
  <c r="J281" i="41" s="1"/>
  <c r="O283" i="41"/>
  <c r="P283" i="41" s="1"/>
  <c r="J283" i="41" s="1"/>
  <c r="O348" i="41"/>
  <c r="P348" i="41" s="1"/>
  <c r="J348" i="41" s="1"/>
  <c r="O256" i="41"/>
  <c r="P256" i="41" s="1"/>
  <c r="J256" i="41" s="1"/>
  <c r="O255" i="41"/>
  <c r="P255" i="41" s="1"/>
  <c r="J255" i="41" s="1"/>
  <c r="O257" i="41"/>
  <c r="P257" i="41" s="1"/>
  <c r="J257" i="41" s="1"/>
  <c r="O399" i="41"/>
  <c r="P399" i="41" s="1"/>
  <c r="J399" i="41" s="1"/>
  <c r="O165" i="41"/>
  <c r="P165" i="41" s="1"/>
  <c r="J165" i="41" s="1"/>
  <c r="O164" i="41"/>
  <c r="P164" i="41" s="1"/>
  <c r="J164" i="41" s="1"/>
  <c r="O166" i="41"/>
  <c r="P166" i="41" s="1"/>
  <c r="J166" i="41" s="1"/>
  <c r="O333" i="41"/>
  <c r="P333" i="41" s="1"/>
  <c r="J333" i="41" s="1"/>
  <c r="O335" i="41"/>
  <c r="P335" i="41" s="1"/>
  <c r="J335" i="41" s="1"/>
  <c r="O334" i="41"/>
  <c r="P334" i="41" s="1"/>
  <c r="J334" i="41" s="1"/>
  <c r="O114" i="41"/>
  <c r="P114" i="41" s="1"/>
  <c r="J114" i="41" s="1"/>
  <c r="O113" i="41"/>
  <c r="P113" i="41" s="1"/>
  <c r="J113" i="41" s="1"/>
  <c r="O112" i="41"/>
  <c r="P112" i="41" s="1"/>
  <c r="J112" i="41" s="1"/>
  <c r="O99" i="41"/>
  <c r="P99" i="41" s="1"/>
  <c r="J99" i="41" s="1"/>
  <c r="O101" i="41"/>
  <c r="P101" i="41" s="1"/>
  <c r="J101" i="41" s="1"/>
  <c r="O100" i="41"/>
  <c r="P100" i="41" s="1"/>
  <c r="J100" i="41" s="1"/>
  <c r="M426" i="14"/>
  <c r="M425" i="14"/>
  <c r="M386" i="14"/>
  <c r="O387" i="14" s="1"/>
  <c r="P387" i="14" s="1"/>
  <c r="J387" i="14" s="1"/>
  <c r="K387" i="14" s="1"/>
  <c r="O374" i="14"/>
  <c r="P374" i="14" s="1"/>
  <c r="J374" i="14" s="1"/>
  <c r="K374" i="14" s="1"/>
  <c r="O373" i="14"/>
  <c r="P373" i="14" s="1"/>
  <c r="J373" i="14" s="1"/>
  <c r="K373" i="14" s="1"/>
  <c r="O372" i="14"/>
  <c r="P372" i="14" s="1"/>
  <c r="J372" i="14" s="1"/>
  <c r="K372" i="14" s="1"/>
  <c r="M347" i="14"/>
  <c r="M334" i="14"/>
  <c r="M321" i="14"/>
  <c r="M294" i="14"/>
  <c r="M296" i="14"/>
  <c r="M295" i="14"/>
  <c r="M281" i="14"/>
  <c r="M283" i="14"/>
  <c r="M256" i="14"/>
  <c r="M244" i="14"/>
  <c r="M243" i="14"/>
  <c r="M217" i="14"/>
  <c r="M203" i="14"/>
  <c r="M205" i="14"/>
  <c r="M177" i="14"/>
  <c r="M178" i="14"/>
  <c r="M179" i="14"/>
  <c r="M153" i="14"/>
  <c r="M152" i="14"/>
  <c r="M140" i="14"/>
  <c r="M139" i="14"/>
  <c r="M112" i="14"/>
  <c r="M113" i="14"/>
  <c r="M114" i="14"/>
  <c r="E86" i="14"/>
  <c r="D88" i="14"/>
  <c r="M74" i="14"/>
  <c r="M62" i="14"/>
  <c r="M61" i="14"/>
  <c r="M49" i="14"/>
  <c r="M48" i="14"/>
  <c r="M47" i="14"/>
  <c r="M32" i="14"/>
  <c r="M30" i="14"/>
  <c r="M31" i="14"/>
  <c r="M8" i="14"/>
  <c r="M33" i="14"/>
  <c r="M12" i="14"/>
  <c r="M11" i="14"/>
  <c r="M10" i="14"/>
  <c r="M9" i="14"/>
  <c r="G16" i="1"/>
  <c r="AI62" i="1"/>
  <c r="AI8" i="1"/>
  <c r="AI16" i="1"/>
  <c r="AI24" i="1"/>
  <c r="AI54" i="1"/>
  <c r="AI46" i="1"/>
  <c r="G24" i="1"/>
  <c r="G54" i="1"/>
  <c r="G46" i="1"/>
  <c r="G8" i="1"/>
  <c r="AI38" i="1"/>
  <c r="AI32" i="1"/>
  <c r="G38" i="1"/>
  <c r="G32" i="1"/>
  <c r="G62" i="1"/>
  <c r="P44" i="1"/>
  <c r="P40" i="1"/>
  <c r="AK8" i="42" l="1"/>
  <c r="AK9" i="42" s="1"/>
  <c r="K296" i="41"/>
  <c r="AK152" i="42"/>
  <c r="AK24" i="42"/>
  <c r="AK25" i="42" s="1"/>
  <c r="K231" i="41"/>
  <c r="C144" i="42"/>
  <c r="C88" i="42"/>
  <c r="C89" i="42" s="1"/>
  <c r="AK64" i="42"/>
  <c r="AK65" i="42" s="1"/>
  <c r="C8" i="42"/>
  <c r="C9" i="42" s="1"/>
  <c r="P411" i="14"/>
  <c r="J411" i="14" s="1"/>
  <c r="K411" i="14" s="1"/>
  <c r="K99" i="41"/>
  <c r="AK38" i="42"/>
  <c r="K166" i="41"/>
  <c r="C174" i="42"/>
  <c r="K283" i="41"/>
  <c r="C176" i="42"/>
  <c r="K191" i="41"/>
  <c r="AK80" i="42"/>
  <c r="K151" i="41"/>
  <c r="AK26" i="42"/>
  <c r="K360" i="41"/>
  <c r="AK96" i="42"/>
  <c r="K88" i="41"/>
  <c r="AK162" i="42"/>
  <c r="K217" i="41"/>
  <c r="C82" i="42"/>
  <c r="K74" i="41"/>
  <c r="C102" i="42"/>
  <c r="K374" i="41"/>
  <c r="C168" i="42"/>
  <c r="K164" i="41"/>
  <c r="C46" i="42"/>
  <c r="K281" i="41"/>
  <c r="C48" i="42"/>
  <c r="K190" i="41"/>
  <c r="AK16" i="42"/>
  <c r="K152" i="41"/>
  <c r="AK90" i="42"/>
  <c r="K87" i="41"/>
  <c r="AK98" i="42"/>
  <c r="K62" i="41"/>
  <c r="C192" i="42"/>
  <c r="K230" i="41"/>
  <c r="C80" i="42"/>
  <c r="K309" i="41"/>
  <c r="AK176" i="42"/>
  <c r="K112" i="41"/>
  <c r="C34" i="42"/>
  <c r="K165" i="41"/>
  <c r="C110" i="42"/>
  <c r="K282" i="41"/>
  <c r="C112" i="42"/>
  <c r="K153" i="41"/>
  <c r="AK154" i="42"/>
  <c r="K372" i="41"/>
  <c r="C40" i="42"/>
  <c r="K203" i="41"/>
  <c r="AK54" i="42"/>
  <c r="K125" i="41"/>
  <c r="C24" i="42"/>
  <c r="K127" i="41"/>
  <c r="C152" i="42"/>
  <c r="K113" i="41"/>
  <c r="C98" i="42"/>
  <c r="K399" i="41"/>
  <c r="AK74" i="42"/>
  <c r="K320" i="41"/>
  <c r="C26" i="42"/>
  <c r="K347" i="41"/>
  <c r="AK104" i="42"/>
  <c r="K49" i="41"/>
  <c r="AK136" i="42"/>
  <c r="K140" i="41"/>
  <c r="AK174" i="42"/>
  <c r="K386" i="41"/>
  <c r="C126" i="42"/>
  <c r="K229" i="41"/>
  <c r="C16" i="42"/>
  <c r="AK72" i="42"/>
  <c r="AK73" i="42" s="1"/>
  <c r="K11" i="41"/>
  <c r="O308" i="14"/>
  <c r="P308" i="14" s="1"/>
  <c r="J308" i="14" s="1"/>
  <c r="K308" i="14" s="1"/>
  <c r="K114" i="41"/>
  <c r="C162" i="42"/>
  <c r="K257" i="41"/>
  <c r="AK146" i="42"/>
  <c r="K321" i="41"/>
  <c r="C90" i="42"/>
  <c r="G92" i="42" s="1"/>
  <c r="K243" i="41"/>
  <c r="AK120" i="42"/>
  <c r="K177" i="41"/>
  <c r="C56" i="42"/>
  <c r="K139" i="41"/>
  <c r="AK110" i="42"/>
  <c r="K387" i="41"/>
  <c r="C190" i="42"/>
  <c r="C72" i="42"/>
  <c r="C73" i="42" s="1"/>
  <c r="K10" i="41"/>
  <c r="C136" i="42"/>
  <c r="K307" i="41"/>
  <c r="AK48" i="42"/>
  <c r="K295" i="41"/>
  <c r="AK88" i="42"/>
  <c r="C145" i="42"/>
  <c r="F144" i="42"/>
  <c r="G146" i="42" s="1"/>
  <c r="K334" i="41"/>
  <c r="C96" i="42"/>
  <c r="K255" i="41"/>
  <c r="AK18" i="42"/>
  <c r="K322" i="41"/>
  <c r="C154" i="42"/>
  <c r="K244" i="41"/>
  <c r="AK184" i="42"/>
  <c r="K373" i="41"/>
  <c r="C104" i="42"/>
  <c r="K178" i="41"/>
  <c r="C120" i="42"/>
  <c r="K138" i="41"/>
  <c r="AK46" i="42"/>
  <c r="K385" i="41"/>
  <c r="C62" i="42"/>
  <c r="K308" i="41"/>
  <c r="AK112" i="42"/>
  <c r="K205" i="41"/>
  <c r="AK182" i="42"/>
  <c r="K100" i="41"/>
  <c r="AK102" i="42"/>
  <c r="K335" i="41"/>
  <c r="C160" i="42"/>
  <c r="K256" i="41"/>
  <c r="AK82" i="42"/>
  <c r="K270" i="41"/>
  <c r="C182" i="42"/>
  <c r="K242" i="41"/>
  <c r="AK56" i="42"/>
  <c r="K361" i="41"/>
  <c r="AK160" i="42"/>
  <c r="K179" i="41"/>
  <c r="C184" i="42"/>
  <c r="K32" i="41"/>
  <c r="AK192" i="42"/>
  <c r="K398" i="41"/>
  <c r="AK10" i="42"/>
  <c r="K218" i="41"/>
  <c r="C146" i="42"/>
  <c r="K346" i="41"/>
  <c r="AK40" i="42"/>
  <c r="K400" i="41"/>
  <c r="AK138" i="42"/>
  <c r="K73" i="41"/>
  <c r="C38" i="42"/>
  <c r="K101" i="41"/>
  <c r="AK166" i="42"/>
  <c r="K333" i="41"/>
  <c r="C32" i="42"/>
  <c r="K348" i="41"/>
  <c r="AK168" i="42"/>
  <c r="K192" i="41"/>
  <c r="AK144" i="42"/>
  <c r="K269" i="41"/>
  <c r="C118" i="42"/>
  <c r="K359" i="41"/>
  <c r="AK32" i="42"/>
  <c r="K86" i="41"/>
  <c r="AK34" i="42"/>
  <c r="K204" i="41"/>
  <c r="AK118" i="42"/>
  <c r="K75" i="41"/>
  <c r="C166" i="42"/>
  <c r="K216" i="41"/>
  <c r="C18" i="42"/>
  <c r="K268" i="41"/>
  <c r="C54" i="42"/>
  <c r="AK153" i="42"/>
  <c r="AH152" i="42"/>
  <c r="O412" i="14"/>
  <c r="P412" i="14" s="1"/>
  <c r="J412" i="14" s="1"/>
  <c r="K412" i="14" s="1"/>
  <c r="O413" i="14"/>
  <c r="P413" i="14" s="1"/>
  <c r="J413" i="14" s="1"/>
  <c r="K413" i="14" s="1"/>
  <c r="O309" i="14"/>
  <c r="P309" i="14" s="1"/>
  <c r="J309" i="14" s="1"/>
  <c r="K309" i="14" s="1"/>
  <c r="O307" i="14"/>
  <c r="P307" i="14" s="1"/>
  <c r="J307" i="14" s="1"/>
  <c r="K307" i="14" s="1"/>
  <c r="O270" i="14"/>
  <c r="P270" i="14" s="1"/>
  <c r="J270" i="14" s="1"/>
  <c r="K270" i="14" s="1"/>
  <c r="O257" i="14"/>
  <c r="P257" i="14" s="1"/>
  <c r="J257" i="14" s="1"/>
  <c r="K257" i="14" s="1"/>
  <c r="O243" i="14"/>
  <c r="P243" i="14" s="1"/>
  <c r="J243" i="14" s="1"/>
  <c r="K243" i="14" s="1"/>
  <c r="O231" i="14"/>
  <c r="P231" i="14" s="1"/>
  <c r="J231" i="14" s="1"/>
  <c r="K231" i="14" s="1"/>
  <c r="O229" i="14"/>
  <c r="P229" i="14" s="1"/>
  <c r="J229" i="14" s="1"/>
  <c r="K229" i="14" s="1"/>
  <c r="O190" i="14"/>
  <c r="P190" i="14" s="1"/>
  <c r="J190" i="14" s="1"/>
  <c r="K190" i="14" s="1"/>
  <c r="O191" i="14"/>
  <c r="P191" i="14" s="1"/>
  <c r="J191" i="14" s="1"/>
  <c r="K191" i="14" s="1"/>
  <c r="O192" i="14"/>
  <c r="P192" i="14" s="1"/>
  <c r="J192" i="14" s="1"/>
  <c r="K192" i="14" s="1"/>
  <c r="O165" i="14"/>
  <c r="P165" i="14" s="1"/>
  <c r="J165" i="14" s="1"/>
  <c r="K165" i="14" s="1"/>
  <c r="O164" i="14"/>
  <c r="P164" i="14" s="1"/>
  <c r="J164" i="14" s="1"/>
  <c r="K164" i="14" s="1"/>
  <c r="O166" i="14"/>
  <c r="P166" i="14" s="1"/>
  <c r="J166" i="14" s="1"/>
  <c r="K166" i="14" s="1"/>
  <c r="O126" i="14"/>
  <c r="P126" i="14" s="1"/>
  <c r="J126" i="14" s="1"/>
  <c r="K126" i="14" s="1"/>
  <c r="O125" i="14"/>
  <c r="P125" i="14" s="1"/>
  <c r="J125" i="14" s="1"/>
  <c r="K125" i="14" s="1"/>
  <c r="O100" i="14"/>
  <c r="P100" i="14" s="1"/>
  <c r="J100" i="14" s="1"/>
  <c r="K100" i="14" s="1"/>
  <c r="O101" i="14"/>
  <c r="P101" i="14" s="1"/>
  <c r="J101" i="14" s="1"/>
  <c r="K101" i="14" s="1"/>
  <c r="O99" i="14"/>
  <c r="P99" i="14" s="1"/>
  <c r="J99" i="14" s="1"/>
  <c r="K99" i="14" s="1"/>
  <c r="K426" i="41"/>
  <c r="C138" i="42"/>
  <c r="C139" i="42" s="1"/>
  <c r="K425" i="41"/>
  <c r="C74" i="42"/>
  <c r="C75" i="42" s="1"/>
  <c r="K424" i="41"/>
  <c r="C10" i="42"/>
  <c r="K413" i="41"/>
  <c r="AK190" i="42"/>
  <c r="AK191" i="42" s="1"/>
  <c r="K412" i="41"/>
  <c r="AK126" i="42"/>
  <c r="AK127" i="42" s="1"/>
  <c r="K411" i="41"/>
  <c r="AK62" i="42"/>
  <c r="O426" i="14"/>
  <c r="P426" i="14" s="1"/>
  <c r="J426" i="14" s="1"/>
  <c r="C138" i="1" s="1"/>
  <c r="C139" i="1" s="1"/>
  <c r="O268" i="14"/>
  <c r="P268" i="14" s="1"/>
  <c r="J268" i="14" s="1"/>
  <c r="K268" i="14" s="1"/>
  <c r="O127" i="14"/>
  <c r="P127" i="14" s="1"/>
  <c r="J127" i="14" s="1"/>
  <c r="K127" i="14" s="1"/>
  <c r="O218" i="14"/>
  <c r="P218" i="14" s="1"/>
  <c r="J218" i="14" s="1"/>
  <c r="K218" i="14" s="1"/>
  <c r="O269" i="14"/>
  <c r="P269" i="14" s="1"/>
  <c r="J269" i="14" s="1"/>
  <c r="K269" i="14" s="1"/>
  <c r="O321" i="14"/>
  <c r="P321" i="14" s="1"/>
  <c r="J321" i="14" s="1"/>
  <c r="K321" i="14" s="1"/>
  <c r="O335" i="14"/>
  <c r="P335" i="14" s="1"/>
  <c r="J335" i="14" s="1"/>
  <c r="K335" i="14" s="1"/>
  <c r="O361" i="14"/>
  <c r="P361" i="14" s="1"/>
  <c r="J361" i="14" s="1"/>
  <c r="K361" i="14" s="1"/>
  <c r="O348" i="14"/>
  <c r="P348" i="14" s="1"/>
  <c r="J348" i="14" s="1"/>
  <c r="K348" i="14" s="1"/>
  <c r="O399" i="14"/>
  <c r="P399" i="14" s="1"/>
  <c r="J399" i="14" s="1"/>
  <c r="K399" i="14" s="1"/>
  <c r="O360" i="14"/>
  <c r="P360" i="14" s="1"/>
  <c r="J360" i="14" s="1"/>
  <c r="K360" i="14" s="1"/>
  <c r="O398" i="14"/>
  <c r="P398" i="14" s="1"/>
  <c r="J398" i="14" s="1"/>
  <c r="K398" i="14" s="1"/>
  <c r="O75" i="14"/>
  <c r="P75" i="14" s="1"/>
  <c r="J75" i="14" s="1"/>
  <c r="K75" i="14" s="1"/>
  <c r="O359" i="14"/>
  <c r="P359" i="14" s="1"/>
  <c r="J359" i="14" s="1"/>
  <c r="K359" i="14" s="1"/>
  <c r="O140" i="14"/>
  <c r="P140" i="14" s="1"/>
  <c r="J140" i="14" s="1"/>
  <c r="K140" i="14" s="1"/>
  <c r="O322" i="14"/>
  <c r="P322" i="14" s="1"/>
  <c r="J322" i="14" s="1"/>
  <c r="K322" i="14" s="1"/>
  <c r="O153" i="14"/>
  <c r="P153" i="14" s="1"/>
  <c r="J153" i="14" s="1"/>
  <c r="K153" i="14" s="1"/>
  <c r="O320" i="14"/>
  <c r="P320" i="14" s="1"/>
  <c r="J320" i="14" s="1"/>
  <c r="K320" i="14" s="1"/>
  <c r="O62" i="14"/>
  <c r="P62" i="14" s="1"/>
  <c r="J62" i="14" s="1"/>
  <c r="K62" i="14" s="1"/>
  <c r="AK48" i="1"/>
  <c r="AK49" i="1" s="1"/>
  <c r="O151" i="14"/>
  <c r="P151" i="14" s="1"/>
  <c r="J151" i="14" s="1"/>
  <c r="K151" i="14" s="1"/>
  <c r="AK16" i="1"/>
  <c r="AK17" i="1" s="1"/>
  <c r="C104" i="1"/>
  <c r="C105" i="1" s="1"/>
  <c r="C64" i="42"/>
  <c r="C65" i="42" s="1"/>
  <c r="G76" i="42"/>
  <c r="G77" i="42" s="1"/>
  <c r="C88" i="1"/>
  <c r="C89" i="1" s="1"/>
  <c r="AK80" i="1"/>
  <c r="AK81" i="1" s="1"/>
  <c r="C80" i="1"/>
  <c r="C81" i="1" s="1"/>
  <c r="AK146" i="1"/>
  <c r="AK147" i="1" s="1"/>
  <c r="C168" i="1"/>
  <c r="C169" i="1" s="1"/>
  <c r="AK102" i="1"/>
  <c r="AK103" i="1" s="1"/>
  <c r="O217" i="14"/>
  <c r="P217" i="14" s="1"/>
  <c r="J217" i="14" s="1"/>
  <c r="K217" i="14" s="1"/>
  <c r="C144" i="1"/>
  <c r="C145" i="1" s="1"/>
  <c r="C54" i="1"/>
  <c r="C55" i="1" s="1"/>
  <c r="AK112" i="1"/>
  <c r="AK113" i="1" s="1"/>
  <c r="C190" i="1"/>
  <c r="C191" i="1" s="1"/>
  <c r="AK138" i="1"/>
  <c r="AK139" i="1" s="1"/>
  <c r="AK128" i="42"/>
  <c r="AK129" i="42" s="1"/>
  <c r="AK120" i="1"/>
  <c r="AK121" i="1" s="1"/>
  <c r="C40" i="1"/>
  <c r="C41" i="1" s="1"/>
  <c r="C128" i="42"/>
  <c r="C129" i="42" s="1"/>
  <c r="AG12" i="42"/>
  <c r="AG13" i="42" s="1"/>
  <c r="AH8" i="42"/>
  <c r="G12" i="42"/>
  <c r="G13" i="42" s="1"/>
  <c r="AK62" i="1"/>
  <c r="AK63" i="1" s="1"/>
  <c r="O424" i="14"/>
  <c r="P424" i="14" s="1"/>
  <c r="J424" i="14" s="1"/>
  <c r="O425" i="14"/>
  <c r="P425" i="14" s="1"/>
  <c r="J425" i="14" s="1"/>
  <c r="O385" i="14"/>
  <c r="P385" i="14" s="1"/>
  <c r="J385" i="14" s="1"/>
  <c r="K385" i="14" s="1"/>
  <c r="O386" i="14"/>
  <c r="P386" i="14" s="1"/>
  <c r="J386" i="14" s="1"/>
  <c r="K386" i="14" s="1"/>
  <c r="O347" i="14"/>
  <c r="P347" i="14" s="1"/>
  <c r="J347" i="14" s="1"/>
  <c r="K347" i="14" s="1"/>
  <c r="O346" i="14"/>
  <c r="P346" i="14" s="1"/>
  <c r="J346" i="14" s="1"/>
  <c r="K346" i="14" s="1"/>
  <c r="O333" i="14"/>
  <c r="P333" i="14" s="1"/>
  <c r="J333" i="14" s="1"/>
  <c r="K333" i="14" s="1"/>
  <c r="O334" i="14"/>
  <c r="P334" i="14" s="1"/>
  <c r="J334" i="14" s="1"/>
  <c r="K334" i="14" s="1"/>
  <c r="O295" i="14"/>
  <c r="P295" i="14" s="1"/>
  <c r="J295" i="14" s="1"/>
  <c r="K295" i="14" s="1"/>
  <c r="O296" i="14"/>
  <c r="P296" i="14" s="1"/>
  <c r="J296" i="14" s="1"/>
  <c r="K296" i="14" s="1"/>
  <c r="O294" i="14"/>
  <c r="P294" i="14" s="1"/>
  <c r="J294" i="14" s="1"/>
  <c r="K294" i="14" s="1"/>
  <c r="O283" i="14"/>
  <c r="P283" i="14" s="1"/>
  <c r="J283" i="14" s="1"/>
  <c r="K283" i="14" s="1"/>
  <c r="O282" i="14"/>
  <c r="P282" i="14" s="1"/>
  <c r="J282" i="14" s="1"/>
  <c r="K282" i="14" s="1"/>
  <c r="O281" i="14"/>
  <c r="P281" i="14" s="1"/>
  <c r="J281" i="14" s="1"/>
  <c r="K281" i="14" s="1"/>
  <c r="O255" i="14"/>
  <c r="P255" i="14" s="1"/>
  <c r="J255" i="14" s="1"/>
  <c r="K255" i="14" s="1"/>
  <c r="O256" i="14"/>
  <c r="P256" i="14" s="1"/>
  <c r="J256" i="14" s="1"/>
  <c r="K256" i="14" s="1"/>
  <c r="O242" i="14"/>
  <c r="P242" i="14" s="1"/>
  <c r="J242" i="14" s="1"/>
  <c r="K242" i="14" s="1"/>
  <c r="O244" i="14"/>
  <c r="P244" i="14" s="1"/>
  <c r="J244" i="14" s="1"/>
  <c r="K244" i="14" s="1"/>
  <c r="O216" i="14"/>
  <c r="P216" i="14" s="1"/>
  <c r="J216" i="14" s="1"/>
  <c r="K216" i="14" s="1"/>
  <c r="O205" i="14"/>
  <c r="P205" i="14" s="1"/>
  <c r="J205" i="14" s="1"/>
  <c r="K205" i="14" s="1"/>
  <c r="O204" i="14"/>
  <c r="P204" i="14" s="1"/>
  <c r="J204" i="14" s="1"/>
  <c r="K204" i="14" s="1"/>
  <c r="O203" i="14"/>
  <c r="P203" i="14" s="1"/>
  <c r="J203" i="14" s="1"/>
  <c r="K203" i="14" s="1"/>
  <c r="O179" i="14"/>
  <c r="P179" i="14" s="1"/>
  <c r="J179" i="14" s="1"/>
  <c r="K179" i="14" s="1"/>
  <c r="O178" i="14"/>
  <c r="P178" i="14" s="1"/>
  <c r="J178" i="14" s="1"/>
  <c r="K178" i="14" s="1"/>
  <c r="O177" i="14"/>
  <c r="P177" i="14" s="1"/>
  <c r="J177" i="14" s="1"/>
  <c r="K177" i="14" s="1"/>
  <c r="O152" i="14"/>
  <c r="P152" i="14" s="1"/>
  <c r="J152" i="14" s="1"/>
  <c r="K152" i="14" s="1"/>
  <c r="O138" i="14"/>
  <c r="P138" i="14" s="1"/>
  <c r="J138" i="14" s="1"/>
  <c r="K138" i="14" s="1"/>
  <c r="O139" i="14"/>
  <c r="P139" i="14" s="1"/>
  <c r="J139" i="14" s="1"/>
  <c r="K139" i="14" s="1"/>
  <c r="O114" i="14"/>
  <c r="P114" i="14" s="1"/>
  <c r="J114" i="14" s="1"/>
  <c r="K114" i="14" s="1"/>
  <c r="O113" i="14"/>
  <c r="P113" i="14" s="1"/>
  <c r="J113" i="14" s="1"/>
  <c r="K113" i="14" s="1"/>
  <c r="O112" i="14"/>
  <c r="P112" i="14" s="1"/>
  <c r="J112" i="14" s="1"/>
  <c r="K112" i="14" s="1"/>
  <c r="M86" i="14"/>
  <c r="O73" i="14"/>
  <c r="P73" i="14" s="1"/>
  <c r="J73" i="14" s="1"/>
  <c r="K73" i="14" s="1"/>
  <c r="O74" i="14"/>
  <c r="P74" i="14" s="1"/>
  <c r="J74" i="14" s="1"/>
  <c r="K74" i="14" s="1"/>
  <c r="O60" i="14"/>
  <c r="P60" i="14" s="1"/>
  <c r="J60" i="14" s="1"/>
  <c r="K60" i="14" s="1"/>
  <c r="O61" i="14"/>
  <c r="P61" i="14" s="1"/>
  <c r="J61" i="14" s="1"/>
  <c r="K61" i="14" s="1"/>
  <c r="O49" i="14"/>
  <c r="P49" i="14" s="1"/>
  <c r="J49" i="14" s="1"/>
  <c r="K49" i="14" s="1"/>
  <c r="O47" i="14"/>
  <c r="P47" i="14" s="1"/>
  <c r="J47" i="14" s="1"/>
  <c r="K47" i="14" s="1"/>
  <c r="O48" i="14"/>
  <c r="P48" i="14" s="1"/>
  <c r="J48" i="14" s="1"/>
  <c r="K48" i="14" s="1"/>
  <c r="O31" i="14"/>
  <c r="P31" i="14" s="1"/>
  <c r="J31" i="14" s="1"/>
  <c r="K31" i="14" s="1"/>
  <c r="O32" i="14"/>
  <c r="P32" i="14" s="1"/>
  <c r="J32" i="14" s="1"/>
  <c r="K32" i="14" s="1"/>
  <c r="O30" i="14"/>
  <c r="P30" i="14" s="1"/>
  <c r="J30" i="14" s="1"/>
  <c r="K30" i="14" s="1"/>
  <c r="O33" i="14"/>
  <c r="P33" i="14" s="1"/>
  <c r="J33" i="14" s="1"/>
  <c r="K33" i="14" s="1"/>
  <c r="O9" i="14"/>
  <c r="P9" i="14" s="1"/>
  <c r="J9" i="14" s="1"/>
  <c r="K9" i="14" s="1"/>
  <c r="O8" i="14"/>
  <c r="P8" i="14" s="1"/>
  <c r="J8" i="14" s="1"/>
  <c r="K8" i="14" s="1"/>
  <c r="O12" i="14"/>
  <c r="P12" i="14" s="1"/>
  <c r="J12" i="14" s="1"/>
  <c r="K12" i="14" s="1"/>
  <c r="O11" i="14"/>
  <c r="P11" i="14" s="1"/>
  <c r="J11" i="14" s="1"/>
  <c r="K11" i="14" s="1"/>
  <c r="O10" i="14"/>
  <c r="P10" i="14" s="1"/>
  <c r="J10" i="14" s="1"/>
  <c r="K10" i="14" s="1"/>
  <c r="AK126" i="1" l="1"/>
  <c r="AK127" i="1" s="1"/>
  <c r="AG60" i="42"/>
  <c r="AG61" i="42" s="1"/>
  <c r="C182" i="1"/>
  <c r="C183" i="1" s="1"/>
  <c r="AH24" i="42"/>
  <c r="F88" i="42"/>
  <c r="AH64" i="42"/>
  <c r="F8" i="42"/>
  <c r="F72" i="42"/>
  <c r="AG76" i="42"/>
  <c r="AG77" i="42" s="1"/>
  <c r="AH72" i="42"/>
  <c r="C191" i="42"/>
  <c r="F190" i="42"/>
  <c r="G192" i="42" s="1"/>
  <c r="F90" i="42"/>
  <c r="G90" i="42" s="1"/>
  <c r="C91" i="42"/>
  <c r="C193" i="42"/>
  <c r="G188" i="42"/>
  <c r="F192" i="42"/>
  <c r="C49" i="42"/>
  <c r="F48" i="42"/>
  <c r="C83" i="42"/>
  <c r="G78" i="42"/>
  <c r="F82" i="42"/>
  <c r="AK81" i="42"/>
  <c r="AG78" i="42"/>
  <c r="AG79" i="42" s="1"/>
  <c r="AH80" i="42"/>
  <c r="C55" i="42"/>
  <c r="F54" i="42"/>
  <c r="G56" i="42" s="1"/>
  <c r="AH34" i="42"/>
  <c r="AK35" i="42"/>
  <c r="AG30" i="42"/>
  <c r="AG31" i="42" s="1"/>
  <c r="AH168" i="42"/>
  <c r="AK169" i="42"/>
  <c r="AK139" i="42"/>
  <c r="AH138" i="42"/>
  <c r="AK193" i="42"/>
  <c r="AG188" i="42"/>
  <c r="AH192" i="42"/>
  <c r="C183" i="42"/>
  <c r="F182" i="42"/>
  <c r="G184" i="42" s="1"/>
  <c r="AG44" i="42"/>
  <c r="AG45" i="42" s="1"/>
  <c r="AH46" i="42"/>
  <c r="AK47" i="42"/>
  <c r="C155" i="42"/>
  <c r="F154" i="42"/>
  <c r="AK89" i="42"/>
  <c r="AH88" i="42"/>
  <c r="C17" i="42"/>
  <c r="F16" i="42"/>
  <c r="G18" i="42" s="1"/>
  <c r="AK105" i="42"/>
  <c r="AH104" i="42"/>
  <c r="C153" i="42"/>
  <c r="F152" i="42"/>
  <c r="G156" i="42"/>
  <c r="AG156" i="42"/>
  <c r="AK155" i="42"/>
  <c r="AH154" i="42"/>
  <c r="AI154" i="42" s="1"/>
  <c r="AK111" i="42"/>
  <c r="AH110" i="42"/>
  <c r="AG108" i="42"/>
  <c r="AG109" i="42" s="1"/>
  <c r="AK147" i="42"/>
  <c r="AH146" i="42"/>
  <c r="J92" i="42"/>
  <c r="G93" i="42"/>
  <c r="AK99" i="42"/>
  <c r="AG94" i="42"/>
  <c r="AG95" i="42" s="1"/>
  <c r="AH98" i="42"/>
  <c r="C47" i="42"/>
  <c r="F46" i="42"/>
  <c r="G44" i="42"/>
  <c r="AG158" i="42"/>
  <c r="AG159" i="42" s="1"/>
  <c r="AK163" i="42"/>
  <c r="AH162" i="42"/>
  <c r="F176" i="42"/>
  <c r="C177" i="42"/>
  <c r="F18" i="42"/>
  <c r="G14" i="42"/>
  <c r="C19" i="42"/>
  <c r="AK33" i="42"/>
  <c r="AH32" i="42"/>
  <c r="AI34" i="42" s="1"/>
  <c r="F32" i="42"/>
  <c r="C33" i="42"/>
  <c r="AK41" i="42"/>
  <c r="AH40" i="42"/>
  <c r="C185" i="42"/>
  <c r="G186" i="42"/>
  <c r="F184" i="42"/>
  <c r="AK83" i="42"/>
  <c r="AH82" i="42"/>
  <c r="AI82" i="42" s="1"/>
  <c r="AK183" i="42"/>
  <c r="AH182" i="42"/>
  <c r="AG186" i="42"/>
  <c r="AG187" i="42" s="1"/>
  <c r="C121" i="42"/>
  <c r="G122" i="42"/>
  <c r="F120" i="42"/>
  <c r="AK19" i="42"/>
  <c r="AH18" i="42"/>
  <c r="AH48" i="42"/>
  <c r="AK49" i="42"/>
  <c r="F126" i="42"/>
  <c r="G128" i="42" s="1"/>
  <c r="C127" i="42"/>
  <c r="F26" i="42"/>
  <c r="C27" i="42"/>
  <c r="C25" i="42"/>
  <c r="G28" i="42"/>
  <c r="F24" i="42"/>
  <c r="C113" i="42"/>
  <c r="F112" i="42"/>
  <c r="C110" i="1"/>
  <c r="C111" i="1" s="1"/>
  <c r="C57" i="42"/>
  <c r="G58" i="42"/>
  <c r="F56" i="42"/>
  <c r="F162" i="42"/>
  <c r="C163" i="42"/>
  <c r="G158" i="42"/>
  <c r="AK177" i="42"/>
  <c r="AH176" i="42"/>
  <c r="AK91" i="42"/>
  <c r="AH90" i="42"/>
  <c r="AG92" i="42"/>
  <c r="C169" i="42"/>
  <c r="F168" i="42"/>
  <c r="AH96" i="42"/>
  <c r="AI98" i="42" s="1"/>
  <c r="AK97" i="42"/>
  <c r="G172" i="42"/>
  <c r="F174" i="42"/>
  <c r="C175" i="42"/>
  <c r="F166" i="42"/>
  <c r="G170" i="42"/>
  <c r="C167" i="42"/>
  <c r="C119" i="42"/>
  <c r="F118" i="42"/>
  <c r="G120" i="42" s="1"/>
  <c r="AK167" i="42"/>
  <c r="AG170" i="42"/>
  <c r="AH166" i="42"/>
  <c r="C147" i="42"/>
  <c r="G142" i="42"/>
  <c r="F146" i="42"/>
  <c r="AK161" i="42"/>
  <c r="AH160" i="42"/>
  <c r="AI162" i="42" s="1"/>
  <c r="F160" i="42"/>
  <c r="G162" i="42" s="1"/>
  <c r="C161" i="42"/>
  <c r="AK113" i="42"/>
  <c r="AH112" i="42"/>
  <c r="C105" i="42"/>
  <c r="F104" i="42"/>
  <c r="C97" i="42"/>
  <c r="F96" i="42"/>
  <c r="G98" i="42" s="1"/>
  <c r="F136" i="42"/>
  <c r="G140" i="42"/>
  <c r="C137" i="42"/>
  <c r="AK175" i="42"/>
  <c r="AH174" i="42"/>
  <c r="AG172" i="42"/>
  <c r="AG173" i="42" s="1"/>
  <c r="AK75" i="42"/>
  <c r="AH74" i="42"/>
  <c r="AK55" i="42"/>
  <c r="AH54" i="42"/>
  <c r="AG58" i="42"/>
  <c r="AG59" i="42" s="1"/>
  <c r="C111" i="42"/>
  <c r="G108" i="42"/>
  <c r="F110" i="42"/>
  <c r="AK121" i="42"/>
  <c r="AH120" i="42"/>
  <c r="F80" i="42"/>
  <c r="G82" i="42" s="1"/>
  <c r="C81" i="42"/>
  <c r="AK17" i="42"/>
  <c r="AG14" i="42"/>
  <c r="AG15" i="42" s="1"/>
  <c r="AH16" i="42"/>
  <c r="C103" i="42"/>
  <c r="F102" i="42"/>
  <c r="G106" i="42"/>
  <c r="AK27" i="42"/>
  <c r="AG28" i="42"/>
  <c r="AH26" i="42"/>
  <c r="AG42" i="42"/>
  <c r="AK39" i="42"/>
  <c r="AH38" i="42"/>
  <c r="AK119" i="42"/>
  <c r="AH118" i="42"/>
  <c r="AG122" i="42"/>
  <c r="AG123" i="42" s="1"/>
  <c r="AK145" i="42"/>
  <c r="AG142" i="42"/>
  <c r="AG143" i="42" s="1"/>
  <c r="AH144" i="42"/>
  <c r="C39" i="42"/>
  <c r="G42" i="42"/>
  <c r="F38" i="42"/>
  <c r="AK11" i="42"/>
  <c r="AH10" i="42"/>
  <c r="AI10" i="42" s="1"/>
  <c r="AK57" i="42"/>
  <c r="AH56" i="42"/>
  <c r="AH102" i="42"/>
  <c r="AG106" i="42"/>
  <c r="AK103" i="42"/>
  <c r="F62" i="42"/>
  <c r="G64" i="42" s="1"/>
  <c r="C63" i="42"/>
  <c r="AK185" i="42"/>
  <c r="AH184" i="42"/>
  <c r="AK137" i="42"/>
  <c r="AG140" i="42"/>
  <c r="AH136" i="42"/>
  <c r="C99" i="42"/>
  <c r="F98" i="42"/>
  <c r="G94" i="42"/>
  <c r="K86" i="42" s="1"/>
  <c r="C41" i="42"/>
  <c r="F40" i="42"/>
  <c r="G30" i="42"/>
  <c r="C35" i="42"/>
  <c r="F34" i="42"/>
  <c r="AK190" i="1"/>
  <c r="AK191" i="1" s="1"/>
  <c r="AK74" i="1"/>
  <c r="AK75" i="1" s="1"/>
  <c r="AK10" i="1"/>
  <c r="AK11" i="1" s="1"/>
  <c r="AK32" i="1"/>
  <c r="AK33" i="1" s="1"/>
  <c r="AK160" i="1"/>
  <c r="AK161" i="1" s="1"/>
  <c r="AK96" i="1"/>
  <c r="AK97" i="1" s="1"/>
  <c r="C160" i="1"/>
  <c r="C161" i="1" s="1"/>
  <c r="C90" i="1"/>
  <c r="C91" i="1" s="1"/>
  <c r="AK176" i="1"/>
  <c r="AK177" i="1" s="1"/>
  <c r="C118" i="1"/>
  <c r="C119" i="1" s="1"/>
  <c r="C16" i="1"/>
  <c r="C17" i="1" s="1"/>
  <c r="C146" i="1"/>
  <c r="C147" i="1" s="1"/>
  <c r="AK144" i="1"/>
  <c r="AK145" i="1" s="1"/>
  <c r="C174" i="1"/>
  <c r="C175" i="1" s="1"/>
  <c r="C46" i="1"/>
  <c r="C47" i="1" s="1"/>
  <c r="AK174" i="1"/>
  <c r="AK175" i="1" s="1"/>
  <c r="C152" i="1"/>
  <c r="C153" i="1" s="1"/>
  <c r="C24" i="1"/>
  <c r="C25" i="1" s="1"/>
  <c r="AK166" i="1"/>
  <c r="AK167" i="1" s="1"/>
  <c r="AK38" i="1"/>
  <c r="AK39" i="1" s="1"/>
  <c r="C166" i="1"/>
  <c r="C167" i="1" s="1"/>
  <c r="C192" i="1"/>
  <c r="C193" i="1" s="1"/>
  <c r="K425" i="14"/>
  <c r="K426" i="14"/>
  <c r="K424" i="14"/>
  <c r="G60" i="42"/>
  <c r="G61" i="42" s="1"/>
  <c r="F64" i="42"/>
  <c r="F138" i="42"/>
  <c r="G138" i="42" s="1"/>
  <c r="F74" i="42"/>
  <c r="F10" i="42"/>
  <c r="G10" i="42" s="1"/>
  <c r="C11" i="42"/>
  <c r="AH190" i="42"/>
  <c r="AI192" i="42" s="1"/>
  <c r="AH126" i="42"/>
  <c r="AI128" i="42" s="1"/>
  <c r="AK63" i="42"/>
  <c r="AH62" i="42"/>
  <c r="AI64" i="42" s="1"/>
  <c r="AK168" i="1"/>
  <c r="AK169" i="1" s="1"/>
  <c r="AK154" i="1"/>
  <c r="AK155" i="1" s="1"/>
  <c r="C154" i="1"/>
  <c r="C155" i="1" s="1"/>
  <c r="AK64" i="1"/>
  <c r="AK65" i="1" s="1"/>
  <c r="C64" i="1"/>
  <c r="C65" i="1" s="1"/>
  <c r="C26" i="1"/>
  <c r="C27" i="1" s="1"/>
  <c r="C128" i="1"/>
  <c r="C129" i="1" s="1"/>
  <c r="C8" i="1"/>
  <c r="C9" i="1" s="1"/>
  <c r="AK72" i="1"/>
  <c r="AH72" i="1" s="1"/>
  <c r="C98" i="1"/>
  <c r="C99" i="1" s="1"/>
  <c r="C48" i="1"/>
  <c r="C49" i="1" s="1"/>
  <c r="AC84" i="42"/>
  <c r="AC85" i="42" s="1"/>
  <c r="AH126" i="1"/>
  <c r="AI128" i="1" s="1"/>
  <c r="F168" i="1"/>
  <c r="AH146" i="1"/>
  <c r="AG78" i="1"/>
  <c r="AG79" i="1" s="1"/>
  <c r="AH80" i="1"/>
  <c r="K84" i="42"/>
  <c r="K85" i="42" s="1"/>
  <c r="J76" i="42"/>
  <c r="AK54" i="1"/>
  <c r="AK55" i="1" s="1"/>
  <c r="AK40" i="1"/>
  <c r="AK41" i="1" s="1"/>
  <c r="AK128" i="1"/>
  <c r="AK129" i="1" s="1"/>
  <c r="AK192" i="1"/>
  <c r="AK193" i="1" s="1"/>
  <c r="C162" i="1"/>
  <c r="C163" i="1" s="1"/>
  <c r="AK56" i="1"/>
  <c r="AK57" i="1" s="1"/>
  <c r="AK104" i="1"/>
  <c r="AK105" i="1" s="1"/>
  <c r="AG124" i="42"/>
  <c r="AG125" i="42" s="1"/>
  <c r="AH128" i="42"/>
  <c r="AH138" i="1"/>
  <c r="AH160" i="1"/>
  <c r="AI162" i="1" s="1"/>
  <c r="C82" i="1"/>
  <c r="C83" i="1" s="1"/>
  <c r="F138" i="1"/>
  <c r="F104" i="1"/>
  <c r="AK26" i="1"/>
  <c r="AK27" i="1" s="1"/>
  <c r="C102" i="1"/>
  <c r="C103" i="1" s="1"/>
  <c r="AK184" i="1"/>
  <c r="AK185" i="1" s="1"/>
  <c r="C74" i="1"/>
  <c r="C75" i="1" s="1"/>
  <c r="AK118" i="1"/>
  <c r="AK119" i="1" s="1"/>
  <c r="AK88" i="1"/>
  <c r="AK89" i="1" s="1"/>
  <c r="AK8" i="1"/>
  <c r="AK9" i="1" s="1"/>
  <c r="AK110" i="1"/>
  <c r="AK111" i="1" s="1"/>
  <c r="C120" i="1"/>
  <c r="C121" i="1" s="1"/>
  <c r="AK182" i="1"/>
  <c r="AK183" i="1" s="1"/>
  <c r="AK82" i="1"/>
  <c r="AK83" i="1" s="1"/>
  <c r="C176" i="1"/>
  <c r="C177" i="1" s="1"/>
  <c r="C96" i="1"/>
  <c r="C97" i="1" s="1"/>
  <c r="C126" i="1"/>
  <c r="C127" i="1" s="1"/>
  <c r="F128" i="42"/>
  <c r="G124" i="42"/>
  <c r="G125" i="42" s="1"/>
  <c r="AH102" i="1"/>
  <c r="AG106" i="1"/>
  <c r="AG107" i="1" s="1"/>
  <c r="F80" i="1"/>
  <c r="G82" i="1" s="1"/>
  <c r="G172" i="1"/>
  <c r="G173" i="1" s="1"/>
  <c r="F88" i="1"/>
  <c r="G92" i="1"/>
  <c r="G93" i="1" s="1"/>
  <c r="AK90" i="1"/>
  <c r="AK91" i="1" s="1"/>
  <c r="AK152" i="1"/>
  <c r="AK153" i="1" s="1"/>
  <c r="AK136" i="1"/>
  <c r="AK137" i="1" s="1"/>
  <c r="C56" i="1"/>
  <c r="C57" i="1" s="1"/>
  <c r="C112" i="1"/>
  <c r="C113" i="1" s="1"/>
  <c r="C72" i="1"/>
  <c r="C136" i="1"/>
  <c r="C137" i="1" s="1"/>
  <c r="C34" i="1"/>
  <c r="C35" i="1" s="1"/>
  <c r="AK46" i="1"/>
  <c r="AK47" i="1" s="1"/>
  <c r="C184" i="1"/>
  <c r="C185" i="1" s="1"/>
  <c r="C18" i="1"/>
  <c r="C19" i="1" s="1"/>
  <c r="AK18" i="1"/>
  <c r="AK19" i="1" s="1"/>
  <c r="AK24" i="1"/>
  <c r="AK25" i="1" s="1"/>
  <c r="C32" i="1"/>
  <c r="C33" i="1" s="1"/>
  <c r="C62" i="1"/>
  <c r="C63" i="1" s="1"/>
  <c r="AH120" i="1"/>
  <c r="F190" i="1"/>
  <c r="G192" i="1" s="1"/>
  <c r="AH112" i="1"/>
  <c r="F144" i="1"/>
  <c r="G146" i="1" s="1"/>
  <c r="F110" i="1"/>
  <c r="G108" i="1"/>
  <c r="G109" i="1" s="1"/>
  <c r="K52" i="42"/>
  <c r="K53" i="42" s="1"/>
  <c r="K20" i="42"/>
  <c r="K21" i="42" s="1"/>
  <c r="J12" i="42"/>
  <c r="AC52" i="42"/>
  <c r="AC53" i="42" s="1"/>
  <c r="C10" i="1"/>
  <c r="C38" i="1"/>
  <c r="C39" i="1" s="1"/>
  <c r="M88" i="14"/>
  <c r="M87" i="14"/>
  <c r="AI90" i="42" l="1"/>
  <c r="AC20" i="42"/>
  <c r="AC21" i="42" s="1"/>
  <c r="F182" i="1"/>
  <c r="G184" i="1" s="1"/>
  <c r="G34" i="42"/>
  <c r="AI26" i="42"/>
  <c r="G74" i="42"/>
  <c r="AI56" i="42"/>
  <c r="AI48" i="42"/>
  <c r="AI74" i="42"/>
  <c r="F174" i="1"/>
  <c r="G40" i="42"/>
  <c r="AH74" i="1"/>
  <c r="AI74" i="1" s="1"/>
  <c r="AI112" i="42"/>
  <c r="AI40" i="42"/>
  <c r="G104" i="42"/>
  <c r="G168" i="42"/>
  <c r="F192" i="1"/>
  <c r="AI184" i="42"/>
  <c r="AI176" i="42"/>
  <c r="AI168" i="42"/>
  <c r="AI146" i="42"/>
  <c r="AI138" i="42"/>
  <c r="AI120" i="42"/>
  <c r="AI104" i="42"/>
  <c r="AI18" i="42"/>
  <c r="G176" i="42"/>
  <c r="G154" i="42"/>
  <c r="G112" i="42"/>
  <c r="J60" i="42"/>
  <c r="G48" i="42"/>
  <c r="G26" i="42"/>
  <c r="F90" i="1"/>
  <c r="G90" i="1" s="1"/>
  <c r="G188" i="1"/>
  <c r="G189" i="1" s="1"/>
  <c r="AC114" i="42"/>
  <c r="AC115" i="42" s="1"/>
  <c r="AG107" i="42"/>
  <c r="G109" i="42"/>
  <c r="J108" i="42"/>
  <c r="G143" i="42"/>
  <c r="J142" i="42"/>
  <c r="G171" i="42"/>
  <c r="J170" i="42"/>
  <c r="K178" i="42"/>
  <c r="G29" i="42"/>
  <c r="J28" i="42"/>
  <c r="K22" i="42"/>
  <c r="O35" i="42" s="1"/>
  <c r="O36" i="42" s="1"/>
  <c r="AG141" i="42"/>
  <c r="AC148" i="42"/>
  <c r="AG43" i="42"/>
  <c r="AC50" i="42"/>
  <c r="AC51" i="42" s="1"/>
  <c r="AG93" i="42"/>
  <c r="AC86" i="42"/>
  <c r="AC87" i="42" s="1"/>
  <c r="K87" i="42"/>
  <c r="N86" i="42"/>
  <c r="J188" i="42"/>
  <c r="G189" i="42"/>
  <c r="K180" i="42"/>
  <c r="J30" i="42"/>
  <c r="G31" i="42"/>
  <c r="G59" i="42"/>
  <c r="J58" i="42"/>
  <c r="AG29" i="42"/>
  <c r="AC22" i="42"/>
  <c r="AC23" i="42" s="1"/>
  <c r="G141" i="42"/>
  <c r="J140" i="42"/>
  <c r="K148" i="42"/>
  <c r="AG171" i="42"/>
  <c r="AC178" i="42"/>
  <c r="AC179" i="42" s="1"/>
  <c r="G123" i="42"/>
  <c r="J122" i="42"/>
  <c r="G187" i="42"/>
  <c r="J186" i="42"/>
  <c r="G45" i="42"/>
  <c r="J44" i="42"/>
  <c r="AG157" i="42"/>
  <c r="AC150" i="42"/>
  <c r="AC151" i="42" s="1"/>
  <c r="AH190" i="1"/>
  <c r="AI192" i="1" s="1"/>
  <c r="G173" i="42"/>
  <c r="J172" i="42"/>
  <c r="J14" i="42"/>
  <c r="K12" i="42" s="1"/>
  <c r="K14" i="42" s="1"/>
  <c r="G15" i="42"/>
  <c r="G157" i="42"/>
  <c r="K150" i="42"/>
  <c r="J156" i="42"/>
  <c r="G79" i="42"/>
  <c r="J78" i="42"/>
  <c r="K76" i="42" s="1"/>
  <c r="K78" i="42" s="1"/>
  <c r="F152" i="1"/>
  <c r="J94" i="42"/>
  <c r="K92" i="42" s="1"/>
  <c r="K94" i="42" s="1"/>
  <c r="G95" i="42"/>
  <c r="G107" i="42"/>
  <c r="K114" i="42"/>
  <c r="J106" i="42"/>
  <c r="AC180" i="42"/>
  <c r="AG189" i="42"/>
  <c r="G43" i="42"/>
  <c r="J42" i="42"/>
  <c r="K50" i="42"/>
  <c r="G156" i="1"/>
  <c r="G157" i="1" s="1"/>
  <c r="J158" i="42"/>
  <c r="G159" i="42"/>
  <c r="AH96" i="1"/>
  <c r="AI98" i="1" s="1"/>
  <c r="AH168" i="1"/>
  <c r="F160" i="1"/>
  <c r="G162" i="1" s="1"/>
  <c r="AH176" i="1"/>
  <c r="F118" i="1"/>
  <c r="G120" i="1" s="1"/>
  <c r="F146" i="1"/>
  <c r="G142" i="1"/>
  <c r="G143" i="1" s="1"/>
  <c r="AG142" i="1"/>
  <c r="AG143" i="1" s="1"/>
  <c r="AH144" i="1"/>
  <c r="AI146" i="1" s="1"/>
  <c r="AH174" i="1"/>
  <c r="AG172" i="1"/>
  <c r="AG173" i="1" s="1"/>
  <c r="AG170" i="1"/>
  <c r="AG171" i="1" s="1"/>
  <c r="AH166" i="1"/>
  <c r="F166" i="1"/>
  <c r="G168" i="1" s="1"/>
  <c r="G170" i="1"/>
  <c r="G171" i="1" s="1"/>
  <c r="F10" i="34"/>
  <c r="C11" i="34"/>
  <c r="F138" i="38"/>
  <c r="C139" i="38"/>
  <c r="F10" i="40"/>
  <c r="C11" i="40"/>
  <c r="F10" i="38"/>
  <c r="C11" i="38"/>
  <c r="C75" i="34"/>
  <c r="F74" i="34"/>
  <c r="C11" i="36"/>
  <c r="F10" i="36"/>
  <c r="F74" i="36"/>
  <c r="C75" i="36"/>
  <c r="F74" i="40"/>
  <c r="C75" i="40"/>
  <c r="F138" i="36"/>
  <c r="C139" i="36"/>
  <c r="C139" i="40"/>
  <c r="F138" i="40"/>
  <c r="F74" i="38"/>
  <c r="C75" i="38"/>
  <c r="C139" i="34"/>
  <c r="F138" i="34"/>
  <c r="AH154" i="1"/>
  <c r="F154" i="1"/>
  <c r="G154" i="1" s="1"/>
  <c r="AG156" i="1"/>
  <c r="AG157" i="1" s="1"/>
  <c r="F128" i="34"/>
  <c r="G124" i="34"/>
  <c r="C129" i="34"/>
  <c r="C129" i="40"/>
  <c r="G124" i="40"/>
  <c r="F128" i="40"/>
  <c r="C129" i="36"/>
  <c r="F128" i="36"/>
  <c r="G124" i="36"/>
  <c r="F128" i="38"/>
  <c r="G124" i="38"/>
  <c r="C129" i="38"/>
  <c r="F64" i="34"/>
  <c r="C65" i="34"/>
  <c r="G60" i="34"/>
  <c r="F64" i="38"/>
  <c r="G60" i="38"/>
  <c r="C65" i="38"/>
  <c r="G60" i="40"/>
  <c r="F64" i="40"/>
  <c r="C65" i="40"/>
  <c r="G60" i="36"/>
  <c r="F64" i="36"/>
  <c r="C65" i="36"/>
  <c r="AG124" i="36"/>
  <c r="AK129" i="36"/>
  <c r="AH128" i="36"/>
  <c r="AK129" i="40"/>
  <c r="AH128" i="40"/>
  <c r="AG124" i="40"/>
  <c r="AG124" i="38"/>
  <c r="AK129" i="38"/>
  <c r="AH128" i="38"/>
  <c r="AK65" i="34"/>
  <c r="AH64" i="34"/>
  <c r="AG60" i="34"/>
  <c r="AK193" i="36"/>
  <c r="AG188" i="36"/>
  <c r="AH192" i="36"/>
  <c r="AG60" i="38"/>
  <c r="AH64" i="38"/>
  <c r="AK65" i="38"/>
  <c r="AK193" i="34"/>
  <c r="AG188" i="34"/>
  <c r="AH192" i="34"/>
  <c r="AH128" i="34"/>
  <c r="AG124" i="34"/>
  <c r="AK129" i="34"/>
  <c r="AK65" i="36"/>
  <c r="AG60" i="36"/>
  <c r="AH64" i="36"/>
  <c r="AG188" i="38"/>
  <c r="AK193" i="38"/>
  <c r="AH192" i="38"/>
  <c r="AK65" i="40"/>
  <c r="AG60" i="40"/>
  <c r="AH64" i="40"/>
  <c r="AK193" i="40"/>
  <c r="AG188" i="40"/>
  <c r="AH192" i="40"/>
  <c r="G76" i="34"/>
  <c r="F72" i="34"/>
  <c r="C73" i="34"/>
  <c r="AR89" i="34"/>
  <c r="C73" i="38"/>
  <c r="G76" i="38"/>
  <c r="F72" i="38"/>
  <c r="AR89" i="38"/>
  <c r="F72" i="36"/>
  <c r="G76" i="36"/>
  <c r="C73" i="36"/>
  <c r="F8" i="34"/>
  <c r="C9" i="34"/>
  <c r="G12" i="34"/>
  <c r="G140" i="36"/>
  <c r="C137" i="36"/>
  <c r="F136" i="36"/>
  <c r="G12" i="38"/>
  <c r="C9" i="38"/>
  <c r="F8" i="38"/>
  <c r="C137" i="40"/>
  <c r="G140" i="40"/>
  <c r="F136" i="40"/>
  <c r="C9" i="36"/>
  <c r="G12" i="36"/>
  <c r="F8" i="36"/>
  <c r="F136" i="38"/>
  <c r="C137" i="38"/>
  <c r="G140" i="38"/>
  <c r="F8" i="40"/>
  <c r="C9" i="40"/>
  <c r="G12" i="40"/>
  <c r="C137" i="34"/>
  <c r="F136" i="34"/>
  <c r="G140" i="34"/>
  <c r="F72" i="40"/>
  <c r="G76" i="40"/>
  <c r="C73" i="40"/>
  <c r="AG76" i="1"/>
  <c r="AG77" i="1" s="1"/>
  <c r="AK73" i="1"/>
  <c r="F72" i="1"/>
  <c r="C73" i="1"/>
  <c r="G76" i="1"/>
  <c r="G77" i="1" s="1"/>
  <c r="O88" i="14"/>
  <c r="P88" i="14" s="1"/>
  <c r="J88" i="14" s="1"/>
  <c r="AK162" i="1" s="1"/>
  <c r="AK163" i="1" s="1"/>
  <c r="J108" i="1"/>
  <c r="AH118" i="1"/>
  <c r="AI120" i="1" s="1"/>
  <c r="AG122" i="1"/>
  <c r="AG123" i="1" s="1"/>
  <c r="AH184" i="1"/>
  <c r="F82" i="1"/>
  <c r="G78" i="1"/>
  <c r="G79" i="1" s="1"/>
  <c r="AC116" i="42"/>
  <c r="AC117" i="42" s="1"/>
  <c r="G140" i="1"/>
  <c r="G141" i="1" s="1"/>
  <c r="F136" i="1"/>
  <c r="G138" i="1" s="1"/>
  <c r="AH152" i="1"/>
  <c r="AI154" i="1" s="1"/>
  <c r="J92" i="1"/>
  <c r="K86" i="1"/>
  <c r="K87" i="1" s="1"/>
  <c r="J172" i="1"/>
  <c r="K116" i="42"/>
  <c r="K117" i="42" s="1"/>
  <c r="J124" i="42"/>
  <c r="F96" i="1"/>
  <c r="G98" i="1" s="1"/>
  <c r="AH82" i="1"/>
  <c r="AI82" i="1" s="1"/>
  <c r="F120" i="1"/>
  <c r="G122" i="1"/>
  <c r="G123" i="1" s="1"/>
  <c r="AH104" i="1"/>
  <c r="AI104" i="1" s="1"/>
  <c r="F162" i="1"/>
  <c r="G158" i="1"/>
  <c r="G159" i="1" s="1"/>
  <c r="K180" i="1"/>
  <c r="K181" i="1" s="1"/>
  <c r="J156" i="1"/>
  <c r="K150" i="1"/>
  <c r="K151" i="1" s="1"/>
  <c r="Y99" i="42"/>
  <c r="Y100" i="42" s="1"/>
  <c r="AC114" i="1"/>
  <c r="AC115" i="1" s="1"/>
  <c r="AH88" i="1"/>
  <c r="AI90" i="1" s="1"/>
  <c r="F74" i="1"/>
  <c r="F102" i="1"/>
  <c r="G104" i="1" s="1"/>
  <c r="G106" i="1"/>
  <c r="G107" i="1" s="1"/>
  <c r="F98" i="1"/>
  <c r="G94" i="1"/>
  <c r="G95" i="1" s="1"/>
  <c r="F184" i="1"/>
  <c r="G186" i="1"/>
  <c r="G187" i="1" s="1"/>
  <c r="F112" i="1"/>
  <c r="G112" i="1" s="1"/>
  <c r="AG140" i="1"/>
  <c r="AG141" i="1" s="1"/>
  <c r="AH136" i="1"/>
  <c r="AI138" i="1" s="1"/>
  <c r="AH90" i="1"/>
  <c r="AG92" i="1"/>
  <c r="AG93" i="1" s="1"/>
  <c r="F126" i="1"/>
  <c r="G128" i="1" s="1"/>
  <c r="F176" i="1"/>
  <c r="G176" i="1" s="1"/>
  <c r="AH182" i="1"/>
  <c r="AG186" i="1"/>
  <c r="AG187" i="1" s="1"/>
  <c r="AG108" i="1"/>
  <c r="AG109" i="1" s="1"/>
  <c r="AH110" i="1"/>
  <c r="AI112" i="1" s="1"/>
  <c r="AG188" i="1"/>
  <c r="AG189" i="1" s="1"/>
  <c r="AH192" i="1"/>
  <c r="O99" i="42"/>
  <c r="O100" i="42" s="1"/>
  <c r="N84" i="42"/>
  <c r="Y37" i="42"/>
  <c r="Y38" i="42" s="1"/>
  <c r="N20" i="42"/>
  <c r="O37" i="42"/>
  <c r="O38" i="42" s="1"/>
  <c r="N52" i="42"/>
  <c r="Y35" i="42"/>
  <c r="Y36" i="42" s="1"/>
  <c r="AH128" i="1"/>
  <c r="AG124" i="1"/>
  <c r="AG125" i="1" s="1"/>
  <c r="G124" i="1"/>
  <c r="G125" i="1" s="1"/>
  <c r="F128" i="1"/>
  <c r="O87" i="14"/>
  <c r="P87" i="14" s="1"/>
  <c r="J87" i="14" s="1"/>
  <c r="O86" i="14"/>
  <c r="P86" i="14" s="1"/>
  <c r="J86" i="14" s="1"/>
  <c r="AG60" i="1"/>
  <c r="AG61" i="1" s="1"/>
  <c r="AH64" i="1"/>
  <c r="G30" i="1"/>
  <c r="G31" i="1" s="1"/>
  <c r="F34" i="1"/>
  <c r="G58" i="1"/>
  <c r="G59" i="1" s="1"/>
  <c r="F56" i="1"/>
  <c r="AH18" i="1"/>
  <c r="F62" i="1"/>
  <c r="G64" i="1" s="1"/>
  <c r="AG28" i="1"/>
  <c r="AG29" i="1" s="1"/>
  <c r="AH26" i="1"/>
  <c r="AH10" i="1"/>
  <c r="AH38" i="1"/>
  <c r="AG42" i="1"/>
  <c r="AG43" i="1" s="1"/>
  <c r="AH24" i="1"/>
  <c r="AI26" i="1" s="1"/>
  <c r="AH32" i="1"/>
  <c r="AI34" i="1" s="1"/>
  <c r="AG12" i="1"/>
  <c r="AG13" i="1" s="1"/>
  <c r="AH8" i="1"/>
  <c r="F40" i="1"/>
  <c r="G28" i="1"/>
  <c r="G29" i="1" s="1"/>
  <c r="F24" i="1"/>
  <c r="G44" i="1"/>
  <c r="G45" i="1" s="1"/>
  <c r="F46" i="1"/>
  <c r="F38" i="1"/>
  <c r="G42" i="1"/>
  <c r="G43" i="1" s="1"/>
  <c r="AH40" i="1"/>
  <c r="F26" i="1"/>
  <c r="AG58" i="1"/>
  <c r="AG59" i="1" s="1"/>
  <c r="AH54" i="1"/>
  <c r="AH56" i="1"/>
  <c r="F32" i="1"/>
  <c r="G34" i="1" s="1"/>
  <c r="G14" i="1"/>
  <c r="G15" i="1" s="1"/>
  <c r="F18" i="1"/>
  <c r="F16" i="1"/>
  <c r="G18" i="1" s="1"/>
  <c r="AG44" i="1"/>
  <c r="AG45" i="1" s="1"/>
  <c r="AH46" i="1"/>
  <c r="AG14" i="1"/>
  <c r="AG15" i="1" s="1"/>
  <c r="AH16" i="1"/>
  <c r="AH62" i="1"/>
  <c r="AI64" i="1" s="1"/>
  <c r="F54" i="1"/>
  <c r="G56" i="1" s="1"/>
  <c r="AH48" i="1"/>
  <c r="F48" i="1"/>
  <c r="C11" i="1"/>
  <c r="F10" i="1"/>
  <c r="F8" i="1"/>
  <c r="G12" i="1"/>
  <c r="G13" i="1" s="1"/>
  <c r="J188" i="1" l="1"/>
  <c r="K122" i="42"/>
  <c r="K124" i="42" s="1"/>
  <c r="AI176" i="1"/>
  <c r="K186" i="42"/>
  <c r="K188" i="42" s="1"/>
  <c r="AI56" i="1"/>
  <c r="G48" i="1"/>
  <c r="G138" i="40"/>
  <c r="G26" i="1"/>
  <c r="AI168" i="1"/>
  <c r="G10" i="1"/>
  <c r="G10" i="40"/>
  <c r="G74" i="40"/>
  <c r="G138" i="38"/>
  <c r="G74" i="38"/>
  <c r="G10" i="38"/>
  <c r="G138" i="36"/>
  <c r="G74" i="36"/>
  <c r="G10" i="36"/>
  <c r="K58" i="42"/>
  <c r="K60" i="42" s="1"/>
  <c r="AI10" i="1"/>
  <c r="AI18" i="1"/>
  <c r="AI40" i="1"/>
  <c r="AI48" i="1"/>
  <c r="G138" i="34"/>
  <c r="G74" i="34"/>
  <c r="G10" i="34"/>
  <c r="AI184" i="1"/>
  <c r="G74" i="1"/>
  <c r="O84" i="42"/>
  <c r="O86" i="42" s="1"/>
  <c r="K106" i="42"/>
  <c r="K108" i="42" s="1"/>
  <c r="K140" i="42"/>
  <c r="K142" i="42" s="1"/>
  <c r="AC178" i="1"/>
  <c r="AC179" i="1" s="1"/>
  <c r="Y165" i="42"/>
  <c r="AC181" i="42"/>
  <c r="K170" i="42"/>
  <c r="K172" i="42" s="1"/>
  <c r="O165" i="42"/>
  <c r="K181" i="42"/>
  <c r="N180" i="42"/>
  <c r="AC149" i="42"/>
  <c r="Y163" i="42"/>
  <c r="Y164" i="42" s="1"/>
  <c r="N114" i="42"/>
  <c r="K115" i="42"/>
  <c r="K149" i="42"/>
  <c r="N148" i="42"/>
  <c r="O163" i="42"/>
  <c r="K156" i="42"/>
  <c r="K158" i="42" s="1"/>
  <c r="K23" i="42"/>
  <c r="N22" i="42"/>
  <c r="O20" i="42" s="1"/>
  <c r="O22" i="42" s="1"/>
  <c r="K51" i="42"/>
  <c r="N50" i="42"/>
  <c r="O50" i="42" s="1"/>
  <c r="O52" i="42" s="1"/>
  <c r="K151" i="42"/>
  <c r="N150" i="42"/>
  <c r="K28" i="42"/>
  <c r="K30" i="42" s="1"/>
  <c r="K42" i="42"/>
  <c r="K44" i="42" s="1"/>
  <c r="K179" i="42"/>
  <c r="N178" i="42"/>
  <c r="J170" i="1"/>
  <c r="K170" i="1" s="1"/>
  <c r="K172" i="1" s="1"/>
  <c r="K178" i="1"/>
  <c r="K179" i="1" s="1"/>
  <c r="AC150" i="1"/>
  <c r="AC151" i="1" s="1"/>
  <c r="J142" i="1"/>
  <c r="J60" i="34"/>
  <c r="K58" i="34" s="1"/>
  <c r="K60" i="34" s="1"/>
  <c r="G61" i="34"/>
  <c r="K52" i="34"/>
  <c r="J60" i="36"/>
  <c r="K58" i="36" s="1"/>
  <c r="K60" i="36" s="1"/>
  <c r="K52" i="36"/>
  <c r="G61" i="36"/>
  <c r="K116" i="40"/>
  <c r="J124" i="40"/>
  <c r="K122" i="40" s="1"/>
  <c r="K124" i="40" s="1"/>
  <c r="G125" i="40"/>
  <c r="G61" i="40"/>
  <c r="J60" i="40"/>
  <c r="K58" i="40" s="1"/>
  <c r="K60" i="40" s="1"/>
  <c r="K52" i="40"/>
  <c r="G125" i="38"/>
  <c r="J124" i="38"/>
  <c r="K122" i="38" s="1"/>
  <c r="K124" i="38" s="1"/>
  <c r="K116" i="38"/>
  <c r="K116" i="34"/>
  <c r="J124" i="34"/>
  <c r="K122" i="34" s="1"/>
  <c r="K124" i="34" s="1"/>
  <c r="G125" i="34"/>
  <c r="K52" i="38"/>
  <c r="G61" i="38"/>
  <c r="J60" i="38"/>
  <c r="K58" i="38" s="1"/>
  <c r="K60" i="38" s="1"/>
  <c r="G125" i="36"/>
  <c r="J124" i="36"/>
  <c r="K122" i="36" s="1"/>
  <c r="K124" i="36" s="1"/>
  <c r="K116" i="36"/>
  <c r="AG61" i="40"/>
  <c r="AC52" i="40"/>
  <c r="AG61" i="38"/>
  <c r="AC52" i="38"/>
  <c r="AC116" i="34"/>
  <c r="AG125" i="34"/>
  <c r="AG125" i="38"/>
  <c r="AC116" i="38"/>
  <c r="AG189" i="36"/>
  <c r="AC180" i="36"/>
  <c r="AG125" i="40"/>
  <c r="AC116" i="40"/>
  <c r="AG189" i="38"/>
  <c r="AC180" i="38"/>
  <c r="AG61" i="36"/>
  <c r="AC52" i="36"/>
  <c r="AG189" i="34"/>
  <c r="AC180" i="34"/>
  <c r="AC52" i="34"/>
  <c r="AG61" i="34"/>
  <c r="AC180" i="40"/>
  <c r="AG189" i="40"/>
  <c r="AC116" i="36"/>
  <c r="AG125" i="36"/>
  <c r="J76" i="1"/>
  <c r="AC84" i="1"/>
  <c r="AC85" i="1" s="1"/>
  <c r="AS89" i="38"/>
  <c r="J12" i="36"/>
  <c r="K12" i="36" s="1"/>
  <c r="K14" i="36" s="1"/>
  <c r="K20" i="36"/>
  <c r="G13" i="36"/>
  <c r="K84" i="38"/>
  <c r="J76" i="38"/>
  <c r="K76" i="38" s="1"/>
  <c r="K78" i="38" s="1"/>
  <c r="G77" i="38"/>
  <c r="AR81" i="38"/>
  <c r="K20" i="40"/>
  <c r="G13" i="40"/>
  <c r="J12" i="40"/>
  <c r="K12" i="40" s="1"/>
  <c r="K14" i="40" s="1"/>
  <c r="G13" i="34"/>
  <c r="K20" i="34"/>
  <c r="J12" i="34"/>
  <c r="K12" i="34" s="1"/>
  <c r="K14" i="34" s="1"/>
  <c r="G77" i="40"/>
  <c r="K84" i="40"/>
  <c r="J76" i="40"/>
  <c r="K76" i="40" s="1"/>
  <c r="K78" i="40" s="1"/>
  <c r="G13" i="38"/>
  <c r="K20" i="38"/>
  <c r="J12" i="38"/>
  <c r="K12" i="38" s="1"/>
  <c r="K14" i="38" s="1"/>
  <c r="AS89" i="34"/>
  <c r="K148" i="40"/>
  <c r="G141" i="40"/>
  <c r="J140" i="40"/>
  <c r="K140" i="40" s="1"/>
  <c r="K142" i="40" s="1"/>
  <c r="G77" i="36"/>
  <c r="J76" i="36"/>
  <c r="K76" i="36" s="1"/>
  <c r="K78" i="36" s="1"/>
  <c r="K84" i="36"/>
  <c r="J140" i="34"/>
  <c r="K140" i="34" s="1"/>
  <c r="K142" i="34" s="1"/>
  <c r="K148" i="34"/>
  <c r="G141" i="34"/>
  <c r="K148" i="38"/>
  <c r="J140" i="38"/>
  <c r="K140" i="38" s="1"/>
  <c r="K142" i="38" s="1"/>
  <c r="G141" i="38"/>
  <c r="K148" i="36"/>
  <c r="G141" i="36"/>
  <c r="J140" i="36"/>
  <c r="K140" i="36" s="1"/>
  <c r="K142" i="36" s="1"/>
  <c r="K84" i="34"/>
  <c r="G77" i="34"/>
  <c r="J76" i="34"/>
  <c r="K76" i="34" s="1"/>
  <c r="K78" i="34" s="1"/>
  <c r="AR81" i="34"/>
  <c r="K84" i="1"/>
  <c r="K85" i="1" s="1"/>
  <c r="AG158" i="1"/>
  <c r="AG159" i="1" s="1"/>
  <c r="AH162" i="1"/>
  <c r="K88" i="14"/>
  <c r="AK34" i="1"/>
  <c r="AK35" i="1" s="1"/>
  <c r="K86" i="14"/>
  <c r="AK98" i="1"/>
  <c r="AK99" i="1" s="1"/>
  <c r="K87" i="14"/>
  <c r="N150" i="1"/>
  <c r="N116" i="42"/>
  <c r="O101" i="42"/>
  <c r="O102" i="42" s="1"/>
  <c r="K148" i="1"/>
  <c r="K149" i="1" s="1"/>
  <c r="J140" i="1"/>
  <c r="Y101" i="42"/>
  <c r="Y102" i="42" s="1"/>
  <c r="J94" i="1"/>
  <c r="K92" i="1" s="1"/>
  <c r="K94" i="1" s="1"/>
  <c r="K114" i="1"/>
  <c r="K115" i="1" s="1"/>
  <c r="J106" i="1"/>
  <c r="K106" i="1" s="1"/>
  <c r="K108" i="1" s="1"/>
  <c r="AC180" i="1"/>
  <c r="AC181" i="1" s="1"/>
  <c r="J186" i="1"/>
  <c r="K186" i="1" s="1"/>
  <c r="K188" i="1" s="1"/>
  <c r="R100" i="42"/>
  <c r="R101" i="42" s="1"/>
  <c r="O104" i="42"/>
  <c r="P106" i="42" s="1"/>
  <c r="O108" i="42"/>
  <c r="AC86" i="1"/>
  <c r="AC87" i="1" s="1"/>
  <c r="AC148" i="1"/>
  <c r="AC149" i="1" s="1"/>
  <c r="N180" i="1"/>
  <c r="O165" i="1"/>
  <c r="O166" i="1" s="1"/>
  <c r="J158" i="1"/>
  <c r="K156" i="1" s="1"/>
  <c r="K158" i="1" s="1"/>
  <c r="J122" i="1"/>
  <c r="N86" i="1"/>
  <c r="J78" i="1"/>
  <c r="O40" i="42"/>
  <c r="P42" i="42" s="1"/>
  <c r="O44" i="42"/>
  <c r="R36" i="42"/>
  <c r="R37" i="42" s="1"/>
  <c r="O46" i="42"/>
  <c r="O42" i="42"/>
  <c r="V36" i="42"/>
  <c r="V37" i="42" s="1"/>
  <c r="J124" i="1"/>
  <c r="K116" i="1"/>
  <c r="K117" i="1" s="1"/>
  <c r="AC116" i="1"/>
  <c r="AC117" i="1" s="1"/>
  <c r="G40" i="1"/>
  <c r="J14" i="1"/>
  <c r="J42" i="1"/>
  <c r="K50" i="1"/>
  <c r="K51" i="1" s="1"/>
  <c r="AC52" i="1"/>
  <c r="AC53" i="1" s="1"/>
  <c r="AC20" i="1"/>
  <c r="AC21" i="1" s="1"/>
  <c r="J58" i="1"/>
  <c r="J30" i="1"/>
  <c r="J44" i="1"/>
  <c r="AC22" i="1"/>
  <c r="AC23" i="1" s="1"/>
  <c r="J28" i="1"/>
  <c r="K22" i="1"/>
  <c r="K23" i="1" s="1"/>
  <c r="AC50" i="1"/>
  <c r="AC51" i="1" s="1"/>
  <c r="J12" i="1"/>
  <c r="K20" i="1"/>
  <c r="V100" i="42" l="1"/>
  <c r="V101" i="42" s="1"/>
  <c r="P46" i="42"/>
  <c r="N178" i="1"/>
  <c r="O178" i="1" s="1"/>
  <c r="O180" i="1" s="1"/>
  <c r="O114" i="42"/>
  <c r="O116" i="42" s="1"/>
  <c r="O148" i="42"/>
  <c r="O150" i="42" s="1"/>
  <c r="O164" i="42"/>
  <c r="O168" i="42"/>
  <c r="P170" i="42" s="1"/>
  <c r="O172" i="42"/>
  <c r="R164" i="42"/>
  <c r="O178" i="42"/>
  <c r="O180" i="42" s="1"/>
  <c r="O166" i="42"/>
  <c r="O174" i="42"/>
  <c r="O170" i="42"/>
  <c r="Y166" i="42"/>
  <c r="V164" i="42"/>
  <c r="K140" i="1"/>
  <c r="K142" i="1" s="1"/>
  <c r="O99" i="1"/>
  <c r="O100" i="1" s="1"/>
  <c r="K76" i="1"/>
  <c r="K78" i="1" s="1"/>
  <c r="K117" i="38"/>
  <c r="N116" i="38"/>
  <c r="O114" i="38" s="1"/>
  <c r="O116" i="38" s="1"/>
  <c r="O101" i="38"/>
  <c r="K117" i="40"/>
  <c r="O101" i="40"/>
  <c r="N116" i="40"/>
  <c r="O114" i="40" s="1"/>
  <c r="O116" i="40" s="1"/>
  <c r="K117" i="36"/>
  <c r="N116" i="36"/>
  <c r="O114" i="36" s="1"/>
  <c r="O116" i="36" s="1"/>
  <c r="O101" i="36"/>
  <c r="O37" i="36"/>
  <c r="K53" i="36"/>
  <c r="N52" i="36"/>
  <c r="O50" i="36" s="1"/>
  <c r="O52" i="36" s="1"/>
  <c r="N52" i="40"/>
  <c r="O50" i="40" s="1"/>
  <c r="O52" i="40" s="1"/>
  <c r="O37" i="40"/>
  <c r="K53" i="40"/>
  <c r="O101" i="34"/>
  <c r="K117" i="34"/>
  <c r="N116" i="34"/>
  <c r="O114" i="34" s="1"/>
  <c r="O116" i="34" s="1"/>
  <c r="O37" i="38"/>
  <c r="N52" i="38"/>
  <c r="O50" i="38" s="1"/>
  <c r="O52" i="38" s="1"/>
  <c r="K53" i="38"/>
  <c r="O37" i="34"/>
  <c r="K53" i="34"/>
  <c r="N52" i="34"/>
  <c r="O50" i="34" s="1"/>
  <c r="O52" i="34" s="1"/>
  <c r="AC53" i="36"/>
  <c r="Y37" i="36"/>
  <c r="AC117" i="36"/>
  <c r="Y101" i="36"/>
  <c r="Y165" i="38"/>
  <c r="AC181" i="38"/>
  <c r="AC117" i="38"/>
  <c r="Y101" i="38"/>
  <c r="Y102" i="38" s="1"/>
  <c r="AC117" i="34"/>
  <c r="Y101" i="34"/>
  <c r="Y102" i="34" s="1"/>
  <c r="AC181" i="40"/>
  <c r="Y165" i="40"/>
  <c r="AC117" i="40"/>
  <c r="Y101" i="40"/>
  <c r="Y102" i="40" s="1"/>
  <c r="AC53" i="38"/>
  <c r="Y37" i="38"/>
  <c r="Y37" i="34"/>
  <c r="AC53" i="34"/>
  <c r="Y165" i="34"/>
  <c r="AC181" i="34"/>
  <c r="AC181" i="36"/>
  <c r="Y165" i="36"/>
  <c r="AC53" i="40"/>
  <c r="Y37" i="40"/>
  <c r="N84" i="1"/>
  <c r="O84" i="1" s="1"/>
  <c r="O86" i="1" s="1"/>
  <c r="Y99" i="1"/>
  <c r="Y100" i="1" s="1"/>
  <c r="O163" i="40"/>
  <c r="K149" i="40"/>
  <c r="N148" i="40"/>
  <c r="O148" i="40" s="1"/>
  <c r="O150" i="40" s="1"/>
  <c r="N84" i="38"/>
  <c r="O84" i="38" s="1"/>
  <c r="O86" i="38" s="1"/>
  <c r="O99" i="38"/>
  <c r="K85" i="38"/>
  <c r="AR77" i="38"/>
  <c r="AS81" i="34"/>
  <c r="AR97" i="34"/>
  <c r="K85" i="40"/>
  <c r="N84" i="40"/>
  <c r="O84" i="40" s="1"/>
  <c r="O86" i="40" s="1"/>
  <c r="O99" i="40"/>
  <c r="O99" i="34"/>
  <c r="N84" i="34"/>
  <c r="O84" i="34" s="1"/>
  <c r="O86" i="34" s="1"/>
  <c r="K85" i="34"/>
  <c r="AR77" i="34"/>
  <c r="O163" i="38"/>
  <c r="K149" i="38"/>
  <c r="N148" i="38"/>
  <c r="O148" i="38" s="1"/>
  <c r="O150" i="38" s="1"/>
  <c r="O99" i="36"/>
  <c r="N84" i="36"/>
  <c r="O84" i="36" s="1"/>
  <c r="O86" i="36" s="1"/>
  <c r="K85" i="36"/>
  <c r="K21" i="40"/>
  <c r="O35" i="40"/>
  <c r="N20" i="40"/>
  <c r="O20" i="40" s="1"/>
  <c r="O22" i="40" s="1"/>
  <c r="O35" i="36"/>
  <c r="N20" i="36"/>
  <c r="O20" i="36" s="1"/>
  <c r="O22" i="36" s="1"/>
  <c r="K21" i="36"/>
  <c r="K149" i="34"/>
  <c r="O163" i="34"/>
  <c r="N148" i="34"/>
  <c r="O148" i="34" s="1"/>
  <c r="O150" i="34" s="1"/>
  <c r="K21" i="38"/>
  <c r="N20" i="38"/>
  <c r="O20" i="38" s="1"/>
  <c r="O22" i="38" s="1"/>
  <c r="O35" i="38"/>
  <c r="O35" i="34"/>
  <c r="K21" i="34"/>
  <c r="N20" i="34"/>
  <c r="O20" i="34" s="1"/>
  <c r="O22" i="34" s="1"/>
  <c r="AR97" i="38"/>
  <c r="AS81" i="38"/>
  <c r="N148" i="36"/>
  <c r="O148" i="36" s="1"/>
  <c r="O150" i="36" s="1"/>
  <c r="K149" i="36"/>
  <c r="O163" i="36"/>
  <c r="AG94" i="1"/>
  <c r="AG95" i="1" s="1"/>
  <c r="AH98" i="1"/>
  <c r="O35" i="1"/>
  <c r="O36" i="1" s="1"/>
  <c r="K21" i="1"/>
  <c r="K122" i="1"/>
  <c r="K124" i="1" s="1"/>
  <c r="O170" i="1"/>
  <c r="O174" i="1"/>
  <c r="Y163" i="1"/>
  <c r="Y164" i="1" s="1"/>
  <c r="O110" i="42"/>
  <c r="P110" i="42" s="1"/>
  <c r="O106" i="42"/>
  <c r="AR72" i="42"/>
  <c r="AS72" i="42" s="1"/>
  <c r="Y165" i="1"/>
  <c r="Y166" i="1" s="1"/>
  <c r="O163" i="1"/>
  <c r="O164" i="1" s="1"/>
  <c r="N148" i="1"/>
  <c r="O148" i="1" s="1"/>
  <c r="O150" i="1" s="1"/>
  <c r="AR73" i="42"/>
  <c r="AS73" i="42" s="1"/>
  <c r="N114" i="1"/>
  <c r="AR8" i="42"/>
  <c r="AS8" i="42" s="1"/>
  <c r="AR9" i="42"/>
  <c r="AS9" i="42" s="1"/>
  <c r="Y101" i="1"/>
  <c r="Y102" i="1" s="1"/>
  <c r="N116" i="1"/>
  <c r="O101" i="1"/>
  <c r="O102" i="1" s="1"/>
  <c r="AG30" i="1"/>
  <c r="AG31" i="1" s="1"/>
  <c r="AH34" i="1"/>
  <c r="G60" i="1"/>
  <c r="F64" i="1"/>
  <c r="K12" i="1"/>
  <c r="K14" i="1" s="1"/>
  <c r="Y37" i="1"/>
  <c r="Y38" i="1" s="1"/>
  <c r="N22" i="1"/>
  <c r="N50" i="1"/>
  <c r="K28" i="1"/>
  <c r="K30" i="1" s="1"/>
  <c r="Y35" i="1"/>
  <c r="Y36" i="1" s="1"/>
  <c r="K42" i="1"/>
  <c r="K44" i="1" s="1"/>
  <c r="N20" i="1"/>
  <c r="Y102" i="36" l="1"/>
  <c r="V100" i="36"/>
  <c r="V101" i="36" s="1"/>
  <c r="P174" i="42"/>
  <c r="R165" i="42"/>
  <c r="AR136" i="42"/>
  <c r="V165" i="42"/>
  <c r="AR137" i="42"/>
  <c r="O104" i="1"/>
  <c r="O114" i="1"/>
  <c r="O116" i="1" s="1"/>
  <c r="V100" i="1"/>
  <c r="V101" i="1" s="1"/>
  <c r="R100" i="1"/>
  <c r="R101" i="1" s="1"/>
  <c r="O108" i="1"/>
  <c r="O46" i="34"/>
  <c r="O42" i="34"/>
  <c r="O38" i="34"/>
  <c r="O46" i="40"/>
  <c r="O42" i="40"/>
  <c r="O38" i="40"/>
  <c r="O106" i="34"/>
  <c r="O102" i="34"/>
  <c r="O110" i="34"/>
  <c r="O106" i="40"/>
  <c r="O110" i="40"/>
  <c r="O102" i="40"/>
  <c r="O46" i="38"/>
  <c r="O38" i="38"/>
  <c r="O42" i="38"/>
  <c r="O102" i="38"/>
  <c r="O106" i="38"/>
  <c r="O110" i="38"/>
  <c r="O46" i="36"/>
  <c r="O42" i="36"/>
  <c r="O38" i="36"/>
  <c r="O102" i="36"/>
  <c r="O110" i="36"/>
  <c r="O106" i="36"/>
  <c r="Y38" i="40"/>
  <c r="V36" i="40"/>
  <c r="Y38" i="38"/>
  <c r="V36" i="38"/>
  <c r="Y166" i="36"/>
  <c r="V164" i="36"/>
  <c r="V164" i="38"/>
  <c r="Y166" i="38"/>
  <c r="V164" i="40"/>
  <c r="Y166" i="40"/>
  <c r="Y166" i="34"/>
  <c r="V164" i="34"/>
  <c r="Y38" i="36"/>
  <c r="V36" i="36"/>
  <c r="V36" i="34"/>
  <c r="Y38" i="34"/>
  <c r="O172" i="34"/>
  <c r="P174" i="34" s="1"/>
  <c r="O164" i="34"/>
  <c r="O168" i="34"/>
  <c r="P170" i="34" s="1"/>
  <c r="R164" i="34"/>
  <c r="O104" i="40"/>
  <c r="P106" i="40" s="1"/>
  <c r="R100" i="40"/>
  <c r="AR73" i="40" s="1"/>
  <c r="O108" i="40"/>
  <c r="O100" i="40"/>
  <c r="AR75" i="40"/>
  <c r="O104" i="38"/>
  <c r="P106" i="38" s="1"/>
  <c r="R100" i="38"/>
  <c r="O108" i="38"/>
  <c r="O100" i="38"/>
  <c r="AR75" i="38"/>
  <c r="O44" i="38"/>
  <c r="O36" i="38"/>
  <c r="R36" i="38"/>
  <c r="O40" i="38"/>
  <c r="P42" i="38" s="1"/>
  <c r="O40" i="40"/>
  <c r="O44" i="40"/>
  <c r="R36" i="40"/>
  <c r="O36" i="40"/>
  <c r="O40" i="34"/>
  <c r="P42" i="34" s="1"/>
  <c r="O36" i="34"/>
  <c r="O44" i="34"/>
  <c r="R36" i="34"/>
  <c r="O168" i="38"/>
  <c r="P170" i="38" s="1"/>
  <c r="R164" i="38"/>
  <c r="O164" i="38"/>
  <c r="O172" i="38"/>
  <c r="P174" i="38" s="1"/>
  <c r="AS97" i="38"/>
  <c r="AR85" i="34"/>
  <c r="AR93" i="34"/>
  <c r="AS77" i="34"/>
  <c r="AS97" i="34"/>
  <c r="O44" i="36"/>
  <c r="O36" i="36"/>
  <c r="O40" i="36"/>
  <c r="R36" i="36"/>
  <c r="O168" i="40"/>
  <c r="P170" i="40" s="1"/>
  <c r="R164" i="40"/>
  <c r="O172" i="40"/>
  <c r="P174" i="40" s="1"/>
  <c r="O164" i="40"/>
  <c r="R164" i="36"/>
  <c r="O172" i="36"/>
  <c r="P174" i="36" s="1"/>
  <c r="O164" i="36"/>
  <c r="O168" i="36"/>
  <c r="P170" i="36" s="1"/>
  <c r="O108" i="36"/>
  <c r="O100" i="36"/>
  <c r="R100" i="36"/>
  <c r="AR73" i="36" s="1"/>
  <c r="O104" i="36"/>
  <c r="O104" i="34"/>
  <c r="P106" i="34" s="1"/>
  <c r="O108" i="34"/>
  <c r="R100" i="34"/>
  <c r="O100" i="34"/>
  <c r="AR75" i="34"/>
  <c r="AR85" i="38"/>
  <c r="AR93" i="38"/>
  <c r="AS77" i="38"/>
  <c r="K52" i="1"/>
  <c r="N52" i="1" s="1"/>
  <c r="O50" i="1" s="1"/>
  <c r="O52" i="1" s="1"/>
  <c r="G61" i="1"/>
  <c r="AR77" i="42"/>
  <c r="AS77" i="42" s="1"/>
  <c r="AR81" i="42"/>
  <c r="AS81" i="42" s="1"/>
  <c r="AR89" i="42"/>
  <c r="AS89" i="42" s="1"/>
  <c r="AR75" i="42"/>
  <c r="AS75" i="42" s="1"/>
  <c r="O168" i="1"/>
  <c r="P170" i="1" s="1"/>
  <c r="R164" i="1"/>
  <c r="R165" i="1" s="1"/>
  <c r="O172" i="1"/>
  <c r="P174" i="1" s="1"/>
  <c r="V164" i="1"/>
  <c r="V165" i="1" s="1"/>
  <c r="AP72" i="42"/>
  <c r="AR76" i="42"/>
  <c r="AS76" i="42" s="1"/>
  <c r="AR74" i="42"/>
  <c r="AS74" i="42" s="1"/>
  <c r="AR88" i="42"/>
  <c r="AS88" i="42" s="1"/>
  <c r="AR80" i="42"/>
  <c r="AS80" i="42" s="1"/>
  <c r="AR24" i="42"/>
  <c r="AS24" i="42" s="1"/>
  <c r="AR10" i="42"/>
  <c r="AS10" i="42" s="1"/>
  <c r="AP8" i="42"/>
  <c r="AP9" i="42" s="1"/>
  <c r="AR16" i="42"/>
  <c r="AS16" i="42" s="1"/>
  <c r="AR12" i="42"/>
  <c r="AS12" i="42" s="1"/>
  <c r="AR25" i="42"/>
  <c r="AS25" i="42" s="1"/>
  <c r="AR11" i="42"/>
  <c r="AS11" i="42" s="1"/>
  <c r="AR17" i="42"/>
  <c r="AS17" i="42" s="1"/>
  <c r="AR13" i="42"/>
  <c r="AS13" i="42" s="1"/>
  <c r="O106" i="1"/>
  <c r="O110" i="1"/>
  <c r="J60" i="1"/>
  <c r="K58" i="1" s="1"/>
  <c r="K60" i="1" s="1"/>
  <c r="O20" i="1"/>
  <c r="O22" i="1" s="1"/>
  <c r="V36" i="1"/>
  <c r="V37" i="1" s="1"/>
  <c r="O40" i="1"/>
  <c r="O44" i="1"/>
  <c r="P106" i="36" l="1"/>
  <c r="P42" i="36"/>
  <c r="AS73" i="40"/>
  <c r="AR89" i="40"/>
  <c r="AS89" i="40" s="1"/>
  <c r="AR81" i="40"/>
  <c r="AR77" i="40"/>
  <c r="P42" i="40"/>
  <c r="AS73" i="36"/>
  <c r="AR89" i="36"/>
  <c r="AS89" i="36" s="1"/>
  <c r="AR81" i="36"/>
  <c r="AR77" i="36"/>
  <c r="AR75" i="36"/>
  <c r="AR91" i="36" s="1"/>
  <c r="P106" i="1"/>
  <c r="P110" i="40"/>
  <c r="P46" i="40"/>
  <c r="P110" i="38"/>
  <c r="P46" i="38"/>
  <c r="P110" i="36"/>
  <c r="P46" i="36"/>
  <c r="P110" i="34"/>
  <c r="P46" i="34"/>
  <c r="P110" i="1"/>
  <c r="AS137" i="42"/>
  <c r="AR139" i="42"/>
  <c r="AR141" i="42"/>
  <c r="AR153" i="42"/>
  <c r="AS153" i="42" s="1"/>
  <c r="AR145" i="42"/>
  <c r="AS136" i="42"/>
  <c r="AP136" i="42"/>
  <c r="AR138" i="42"/>
  <c r="AR140" i="42"/>
  <c r="AR152" i="42"/>
  <c r="AS152" i="42" s="1"/>
  <c r="AR144" i="42"/>
  <c r="AR73" i="1"/>
  <c r="AS73" i="1" s="1"/>
  <c r="AR72" i="1"/>
  <c r="AS72" i="1" s="1"/>
  <c r="V37" i="34"/>
  <c r="AR9" i="34"/>
  <c r="V165" i="38"/>
  <c r="AR137" i="38"/>
  <c r="AR137" i="36"/>
  <c r="V165" i="36"/>
  <c r="V37" i="36"/>
  <c r="AR9" i="36"/>
  <c r="AR137" i="34"/>
  <c r="V165" i="34"/>
  <c r="V37" i="38"/>
  <c r="AR9" i="38"/>
  <c r="V37" i="40"/>
  <c r="AR9" i="40"/>
  <c r="AR137" i="40"/>
  <c r="V165" i="40"/>
  <c r="AR136" i="38"/>
  <c r="R165" i="38"/>
  <c r="AR72" i="38"/>
  <c r="R101" i="38"/>
  <c r="AR136" i="34"/>
  <c r="R165" i="34"/>
  <c r="AR72" i="36"/>
  <c r="R101" i="36"/>
  <c r="AR83" i="34"/>
  <c r="AR91" i="34"/>
  <c r="AS75" i="34"/>
  <c r="AR79" i="34"/>
  <c r="AR8" i="40"/>
  <c r="R37" i="40"/>
  <c r="AR83" i="40"/>
  <c r="AR91" i="40"/>
  <c r="AS75" i="40"/>
  <c r="AR79" i="40"/>
  <c r="AR72" i="34"/>
  <c r="R101" i="34"/>
  <c r="AS93" i="34"/>
  <c r="AS85" i="34"/>
  <c r="AR101" i="34"/>
  <c r="R165" i="40"/>
  <c r="AR136" i="40"/>
  <c r="AR91" i="38"/>
  <c r="AR83" i="38"/>
  <c r="AR79" i="38"/>
  <c r="AS75" i="38"/>
  <c r="AR72" i="40"/>
  <c r="R101" i="40"/>
  <c r="R37" i="38"/>
  <c r="AR8" i="38"/>
  <c r="AR101" i="38"/>
  <c r="AS85" i="38"/>
  <c r="AS93" i="38"/>
  <c r="R165" i="36"/>
  <c r="AR136" i="36"/>
  <c r="AR8" i="36"/>
  <c r="R37" i="36"/>
  <c r="AR8" i="34"/>
  <c r="R37" i="34"/>
  <c r="O37" i="1"/>
  <c r="R36" i="1" s="1"/>
  <c r="R37" i="1" s="1"/>
  <c r="K53" i="1"/>
  <c r="AR78" i="42"/>
  <c r="AS78" i="42" s="1"/>
  <c r="AR90" i="42"/>
  <c r="AS90" i="42" s="1"/>
  <c r="AR82" i="42"/>
  <c r="AS82" i="42" s="1"/>
  <c r="AR96" i="42"/>
  <c r="AS96" i="42" s="1"/>
  <c r="AR84" i="42"/>
  <c r="AS84" i="42" s="1"/>
  <c r="AR92" i="42"/>
  <c r="AS92" i="42" s="1"/>
  <c r="AR97" i="42"/>
  <c r="AS97" i="42" s="1"/>
  <c r="AR137" i="1"/>
  <c r="AS137" i="1" s="1"/>
  <c r="AR83" i="42"/>
  <c r="AS83" i="42" s="1"/>
  <c r="AR79" i="42"/>
  <c r="AS79" i="42" s="1"/>
  <c r="AR91" i="42"/>
  <c r="AS91" i="42" s="1"/>
  <c r="AP73" i="42"/>
  <c r="AQ72" i="42"/>
  <c r="AU72" i="42"/>
  <c r="AT72" i="42"/>
  <c r="AR136" i="1"/>
  <c r="AS136" i="1" s="1"/>
  <c r="AR93" i="42"/>
  <c r="AS93" i="42" s="1"/>
  <c r="AR85" i="42"/>
  <c r="AS85" i="42" s="1"/>
  <c r="AR33" i="42"/>
  <c r="AS33" i="42" s="1"/>
  <c r="AR32" i="42"/>
  <c r="AS32" i="42" s="1"/>
  <c r="AQ9" i="42"/>
  <c r="AU9" i="42"/>
  <c r="AT9" i="42"/>
  <c r="AQ8" i="42"/>
  <c r="AU8" i="42"/>
  <c r="AT8" i="42"/>
  <c r="AR27" i="42"/>
  <c r="AS27" i="42" s="1"/>
  <c r="AR15" i="42"/>
  <c r="AS15" i="42" s="1"/>
  <c r="AR19" i="42"/>
  <c r="AS19" i="42" s="1"/>
  <c r="AR26" i="42"/>
  <c r="AS26" i="42" s="1"/>
  <c r="AR14" i="42"/>
  <c r="AS14" i="42" s="1"/>
  <c r="AP10" i="42"/>
  <c r="AP11" i="42" s="1"/>
  <c r="AP12" i="42" s="1"/>
  <c r="AR18" i="42"/>
  <c r="AS18" i="42" s="1"/>
  <c r="AR29" i="42"/>
  <c r="AS29" i="42" s="1"/>
  <c r="AR21" i="42"/>
  <c r="AS21" i="42" s="1"/>
  <c r="AR28" i="42"/>
  <c r="AS28" i="42" s="1"/>
  <c r="AR20" i="42"/>
  <c r="AS20" i="42" s="1"/>
  <c r="AR9" i="1"/>
  <c r="AS9" i="1" s="1"/>
  <c r="AR8" i="1"/>
  <c r="AS8" i="1" s="1"/>
  <c r="AR83" i="36" l="1"/>
  <c r="AS75" i="36"/>
  <c r="AS77" i="40"/>
  <c r="AR85" i="40"/>
  <c r="AR93" i="40"/>
  <c r="AS93" i="40" s="1"/>
  <c r="AS81" i="40"/>
  <c r="AR97" i="40"/>
  <c r="AS97" i="40" s="1"/>
  <c r="AR79" i="36"/>
  <c r="AS79" i="36" s="1"/>
  <c r="AR93" i="36"/>
  <c r="AS93" i="36" s="1"/>
  <c r="AR85" i="36"/>
  <c r="AS77" i="36"/>
  <c r="AS81" i="36"/>
  <c r="AR97" i="36"/>
  <c r="AS97" i="36" s="1"/>
  <c r="AT136" i="42"/>
  <c r="AU136" i="42"/>
  <c r="AQ136" i="42"/>
  <c r="AS145" i="42"/>
  <c r="AR161" i="42"/>
  <c r="AS161" i="42" s="1"/>
  <c r="AS144" i="42"/>
  <c r="AR160" i="42"/>
  <c r="AS160" i="42" s="1"/>
  <c r="AR149" i="42"/>
  <c r="AS141" i="42"/>
  <c r="AR157" i="42"/>
  <c r="AS157" i="42" s="1"/>
  <c r="AS139" i="42"/>
  <c r="AR155" i="42"/>
  <c r="AS155" i="42" s="1"/>
  <c r="AR147" i="42"/>
  <c r="AR143" i="42"/>
  <c r="AS140" i="42"/>
  <c r="AR156" i="42"/>
  <c r="AS156" i="42" s="1"/>
  <c r="AR148" i="42"/>
  <c r="AS138" i="42"/>
  <c r="AR154" i="42"/>
  <c r="AS154" i="42" s="1"/>
  <c r="AR146" i="42"/>
  <c r="AR142" i="42"/>
  <c r="AP137" i="42"/>
  <c r="AR75" i="1"/>
  <c r="AS75" i="1" s="1"/>
  <c r="AR77" i="1"/>
  <c r="AS77" i="1" s="1"/>
  <c r="AR89" i="1"/>
  <c r="AS89" i="1" s="1"/>
  <c r="AR81" i="1"/>
  <c r="AS81" i="1" s="1"/>
  <c r="AR80" i="1"/>
  <c r="AS80" i="1" s="1"/>
  <c r="AR76" i="1"/>
  <c r="AS76" i="1" s="1"/>
  <c r="AP72" i="1"/>
  <c r="AQ72" i="1" s="1"/>
  <c r="AR74" i="1"/>
  <c r="AS74" i="1" s="1"/>
  <c r="AR88" i="1"/>
  <c r="AS88" i="1" s="1"/>
  <c r="AS137" i="40"/>
  <c r="AR153" i="40"/>
  <c r="AS153" i="40" s="1"/>
  <c r="AR145" i="40"/>
  <c r="AR141" i="40"/>
  <c r="AR139" i="40"/>
  <c r="AS137" i="36"/>
  <c r="AR153" i="36"/>
  <c r="AS153" i="36" s="1"/>
  <c r="AR145" i="36"/>
  <c r="AR141" i="36"/>
  <c r="AR139" i="36"/>
  <c r="AS9" i="38"/>
  <c r="AR25" i="38"/>
  <c r="AS25" i="38" s="1"/>
  <c r="AR17" i="38"/>
  <c r="AR13" i="38"/>
  <c r="AR11" i="38"/>
  <c r="AS137" i="38"/>
  <c r="AR153" i="38"/>
  <c r="AS153" i="38" s="1"/>
  <c r="AR145" i="38"/>
  <c r="AR141" i="38"/>
  <c r="AR139" i="38"/>
  <c r="AS9" i="36"/>
  <c r="AR25" i="36"/>
  <c r="AS25" i="36" s="1"/>
  <c r="AR17" i="36"/>
  <c r="AR13" i="36"/>
  <c r="AR11" i="36"/>
  <c r="AS9" i="40"/>
  <c r="AR25" i="40"/>
  <c r="AS25" i="40" s="1"/>
  <c r="AR17" i="40"/>
  <c r="AR13" i="40"/>
  <c r="AR11" i="40"/>
  <c r="AS9" i="34"/>
  <c r="AR25" i="34"/>
  <c r="AS25" i="34" s="1"/>
  <c r="AR17" i="34"/>
  <c r="AR13" i="34"/>
  <c r="AR11" i="34"/>
  <c r="AS137" i="34"/>
  <c r="AR153" i="34"/>
  <c r="AS153" i="34" s="1"/>
  <c r="AR145" i="34"/>
  <c r="AR141" i="34"/>
  <c r="AR139" i="34"/>
  <c r="AR88" i="38"/>
  <c r="AR74" i="38"/>
  <c r="AP72" i="38"/>
  <c r="AR80" i="38"/>
  <c r="AS72" i="38"/>
  <c r="AR76" i="38"/>
  <c r="AS91" i="34"/>
  <c r="AS91" i="38"/>
  <c r="AS91" i="40"/>
  <c r="AS91" i="36"/>
  <c r="AR99" i="40"/>
  <c r="AS83" i="40"/>
  <c r="AS83" i="34"/>
  <c r="AR99" i="34"/>
  <c r="AR95" i="36"/>
  <c r="AR16" i="36"/>
  <c r="AR12" i="36"/>
  <c r="AS8" i="36"/>
  <c r="AR10" i="36"/>
  <c r="AP8" i="36"/>
  <c r="AR24" i="36"/>
  <c r="AR88" i="34"/>
  <c r="AS72" i="34"/>
  <c r="AR74" i="34"/>
  <c r="AP72" i="34"/>
  <c r="AR80" i="34"/>
  <c r="AR76" i="34"/>
  <c r="AP136" i="36"/>
  <c r="AR152" i="36"/>
  <c r="AR144" i="36"/>
  <c r="AR138" i="36"/>
  <c r="AR140" i="36"/>
  <c r="AS136" i="36"/>
  <c r="AR88" i="40"/>
  <c r="AR74" i="40"/>
  <c r="AR76" i="40"/>
  <c r="AP72" i="40"/>
  <c r="AS72" i="40"/>
  <c r="AR80" i="40"/>
  <c r="AR140" i="40"/>
  <c r="AS136" i="40"/>
  <c r="AR138" i="40"/>
  <c r="AP136" i="40"/>
  <c r="AR152" i="40"/>
  <c r="AR144" i="40"/>
  <c r="AS101" i="34"/>
  <c r="AP72" i="36"/>
  <c r="AR76" i="36"/>
  <c r="AR80" i="36"/>
  <c r="AS72" i="36"/>
  <c r="AR88" i="36"/>
  <c r="AR74" i="36"/>
  <c r="AR138" i="38"/>
  <c r="AP136" i="38"/>
  <c r="AR152" i="38"/>
  <c r="AS136" i="38"/>
  <c r="AR144" i="38"/>
  <c r="AR140" i="38"/>
  <c r="AS83" i="36"/>
  <c r="AR99" i="36"/>
  <c r="AR10" i="38"/>
  <c r="AP8" i="38"/>
  <c r="AR24" i="38"/>
  <c r="AR16" i="38"/>
  <c r="AR12" i="38"/>
  <c r="AS8" i="38"/>
  <c r="AR10" i="40"/>
  <c r="AP8" i="40"/>
  <c r="AR16" i="40"/>
  <c r="AR12" i="40"/>
  <c r="AS8" i="40"/>
  <c r="AR24" i="40"/>
  <c r="AS83" i="38"/>
  <c r="AR99" i="38"/>
  <c r="AS8" i="34"/>
  <c r="AR12" i="34"/>
  <c r="AR16" i="34"/>
  <c r="AP8" i="34"/>
  <c r="AR24" i="34"/>
  <c r="AR10" i="34"/>
  <c r="AR140" i="34"/>
  <c r="AS136" i="34"/>
  <c r="AR138" i="34"/>
  <c r="AP136" i="34"/>
  <c r="AR152" i="34"/>
  <c r="AR144" i="34"/>
  <c r="AS101" i="38"/>
  <c r="AR95" i="38"/>
  <c r="AR87" i="38"/>
  <c r="AS79" i="38"/>
  <c r="AR95" i="40"/>
  <c r="AS79" i="40"/>
  <c r="AR87" i="40"/>
  <c r="AS79" i="34"/>
  <c r="AR95" i="34"/>
  <c r="AR87" i="34"/>
  <c r="O38" i="1"/>
  <c r="O42" i="1"/>
  <c r="P42" i="1" s="1"/>
  <c r="O46" i="1"/>
  <c r="P46" i="1" s="1"/>
  <c r="AP73" i="1"/>
  <c r="AQ73" i="1" s="1"/>
  <c r="AR99" i="42"/>
  <c r="AS99" i="42" s="1"/>
  <c r="AR101" i="42"/>
  <c r="AS101" i="42" s="1"/>
  <c r="AR144" i="1"/>
  <c r="AS144" i="1" s="1"/>
  <c r="AR140" i="1"/>
  <c r="AS140" i="1" s="1"/>
  <c r="AR152" i="1"/>
  <c r="AS152" i="1" s="1"/>
  <c r="AR138" i="1"/>
  <c r="AS138" i="1" s="1"/>
  <c r="AP136" i="1"/>
  <c r="AQ136" i="1" s="1"/>
  <c r="AR98" i="42"/>
  <c r="AS98" i="42" s="1"/>
  <c r="AR86" i="42"/>
  <c r="AS86" i="42" s="1"/>
  <c r="AR94" i="42"/>
  <c r="AS94" i="42" s="1"/>
  <c r="AQ73" i="42"/>
  <c r="AU73" i="42"/>
  <c r="AT73" i="42"/>
  <c r="AR139" i="1"/>
  <c r="AS139" i="1" s="1"/>
  <c r="AR153" i="1"/>
  <c r="AS153" i="1" s="1"/>
  <c r="AR141" i="1"/>
  <c r="AS141" i="1" s="1"/>
  <c r="AR145" i="1"/>
  <c r="AS145" i="1" s="1"/>
  <c r="AP74" i="42"/>
  <c r="AR87" i="42"/>
  <c r="AS87" i="42" s="1"/>
  <c r="AR95" i="42"/>
  <c r="AS95" i="42" s="1"/>
  <c r="AR100" i="42"/>
  <c r="AS100" i="42" s="1"/>
  <c r="AP13" i="42"/>
  <c r="AP14" i="42" s="1"/>
  <c r="AT11" i="42"/>
  <c r="AQ11" i="42"/>
  <c r="AU11" i="42"/>
  <c r="AR22" i="42"/>
  <c r="AS22" i="42" s="1"/>
  <c r="AR30" i="42"/>
  <c r="AS30" i="42" s="1"/>
  <c r="AQ12" i="42"/>
  <c r="AU12" i="42"/>
  <c r="AT12" i="42"/>
  <c r="AR37" i="42"/>
  <c r="AS37" i="42" s="1"/>
  <c r="AR35" i="42"/>
  <c r="AS35" i="42" s="1"/>
  <c r="AR36" i="42"/>
  <c r="AS36" i="42" s="1"/>
  <c r="AR34" i="42"/>
  <c r="AS34" i="42" s="1"/>
  <c r="AR31" i="42"/>
  <c r="AS31" i="42" s="1"/>
  <c r="AR23" i="42"/>
  <c r="AS23" i="42" s="1"/>
  <c r="AU10" i="42"/>
  <c r="AQ10" i="42"/>
  <c r="AT10" i="42"/>
  <c r="AR17" i="1"/>
  <c r="AS17" i="1" s="1"/>
  <c r="AR25" i="1"/>
  <c r="AS25" i="1" s="1"/>
  <c r="AR13" i="1"/>
  <c r="AS13" i="1" s="1"/>
  <c r="AR11" i="1"/>
  <c r="AS11" i="1" s="1"/>
  <c r="AR12" i="1"/>
  <c r="AS12" i="1" s="1"/>
  <c r="AR10" i="1"/>
  <c r="AS10" i="1" s="1"/>
  <c r="AR16" i="1"/>
  <c r="AS16" i="1" s="1"/>
  <c r="AR24" i="1"/>
  <c r="AS24" i="1" s="1"/>
  <c r="AP8" i="1"/>
  <c r="AS85" i="40" l="1"/>
  <c r="AR101" i="40"/>
  <c r="AS101" i="40" s="1"/>
  <c r="AR87" i="36"/>
  <c r="AR101" i="36"/>
  <c r="AS101" i="36" s="1"/>
  <c r="AS85" i="36"/>
  <c r="AR92" i="1"/>
  <c r="AS92" i="1" s="1"/>
  <c r="AR93" i="1"/>
  <c r="AS93" i="1" s="1"/>
  <c r="AR96" i="1"/>
  <c r="AS96" i="1" s="1"/>
  <c r="AS142" i="42"/>
  <c r="AR158" i="42"/>
  <c r="AS158" i="42" s="1"/>
  <c r="AR150" i="42"/>
  <c r="AS149" i="42"/>
  <c r="AR165" i="42"/>
  <c r="AS165" i="42" s="1"/>
  <c r="AS146" i="42"/>
  <c r="AR162" i="42"/>
  <c r="AS162" i="42" s="1"/>
  <c r="AS143" i="42"/>
  <c r="AR151" i="42"/>
  <c r="AR159" i="42"/>
  <c r="AS159" i="42" s="1"/>
  <c r="AS147" i="42"/>
  <c r="AR163" i="42"/>
  <c r="AS163" i="42" s="1"/>
  <c r="AS148" i="42"/>
  <c r="AR164" i="42"/>
  <c r="AS164" i="42" s="1"/>
  <c r="AT137" i="42"/>
  <c r="AQ137" i="42"/>
  <c r="AU137" i="42"/>
  <c r="AP138" i="42"/>
  <c r="AR84" i="1"/>
  <c r="AS84" i="1" s="1"/>
  <c r="AR78" i="1"/>
  <c r="AS78" i="1" s="1"/>
  <c r="AR85" i="1"/>
  <c r="AS85" i="1" s="1"/>
  <c r="AR97" i="1"/>
  <c r="AS97" i="1" s="1"/>
  <c r="AR79" i="1"/>
  <c r="AS79" i="1" s="1"/>
  <c r="AR91" i="1"/>
  <c r="AS91" i="1" s="1"/>
  <c r="AR83" i="1"/>
  <c r="AS83" i="1" s="1"/>
  <c r="AR90" i="1"/>
  <c r="AS90" i="1" s="1"/>
  <c r="AR82" i="1"/>
  <c r="AS82" i="1" s="1"/>
  <c r="AS17" i="36"/>
  <c r="AR33" i="36"/>
  <c r="AS33" i="36" s="1"/>
  <c r="AS11" i="38"/>
  <c r="AR15" i="38"/>
  <c r="AR27" i="38"/>
  <c r="AS27" i="38" s="1"/>
  <c r="AR19" i="38"/>
  <c r="AR29" i="36"/>
  <c r="AS29" i="36" s="1"/>
  <c r="AR21" i="36"/>
  <c r="AS13" i="36"/>
  <c r="AS145" i="36"/>
  <c r="AR161" i="36"/>
  <c r="AS161" i="36" s="1"/>
  <c r="AR161" i="34"/>
  <c r="AS161" i="34" s="1"/>
  <c r="AS145" i="34"/>
  <c r="AS17" i="38"/>
  <c r="AR33" i="38"/>
  <c r="AS33" i="38" s="1"/>
  <c r="AR33" i="40"/>
  <c r="AS33" i="40" s="1"/>
  <c r="AS17" i="40"/>
  <c r="AR155" i="38"/>
  <c r="AS155" i="38" s="1"/>
  <c r="AS139" i="38"/>
  <c r="AR143" i="38"/>
  <c r="AR147" i="38"/>
  <c r="AR149" i="40"/>
  <c r="AS141" i="40"/>
  <c r="AR157" i="40"/>
  <c r="AS157" i="40" s="1"/>
  <c r="AR143" i="34"/>
  <c r="AS139" i="34"/>
  <c r="AR155" i="34"/>
  <c r="AS155" i="34" s="1"/>
  <c r="AR147" i="34"/>
  <c r="AS13" i="38"/>
  <c r="AR29" i="38"/>
  <c r="AS29" i="38" s="1"/>
  <c r="AR21" i="38"/>
  <c r="AR27" i="34"/>
  <c r="AS27" i="34" s="1"/>
  <c r="AR19" i="34"/>
  <c r="AR15" i="34"/>
  <c r="AS11" i="34"/>
  <c r="AR157" i="38"/>
  <c r="AS157" i="38" s="1"/>
  <c r="AR149" i="38"/>
  <c r="AS141" i="38"/>
  <c r="AS145" i="40"/>
  <c r="AR161" i="40"/>
  <c r="AS161" i="40" s="1"/>
  <c r="AR157" i="34"/>
  <c r="AS157" i="34" s="1"/>
  <c r="AS141" i="34"/>
  <c r="AR149" i="34"/>
  <c r="AR15" i="40"/>
  <c r="AR27" i="40"/>
  <c r="AS27" i="40" s="1"/>
  <c r="AS11" i="40"/>
  <c r="AR19" i="40"/>
  <c r="AS13" i="40"/>
  <c r="AR21" i="40"/>
  <c r="AR29" i="40"/>
  <c r="AS29" i="40" s="1"/>
  <c r="AS139" i="40"/>
  <c r="AR155" i="40"/>
  <c r="AS155" i="40" s="1"/>
  <c r="AR143" i="40"/>
  <c r="AR147" i="40"/>
  <c r="AR29" i="34"/>
  <c r="AS29" i="34" s="1"/>
  <c r="AS13" i="34"/>
  <c r="AR21" i="34"/>
  <c r="AS145" i="38"/>
  <c r="AR161" i="38"/>
  <c r="AS161" i="38" s="1"/>
  <c r="AR147" i="36"/>
  <c r="AR155" i="36"/>
  <c r="AS155" i="36" s="1"/>
  <c r="AR143" i="36"/>
  <c r="AS139" i="36"/>
  <c r="AS17" i="34"/>
  <c r="AR33" i="34"/>
  <c r="AS33" i="34" s="1"/>
  <c r="AS11" i="36"/>
  <c r="AR15" i="36"/>
  <c r="AR27" i="36"/>
  <c r="AS27" i="36" s="1"/>
  <c r="AR19" i="36"/>
  <c r="AS141" i="36"/>
  <c r="AR157" i="36"/>
  <c r="AS157" i="36" s="1"/>
  <c r="AR149" i="36"/>
  <c r="AR32" i="38"/>
  <c r="AS16" i="38"/>
  <c r="AS95" i="34"/>
  <c r="AS95" i="40"/>
  <c r="AR156" i="34"/>
  <c r="AS140" i="34"/>
  <c r="AR148" i="34"/>
  <c r="AS10" i="34"/>
  <c r="AR18" i="34"/>
  <c r="AR14" i="34"/>
  <c r="AR26" i="34"/>
  <c r="AS24" i="38"/>
  <c r="AR92" i="36"/>
  <c r="AR84" i="36"/>
  <c r="AS76" i="36"/>
  <c r="AR160" i="40"/>
  <c r="AS144" i="40"/>
  <c r="AU72" i="40"/>
  <c r="AT72" i="40"/>
  <c r="AQ72" i="40"/>
  <c r="AP73" i="40"/>
  <c r="AR154" i="36"/>
  <c r="AR142" i="36"/>
  <c r="AR146" i="36"/>
  <c r="AS138" i="36"/>
  <c r="AS74" i="34"/>
  <c r="AR82" i="34"/>
  <c r="AR78" i="34"/>
  <c r="AR90" i="34"/>
  <c r="AS24" i="36"/>
  <c r="AS99" i="40"/>
  <c r="AT72" i="38"/>
  <c r="AU72" i="38"/>
  <c r="AP73" i="38"/>
  <c r="AP74" i="38" s="1"/>
  <c r="AP75" i="38" s="1"/>
  <c r="AQ72" i="38"/>
  <c r="AS80" i="34"/>
  <c r="AR96" i="34"/>
  <c r="AR96" i="36"/>
  <c r="AS80" i="36"/>
  <c r="AQ72" i="34"/>
  <c r="AU72" i="34"/>
  <c r="AT72" i="34"/>
  <c r="AP73" i="34"/>
  <c r="AP74" i="34" s="1"/>
  <c r="AS24" i="34"/>
  <c r="AR28" i="40"/>
  <c r="AR20" i="40"/>
  <c r="AS12" i="40"/>
  <c r="AP9" i="38"/>
  <c r="AU8" i="38"/>
  <c r="AT8" i="38"/>
  <c r="AQ8" i="38"/>
  <c r="AS152" i="38"/>
  <c r="AQ72" i="36"/>
  <c r="AT72" i="36"/>
  <c r="AP73" i="36"/>
  <c r="AU72" i="36"/>
  <c r="AS152" i="40"/>
  <c r="AR84" i="40"/>
  <c r="AS76" i="40"/>
  <c r="AR92" i="40"/>
  <c r="AR160" i="36"/>
  <c r="AS144" i="36"/>
  <c r="AU8" i="36"/>
  <c r="AT8" i="36"/>
  <c r="AQ8" i="36"/>
  <c r="AP9" i="36"/>
  <c r="AS95" i="36"/>
  <c r="AR90" i="38"/>
  <c r="AR82" i="38"/>
  <c r="AS74" i="38"/>
  <c r="AR78" i="38"/>
  <c r="AS12" i="38"/>
  <c r="AR28" i="38"/>
  <c r="AR20" i="38"/>
  <c r="AS24" i="40"/>
  <c r="AR156" i="36"/>
  <c r="AR148" i="36"/>
  <c r="AS140" i="36"/>
  <c r="AT8" i="34"/>
  <c r="AQ8" i="34"/>
  <c r="AU8" i="34"/>
  <c r="AP9" i="34"/>
  <c r="AS16" i="40"/>
  <c r="AR32" i="40"/>
  <c r="AR26" i="38"/>
  <c r="AS10" i="38"/>
  <c r="AR14" i="38"/>
  <c r="AR18" i="38"/>
  <c r="AQ136" i="38"/>
  <c r="AU136" i="38"/>
  <c r="AT136" i="38"/>
  <c r="AP137" i="38"/>
  <c r="AP138" i="38" s="1"/>
  <c r="AQ136" i="40"/>
  <c r="AT136" i="40"/>
  <c r="AU136" i="40"/>
  <c r="AP137" i="40"/>
  <c r="AR82" i="40"/>
  <c r="AR78" i="40"/>
  <c r="AR90" i="40"/>
  <c r="AS74" i="40"/>
  <c r="AS152" i="36"/>
  <c r="AS88" i="34"/>
  <c r="AR14" i="36"/>
  <c r="AR18" i="36"/>
  <c r="AS10" i="36"/>
  <c r="AR26" i="36"/>
  <c r="AR103" i="36"/>
  <c r="AS87" i="36"/>
  <c r="AS88" i="38"/>
  <c r="AS87" i="40"/>
  <c r="AR103" i="40"/>
  <c r="AR96" i="40"/>
  <c r="AS80" i="40"/>
  <c r="AR160" i="38"/>
  <c r="AS144" i="38"/>
  <c r="AS87" i="38"/>
  <c r="AR103" i="38"/>
  <c r="AR160" i="34"/>
  <c r="AS144" i="34"/>
  <c r="AS16" i="34"/>
  <c r="AR32" i="34"/>
  <c r="AP9" i="40"/>
  <c r="AQ8" i="40"/>
  <c r="AT8" i="40"/>
  <c r="AU8" i="40"/>
  <c r="AR146" i="38"/>
  <c r="AS138" i="38"/>
  <c r="AR154" i="38"/>
  <c r="AR142" i="38"/>
  <c r="AR154" i="40"/>
  <c r="AS138" i="40"/>
  <c r="AR142" i="40"/>
  <c r="AR146" i="40"/>
  <c r="AS88" i="40"/>
  <c r="AP137" i="36"/>
  <c r="AP138" i="36" s="1"/>
  <c r="AU136" i="36"/>
  <c r="AQ136" i="36"/>
  <c r="AT136" i="36"/>
  <c r="AS95" i="38"/>
  <c r="AS152" i="34"/>
  <c r="AR28" i="34"/>
  <c r="AR20" i="34"/>
  <c r="AS12" i="34"/>
  <c r="AR26" i="40"/>
  <c r="AS10" i="40"/>
  <c r="AR14" i="40"/>
  <c r="AR18" i="40"/>
  <c r="AS99" i="36"/>
  <c r="AR90" i="36"/>
  <c r="AR82" i="36"/>
  <c r="AS74" i="36"/>
  <c r="AR78" i="36"/>
  <c r="AR20" i="36"/>
  <c r="AS12" i="36"/>
  <c r="AR28" i="36"/>
  <c r="AS99" i="34"/>
  <c r="AR146" i="34"/>
  <c r="AS138" i="34"/>
  <c r="AR154" i="34"/>
  <c r="AR142" i="34"/>
  <c r="AS140" i="38"/>
  <c r="AR156" i="38"/>
  <c r="AR148" i="38"/>
  <c r="AR103" i="34"/>
  <c r="AS87" i="34"/>
  <c r="AS80" i="38"/>
  <c r="AR96" i="38"/>
  <c r="AQ136" i="34"/>
  <c r="AT136" i="34"/>
  <c r="AU136" i="34"/>
  <c r="AP137" i="34"/>
  <c r="AS99" i="38"/>
  <c r="AS88" i="36"/>
  <c r="AS140" i="40"/>
  <c r="AR156" i="40"/>
  <c r="AR148" i="40"/>
  <c r="AR84" i="34"/>
  <c r="AR92" i="34"/>
  <c r="AS76" i="34"/>
  <c r="AS16" i="36"/>
  <c r="AR32" i="36"/>
  <c r="AR84" i="38"/>
  <c r="AR92" i="38"/>
  <c r="AS76" i="38"/>
  <c r="AQ13" i="42"/>
  <c r="AP74" i="1"/>
  <c r="AQ74" i="1" s="1"/>
  <c r="AP137" i="1"/>
  <c r="AQ137" i="1" s="1"/>
  <c r="AP75" i="42"/>
  <c r="AT74" i="42"/>
  <c r="AQ74" i="42"/>
  <c r="AU74" i="42"/>
  <c r="AR148" i="1"/>
  <c r="AS148" i="1" s="1"/>
  <c r="AR156" i="1"/>
  <c r="AS156" i="1" s="1"/>
  <c r="AR103" i="42"/>
  <c r="AS103" i="42" s="1"/>
  <c r="AR147" i="1"/>
  <c r="AS147" i="1" s="1"/>
  <c r="AR143" i="1"/>
  <c r="AS143" i="1" s="1"/>
  <c r="AR155" i="1"/>
  <c r="AS155" i="1" s="1"/>
  <c r="AR102" i="42"/>
  <c r="AS102" i="42" s="1"/>
  <c r="AR160" i="1"/>
  <c r="AS160" i="1" s="1"/>
  <c r="AT13" i="42"/>
  <c r="AR161" i="1"/>
  <c r="AS161" i="1" s="1"/>
  <c r="AR146" i="1"/>
  <c r="AS146" i="1" s="1"/>
  <c r="AR142" i="1"/>
  <c r="AS142" i="1" s="1"/>
  <c r="AR154" i="1"/>
  <c r="AS154" i="1" s="1"/>
  <c r="AU13" i="42"/>
  <c r="AR149" i="1"/>
  <c r="AS149" i="1" s="1"/>
  <c r="AR157" i="1"/>
  <c r="AS157" i="1" s="1"/>
  <c r="AP15" i="42"/>
  <c r="AU15" i="42" s="1"/>
  <c r="AU14" i="42"/>
  <c r="AT14" i="42"/>
  <c r="AQ14" i="42"/>
  <c r="AR38" i="42"/>
  <c r="AS38" i="42" s="1"/>
  <c r="AR39" i="42"/>
  <c r="AS39" i="42" s="1"/>
  <c r="AR33" i="1"/>
  <c r="AS33" i="1" s="1"/>
  <c r="AR15" i="1"/>
  <c r="AS15" i="1" s="1"/>
  <c r="AR27" i="1"/>
  <c r="AS27" i="1" s="1"/>
  <c r="AR19" i="1"/>
  <c r="AS19" i="1" s="1"/>
  <c r="AR21" i="1"/>
  <c r="AS21" i="1" s="1"/>
  <c r="AR29" i="1"/>
  <c r="AS29" i="1" s="1"/>
  <c r="AT136" i="1"/>
  <c r="AU136" i="1"/>
  <c r="AU72" i="1"/>
  <c r="AT72" i="1"/>
  <c r="AP9" i="1"/>
  <c r="AT8" i="1"/>
  <c r="AQ8" i="1"/>
  <c r="AU8" i="1"/>
  <c r="AR32" i="1"/>
  <c r="AS32" i="1" s="1"/>
  <c r="AR14" i="1"/>
  <c r="AS14" i="1" s="1"/>
  <c r="AR26" i="1"/>
  <c r="AS26" i="1" s="1"/>
  <c r="AR18" i="1"/>
  <c r="AS18" i="1" s="1"/>
  <c r="AR20" i="1"/>
  <c r="AS20" i="1" s="1"/>
  <c r="AR28" i="1"/>
  <c r="AS28" i="1" s="1"/>
  <c r="AR94" i="1" l="1"/>
  <c r="AS94" i="1" s="1"/>
  <c r="AR86" i="1"/>
  <c r="AS86" i="1" s="1"/>
  <c r="AR101" i="1"/>
  <c r="AS101" i="1" s="1"/>
  <c r="AR87" i="1"/>
  <c r="AS87" i="1" s="1"/>
  <c r="AR95" i="1"/>
  <c r="AS95" i="1" s="1"/>
  <c r="AQ138" i="42"/>
  <c r="AT138" i="42"/>
  <c r="AU138" i="42"/>
  <c r="AP139" i="42"/>
  <c r="AS150" i="42"/>
  <c r="AR166" i="42"/>
  <c r="AS166" i="42" s="1"/>
  <c r="AS151" i="42"/>
  <c r="AR167" i="42"/>
  <c r="AS167" i="42" s="1"/>
  <c r="AR100" i="1"/>
  <c r="AS100" i="1" s="1"/>
  <c r="AR99" i="1"/>
  <c r="AS99" i="1" s="1"/>
  <c r="AR98" i="1"/>
  <c r="AS98" i="1" s="1"/>
  <c r="AS21" i="36"/>
  <c r="AR37" i="36"/>
  <c r="AS37" i="36" s="1"/>
  <c r="AS19" i="40"/>
  <c r="AR35" i="40"/>
  <c r="AS35" i="40" s="1"/>
  <c r="AS147" i="40"/>
  <c r="AR163" i="40"/>
  <c r="AS163" i="40" s="1"/>
  <c r="AR165" i="40"/>
  <c r="AS165" i="40" s="1"/>
  <c r="AS149" i="40"/>
  <c r="AS19" i="38"/>
  <c r="AR35" i="38"/>
  <c r="AS35" i="38" s="1"/>
  <c r="AS19" i="36"/>
  <c r="AR35" i="36"/>
  <c r="AS35" i="36" s="1"/>
  <c r="AR159" i="40"/>
  <c r="AS159" i="40" s="1"/>
  <c r="AR151" i="40"/>
  <c r="AS143" i="40"/>
  <c r="AR165" i="38"/>
  <c r="AS165" i="38" s="1"/>
  <c r="AS149" i="38"/>
  <c r="AR163" i="38"/>
  <c r="AS163" i="38" s="1"/>
  <c r="AS147" i="38"/>
  <c r="AS147" i="36"/>
  <c r="AR163" i="36"/>
  <c r="AS163" i="36" s="1"/>
  <c r="AR31" i="40"/>
  <c r="AS31" i="40" s="1"/>
  <c r="AR23" i="40"/>
  <c r="AS15" i="40"/>
  <c r="AR163" i="34"/>
  <c r="AS163" i="34" s="1"/>
  <c r="AS147" i="34"/>
  <c r="AR151" i="38"/>
  <c r="AS143" i="38"/>
  <c r="AR159" i="38"/>
  <c r="AS159" i="38" s="1"/>
  <c r="AR23" i="38"/>
  <c r="AR31" i="38"/>
  <c r="AS31" i="38" s="1"/>
  <c r="AS15" i="38"/>
  <c r="AR37" i="38"/>
  <c r="AS37" i="38" s="1"/>
  <c r="AS21" i="38"/>
  <c r="AR159" i="36"/>
  <c r="AS159" i="36" s="1"/>
  <c r="AR151" i="36"/>
  <c r="AS143" i="36"/>
  <c r="AS15" i="36"/>
  <c r="AR23" i="36"/>
  <c r="AR31" i="36"/>
  <c r="AS31" i="36" s="1"/>
  <c r="AR165" i="34"/>
  <c r="AS165" i="34" s="1"/>
  <c r="AS149" i="34"/>
  <c r="AR165" i="36"/>
  <c r="AS165" i="36" s="1"/>
  <c r="AS149" i="36"/>
  <c r="AS15" i="34"/>
  <c r="AR31" i="34"/>
  <c r="AS31" i="34" s="1"/>
  <c r="AR23" i="34"/>
  <c r="AS21" i="34"/>
  <c r="AR37" i="34"/>
  <c r="AS37" i="34" s="1"/>
  <c r="AS21" i="40"/>
  <c r="AR37" i="40"/>
  <c r="AS37" i="40" s="1"/>
  <c r="AR35" i="34"/>
  <c r="AS35" i="34" s="1"/>
  <c r="AS19" i="34"/>
  <c r="AR159" i="34"/>
  <c r="AS159" i="34" s="1"/>
  <c r="AS143" i="34"/>
  <c r="AR151" i="34"/>
  <c r="AP75" i="34"/>
  <c r="AP76" i="34" s="1"/>
  <c r="AU75" i="38"/>
  <c r="AT75" i="38"/>
  <c r="AQ75" i="38"/>
  <c r="AS96" i="38"/>
  <c r="AR98" i="34"/>
  <c r="AS82" i="34"/>
  <c r="AR158" i="38"/>
  <c r="AR150" i="38"/>
  <c r="AS142" i="38"/>
  <c r="AR34" i="38"/>
  <c r="AS18" i="38"/>
  <c r="AS156" i="36"/>
  <c r="AS28" i="40"/>
  <c r="AS18" i="34"/>
  <c r="AR34" i="34"/>
  <c r="AS92" i="34"/>
  <c r="AP138" i="34"/>
  <c r="AR36" i="34"/>
  <c r="AS20" i="34"/>
  <c r="AS154" i="38"/>
  <c r="AR30" i="36"/>
  <c r="AR22" i="36"/>
  <c r="AS14" i="36"/>
  <c r="AR94" i="40"/>
  <c r="AS78" i="40"/>
  <c r="AR86" i="40"/>
  <c r="AP138" i="40"/>
  <c r="AQ137" i="40"/>
  <c r="AU137" i="40"/>
  <c r="AT137" i="40"/>
  <c r="AP10" i="38"/>
  <c r="AQ9" i="34"/>
  <c r="AU9" i="34"/>
  <c r="AT9" i="34"/>
  <c r="AR94" i="38"/>
  <c r="AS78" i="38"/>
  <c r="AR86" i="38"/>
  <c r="AS92" i="40"/>
  <c r="AQ73" i="38"/>
  <c r="AT73" i="38"/>
  <c r="AU73" i="38"/>
  <c r="AR100" i="36"/>
  <c r="AS84" i="36"/>
  <c r="AS90" i="36"/>
  <c r="AS14" i="34"/>
  <c r="AR30" i="34"/>
  <c r="AR22" i="34"/>
  <c r="AS103" i="36"/>
  <c r="AU74" i="38"/>
  <c r="AT74" i="38"/>
  <c r="AQ74" i="38"/>
  <c r="AU73" i="40"/>
  <c r="AT73" i="40"/>
  <c r="AQ73" i="40"/>
  <c r="AP76" i="38"/>
  <c r="AP77" i="38" s="1"/>
  <c r="AS84" i="34"/>
  <c r="AR100" i="34"/>
  <c r="AQ137" i="34"/>
  <c r="AT137" i="34"/>
  <c r="AU137" i="34"/>
  <c r="AS142" i="34"/>
  <c r="AR150" i="34"/>
  <c r="AR158" i="34"/>
  <c r="AS18" i="40"/>
  <c r="AR34" i="40"/>
  <c r="AS28" i="34"/>
  <c r="AP139" i="36"/>
  <c r="AS160" i="38"/>
  <c r="AS103" i="40"/>
  <c r="AR98" i="40"/>
  <c r="AS82" i="40"/>
  <c r="AR22" i="38"/>
  <c r="AS14" i="38"/>
  <c r="AR30" i="38"/>
  <c r="AS92" i="36"/>
  <c r="AS90" i="40"/>
  <c r="AS154" i="36"/>
  <c r="AS103" i="34"/>
  <c r="AS154" i="34"/>
  <c r="AP74" i="36"/>
  <c r="AP10" i="40"/>
  <c r="AS146" i="40"/>
  <c r="AR162" i="40"/>
  <c r="AR162" i="38"/>
  <c r="AS146" i="38"/>
  <c r="AR36" i="38"/>
  <c r="AS20" i="38"/>
  <c r="AR98" i="38"/>
  <c r="AS82" i="38"/>
  <c r="AR100" i="40"/>
  <c r="AS84" i="40"/>
  <c r="AS96" i="36"/>
  <c r="AR164" i="34"/>
  <c r="AS148" i="34"/>
  <c r="AS156" i="38"/>
  <c r="AT138" i="38"/>
  <c r="AU138" i="38"/>
  <c r="AQ138" i="38"/>
  <c r="AS18" i="36"/>
  <c r="AR34" i="36"/>
  <c r="AS32" i="36"/>
  <c r="AR94" i="36"/>
  <c r="AR86" i="36"/>
  <c r="AS78" i="36"/>
  <c r="AR150" i="40"/>
  <c r="AR158" i="40"/>
  <c r="AS142" i="40"/>
  <c r="AS160" i="34"/>
  <c r="AQ137" i="38"/>
  <c r="AU137" i="38"/>
  <c r="AT137" i="38"/>
  <c r="AS26" i="38"/>
  <c r="AS28" i="38"/>
  <c r="AS90" i="38"/>
  <c r="AU9" i="38"/>
  <c r="AT9" i="38"/>
  <c r="AQ9" i="38"/>
  <c r="AQ74" i="34"/>
  <c r="AU74" i="34"/>
  <c r="AT74" i="34"/>
  <c r="AS32" i="38"/>
  <c r="AS20" i="36"/>
  <c r="AR36" i="36"/>
  <c r="AP139" i="38"/>
  <c r="AR164" i="36"/>
  <c r="AS148" i="36"/>
  <c r="AS160" i="36"/>
  <c r="AS20" i="40"/>
  <c r="AR36" i="40"/>
  <c r="AU138" i="36"/>
  <c r="AT138" i="36"/>
  <c r="AQ138" i="36"/>
  <c r="AU137" i="36"/>
  <c r="AQ137" i="36"/>
  <c r="AT137" i="36"/>
  <c r="AS32" i="34"/>
  <c r="AS96" i="40"/>
  <c r="AS92" i="38"/>
  <c r="AR164" i="40"/>
  <c r="AS148" i="40"/>
  <c r="AR30" i="40"/>
  <c r="AR22" i="40"/>
  <c r="AS14" i="40"/>
  <c r="AR100" i="38"/>
  <c r="AS84" i="38"/>
  <c r="AS156" i="40"/>
  <c r="AS146" i="34"/>
  <c r="AR162" i="34"/>
  <c r="AS28" i="36"/>
  <c r="AP10" i="36"/>
  <c r="AU73" i="34"/>
  <c r="AT73" i="34"/>
  <c r="AQ73" i="34"/>
  <c r="AS96" i="34"/>
  <c r="AS90" i="34"/>
  <c r="AS146" i="36"/>
  <c r="AR162" i="36"/>
  <c r="AP10" i="34"/>
  <c r="AS156" i="34"/>
  <c r="AR164" i="38"/>
  <c r="AS148" i="38"/>
  <c r="AR98" i="36"/>
  <c r="AS82" i="36"/>
  <c r="AS26" i="40"/>
  <c r="AS154" i="40"/>
  <c r="AU9" i="40"/>
  <c r="AQ9" i="40"/>
  <c r="AT9" i="40"/>
  <c r="AS103" i="38"/>
  <c r="AS26" i="36"/>
  <c r="AP74" i="40"/>
  <c r="AS32" i="40"/>
  <c r="AU9" i="36"/>
  <c r="AT9" i="36"/>
  <c r="AQ9" i="36"/>
  <c r="AU73" i="36"/>
  <c r="AT73" i="36"/>
  <c r="AQ73" i="36"/>
  <c r="AS78" i="34"/>
  <c r="AR94" i="34"/>
  <c r="AR86" i="34"/>
  <c r="AR150" i="36"/>
  <c r="AS142" i="36"/>
  <c r="AR158" i="36"/>
  <c r="AS160" i="40"/>
  <c r="AS26" i="34"/>
  <c r="AP76" i="42"/>
  <c r="AP75" i="1"/>
  <c r="AP76" i="1" s="1"/>
  <c r="AQ15" i="42"/>
  <c r="AT15" i="42"/>
  <c r="AP138" i="1"/>
  <c r="AR158" i="1"/>
  <c r="AS158" i="1" s="1"/>
  <c r="AR150" i="1"/>
  <c r="AS150" i="1" s="1"/>
  <c r="AR151" i="1"/>
  <c r="AS151" i="1" s="1"/>
  <c r="AR159" i="1"/>
  <c r="AS159" i="1" s="1"/>
  <c r="AR162" i="1"/>
  <c r="AS162" i="1" s="1"/>
  <c r="AR163" i="1"/>
  <c r="AS163" i="1" s="1"/>
  <c r="AQ75" i="42"/>
  <c r="AU75" i="42"/>
  <c r="AT75" i="42"/>
  <c r="AR164" i="1"/>
  <c r="AS164" i="1" s="1"/>
  <c r="AR165" i="1"/>
  <c r="AS165" i="1" s="1"/>
  <c r="AP16" i="42"/>
  <c r="AR37" i="1"/>
  <c r="AS37" i="1" s="1"/>
  <c r="AR23" i="1"/>
  <c r="AS23" i="1" s="1"/>
  <c r="AR31" i="1"/>
  <c r="AS31" i="1" s="1"/>
  <c r="AR35" i="1"/>
  <c r="AS35" i="1" s="1"/>
  <c r="AP10" i="1"/>
  <c r="AR34" i="1"/>
  <c r="AS34" i="1" s="1"/>
  <c r="AU73" i="1"/>
  <c r="AT73" i="1"/>
  <c r="AR36" i="1"/>
  <c r="AS36" i="1" s="1"/>
  <c r="AU137" i="1"/>
  <c r="AT137" i="1"/>
  <c r="AR22" i="1"/>
  <c r="AS22" i="1" s="1"/>
  <c r="AR30" i="1"/>
  <c r="AS30" i="1" s="1"/>
  <c r="AT9" i="1"/>
  <c r="AU9" i="1"/>
  <c r="AQ9" i="1"/>
  <c r="C34" i="7" l="1"/>
  <c r="C35" i="7"/>
  <c r="C36" i="7"/>
  <c r="AR102" i="1"/>
  <c r="AS102" i="1" s="1"/>
  <c r="C23" i="7"/>
  <c r="C26" i="7"/>
  <c r="C29" i="7"/>
  <c r="C28" i="7"/>
  <c r="C25" i="7"/>
  <c r="C12" i="7"/>
  <c r="AR103" i="1"/>
  <c r="AS103" i="1" s="1"/>
  <c r="C9" i="7"/>
  <c r="C18" i="7"/>
  <c r="AT139" i="42"/>
  <c r="AQ139" i="42"/>
  <c r="AU139" i="42"/>
  <c r="C21" i="7"/>
  <c r="C15" i="7"/>
  <c r="C20" i="7"/>
  <c r="C14" i="7"/>
  <c r="AP140" i="42"/>
  <c r="AT75" i="34"/>
  <c r="AU75" i="34"/>
  <c r="AQ75" i="34"/>
  <c r="AR39" i="36"/>
  <c r="AS39" i="36" s="1"/>
  <c r="AS23" i="36"/>
  <c r="AR167" i="36"/>
  <c r="AS167" i="36" s="1"/>
  <c r="AS151" i="36"/>
  <c r="AR39" i="34"/>
  <c r="AS39" i="34" s="1"/>
  <c r="AS23" i="34"/>
  <c r="AR39" i="38"/>
  <c r="AS39" i="38" s="1"/>
  <c r="AS23" i="38"/>
  <c r="AR167" i="40"/>
  <c r="AS167" i="40" s="1"/>
  <c r="AS151" i="40"/>
  <c r="AS151" i="38"/>
  <c r="AR167" i="38"/>
  <c r="AS167" i="38" s="1"/>
  <c r="AS151" i="34"/>
  <c r="AR167" i="34"/>
  <c r="AS167" i="34" s="1"/>
  <c r="AR39" i="40"/>
  <c r="AS39" i="40" s="1"/>
  <c r="AS23" i="40"/>
  <c r="AQ76" i="34"/>
  <c r="AP77" i="34"/>
  <c r="AP78" i="34" s="1"/>
  <c r="AT76" i="34"/>
  <c r="AU76" i="34"/>
  <c r="AS30" i="40"/>
  <c r="AU139" i="36"/>
  <c r="AT139" i="36"/>
  <c r="AQ139" i="36"/>
  <c r="AS34" i="40"/>
  <c r="AS94" i="38"/>
  <c r="AR166" i="38"/>
  <c r="AS150" i="38"/>
  <c r="AS164" i="34"/>
  <c r="AS150" i="36"/>
  <c r="AR166" i="36"/>
  <c r="AS36" i="36"/>
  <c r="AS162" i="38"/>
  <c r="AS98" i="40"/>
  <c r="AQ76" i="38"/>
  <c r="AU76" i="38"/>
  <c r="AT76" i="38"/>
  <c r="AS94" i="40"/>
  <c r="AS158" i="38"/>
  <c r="AS98" i="36"/>
  <c r="AU10" i="34"/>
  <c r="AT10" i="34"/>
  <c r="AQ10" i="34"/>
  <c r="AP11" i="34"/>
  <c r="AP12" i="34" s="1"/>
  <c r="AT10" i="36"/>
  <c r="AU10" i="36"/>
  <c r="AQ10" i="36"/>
  <c r="AP11" i="36"/>
  <c r="AP12" i="36" s="1"/>
  <c r="AP13" i="36" s="1"/>
  <c r="AS98" i="38"/>
  <c r="AT10" i="40"/>
  <c r="AQ10" i="40"/>
  <c r="AU10" i="40"/>
  <c r="AP11" i="40"/>
  <c r="AS22" i="34"/>
  <c r="AR38" i="34"/>
  <c r="AS36" i="34"/>
  <c r="AR102" i="34"/>
  <c r="AS86" i="34"/>
  <c r="AU77" i="38"/>
  <c r="AT77" i="38"/>
  <c r="AQ77" i="38"/>
  <c r="AS158" i="40"/>
  <c r="AS34" i="36"/>
  <c r="AP75" i="40"/>
  <c r="AP76" i="40" s="1"/>
  <c r="AP77" i="40" s="1"/>
  <c r="AS162" i="40"/>
  <c r="AQ74" i="36"/>
  <c r="AU74" i="36"/>
  <c r="AT74" i="36"/>
  <c r="AP75" i="36"/>
  <c r="AS30" i="38"/>
  <c r="AS30" i="34"/>
  <c r="AS36" i="40"/>
  <c r="AS94" i="34"/>
  <c r="AS162" i="34"/>
  <c r="AS100" i="38"/>
  <c r="AR166" i="40"/>
  <c r="AS150" i="40"/>
  <c r="AS158" i="34"/>
  <c r="AS100" i="36"/>
  <c r="AR38" i="36"/>
  <c r="AS22" i="36"/>
  <c r="AS98" i="34"/>
  <c r="AS164" i="38"/>
  <c r="AS164" i="40"/>
  <c r="AR102" i="36"/>
  <c r="AS86" i="36"/>
  <c r="AS36" i="38"/>
  <c r="AR38" i="38"/>
  <c r="AS22" i="38"/>
  <c r="AS150" i="34"/>
  <c r="AR166" i="34"/>
  <c r="AP78" i="38"/>
  <c r="AT138" i="40"/>
  <c r="AQ138" i="40"/>
  <c r="AU138" i="40"/>
  <c r="AP139" i="40"/>
  <c r="AS30" i="36"/>
  <c r="AQ138" i="34"/>
  <c r="AU138" i="34"/>
  <c r="AT138" i="34"/>
  <c r="AP139" i="34"/>
  <c r="AS34" i="34"/>
  <c r="AS34" i="38"/>
  <c r="AT74" i="40"/>
  <c r="AU74" i="40"/>
  <c r="AQ74" i="40"/>
  <c r="AP140" i="38"/>
  <c r="AP141" i="38" s="1"/>
  <c r="AS164" i="36"/>
  <c r="AS94" i="36"/>
  <c r="AS100" i="40"/>
  <c r="AS100" i="34"/>
  <c r="AS86" i="38"/>
  <c r="AR102" i="38"/>
  <c r="AQ10" i="38"/>
  <c r="AU10" i="38"/>
  <c r="AT10" i="38"/>
  <c r="AP11" i="38"/>
  <c r="AS158" i="36"/>
  <c r="AS162" i="36"/>
  <c r="AP140" i="36"/>
  <c r="AS22" i="40"/>
  <c r="AR38" i="40"/>
  <c r="AT139" i="38"/>
  <c r="AU139" i="38"/>
  <c r="AQ139" i="38"/>
  <c r="AS86" i="40"/>
  <c r="AR102" i="40"/>
  <c r="AP77" i="42"/>
  <c r="AP78" i="42" s="1"/>
  <c r="AP79" i="42" s="1"/>
  <c r="AU76" i="42"/>
  <c r="AT76" i="42"/>
  <c r="AQ76" i="42"/>
  <c r="AP139" i="1"/>
  <c r="AP140" i="1" s="1"/>
  <c r="AQ140" i="1" s="1"/>
  <c r="AU138" i="1"/>
  <c r="AQ75" i="1"/>
  <c r="AT138" i="1"/>
  <c r="AQ138" i="1"/>
  <c r="AR166" i="1"/>
  <c r="AS166" i="1" s="1"/>
  <c r="AR167" i="1"/>
  <c r="AS167" i="1" s="1"/>
  <c r="D35" i="7" s="1"/>
  <c r="AU16" i="42"/>
  <c r="C16" i="7" s="1"/>
  <c r="AT16" i="42"/>
  <c r="AQ16" i="42"/>
  <c r="AP17" i="42"/>
  <c r="AQ76" i="1"/>
  <c r="AP77" i="1"/>
  <c r="AR39" i="1"/>
  <c r="AS39" i="1" s="1"/>
  <c r="D34" i="7" s="1"/>
  <c r="AU74" i="1"/>
  <c r="AT74" i="1"/>
  <c r="AT10" i="1"/>
  <c r="AQ10" i="1"/>
  <c r="AU10" i="1"/>
  <c r="AR38" i="1"/>
  <c r="AS38" i="1" s="1"/>
  <c r="AP11" i="1"/>
  <c r="E35" i="7" l="1"/>
  <c r="D36" i="7"/>
  <c r="E36" i="7" s="1"/>
  <c r="E34" i="7"/>
  <c r="AP141" i="42"/>
  <c r="AP142" i="42" s="1"/>
  <c r="D25" i="7"/>
  <c r="E25" i="7" s="1"/>
  <c r="D26" i="7"/>
  <c r="E26" i="7" s="1"/>
  <c r="D24" i="7"/>
  <c r="D28" i="7"/>
  <c r="E28" i="7" s="1"/>
  <c r="D33" i="7"/>
  <c r="D23" i="7"/>
  <c r="E23" i="7" s="1"/>
  <c r="D30" i="7"/>
  <c r="D27" i="7"/>
  <c r="D32" i="7"/>
  <c r="D29" i="7"/>
  <c r="E29" i="7" s="1"/>
  <c r="AU140" i="42"/>
  <c r="AT140" i="42"/>
  <c r="AQ140" i="42"/>
  <c r="AQ141" i="42"/>
  <c r="AQ77" i="34"/>
  <c r="AT77" i="34"/>
  <c r="AU139" i="1"/>
  <c r="AQ78" i="34"/>
  <c r="AU78" i="34"/>
  <c r="AP79" i="34"/>
  <c r="AT79" i="34" s="1"/>
  <c r="AT78" i="34"/>
  <c r="AU77" i="34"/>
  <c r="AP142" i="38"/>
  <c r="AT142" i="38" s="1"/>
  <c r="D18" i="7"/>
  <c r="E18" i="7" s="1"/>
  <c r="AQ77" i="40"/>
  <c r="AT77" i="40"/>
  <c r="AU77" i="40"/>
  <c r="AP78" i="40"/>
  <c r="AT76" i="40"/>
  <c r="AQ76" i="40"/>
  <c r="AU76" i="40"/>
  <c r="AQ139" i="34"/>
  <c r="AU139" i="34"/>
  <c r="AT139" i="34"/>
  <c r="AP140" i="34"/>
  <c r="AP141" i="34" s="1"/>
  <c r="AU139" i="40"/>
  <c r="AT139" i="40"/>
  <c r="AQ139" i="40"/>
  <c r="AS102" i="36"/>
  <c r="AT75" i="36"/>
  <c r="AQ75" i="36"/>
  <c r="AU75" i="36"/>
  <c r="AS166" i="36"/>
  <c r="P35" i="7" s="1"/>
  <c r="Q35" i="7" s="1"/>
  <c r="AS166" i="38"/>
  <c r="AP12" i="40"/>
  <c r="AP13" i="40" s="1"/>
  <c r="AP140" i="40"/>
  <c r="AS166" i="34"/>
  <c r="AS166" i="40"/>
  <c r="AB35" i="7" s="1"/>
  <c r="AC35" i="7" s="1"/>
  <c r="AP76" i="36"/>
  <c r="AQ12" i="34"/>
  <c r="AU12" i="34"/>
  <c r="AT12" i="34"/>
  <c r="AQ140" i="36"/>
  <c r="AT140" i="36"/>
  <c r="AU140" i="36"/>
  <c r="AP12" i="38"/>
  <c r="AQ140" i="38"/>
  <c r="AT140" i="38"/>
  <c r="AU140" i="38"/>
  <c r="AP13" i="34"/>
  <c r="AP14" i="34" s="1"/>
  <c r="AP79" i="38"/>
  <c r="AU12" i="36"/>
  <c r="AT12" i="36"/>
  <c r="AQ12" i="36"/>
  <c r="AT139" i="1"/>
  <c r="AS38" i="36"/>
  <c r="AS38" i="34"/>
  <c r="J34" i="7" s="1"/>
  <c r="K34" i="7" s="1"/>
  <c r="AS102" i="40"/>
  <c r="AS102" i="38"/>
  <c r="AS38" i="40"/>
  <c r="AT11" i="38"/>
  <c r="AQ11" i="38"/>
  <c r="AU11" i="38"/>
  <c r="AT78" i="38"/>
  <c r="AU78" i="38"/>
  <c r="AQ78" i="38"/>
  <c r="AU11" i="36"/>
  <c r="AT11" i="36"/>
  <c r="AQ11" i="36"/>
  <c r="AT11" i="34"/>
  <c r="AU11" i="34"/>
  <c r="AQ11" i="34"/>
  <c r="AP141" i="36"/>
  <c r="AU13" i="36"/>
  <c r="AT13" i="36"/>
  <c r="AQ13" i="36"/>
  <c r="AQ141" i="38"/>
  <c r="AT141" i="38"/>
  <c r="AU141" i="38"/>
  <c r="AS38" i="38"/>
  <c r="AT75" i="40"/>
  <c r="AU75" i="40"/>
  <c r="AQ75" i="40"/>
  <c r="AS102" i="34"/>
  <c r="AP14" i="36"/>
  <c r="AT11" i="40"/>
  <c r="AU11" i="40"/>
  <c r="AQ11" i="40"/>
  <c r="AP141" i="1"/>
  <c r="AQ141" i="1" s="1"/>
  <c r="AQ77" i="42"/>
  <c r="AU77" i="42"/>
  <c r="C19" i="7" s="1"/>
  <c r="AT77" i="42"/>
  <c r="AT79" i="42"/>
  <c r="AQ79" i="42"/>
  <c r="AU79" i="42"/>
  <c r="AP80" i="42"/>
  <c r="AQ78" i="42"/>
  <c r="AT78" i="42"/>
  <c r="AU78" i="42"/>
  <c r="AQ139" i="1"/>
  <c r="AU17" i="42"/>
  <c r="AT17" i="42"/>
  <c r="AQ17" i="42"/>
  <c r="AP18" i="42"/>
  <c r="AQ77" i="1"/>
  <c r="AP78" i="1"/>
  <c r="AQ78" i="1" s="1"/>
  <c r="AU75" i="1"/>
  <c r="AT75" i="1"/>
  <c r="AU11" i="1"/>
  <c r="D10" i="7" s="1"/>
  <c r="AQ11" i="1"/>
  <c r="AT11" i="1"/>
  <c r="AP12" i="1"/>
  <c r="AT76" i="1"/>
  <c r="AU76" i="1"/>
  <c r="AT140" i="1"/>
  <c r="AU140" i="1"/>
  <c r="J36" i="7" l="1"/>
  <c r="K36" i="7" s="1"/>
  <c r="V36" i="7"/>
  <c r="W36" i="7" s="1"/>
  <c r="AB36" i="7"/>
  <c r="AC36" i="7" s="1"/>
  <c r="V34" i="7"/>
  <c r="W34" i="7" s="1"/>
  <c r="V35" i="7"/>
  <c r="W35" i="7" s="1"/>
  <c r="P34" i="7"/>
  <c r="Q34" i="7" s="1"/>
  <c r="J35" i="7"/>
  <c r="K35" i="7" s="1"/>
  <c r="AB34" i="7"/>
  <c r="AC34" i="7" s="1"/>
  <c r="P36" i="7"/>
  <c r="Q36" i="7" s="1"/>
  <c r="AQ142" i="42"/>
  <c r="AU142" i="42"/>
  <c r="AT142" i="42"/>
  <c r="AU141" i="42"/>
  <c r="AP143" i="42"/>
  <c r="AQ143" i="42" s="1"/>
  <c r="AT141" i="42"/>
  <c r="AT143" i="42"/>
  <c r="P25" i="7"/>
  <c r="Q25" i="7" s="1"/>
  <c r="P30" i="7"/>
  <c r="Q30" i="7" s="1"/>
  <c r="AB30" i="7"/>
  <c r="AC30" i="7" s="1"/>
  <c r="J24" i="7"/>
  <c r="K24" i="7" s="1"/>
  <c r="P24" i="7"/>
  <c r="Q24" i="7" s="1"/>
  <c r="P26" i="7"/>
  <c r="Q26" i="7" s="1"/>
  <c r="AB25" i="7"/>
  <c r="AC25" i="7" s="1"/>
  <c r="P32" i="7"/>
  <c r="Q32" i="7" s="1"/>
  <c r="V30" i="7"/>
  <c r="W30" i="7" s="1"/>
  <c r="V29" i="7"/>
  <c r="W29" i="7" s="1"/>
  <c r="AB32" i="7"/>
  <c r="AC32" i="7" s="1"/>
  <c r="P27" i="7"/>
  <c r="Q27" i="7" s="1"/>
  <c r="AB23" i="7"/>
  <c r="AC23" i="7" s="1"/>
  <c r="J25" i="7"/>
  <c r="K25" i="7" s="1"/>
  <c r="J28" i="7"/>
  <c r="K28" i="7" s="1"/>
  <c r="V23" i="7"/>
  <c r="W23" i="7" s="1"/>
  <c r="AB24" i="7"/>
  <c r="AC24" i="7" s="1"/>
  <c r="V27" i="7"/>
  <c r="W27" i="7" s="1"/>
  <c r="P29" i="7"/>
  <c r="Q29" i="7" s="1"/>
  <c r="V33" i="7"/>
  <c r="W33" i="7" s="1"/>
  <c r="P23" i="7"/>
  <c r="Q23" i="7" s="1"/>
  <c r="J32" i="7"/>
  <c r="K32" i="7" s="1"/>
  <c r="AB27" i="7"/>
  <c r="AC27" i="7" s="1"/>
  <c r="V24" i="7"/>
  <c r="W24" i="7" s="1"/>
  <c r="J33" i="7"/>
  <c r="K33" i="7" s="1"/>
  <c r="V25" i="7"/>
  <c r="W25" i="7" s="1"/>
  <c r="AB26" i="7"/>
  <c r="AC26" i="7" s="1"/>
  <c r="V28" i="7"/>
  <c r="W28" i="7" s="1"/>
  <c r="P31" i="7"/>
  <c r="Q31" i="7" s="1"/>
  <c r="P33" i="7"/>
  <c r="Q33" i="7" s="1"/>
  <c r="AB33" i="7"/>
  <c r="AC33" i="7" s="1"/>
  <c r="V31" i="7"/>
  <c r="W31" i="7" s="1"/>
  <c r="J26" i="7"/>
  <c r="K26" i="7" s="1"/>
  <c r="AB29" i="7"/>
  <c r="AC29" i="7" s="1"/>
  <c r="AB28" i="7"/>
  <c r="AC28" i="7" s="1"/>
  <c r="P28" i="7"/>
  <c r="Q28" i="7" s="1"/>
  <c r="V32" i="7"/>
  <c r="W32" i="7" s="1"/>
  <c r="J29" i="7"/>
  <c r="K29" i="7" s="1"/>
  <c r="J31" i="7"/>
  <c r="K31" i="7" s="1"/>
  <c r="V26" i="7"/>
  <c r="W26" i="7" s="1"/>
  <c r="J23" i="7"/>
  <c r="K23" i="7" s="1"/>
  <c r="AP143" i="38"/>
  <c r="AP144" i="38" s="1"/>
  <c r="AP145" i="38" s="1"/>
  <c r="AT145" i="38" s="1"/>
  <c r="V21" i="7"/>
  <c r="W21" i="7" s="1"/>
  <c r="AQ79" i="34"/>
  <c r="AP80" i="34"/>
  <c r="AT80" i="34" s="1"/>
  <c r="AU79" i="34"/>
  <c r="P18" i="7"/>
  <c r="Q18" i="7" s="1"/>
  <c r="AB9" i="7"/>
  <c r="AC9" i="7" s="1"/>
  <c r="AQ142" i="38"/>
  <c r="AU142" i="38"/>
  <c r="J12" i="7"/>
  <c r="K12" i="7" s="1"/>
  <c r="AB19" i="7"/>
  <c r="AC19" i="7" s="1"/>
  <c r="V14" i="7"/>
  <c r="W14" i="7" s="1"/>
  <c r="P17" i="7"/>
  <c r="Q17" i="7" s="1"/>
  <c r="AB12" i="7"/>
  <c r="AC12" i="7" s="1"/>
  <c r="V11" i="7"/>
  <c r="W11" i="7" s="1"/>
  <c r="V16" i="7"/>
  <c r="W16" i="7" s="1"/>
  <c r="AB21" i="7"/>
  <c r="AC21" i="7" s="1"/>
  <c r="V20" i="7"/>
  <c r="W20" i="7" s="1"/>
  <c r="V15" i="7"/>
  <c r="W15" i="7" s="1"/>
  <c r="AB13" i="7"/>
  <c r="AC13" i="7" s="1"/>
  <c r="AB20" i="7"/>
  <c r="AC20" i="7" s="1"/>
  <c r="J21" i="7"/>
  <c r="K21" i="7" s="1"/>
  <c r="AB17" i="7"/>
  <c r="AC17" i="7" s="1"/>
  <c r="AB14" i="7"/>
  <c r="AC14" i="7" s="1"/>
  <c r="J22" i="7"/>
  <c r="K22" i="7" s="1"/>
  <c r="P9" i="7"/>
  <c r="Q9" i="7" s="1"/>
  <c r="AU12" i="38"/>
  <c r="V17" i="7" s="1"/>
  <c r="W17" i="7" s="1"/>
  <c r="AT12" i="38"/>
  <c r="AQ12" i="38"/>
  <c r="AP13" i="38"/>
  <c r="AQ141" i="34"/>
  <c r="AT141" i="34"/>
  <c r="AU141" i="34"/>
  <c r="J10" i="7" s="1"/>
  <c r="K10" i="7" s="1"/>
  <c r="AU14" i="34"/>
  <c r="AT14" i="34"/>
  <c r="AQ14" i="34"/>
  <c r="AQ13" i="40"/>
  <c r="AU13" i="40"/>
  <c r="AT13" i="40"/>
  <c r="J11" i="7"/>
  <c r="K11" i="7" s="1"/>
  <c r="P20" i="7"/>
  <c r="Q20" i="7" s="1"/>
  <c r="P16" i="7"/>
  <c r="Q16" i="7" s="1"/>
  <c r="AQ79" i="38"/>
  <c r="AT79" i="38"/>
  <c r="AU79" i="38"/>
  <c r="P22" i="7"/>
  <c r="Q22" i="7" s="1"/>
  <c r="AQ12" i="40"/>
  <c r="AU12" i="40"/>
  <c r="AB31" i="7" s="1"/>
  <c r="AC31" i="7" s="1"/>
  <c r="AT12" i="40"/>
  <c r="V13" i="7"/>
  <c r="W13" i="7" s="1"/>
  <c r="P19" i="7"/>
  <c r="Q19" i="7" s="1"/>
  <c r="J16" i="7"/>
  <c r="K16" i="7" s="1"/>
  <c r="P11" i="7"/>
  <c r="Q11" i="7" s="1"/>
  <c r="V18" i="7"/>
  <c r="W18" i="7" s="1"/>
  <c r="AB10" i="7"/>
  <c r="AC10" i="7" s="1"/>
  <c r="J9" i="7"/>
  <c r="K9" i="7" s="1"/>
  <c r="AB16" i="7"/>
  <c r="AC16" i="7" s="1"/>
  <c r="AB11" i="7"/>
  <c r="AC11" i="7" s="1"/>
  <c r="AB22" i="7"/>
  <c r="AC22" i="7" s="1"/>
  <c r="AU140" i="34"/>
  <c r="AQ140" i="34"/>
  <c r="AT140" i="34"/>
  <c r="AB18" i="7"/>
  <c r="AC18" i="7" s="1"/>
  <c r="AP15" i="34"/>
  <c r="AQ141" i="36"/>
  <c r="AT141" i="36"/>
  <c r="AU141" i="36"/>
  <c r="J19" i="7"/>
  <c r="K19" i="7" s="1"/>
  <c r="V9" i="7"/>
  <c r="W9" i="7" s="1"/>
  <c r="P10" i="7"/>
  <c r="Q10" i="7" s="1"/>
  <c r="AQ78" i="40"/>
  <c r="AU78" i="40"/>
  <c r="AT78" i="40"/>
  <c r="AU14" i="36"/>
  <c r="AT14" i="36"/>
  <c r="AQ14" i="36"/>
  <c r="P13" i="7"/>
  <c r="Q13" i="7" s="1"/>
  <c r="AP142" i="1"/>
  <c r="AQ142" i="1" s="1"/>
  <c r="V22" i="7"/>
  <c r="W22" i="7" s="1"/>
  <c r="V19" i="7"/>
  <c r="W19" i="7" s="1"/>
  <c r="AQ13" i="34"/>
  <c r="AT13" i="34"/>
  <c r="AU13" i="34"/>
  <c r="P15" i="7"/>
  <c r="Q15" i="7" s="1"/>
  <c r="AU76" i="36"/>
  <c r="AQ76" i="36"/>
  <c r="AT76" i="36"/>
  <c r="AP77" i="36"/>
  <c r="AP141" i="40"/>
  <c r="AP79" i="40"/>
  <c r="AP80" i="40" s="1"/>
  <c r="AP14" i="40"/>
  <c r="AP80" i="38"/>
  <c r="AP15" i="36"/>
  <c r="J18" i="7"/>
  <c r="K18" i="7" s="1"/>
  <c r="J13" i="7"/>
  <c r="K13" i="7" s="1"/>
  <c r="J14" i="7"/>
  <c r="K14" i="7" s="1"/>
  <c r="P14" i="7"/>
  <c r="Q14" i="7" s="1"/>
  <c r="AP142" i="36"/>
  <c r="J17" i="7"/>
  <c r="K17" i="7" s="1"/>
  <c r="AU140" i="40"/>
  <c r="AT140" i="40"/>
  <c r="AQ140" i="40"/>
  <c r="AP142" i="34"/>
  <c r="AU80" i="42"/>
  <c r="AT80" i="42"/>
  <c r="AQ80" i="42"/>
  <c r="AP81" i="42"/>
  <c r="AP19" i="42"/>
  <c r="AQ18" i="42"/>
  <c r="AU18" i="42"/>
  <c r="C33" i="7" s="1"/>
  <c r="E33" i="7" s="1"/>
  <c r="AT18" i="42"/>
  <c r="AP79" i="1"/>
  <c r="AU141" i="1"/>
  <c r="AT141" i="1"/>
  <c r="AT77" i="1"/>
  <c r="AU77" i="1"/>
  <c r="AQ12" i="1"/>
  <c r="AU12" i="1"/>
  <c r="D31" i="7" s="1"/>
  <c r="AT12" i="1"/>
  <c r="AP13" i="1"/>
  <c r="AP144" i="42" l="1"/>
  <c r="AP145" i="42" s="1"/>
  <c r="AP146" i="42" s="1"/>
  <c r="AP147" i="42" s="1"/>
  <c r="AU143" i="42"/>
  <c r="AU144" i="42"/>
  <c r="AQ144" i="42"/>
  <c r="AQ145" i="42"/>
  <c r="AU145" i="42"/>
  <c r="AQ143" i="38"/>
  <c r="AQ144" i="38"/>
  <c r="AT144" i="38"/>
  <c r="AU144" i="38"/>
  <c r="AU143" i="38"/>
  <c r="V10" i="7" s="1"/>
  <c r="W10" i="7" s="1"/>
  <c r="AU145" i="38"/>
  <c r="AT143" i="38"/>
  <c r="AP146" i="38"/>
  <c r="AQ146" i="38" s="1"/>
  <c r="AQ145" i="38"/>
  <c r="AP81" i="34"/>
  <c r="AP82" i="34" s="1"/>
  <c r="AU80" i="34"/>
  <c r="AQ80" i="34"/>
  <c r="AT142" i="1"/>
  <c r="AP143" i="1"/>
  <c r="AQ143" i="1" s="1"/>
  <c r="AT142" i="36"/>
  <c r="AU142" i="36"/>
  <c r="AQ142" i="36"/>
  <c r="AP143" i="36"/>
  <c r="AP81" i="38"/>
  <c r="AP16" i="36"/>
  <c r="AQ14" i="40"/>
  <c r="AU14" i="40"/>
  <c r="AT14" i="40"/>
  <c r="AP15" i="40"/>
  <c r="AP16" i="40" s="1"/>
  <c r="AU13" i="38"/>
  <c r="V12" i="7" s="1"/>
  <c r="W12" i="7" s="1"/>
  <c r="AT13" i="38"/>
  <c r="AQ13" i="38"/>
  <c r="AP14" i="38"/>
  <c r="AQ15" i="36"/>
  <c r="AU15" i="36"/>
  <c r="AT15" i="36"/>
  <c r="AQ142" i="34"/>
  <c r="AU142" i="34"/>
  <c r="J30" i="7" s="1"/>
  <c r="K30" i="7" s="1"/>
  <c r="AT142" i="34"/>
  <c r="AQ79" i="40"/>
  <c r="AU79" i="40"/>
  <c r="AT79" i="40"/>
  <c r="AP81" i="40"/>
  <c r="AT77" i="36"/>
  <c r="AQ77" i="36"/>
  <c r="AU77" i="36"/>
  <c r="AP78" i="36"/>
  <c r="AP79" i="36" s="1"/>
  <c r="AU141" i="40"/>
  <c r="AT141" i="40"/>
  <c r="AQ141" i="40"/>
  <c r="AP142" i="40"/>
  <c r="AU15" i="34"/>
  <c r="J27" i="7" s="1"/>
  <c r="K27" i="7" s="1"/>
  <c r="AQ15" i="34"/>
  <c r="AT15" i="34"/>
  <c r="AP16" i="34"/>
  <c r="AU80" i="40"/>
  <c r="AT80" i="40"/>
  <c r="AQ80" i="40"/>
  <c r="AQ80" i="38"/>
  <c r="AU80" i="38"/>
  <c r="AT80" i="38"/>
  <c r="AP143" i="34"/>
  <c r="AT81" i="42"/>
  <c r="AQ81" i="42"/>
  <c r="AU81" i="42"/>
  <c r="AP82" i="42"/>
  <c r="AP18" i="7"/>
  <c r="AR45" i="7"/>
  <c r="AP45" i="7" s="1"/>
  <c r="AR28" i="7"/>
  <c r="AQ28" i="7" s="1"/>
  <c r="AR25" i="7"/>
  <c r="AQ25" i="7" s="1"/>
  <c r="AR42" i="7"/>
  <c r="AP42" i="7" s="1"/>
  <c r="AR39" i="7"/>
  <c r="AP39" i="7" s="1"/>
  <c r="AR33" i="7"/>
  <c r="AQ33" i="7" s="1"/>
  <c r="AR43" i="7"/>
  <c r="AP43" i="7" s="1"/>
  <c r="AR44" i="7"/>
  <c r="AP44" i="7" s="1"/>
  <c r="AR29" i="7"/>
  <c r="AP29" i="7" s="1"/>
  <c r="AQ19" i="42"/>
  <c r="AU19" i="42"/>
  <c r="AT19" i="42"/>
  <c r="AP20" i="42"/>
  <c r="AR34" i="7"/>
  <c r="AP34" i="7" s="1"/>
  <c r="AR40" i="7"/>
  <c r="AP40" i="7" s="1"/>
  <c r="AQ79" i="1"/>
  <c r="AP80" i="1"/>
  <c r="AQ80" i="1" s="1"/>
  <c r="AT78" i="1"/>
  <c r="AU78" i="1"/>
  <c r="AU142" i="1"/>
  <c r="AT13" i="1"/>
  <c r="AU13" i="1"/>
  <c r="AQ13" i="1"/>
  <c r="AP14" i="1"/>
  <c r="AU79" i="1"/>
  <c r="AT79" i="1"/>
  <c r="AT145" i="42" l="1"/>
  <c r="AT144" i="42"/>
  <c r="AQ147" i="42"/>
  <c r="AU147" i="42"/>
  <c r="AT147" i="42"/>
  <c r="AP148" i="42"/>
  <c r="AU148" i="42" s="1"/>
  <c r="AU146" i="42"/>
  <c r="AT146" i="42"/>
  <c r="AQ146" i="42"/>
  <c r="AP147" i="38"/>
  <c r="AU147" i="38" s="1"/>
  <c r="AT146" i="38"/>
  <c r="AU146" i="38"/>
  <c r="AU81" i="34"/>
  <c r="AT81" i="34"/>
  <c r="AQ81" i="34"/>
  <c r="AP144" i="1"/>
  <c r="AU144" i="1" s="1"/>
  <c r="AP15" i="38"/>
  <c r="AP16" i="38" s="1"/>
  <c r="AT79" i="36"/>
  <c r="AQ79" i="36"/>
  <c r="AU79" i="36"/>
  <c r="AT16" i="40"/>
  <c r="AU16" i="40"/>
  <c r="AQ16" i="40"/>
  <c r="AP17" i="40"/>
  <c r="AT16" i="36"/>
  <c r="AQ16" i="36"/>
  <c r="AU16" i="36"/>
  <c r="AP17" i="36"/>
  <c r="AT143" i="36"/>
  <c r="AU143" i="36"/>
  <c r="AQ143" i="36"/>
  <c r="AP144" i="36"/>
  <c r="AQ81" i="40"/>
  <c r="AU81" i="40"/>
  <c r="AT81" i="40"/>
  <c r="AQ82" i="34"/>
  <c r="AU82" i="34"/>
  <c r="AT82" i="34"/>
  <c r="AP83" i="34"/>
  <c r="AU143" i="34"/>
  <c r="J20" i="7" s="1"/>
  <c r="K20" i="7" s="1"/>
  <c r="AQ143" i="34"/>
  <c r="AT143" i="34"/>
  <c r="AP144" i="34"/>
  <c r="AU142" i="40"/>
  <c r="AB15" i="7" s="1"/>
  <c r="AC15" i="7" s="1"/>
  <c r="AT142" i="40"/>
  <c r="AQ142" i="40"/>
  <c r="AQ14" i="38"/>
  <c r="AT14" i="38"/>
  <c r="AU14" i="38"/>
  <c r="AU81" i="38"/>
  <c r="AT81" i="38"/>
  <c r="AQ81" i="38"/>
  <c r="AT16" i="34"/>
  <c r="AQ16" i="34"/>
  <c r="AU16" i="34"/>
  <c r="AP17" i="34"/>
  <c r="AP18" i="34" s="1"/>
  <c r="AQ78" i="36"/>
  <c r="AT78" i="36"/>
  <c r="AU78" i="36"/>
  <c r="AP80" i="36"/>
  <c r="AU15" i="40"/>
  <c r="AT15" i="40"/>
  <c r="AQ15" i="40"/>
  <c r="AP82" i="40"/>
  <c r="AP143" i="40"/>
  <c r="AP82" i="38"/>
  <c r="AQ29" i="7"/>
  <c r="AQ82" i="42"/>
  <c r="AU82" i="42"/>
  <c r="AT82" i="42"/>
  <c r="AP83" i="42"/>
  <c r="AQ42" i="7"/>
  <c r="AQ45" i="7"/>
  <c r="AP25" i="7"/>
  <c r="AP28" i="7"/>
  <c r="AQ39" i="7"/>
  <c r="AP33" i="7"/>
  <c r="AQ44" i="7"/>
  <c r="AQ43" i="7"/>
  <c r="AU80" i="1"/>
  <c r="AQ34" i="7"/>
  <c r="AQ18" i="7"/>
  <c r="AQ40" i="7"/>
  <c r="AT20" i="42"/>
  <c r="AQ20" i="42"/>
  <c r="AU20" i="42"/>
  <c r="AP21" i="42"/>
  <c r="AP22" i="42" s="1"/>
  <c r="AT80" i="1"/>
  <c r="AP81" i="1"/>
  <c r="AP82" i="1" s="1"/>
  <c r="AQ82" i="1" s="1"/>
  <c r="AU143" i="1"/>
  <c r="AT143" i="1"/>
  <c r="AP15" i="1"/>
  <c r="AU14" i="1"/>
  <c r="AQ14" i="1"/>
  <c r="AT14" i="1"/>
  <c r="P12" i="7" l="1"/>
  <c r="Q12" i="7" s="1"/>
  <c r="AQ148" i="42"/>
  <c r="AT148" i="42"/>
  <c r="AP149" i="42"/>
  <c r="AP150" i="42" s="1"/>
  <c r="AQ150" i="42" s="1"/>
  <c r="AP145" i="1"/>
  <c r="AU145" i="1" s="1"/>
  <c r="AQ144" i="1"/>
  <c r="AP148" i="38"/>
  <c r="AT148" i="38" s="1"/>
  <c r="AQ147" i="38"/>
  <c r="AT147" i="38"/>
  <c r="AT144" i="1"/>
  <c r="AU15" i="38"/>
  <c r="AQ15" i="38"/>
  <c r="AT15" i="38"/>
  <c r="AQ16" i="38"/>
  <c r="AU16" i="38"/>
  <c r="AT16" i="38"/>
  <c r="AP17" i="38"/>
  <c r="AU17" i="38" s="1"/>
  <c r="AU17" i="40"/>
  <c r="AT17" i="40"/>
  <c r="AQ17" i="40"/>
  <c r="AP18" i="40"/>
  <c r="AP145" i="36"/>
  <c r="AQ144" i="36"/>
  <c r="AU144" i="36"/>
  <c r="AT144" i="36"/>
  <c r="AQ83" i="34"/>
  <c r="AU83" i="34"/>
  <c r="AT83" i="34"/>
  <c r="AU17" i="34"/>
  <c r="AQ17" i="34"/>
  <c r="AT17" i="34"/>
  <c r="AP84" i="34"/>
  <c r="AT17" i="36"/>
  <c r="AQ17" i="36"/>
  <c r="AU17" i="36"/>
  <c r="AP18" i="36"/>
  <c r="AQ80" i="36"/>
  <c r="AU80" i="36"/>
  <c r="AT80" i="36"/>
  <c r="AP81" i="36"/>
  <c r="AQ144" i="34"/>
  <c r="AT144" i="34"/>
  <c r="AU144" i="34"/>
  <c r="J15" i="7" s="1"/>
  <c r="K15" i="7" s="1"/>
  <c r="AP145" i="34"/>
  <c r="AP144" i="40"/>
  <c r="AQ143" i="40"/>
  <c r="AU143" i="40"/>
  <c r="AT143" i="40"/>
  <c r="AT18" i="34"/>
  <c r="AQ18" i="34"/>
  <c r="AU18" i="34"/>
  <c r="AP19" i="34"/>
  <c r="AU82" i="38"/>
  <c r="AQ82" i="38"/>
  <c r="AT82" i="38"/>
  <c r="AP83" i="38"/>
  <c r="AT82" i="40"/>
  <c r="AQ82" i="40"/>
  <c r="AU82" i="40"/>
  <c r="AP83" i="40"/>
  <c r="AP84" i="42"/>
  <c r="AU83" i="42"/>
  <c r="AT83" i="42"/>
  <c r="AQ83" i="42"/>
  <c r="AU22" i="42"/>
  <c r="AT22" i="42"/>
  <c r="AQ22" i="42"/>
  <c r="AP23" i="42"/>
  <c r="AU21" i="42"/>
  <c r="AT21" i="42"/>
  <c r="AQ21" i="42"/>
  <c r="AQ81" i="1"/>
  <c r="AP83" i="1"/>
  <c r="AQ83" i="1" s="1"/>
  <c r="AU81" i="1"/>
  <c r="AT81" i="1"/>
  <c r="AU15" i="1"/>
  <c r="AR37" i="7" s="1"/>
  <c r="AT15" i="1"/>
  <c r="AQ15" i="1"/>
  <c r="AP16" i="1"/>
  <c r="AP17" i="1" s="1"/>
  <c r="AT82" i="1"/>
  <c r="AU82" i="1"/>
  <c r="AQ148" i="38" l="1"/>
  <c r="AP149" i="38"/>
  <c r="AU149" i="38" s="1"/>
  <c r="AU148" i="38"/>
  <c r="AT150" i="42"/>
  <c r="AT149" i="42"/>
  <c r="AP151" i="42"/>
  <c r="AT151" i="42" s="1"/>
  <c r="AU149" i="42"/>
  <c r="AQ149" i="42"/>
  <c r="AU150" i="42"/>
  <c r="AP146" i="1"/>
  <c r="AP147" i="1" s="1"/>
  <c r="AT147" i="1" s="1"/>
  <c r="AT145" i="1"/>
  <c r="AQ145" i="1"/>
  <c r="AP18" i="38"/>
  <c r="AU18" i="38" s="1"/>
  <c r="AQ17" i="38"/>
  <c r="AT17" i="38"/>
  <c r="AU84" i="34"/>
  <c r="AQ84" i="34"/>
  <c r="AT84" i="34"/>
  <c r="AP85" i="34"/>
  <c r="AQ18" i="40"/>
  <c r="AT18" i="40"/>
  <c r="AU18" i="40"/>
  <c r="AP19" i="40"/>
  <c r="AP145" i="40"/>
  <c r="AQ144" i="40"/>
  <c r="AT144" i="40"/>
  <c r="AU144" i="40"/>
  <c r="AQ83" i="38"/>
  <c r="AT83" i="38"/>
  <c r="AU83" i="38"/>
  <c r="AP84" i="38"/>
  <c r="AQ145" i="36"/>
  <c r="AT145" i="36"/>
  <c r="AU145" i="36"/>
  <c r="AP146" i="36"/>
  <c r="AU81" i="36"/>
  <c r="AQ81" i="36"/>
  <c r="AT81" i="36"/>
  <c r="AP82" i="36"/>
  <c r="AU18" i="36"/>
  <c r="AT18" i="36"/>
  <c r="AQ18" i="36"/>
  <c r="AP19" i="36"/>
  <c r="AP150" i="38"/>
  <c r="AU145" i="34"/>
  <c r="AT145" i="34"/>
  <c r="AQ145" i="34"/>
  <c r="AP146" i="34"/>
  <c r="AU83" i="40"/>
  <c r="AT83" i="40"/>
  <c r="AQ83" i="40"/>
  <c r="AP84" i="40"/>
  <c r="AQ19" i="34"/>
  <c r="AU19" i="34"/>
  <c r="AT19" i="34"/>
  <c r="AP20" i="34"/>
  <c r="AP24" i="42"/>
  <c r="AU84" i="42"/>
  <c r="AQ84" i="42"/>
  <c r="AT84" i="42"/>
  <c r="AP85" i="42"/>
  <c r="AQ23" i="42"/>
  <c r="AT23" i="42"/>
  <c r="AU23" i="42"/>
  <c r="AT83" i="1"/>
  <c r="AU83" i="1"/>
  <c r="AP84" i="1"/>
  <c r="AQ84" i="1" s="1"/>
  <c r="AQ37" i="7"/>
  <c r="AP37" i="7"/>
  <c r="AP18" i="1"/>
  <c r="AQ17" i="1"/>
  <c r="AU17" i="1"/>
  <c r="AT17" i="1"/>
  <c r="AQ16" i="1"/>
  <c r="AT16" i="1"/>
  <c r="AU16" i="1"/>
  <c r="AP152" i="42" l="1"/>
  <c r="AU152" i="42" s="1"/>
  <c r="AT149" i="38"/>
  <c r="AQ149" i="38"/>
  <c r="AU151" i="42"/>
  <c r="AQ151" i="42"/>
  <c r="AP148" i="1"/>
  <c r="AQ148" i="1" s="1"/>
  <c r="AQ146" i="1"/>
  <c r="AQ147" i="1"/>
  <c r="AU146" i="1"/>
  <c r="AU147" i="1"/>
  <c r="AT146" i="1"/>
  <c r="AT18" i="38"/>
  <c r="AQ18" i="38"/>
  <c r="AP19" i="38"/>
  <c r="AP20" i="38" s="1"/>
  <c r="AU20" i="38" s="1"/>
  <c r="AU20" i="34"/>
  <c r="AT20" i="34"/>
  <c r="AQ20" i="34"/>
  <c r="AP21" i="34"/>
  <c r="AQ82" i="36"/>
  <c r="AU82" i="36"/>
  <c r="AT82" i="36"/>
  <c r="AP83" i="36"/>
  <c r="AT85" i="34"/>
  <c r="AQ85" i="34"/>
  <c r="AU85" i="34"/>
  <c r="AT19" i="36"/>
  <c r="AQ19" i="36"/>
  <c r="AU19" i="36"/>
  <c r="AP20" i="36"/>
  <c r="AT146" i="34"/>
  <c r="AU146" i="34"/>
  <c r="AQ146" i="34"/>
  <c r="AP147" i="34"/>
  <c r="AP86" i="34"/>
  <c r="AU84" i="40"/>
  <c r="AQ84" i="40"/>
  <c r="AT84" i="40"/>
  <c r="AP85" i="40"/>
  <c r="AT84" i="38"/>
  <c r="AU84" i="38"/>
  <c r="AQ84" i="38"/>
  <c r="AP85" i="38"/>
  <c r="AT145" i="40"/>
  <c r="AQ145" i="40"/>
  <c r="AU145" i="40"/>
  <c r="AP146" i="40"/>
  <c r="AQ19" i="40"/>
  <c r="AT19" i="40"/>
  <c r="AU19" i="40"/>
  <c r="AP20" i="40"/>
  <c r="AT150" i="38"/>
  <c r="AU150" i="38"/>
  <c r="AQ150" i="38"/>
  <c r="AP151" i="38"/>
  <c r="AP147" i="36"/>
  <c r="AT146" i="36"/>
  <c r="AU146" i="36"/>
  <c r="AQ146" i="36"/>
  <c r="AQ24" i="42"/>
  <c r="AU24" i="42"/>
  <c r="C17" i="7" s="1"/>
  <c r="AT24" i="42"/>
  <c r="AP25" i="42"/>
  <c r="AT85" i="42"/>
  <c r="AQ85" i="42"/>
  <c r="AU85" i="42"/>
  <c r="AP86" i="42"/>
  <c r="AP85" i="1"/>
  <c r="AU84" i="1"/>
  <c r="AT84" i="1"/>
  <c r="AP19" i="1"/>
  <c r="AQ18" i="1"/>
  <c r="AT18" i="1"/>
  <c r="AU18" i="1"/>
  <c r="D11" i="7" s="1"/>
  <c r="AP153" i="42" l="1"/>
  <c r="AU153" i="42" s="1"/>
  <c r="AQ152" i="42"/>
  <c r="AT152" i="42"/>
  <c r="AU148" i="1"/>
  <c r="AP149" i="1"/>
  <c r="AQ149" i="1" s="1"/>
  <c r="AT148" i="1"/>
  <c r="AU19" i="38"/>
  <c r="AQ19" i="38"/>
  <c r="AQ20" i="38"/>
  <c r="AT20" i="38"/>
  <c r="AP21" i="38"/>
  <c r="AU21" i="38" s="1"/>
  <c r="AT19" i="38"/>
  <c r="AQ146" i="40"/>
  <c r="AU146" i="40"/>
  <c r="AT146" i="40"/>
  <c r="AP147" i="40"/>
  <c r="AU21" i="34"/>
  <c r="AQ21" i="34"/>
  <c r="AT21" i="34"/>
  <c r="AP22" i="34"/>
  <c r="AT20" i="40"/>
  <c r="AQ20" i="40"/>
  <c r="AU20" i="40"/>
  <c r="AP21" i="40"/>
  <c r="AQ85" i="40"/>
  <c r="AU85" i="40"/>
  <c r="AT85" i="40"/>
  <c r="AP86" i="40"/>
  <c r="AU147" i="36"/>
  <c r="AT147" i="36"/>
  <c r="AQ147" i="36"/>
  <c r="AP148" i="36"/>
  <c r="AQ20" i="36"/>
  <c r="AU20" i="36"/>
  <c r="AT20" i="36"/>
  <c r="AP21" i="36"/>
  <c r="AQ83" i="36"/>
  <c r="AT83" i="36"/>
  <c r="AU83" i="36"/>
  <c r="AP84" i="36"/>
  <c r="AT85" i="38"/>
  <c r="AQ85" i="38"/>
  <c r="AU85" i="38"/>
  <c r="AP86" i="38"/>
  <c r="AQ86" i="34"/>
  <c r="AU86" i="34"/>
  <c r="AT86" i="34"/>
  <c r="AP87" i="34"/>
  <c r="AQ151" i="38"/>
  <c r="AU151" i="38"/>
  <c r="AT151" i="38"/>
  <c r="AP152" i="38"/>
  <c r="AQ147" i="34"/>
  <c r="AT147" i="34"/>
  <c r="AU147" i="34"/>
  <c r="AP148" i="34"/>
  <c r="AU25" i="42"/>
  <c r="AQ25" i="42"/>
  <c r="AT25" i="42"/>
  <c r="AP26" i="42"/>
  <c r="AU86" i="42"/>
  <c r="C11" i="7" s="1"/>
  <c r="E11" i="7" s="1"/>
  <c r="AR11" i="7" s="1"/>
  <c r="AT86" i="42"/>
  <c r="AQ86" i="42"/>
  <c r="AP87" i="42"/>
  <c r="AQ85" i="1"/>
  <c r="AU85" i="1"/>
  <c r="AT85" i="1"/>
  <c r="AP86" i="1"/>
  <c r="AQ19" i="1"/>
  <c r="AU19" i="1"/>
  <c r="D14" i="7" s="1"/>
  <c r="AT19" i="1"/>
  <c r="AP20" i="1"/>
  <c r="AQ153" i="42" l="1"/>
  <c r="AT153" i="42"/>
  <c r="AP154" i="42"/>
  <c r="AU154" i="42" s="1"/>
  <c r="AP11" i="7"/>
  <c r="AQ11" i="7"/>
  <c r="E14" i="7"/>
  <c r="AR14" i="7" s="1"/>
  <c r="AU149" i="1"/>
  <c r="AR36" i="7" s="1"/>
  <c r="AQ36" i="7" s="1"/>
  <c r="AT149" i="1"/>
  <c r="AP150" i="1"/>
  <c r="AU150" i="1" s="1"/>
  <c r="D9" i="7" s="1"/>
  <c r="E9" i="7" s="1"/>
  <c r="AP22" i="38"/>
  <c r="AU22" i="38" s="1"/>
  <c r="AQ21" i="38"/>
  <c r="AT21" i="38"/>
  <c r="AQ21" i="36"/>
  <c r="AU21" i="36"/>
  <c r="AT21" i="36"/>
  <c r="AP22" i="36"/>
  <c r="AT22" i="34"/>
  <c r="AQ22" i="34"/>
  <c r="AU22" i="34"/>
  <c r="AP23" i="34"/>
  <c r="AT86" i="40"/>
  <c r="AQ86" i="40"/>
  <c r="AU86" i="40"/>
  <c r="AP87" i="40"/>
  <c r="AT148" i="34"/>
  <c r="AQ148" i="34"/>
  <c r="AU148" i="34"/>
  <c r="AP149" i="34"/>
  <c r="AQ87" i="34"/>
  <c r="AU87" i="34"/>
  <c r="AT87" i="34"/>
  <c r="AP88" i="34"/>
  <c r="AT84" i="36"/>
  <c r="AQ84" i="36"/>
  <c r="AU84" i="36"/>
  <c r="AP85" i="36"/>
  <c r="AU21" i="40"/>
  <c r="AT21" i="40"/>
  <c r="AQ21" i="40"/>
  <c r="AP22" i="40"/>
  <c r="AQ147" i="40"/>
  <c r="AU147" i="40"/>
  <c r="AT147" i="40"/>
  <c r="AP148" i="40"/>
  <c r="AU148" i="36"/>
  <c r="AT148" i="36"/>
  <c r="AQ148" i="36"/>
  <c r="AP149" i="36"/>
  <c r="AT152" i="38"/>
  <c r="AQ152" i="38"/>
  <c r="AU152" i="38"/>
  <c r="AP153" i="38"/>
  <c r="AU86" i="38"/>
  <c r="AT86" i="38"/>
  <c r="AQ86" i="38"/>
  <c r="AP87" i="38"/>
  <c r="AP88" i="42"/>
  <c r="AU26" i="42"/>
  <c r="AT26" i="42"/>
  <c r="AQ26" i="42"/>
  <c r="AP27" i="42"/>
  <c r="AU87" i="42"/>
  <c r="AT87" i="42"/>
  <c r="AQ87" i="42"/>
  <c r="AQ86" i="1"/>
  <c r="AT86" i="1"/>
  <c r="AU86" i="1"/>
  <c r="AP87" i="1"/>
  <c r="AP88" i="1" s="1"/>
  <c r="AP21" i="1"/>
  <c r="AT20" i="1"/>
  <c r="AQ20" i="1"/>
  <c r="AU20" i="1"/>
  <c r="AQ154" i="42" l="1"/>
  <c r="AT154" i="42"/>
  <c r="AP155" i="42"/>
  <c r="AP156" i="42" s="1"/>
  <c r="AU156" i="42" s="1"/>
  <c r="AQ14" i="7"/>
  <c r="AP14" i="7"/>
  <c r="AP36" i="7"/>
  <c r="AQ150" i="1"/>
  <c r="AT150" i="1"/>
  <c r="AP151" i="1"/>
  <c r="AP152" i="1" s="1"/>
  <c r="AP23" i="38"/>
  <c r="AQ23" i="38" s="1"/>
  <c r="AT22" i="38"/>
  <c r="AQ22" i="38"/>
  <c r="AT22" i="40"/>
  <c r="AQ22" i="40"/>
  <c r="AU22" i="40"/>
  <c r="AP23" i="40"/>
  <c r="AQ23" i="34"/>
  <c r="AT23" i="34"/>
  <c r="AU23" i="34"/>
  <c r="AP24" i="34"/>
  <c r="AU149" i="36"/>
  <c r="AT149" i="36"/>
  <c r="AQ149" i="36"/>
  <c r="AP150" i="36"/>
  <c r="AU87" i="40"/>
  <c r="AT87" i="40"/>
  <c r="AQ87" i="40"/>
  <c r="AP88" i="40"/>
  <c r="AQ87" i="38"/>
  <c r="AU87" i="38"/>
  <c r="AT87" i="38"/>
  <c r="AP88" i="38"/>
  <c r="AT88" i="34"/>
  <c r="AU88" i="34"/>
  <c r="AQ88" i="34"/>
  <c r="AP89" i="34"/>
  <c r="AT148" i="40"/>
  <c r="AQ148" i="40"/>
  <c r="AU148" i="40"/>
  <c r="AP149" i="40"/>
  <c r="AQ22" i="36"/>
  <c r="AU22" i="36"/>
  <c r="AT22" i="36"/>
  <c r="AP23" i="36"/>
  <c r="AU153" i="38"/>
  <c r="AT153" i="38"/>
  <c r="AQ153" i="38"/>
  <c r="AP154" i="38"/>
  <c r="AT149" i="34"/>
  <c r="AQ149" i="34"/>
  <c r="AU149" i="34"/>
  <c r="AP150" i="34"/>
  <c r="AU85" i="36"/>
  <c r="AT85" i="36"/>
  <c r="AQ85" i="36"/>
  <c r="AP86" i="36"/>
  <c r="AT88" i="42"/>
  <c r="AQ88" i="42"/>
  <c r="AU88" i="42"/>
  <c r="AP89" i="42"/>
  <c r="AQ27" i="42"/>
  <c r="AU27" i="42"/>
  <c r="AT27" i="42"/>
  <c r="AP28" i="42"/>
  <c r="AQ88" i="1"/>
  <c r="AT88" i="1"/>
  <c r="AU88" i="1"/>
  <c r="AQ87" i="1"/>
  <c r="AU87" i="1"/>
  <c r="AT87" i="1"/>
  <c r="AP89" i="1"/>
  <c r="AQ89" i="1" s="1"/>
  <c r="AP22" i="1"/>
  <c r="AQ21" i="1"/>
  <c r="AU21" i="1"/>
  <c r="AT21" i="1"/>
  <c r="AP157" i="42" l="1"/>
  <c r="AU157" i="42" s="1"/>
  <c r="AQ156" i="42"/>
  <c r="AU155" i="42"/>
  <c r="AT156" i="42"/>
  <c r="AQ155" i="42"/>
  <c r="AT155" i="42"/>
  <c r="AQ151" i="1"/>
  <c r="AT151" i="1"/>
  <c r="AU151" i="1"/>
  <c r="AP24" i="38"/>
  <c r="AT24" i="38" s="1"/>
  <c r="AU23" i="38"/>
  <c r="AT23" i="38"/>
  <c r="AU89" i="34"/>
  <c r="AT89" i="34"/>
  <c r="AQ89" i="34"/>
  <c r="AP90" i="34"/>
  <c r="AU24" i="34"/>
  <c r="AT24" i="34"/>
  <c r="AQ24" i="34"/>
  <c r="AP25" i="34"/>
  <c r="AQ88" i="40"/>
  <c r="AU88" i="40"/>
  <c r="AT88" i="40"/>
  <c r="AP89" i="40"/>
  <c r="AQ86" i="36"/>
  <c r="AU86" i="36"/>
  <c r="AT86" i="36"/>
  <c r="AP87" i="36"/>
  <c r="AU23" i="36"/>
  <c r="AT23" i="36"/>
  <c r="AQ23" i="36"/>
  <c r="AP24" i="36"/>
  <c r="AQ23" i="40"/>
  <c r="AU23" i="40"/>
  <c r="AT23" i="40"/>
  <c r="AP24" i="40"/>
  <c r="AT149" i="40"/>
  <c r="AQ149" i="40"/>
  <c r="AU149" i="40"/>
  <c r="AP150" i="40"/>
  <c r="AT154" i="38"/>
  <c r="AU154" i="38"/>
  <c r="AQ154" i="38"/>
  <c r="AP155" i="38"/>
  <c r="AQ88" i="38"/>
  <c r="AU88" i="38"/>
  <c r="AT88" i="38"/>
  <c r="AP89" i="38"/>
  <c r="AT150" i="34"/>
  <c r="AQ150" i="34"/>
  <c r="AU150" i="34"/>
  <c r="AP151" i="34"/>
  <c r="AU150" i="36"/>
  <c r="AT150" i="36"/>
  <c r="AQ150" i="36"/>
  <c r="AP151" i="36"/>
  <c r="AQ89" i="42"/>
  <c r="AT89" i="42"/>
  <c r="AU89" i="42"/>
  <c r="AP90" i="42"/>
  <c r="AU28" i="42"/>
  <c r="AT28" i="42"/>
  <c r="AQ28" i="42"/>
  <c r="AP29" i="42"/>
  <c r="AQ152" i="1"/>
  <c r="AU152" i="1"/>
  <c r="AT152" i="1"/>
  <c r="AP153" i="1"/>
  <c r="AU89" i="1"/>
  <c r="AP90" i="1"/>
  <c r="AQ90" i="1" s="1"/>
  <c r="AT89" i="1"/>
  <c r="AT22" i="1"/>
  <c r="AU22" i="1"/>
  <c r="AQ22" i="1"/>
  <c r="AP23" i="1"/>
  <c r="AT157" i="42" l="1"/>
  <c r="AQ157" i="42"/>
  <c r="AP158" i="42"/>
  <c r="AT158" i="42" s="1"/>
  <c r="AP159" i="42"/>
  <c r="AU159" i="42" s="1"/>
  <c r="AP25" i="38"/>
  <c r="AU25" i="38" s="1"/>
  <c r="AQ24" i="38"/>
  <c r="AU24" i="38"/>
  <c r="AQ89" i="40"/>
  <c r="AU89" i="40"/>
  <c r="AT89" i="40"/>
  <c r="AP90" i="40"/>
  <c r="AT25" i="34"/>
  <c r="AU25" i="34"/>
  <c r="AQ25" i="34"/>
  <c r="AP26" i="34"/>
  <c r="AQ89" i="38"/>
  <c r="AU89" i="38"/>
  <c r="AT89" i="38"/>
  <c r="AP90" i="38"/>
  <c r="AU150" i="40"/>
  <c r="AT150" i="40"/>
  <c r="AQ150" i="40"/>
  <c r="AP151" i="40"/>
  <c r="AU24" i="36"/>
  <c r="P21" i="7" s="1"/>
  <c r="Q21" i="7" s="1"/>
  <c r="AT24" i="36"/>
  <c r="AQ24" i="36"/>
  <c r="AP25" i="36"/>
  <c r="AU24" i="40"/>
  <c r="AT24" i="40"/>
  <c r="AQ24" i="40"/>
  <c r="AP25" i="40"/>
  <c r="AT90" i="34"/>
  <c r="AQ90" i="34"/>
  <c r="AU90" i="34"/>
  <c r="AP91" i="34"/>
  <c r="AT155" i="38"/>
  <c r="AQ155" i="38"/>
  <c r="AU155" i="38"/>
  <c r="AP156" i="38"/>
  <c r="AQ151" i="36"/>
  <c r="AU151" i="36"/>
  <c r="AT151" i="36"/>
  <c r="AP152" i="36"/>
  <c r="AQ87" i="36"/>
  <c r="AU87" i="36"/>
  <c r="AT87" i="36"/>
  <c r="AP88" i="36"/>
  <c r="AT151" i="34"/>
  <c r="AQ151" i="34"/>
  <c r="AU151" i="34"/>
  <c r="AP152" i="34"/>
  <c r="AP91" i="42"/>
  <c r="AQ90" i="42"/>
  <c r="AU90" i="42"/>
  <c r="AT90" i="42"/>
  <c r="AT29" i="42"/>
  <c r="AU29" i="42"/>
  <c r="AQ29" i="42"/>
  <c r="AP30" i="42"/>
  <c r="AP31" i="42" s="1"/>
  <c r="AT153" i="1"/>
  <c r="AQ153" i="1"/>
  <c r="AU153" i="1"/>
  <c r="AP154" i="1"/>
  <c r="AP91" i="1"/>
  <c r="AQ91" i="1" s="1"/>
  <c r="AT90" i="1"/>
  <c r="AU90" i="1"/>
  <c r="AP24" i="1"/>
  <c r="AQ23" i="1"/>
  <c r="AT23" i="1"/>
  <c r="AU23" i="1"/>
  <c r="D7" i="7"/>
  <c r="AQ158" i="42" l="1"/>
  <c r="AU158" i="42"/>
  <c r="AP26" i="38"/>
  <c r="AQ26" i="38" s="1"/>
  <c r="AP160" i="42"/>
  <c r="AQ160" i="42" s="1"/>
  <c r="AQ159" i="42"/>
  <c r="AT159" i="42"/>
  <c r="AQ25" i="38"/>
  <c r="AT25" i="38"/>
  <c r="AT152" i="36"/>
  <c r="AU152" i="36"/>
  <c r="AQ152" i="36"/>
  <c r="AP153" i="36"/>
  <c r="AQ26" i="34"/>
  <c r="AU26" i="34"/>
  <c r="AT26" i="34"/>
  <c r="AP27" i="34"/>
  <c r="AU151" i="40"/>
  <c r="AT151" i="40"/>
  <c r="AQ151" i="40"/>
  <c r="AP152" i="40"/>
  <c r="AT91" i="34"/>
  <c r="AQ91" i="34"/>
  <c r="AU91" i="34"/>
  <c r="AP92" i="34"/>
  <c r="AU88" i="36"/>
  <c r="AQ88" i="36"/>
  <c r="AT88" i="36"/>
  <c r="AP89" i="36"/>
  <c r="AQ25" i="36"/>
  <c r="AU25" i="36"/>
  <c r="AT25" i="36"/>
  <c r="AP26" i="36"/>
  <c r="AT90" i="40"/>
  <c r="AU90" i="40"/>
  <c r="AQ90" i="40"/>
  <c r="AP91" i="40"/>
  <c r="AU90" i="38"/>
  <c r="AQ90" i="38"/>
  <c r="AT90" i="38"/>
  <c r="AP91" i="38"/>
  <c r="AU152" i="34"/>
  <c r="AT152" i="34"/>
  <c r="AQ152" i="34"/>
  <c r="AP153" i="34"/>
  <c r="AU156" i="38"/>
  <c r="AT156" i="38"/>
  <c r="AQ156" i="38"/>
  <c r="AP157" i="38"/>
  <c r="AT25" i="40"/>
  <c r="AU25" i="40"/>
  <c r="AQ25" i="40"/>
  <c r="AP26" i="40"/>
  <c r="AP92" i="42"/>
  <c r="AU91" i="42"/>
  <c r="AQ91" i="42"/>
  <c r="AT91" i="42"/>
  <c r="AT31" i="42"/>
  <c r="AU31" i="42"/>
  <c r="C27" i="7" s="1"/>
  <c r="AQ31" i="42"/>
  <c r="AU30" i="42"/>
  <c r="AQ30" i="42"/>
  <c r="AT30" i="42"/>
  <c r="AP32" i="42"/>
  <c r="AU32" i="42" s="1"/>
  <c r="AT154" i="1"/>
  <c r="AQ154" i="1"/>
  <c r="AU154" i="1"/>
  <c r="AP155" i="1"/>
  <c r="AU91" i="1"/>
  <c r="AP92" i="1"/>
  <c r="AQ92" i="1" s="1"/>
  <c r="AT91" i="1"/>
  <c r="AR9" i="7"/>
  <c r="AP25" i="1"/>
  <c r="AQ24" i="1"/>
  <c r="AU24" i="1"/>
  <c r="AT24" i="1"/>
  <c r="E27" i="7" l="1"/>
  <c r="AR27" i="7" s="1"/>
  <c r="J7" i="7"/>
  <c r="K7" i="7" s="1"/>
  <c r="AP27" i="38"/>
  <c r="AQ27" i="38" s="1"/>
  <c r="AT26" i="38"/>
  <c r="AU26" i="38"/>
  <c r="AP161" i="42"/>
  <c r="AP162" i="42" s="1"/>
  <c r="AT162" i="42" s="1"/>
  <c r="AT160" i="42"/>
  <c r="AU160" i="42"/>
  <c r="AU91" i="40"/>
  <c r="AQ91" i="40"/>
  <c r="AT91" i="40"/>
  <c r="AP92" i="40"/>
  <c r="AQ27" i="34"/>
  <c r="AT27" i="34"/>
  <c r="AU27" i="34"/>
  <c r="AP28" i="34"/>
  <c r="AU153" i="34"/>
  <c r="AQ153" i="34"/>
  <c r="AT153" i="34"/>
  <c r="AP154" i="34"/>
  <c r="AT26" i="40"/>
  <c r="AQ26" i="40"/>
  <c r="AU26" i="40"/>
  <c r="AP27" i="40"/>
  <c r="AT89" i="36"/>
  <c r="AQ89" i="36"/>
  <c r="AU89" i="36"/>
  <c r="AP90" i="36"/>
  <c r="AU157" i="38"/>
  <c r="AT157" i="38"/>
  <c r="AQ157" i="38"/>
  <c r="AP158" i="38"/>
  <c r="AT152" i="40"/>
  <c r="AQ152" i="40"/>
  <c r="AU152" i="40"/>
  <c r="AP153" i="40"/>
  <c r="AT153" i="36"/>
  <c r="AU153" i="36"/>
  <c r="AQ153" i="36"/>
  <c r="AP154" i="36"/>
  <c r="AU26" i="36"/>
  <c r="AT26" i="36"/>
  <c r="AQ26" i="36"/>
  <c r="AP27" i="36"/>
  <c r="AQ92" i="34"/>
  <c r="AU92" i="34"/>
  <c r="AT92" i="34"/>
  <c r="AP93" i="34"/>
  <c r="AT91" i="38"/>
  <c r="AU91" i="38"/>
  <c r="V7" i="7" s="1"/>
  <c r="W7" i="7" s="1"/>
  <c r="AQ91" i="38"/>
  <c r="AP92" i="38"/>
  <c r="AT92" i="42"/>
  <c r="AU92" i="42"/>
  <c r="AQ92" i="42"/>
  <c r="AP93" i="42"/>
  <c r="AQ32" i="42"/>
  <c r="AT32" i="42"/>
  <c r="AP33" i="42"/>
  <c r="AT33" i="42" s="1"/>
  <c r="AQ155" i="1"/>
  <c r="AU155" i="1"/>
  <c r="AT155" i="1"/>
  <c r="AP156" i="1"/>
  <c r="AP93" i="1"/>
  <c r="AQ93" i="1" s="1"/>
  <c r="AT92" i="1"/>
  <c r="AU92" i="1"/>
  <c r="AP9" i="7"/>
  <c r="AQ9" i="7"/>
  <c r="AT25" i="1"/>
  <c r="AU25" i="1"/>
  <c r="AQ25" i="1"/>
  <c r="AP26" i="1"/>
  <c r="AP27" i="7" l="1"/>
  <c r="AQ27" i="7"/>
  <c r="AP28" i="38"/>
  <c r="AT28" i="38" s="1"/>
  <c r="AU27" i="38"/>
  <c r="AT27" i="38"/>
  <c r="AP163" i="42"/>
  <c r="AU163" i="42" s="1"/>
  <c r="AU162" i="42"/>
  <c r="AQ162" i="42"/>
  <c r="AQ161" i="42"/>
  <c r="AT161" i="42"/>
  <c r="AU161" i="42"/>
  <c r="AU153" i="40"/>
  <c r="AT153" i="40"/>
  <c r="AQ153" i="40"/>
  <c r="AP154" i="40"/>
  <c r="AU27" i="36"/>
  <c r="AT27" i="36"/>
  <c r="AQ27" i="36"/>
  <c r="AP28" i="36"/>
  <c r="AQ158" i="38"/>
  <c r="AU158" i="38"/>
  <c r="AT158" i="38"/>
  <c r="AP159" i="38"/>
  <c r="AU92" i="40"/>
  <c r="AT92" i="40"/>
  <c r="AQ92" i="40"/>
  <c r="AP93" i="40"/>
  <c r="AU154" i="36"/>
  <c r="AT154" i="36"/>
  <c r="AQ154" i="36"/>
  <c r="AP155" i="36"/>
  <c r="AT92" i="38"/>
  <c r="AQ92" i="38"/>
  <c r="AU92" i="38"/>
  <c r="AP93" i="38"/>
  <c r="AT27" i="40"/>
  <c r="AU27" i="40"/>
  <c r="AQ27" i="40"/>
  <c r="AP28" i="40"/>
  <c r="AQ93" i="34"/>
  <c r="AU93" i="34"/>
  <c r="AT93" i="34"/>
  <c r="AP94" i="34"/>
  <c r="AU154" i="34"/>
  <c r="AQ154" i="34"/>
  <c r="AT154" i="34"/>
  <c r="AP155" i="34"/>
  <c r="AU90" i="36"/>
  <c r="AQ90" i="36"/>
  <c r="AT90" i="36"/>
  <c r="AP91" i="36"/>
  <c r="AQ28" i="34"/>
  <c r="AU28" i="34"/>
  <c r="AT28" i="34"/>
  <c r="AP29" i="34"/>
  <c r="AQ93" i="42"/>
  <c r="AU93" i="42"/>
  <c r="AT93" i="42"/>
  <c r="AP94" i="42"/>
  <c r="AP34" i="42"/>
  <c r="AQ34" i="42" s="1"/>
  <c r="AU33" i="42"/>
  <c r="AQ33" i="42"/>
  <c r="AT156" i="1"/>
  <c r="AU156" i="1"/>
  <c r="AQ156" i="1"/>
  <c r="AP157" i="1"/>
  <c r="AU93" i="1"/>
  <c r="AT93" i="1"/>
  <c r="AP94" i="1"/>
  <c r="AQ94" i="1" s="1"/>
  <c r="AQ26" i="1"/>
  <c r="AU26" i="1"/>
  <c r="AT26" i="1"/>
  <c r="AP27" i="1"/>
  <c r="AR23" i="7"/>
  <c r="AU28" i="38" l="1"/>
  <c r="AP29" i="38"/>
  <c r="AU29" i="38" s="1"/>
  <c r="AQ28" i="38"/>
  <c r="AP164" i="42"/>
  <c r="AT164" i="42" s="1"/>
  <c r="AQ163" i="42"/>
  <c r="AT163" i="42"/>
  <c r="AQ155" i="36"/>
  <c r="AU155" i="36"/>
  <c r="AT155" i="36"/>
  <c r="AP156" i="36"/>
  <c r="AQ28" i="40"/>
  <c r="AU28" i="40"/>
  <c r="AT28" i="40"/>
  <c r="AP29" i="40"/>
  <c r="AT28" i="36"/>
  <c r="AQ28" i="36"/>
  <c r="AU28" i="36"/>
  <c r="AP29" i="36"/>
  <c r="AQ159" i="38"/>
  <c r="AU159" i="38"/>
  <c r="AT159" i="38"/>
  <c r="AP160" i="38"/>
  <c r="AT29" i="34"/>
  <c r="AQ29" i="34"/>
  <c r="AU29" i="34"/>
  <c r="AP30" i="34"/>
  <c r="AT94" i="34"/>
  <c r="AU94" i="34"/>
  <c r="AQ94" i="34"/>
  <c r="AP95" i="34"/>
  <c r="AQ154" i="40"/>
  <c r="AT154" i="40"/>
  <c r="AU154" i="40"/>
  <c r="AP155" i="40"/>
  <c r="AQ91" i="36"/>
  <c r="AU91" i="36"/>
  <c r="P7" i="7" s="1"/>
  <c r="Q7" i="7" s="1"/>
  <c r="AT91" i="36"/>
  <c r="AP92" i="36"/>
  <c r="AU93" i="40"/>
  <c r="AQ93" i="40"/>
  <c r="AT93" i="40"/>
  <c r="AP94" i="40"/>
  <c r="AT155" i="34"/>
  <c r="AU155" i="34"/>
  <c r="AQ155" i="34"/>
  <c r="AP156" i="34"/>
  <c r="AT93" i="38"/>
  <c r="AU93" i="38"/>
  <c r="AQ93" i="38"/>
  <c r="AP94" i="38"/>
  <c r="AU94" i="42"/>
  <c r="AT94" i="42"/>
  <c r="AQ94" i="42"/>
  <c r="AP95" i="42"/>
  <c r="AT34" i="42"/>
  <c r="AU34" i="42"/>
  <c r="AP35" i="42"/>
  <c r="AP36" i="42" s="1"/>
  <c r="AU157" i="1"/>
  <c r="AT157" i="1"/>
  <c r="AQ157" i="1"/>
  <c r="AP158" i="1"/>
  <c r="AP95" i="1"/>
  <c r="AT95" i="1" s="1"/>
  <c r="AT94" i="1"/>
  <c r="AU94" i="1"/>
  <c r="AT27" i="1"/>
  <c r="AU27" i="1"/>
  <c r="AQ27" i="1"/>
  <c r="AP28" i="1"/>
  <c r="AQ23" i="7"/>
  <c r="AP23" i="7"/>
  <c r="AP30" i="38" l="1"/>
  <c r="AT30" i="38" s="1"/>
  <c r="AQ29" i="38"/>
  <c r="AT29" i="38"/>
  <c r="AU164" i="42"/>
  <c r="C32" i="7" s="1"/>
  <c r="E32" i="7" s="1"/>
  <c r="AP165" i="42"/>
  <c r="AT165" i="42" s="1"/>
  <c r="AQ164" i="42"/>
  <c r="AU95" i="34"/>
  <c r="AQ95" i="34"/>
  <c r="AT95" i="34"/>
  <c r="AP96" i="34"/>
  <c r="AQ29" i="40"/>
  <c r="AT29" i="40"/>
  <c r="AU29" i="40"/>
  <c r="AP30" i="40"/>
  <c r="AU92" i="36"/>
  <c r="AQ92" i="36"/>
  <c r="AT92" i="36"/>
  <c r="AP93" i="36"/>
  <c r="AU94" i="38"/>
  <c r="AQ94" i="38"/>
  <c r="AT94" i="38"/>
  <c r="AP95" i="38"/>
  <c r="AT160" i="38"/>
  <c r="AU160" i="38"/>
  <c r="AQ160" i="38"/>
  <c r="AP161" i="38"/>
  <c r="AU94" i="40"/>
  <c r="AQ94" i="40"/>
  <c r="AT94" i="40"/>
  <c r="AP95" i="40"/>
  <c r="AU156" i="36"/>
  <c r="AT156" i="36"/>
  <c r="AQ156" i="36"/>
  <c r="AP157" i="36"/>
  <c r="AU30" i="34"/>
  <c r="AQ30" i="34"/>
  <c r="AT30" i="34"/>
  <c r="AP31" i="34"/>
  <c r="AU29" i="36"/>
  <c r="AT29" i="36"/>
  <c r="AQ29" i="36"/>
  <c r="AP30" i="36"/>
  <c r="AU156" i="34"/>
  <c r="AT156" i="34"/>
  <c r="AQ156" i="34"/>
  <c r="AP157" i="34"/>
  <c r="AQ155" i="40"/>
  <c r="AT155" i="40"/>
  <c r="AU155" i="40"/>
  <c r="AP156" i="40"/>
  <c r="AT95" i="42"/>
  <c r="AU95" i="42"/>
  <c r="AQ95" i="42"/>
  <c r="AP96" i="42"/>
  <c r="AU35" i="42"/>
  <c r="AQ35" i="42"/>
  <c r="AT35" i="42"/>
  <c r="AP159" i="1"/>
  <c r="AP160" i="1" s="1"/>
  <c r="AT158" i="1"/>
  <c r="AU158" i="1"/>
  <c r="AQ158" i="1"/>
  <c r="AP96" i="1"/>
  <c r="AP97" i="1" s="1"/>
  <c r="AQ95" i="1"/>
  <c r="AU95" i="1"/>
  <c r="D12" i="7" s="1"/>
  <c r="AT36" i="42"/>
  <c r="AQ36" i="42"/>
  <c r="AU36" i="42"/>
  <c r="AP37" i="42"/>
  <c r="AU28" i="1"/>
  <c r="AT28" i="1"/>
  <c r="AQ28" i="1"/>
  <c r="AP29" i="1"/>
  <c r="E12" i="7" l="1"/>
  <c r="AR12" i="7" s="1"/>
  <c r="AP31" i="38"/>
  <c r="AT31" i="38" s="1"/>
  <c r="AQ30" i="38"/>
  <c r="AU30" i="38"/>
  <c r="AQ165" i="42"/>
  <c r="AU165" i="42"/>
  <c r="C13" i="7" s="1"/>
  <c r="AP166" i="42"/>
  <c r="AU166" i="42" s="1"/>
  <c r="AT30" i="36"/>
  <c r="AQ30" i="36"/>
  <c r="AU30" i="36"/>
  <c r="AP31" i="36"/>
  <c r="AQ30" i="40"/>
  <c r="AU30" i="40"/>
  <c r="AT30" i="40"/>
  <c r="AP31" i="40"/>
  <c r="AT156" i="40"/>
  <c r="AQ156" i="40"/>
  <c r="AU156" i="40"/>
  <c r="AP157" i="40"/>
  <c r="AQ95" i="38"/>
  <c r="AU95" i="38"/>
  <c r="AT95" i="38"/>
  <c r="AP96" i="38"/>
  <c r="AU95" i="40"/>
  <c r="AT95" i="40"/>
  <c r="AQ95" i="40"/>
  <c r="AP96" i="40"/>
  <c r="AQ31" i="34"/>
  <c r="AU31" i="34"/>
  <c r="AT31" i="34"/>
  <c r="AP32" i="34"/>
  <c r="AU96" i="34"/>
  <c r="AT96" i="34"/>
  <c r="AQ96" i="34"/>
  <c r="AP97" i="34"/>
  <c r="AU157" i="34"/>
  <c r="AT157" i="34"/>
  <c r="AQ157" i="34"/>
  <c r="AP158" i="34"/>
  <c r="AU93" i="36"/>
  <c r="AT93" i="36"/>
  <c r="AQ93" i="36"/>
  <c r="AP94" i="36"/>
  <c r="AU157" i="36"/>
  <c r="AT157" i="36"/>
  <c r="AQ157" i="36"/>
  <c r="AP158" i="36"/>
  <c r="AT161" i="38"/>
  <c r="AU161" i="38"/>
  <c r="AQ161" i="38"/>
  <c r="AP162" i="38"/>
  <c r="AP97" i="42"/>
  <c r="AT96" i="42"/>
  <c r="AU96" i="42"/>
  <c r="AQ96" i="42"/>
  <c r="AP161" i="1"/>
  <c r="AT160" i="1"/>
  <c r="AQ160" i="1"/>
  <c r="AU160" i="1"/>
  <c r="AQ159" i="1"/>
  <c r="AU159" i="1"/>
  <c r="AT159" i="1"/>
  <c r="AU96" i="1"/>
  <c r="D20" i="7" s="1"/>
  <c r="E20" i="7" s="1"/>
  <c r="AT96" i="1"/>
  <c r="AQ96" i="1"/>
  <c r="AU37" i="42"/>
  <c r="AT37" i="42"/>
  <c r="AQ37" i="42"/>
  <c r="AP38" i="42"/>
  <c r="AT97" i="1"/>
  <c r="AQ97" i="1"/>
  <c r="AU97" i="1"/>
  <c r="AP98" i="1"/>
  <c r="AQ29" i="1"/>
  <c r="AU29" i="1"/>
  <c r="AT29" i="1"/>
  <c r="AP30" i="1"/>
  <c r="AQ12" i="7" l="1"/>
  <c r="AP12" i="7"/>
  <c r="AQ20" i="7"/>
  <c r="AP20" i="7"/>
  <c r="AP32" i="38"/>
  <c r="AU32" i="38" s="1"/>
  <c r="AU31" i="38"/>
  <c r="AQ31" i="38"/>
  <c r="AP167" i="42"/>
  <c r="AU167" i="42" s="1"/>
  <c r="AT166" i="42"/>
  <c r="AQ166" i="42"/>
  <c r="AT96" i="40"/>
  <c r="AU96" i="40"/>
  <c r="AQ96" i="40"/>
  <c r="AP97" i="40"/>
  <c r="AQ31" i="40"/>
  <c r="AU31" i="40"/>
  <c r="AT31" i="40"/>
  <c r="AP32" i="40"/>
  <c r="AT94" i="36"/>
  <c r="AQ94" i="36"/>
  <c r="AU94" i="36"/>
  <c r="AP95" i="36"/>
  <c r="AQ96" i="38"/>
  <c r="AU96" i="38"/>
  <c r="AT96" i="38"/>
  <c r="AP97" i="38"/>
  <c r="AU97" i="34"/>
  <c r="AT97" i="34"/>
  <c r="AQ97" i="34"/>
  <c r="AP98" i="34"/>
  <c r="AU162" i="38"/>
  <c r="AT162" i="38"/>
  <c r="AQ162" i="38"/>
  <c r="AP163" i="38"/>
  <c r="AQ32" i="34"/>
  <c r="AU32" i="34"/>
  <c r="AT32" i="34"/>
  <c r="AP33" i="34"/>
  <c r="AT31" i="36"/>
  <c r="AQ31" i="36"/>
  <c r="AU31" i="36"/>
  <c r="AP32" i="36"/>
  <c r="AT158" i="36"/>
  <c r="AQ158" i="36"/>
  <c r="AU158" i="36"/>
  <c r="AP159" i="36"/>
  <c r="AT158" i="34"/>
  <c r="AU158" i="34"/>
  <c r="AQ158" i="34"/>
  <c r="AP159" i="34"/>
  <c r="AT157" i="40"/>
  <c r="AQ157" i="40"/>
  <c r="AU157" i="40"/>
  <c r="AP158" i="40"/>
  <c r="AP98" i="42"/>
  <c r="AT97" i="42"/>
  <c r="AQ97" i="42"/>
  <c r="AU97" i="42"/>
  <c r="AP162" i="1"/>
  <c r="AQ161" i="1"/>
  <c r="AU161" i="1"/>
  <c r="D21" i="7" s="1"/>
  <c r="E21" i="7" s="1"/>
  <c r="AT161" i="1"/>
  <c r="AU38" i="42"/>
  <c r="C30" i="7" s="1"/>
  <c r="AT38" i="42"/>
  <c r="AQ38" i="42"/>
  <c r="AP39" i="42"/>
  <c r="AU98" i="1"/>
  <c r="AQ98" i="1"/>
  <c r="AT98" i="1"/>
  <c r="AP99" i="1"/>
  <c r="AP31" i="1"/>
  <c r="AP32" i="1" s="1"/>
  <c r="AT30" i="1"/>
  <c r="AU30" i="1"/>
  <c r="AQ30" i="1"/>
  <c r="E30" i="7" l="1"/>
  <c r="AR30" i="7" s="1"/>
  <c r="AP33" i="38"/>
  <c r="AU33" i="38" s="1"/>
  <c r="AT32" i="38"/>
  <c r="AQ32" i="38"/>
  <c r="C22" i="7"/>
  <c r="C8" i="7"/>
  <c r="AQ167" i="42"/>
  <c r="AT167" i="42"/>
  <c r="AU32" i="36"/>
  <c r="AT32" i="36"/>
  <c r="AQ32" i="36"/>
  <c r="AP33" i="36"/>
  <c r="AT32" i="40"/>
  <c r="AU32" i="40"/>
  <c r="AQ32" i="40"/>
  <c r="AP33" i="40"/>
  <c r="AT163" i="38"/>
  <c r="AU163" i="38"/>
  <c r="AQ163" i="38"/>
  <c r="AP164" i="38"/>
  <c r="AQ158" i="40"/>
  <c r="AT158" i="40"/>
  <c r="AU158" i="40"/>
  <c r="AP159" i="40"/>
  <c r="AU97" i="38"/>
  <c r="AT97" i="38"/>
  <c r="AQ97" i="38"/>
  <c r="AP98" i="38"/>
  <c r="AU33" i="34"/>
  <c r="AT33" i="34"/>
  <c r="AQ33" i="34"/>
  <c r="AP34" i="34"/>
  <c r="AT97" i="40"/>
  <c r="AQ97" i="40"/>
  <c r="AU97" i="40"/>
  <c r="AP98" i="40"/>
  <c r="AQ159" i="34"/>
  <c r="AT159" i="34"/>
  <c r="AU159" i="34"/>
  <c r="AP160" i="34"/>
  <c r="AQ98" i="34"/>
  <c r="AT98" i="34"/>
  <c r="AU98" i="34"/>
  <c r="AP99" i="34"/>
  <c r="AU159" i="36"/>
  <c r="AT159" i="36"/>
  <c r="AQ159" i="36"/>
  <c r="AP160" i="36"/>
  <c r="AT95" i="36"/>
  <c r="AU95" i="36"/>
  <c r="AQ95" i="36"/>
  <c r="AP96" i="36"/>
  <c r="AP99" i="42"/>
  <c r="AT98" i="42"/>
  <c r="AQ98" i="42"/>
  <c r="AU98" i="42"/>
  <c r="AQ162" i="1"/>
  <c r="AU162" i="1"/>
  <c r="AT162" i="1"/>
  <c r="AP163" i="1"/>
  <c r="AT39" i="42"/>
  <c r="AQ39" i="42"/>
  <c r="AU39" i="42"/>
  <c r="AP100" i="1"/>
  <c r="AQ99" i="1"/>
  <c r="AT99" i="1"/>
  <c r="AU99" i="1"/>
  <c r="AP33" i="1"/>
  <c r="AP34" i="1" s="1"/>
  <c r="AQ32" i="1"/>
  <c r="AT32" i="1"/>
  <c r="AU32" i="1"/>
  <c r="AT31" i="1"/>
  <c r="AQ31" i="1"/>
  <c r="AU31" i="1"/>
  <c r="D19" i="7" s="1"/>
  <c r="E19" i="7" s="1"/>
  <c r="AQ30" i="7" l="1"/>
  <c r="AP30" i="7"/>
  <c r="AP19" i="7"/>
  <c r="AQ19" i="7"/>
  <c r="AQ33" i="38"/>
  <c r="AP34" i="38"/>
  <c r="AU34" i="38" s="1"/>
  <c r="AT33" i="38"/>
  <c r="AU99" i="34"/>
  <c r="AT99" i="34"/>
  <c r="AQ99" i="34"/>
  <c r="AP100" i="34"/>
  <c r="AU33" i="40"/>
  <c r="AT33" i="40"/>
  <c r="AQ33" i="40"/>
  <c r="AP34" i="40"/>
  <c r="AQ98" i="40"/>
  <c r="AT98" i="40"/>
  <c r="AU98" i="40"/>
  <c r="AP99" i="40"/>
  <c r="AQ96" i="36"/>
  <c r="AU96" i="36"/>
  <c r="AT96" i="36"/>
  <c r="AP97" i="36"/>
  <c r="AQ159" i="40"/>
  <c r="AU159" i="40"/>
  <c r="AT159" i="40"/>
  <c r="AP160" i="40"/>
  <c r="AT160" i="34"/>
  <c r="AQ160" i="34"/>
  <c r="AU160" i="34"/>
  <c r="AP161" i="34"/>
  <c r="AU33" i="36"/>
  <c r="AT33" i="36"/>
  <c r="AQ33" i="36"/>
  <c r="AP34" i="36"/>
  <c r="AQ164" i="38"/>
  <c r="AT164" i="38"/>
  <c r="AU164" i="38"/>
  <c r="AP165" i="38"/>
  <c r="AU160" i="36"/>
  <c r="AT160" i="36"/>
  <c r="AQ160" i="36"/>
  <c r="AP161" i="36"/>
  <c r="AQ98" i="38"/>
  <c r="AU98" i="38"/>
  <c r="AT98" i="38"/>
  <c r="AP99" i="38"/>
  <c r="AU34" i="34"/>
  <c r="AQ34" i="34"/>
  <c r="AT34" i="34"/>
  <c r="AP35" i="34"/>
  <c r="AT99" i="42"/>
  <c r="AU99" i="42"/>
  <c r="C7" i="7" s="1"/>
  <c r="E7" i="7" s="1"/>
  <c r="AQ99" i="42"/>
  <c r="AP100" i="42"/>
  <c r="AP164" i="1"/>
  <c r="AT163" i="1"/>
  <c r="AQ163" i="1"/>
  <c r="AU163" i="1"/>
  <c r="AQ100" i="1"/>
  <c r="AT100" i="1"/>
  <c r="AU100" i="1"/>
  <c r="D22" i="7" s="1"/>
  <c r="E22" i="7" s="1"/>
  <c r="AP101" i="1"/>
  <c r="AP35" i="1"/>
  <c r="AT34" i="1"/>
  <c r="AU34" i="1"/>
  <c r="AQ34" i="1"/>
  <c r="AQ33" i="1"/>
  <c r="AT33" i="1"/>
  <c r="AU33" i="1"/>
  <c r="AQ34" i="38" l="1"/>
  <c r="AP35" i="38"/>
  <c r="AU35" i="38" s="1"/>
  <c r="AT34" i="38"/>
  <c r="AU160" i="40"/>
  <c r="AT160" i="40"/>
  <c r="AQ160" i="40"/>
  <c r="AP161" i="40"/>
  <c r="AQ34" i="40"/>
  <c r="AU34" i="40"/>
  <c r="AT34" i="40"/>
  <c r="AP35" i="40"/>
  <c r="AU161" i="36"/>
  <c r="AT161" i="36"/>
  <c r="AQ161" i="36"/>
  <c r="AP162" i="36"/>
  <c r="AU35" i="34"/>
  <c r="AT35" i="34"/>
  <c r="AQ35" i="34"/>
  <c r="AP36" i="34"/>
  <c r="AT165" i="38"/>
  <c r="AU165" i="38"/>
  <c r="AQ165" i="38"/>
  <c r="AP166" i="38"/>
  <c r="AT100" i="34"/>
  <c r="AQ100" i="34"/>
  <c r="AU100" i="34"/>
  <c r="AP101" i="34"/>
  <c r="AQ99" i="38"/>
  <c r="AT99" i="38"/>
  <c r="AU99" i="38"/>
  <c r="AP100" i="38"/>
  <c r="AQ97" i="36"/>
  <c r="AU97" i="36"/>
  <c r="AT97" i="36"/>
  <c r="AP98" i="36"/>
  <c r="AQ34" i="36"/>
  <c r="AT34" i="36"/>
  <c r="AU34" i="36"/>
  <c r="AP35" i="36"/>
  <c r="AT99" i="40"/>
  <c r="AU99" i="40"/>
  <c r="AQ99" i="40"/>
  <c r="AP100" i="40"/>
  <c r="AQ161" i="34"/>
  <c r="AU161" i="34"/>
  <c r="AT161" i="34"/>
  <c r="AP162" i="34"/>
  <c r="AT100" i="42"/>
  <c r="AQ100" i="42"/>
  <c r="AU100" i="42"/>
  <c r="C31" i="7" s="1"/>
  <c r="E31" i="7" s="1"/>
  <c r="AP101" i="42"/>
  <c r="AU164" i="1"/>
  <c r="AT164" i="1"/>
  <c r="AQ164" i="1"/>
  <c r="AP165" i="1"/>
  <c r="AQ101" i="1"/>
  <c r="AU101" i="1"/>
  <c r="AT101" i="1"/>
  <c r="AP102" i="1"/>
  <c r="AP36" i="1"/>
  <c r="AT35" i="1"/>
  <c r="AQ35" i="1"/>
  <c r="AU35" i="1"/>
  <c r="AQ35" i="38" l="1"/>
  <c r="AP36" i="38"/>
  <c r="AU36" i="38" s="1"/>
  <c r="AT35" i="38"/>
  <c r="AU100" i="38"/>
  <c r="AQ100" i="38"/>
  <c r="AT100" i="38"/>
  <c r="AP101" i="38"/>
  <c r="AQ35" i="40"/>
  <c r="AU35" i="40"/>
  <c r="AT35" i="40"/>
  <c r="AP36" i="40"/>
  <c r="AQ35" i="36"/>
  <c r="AT35" i="36"/>
  <c r="AU35" i="36"/>
  <c r="AP36" i="36"/>
  <c r="AT162" i="36"/>
  <c r="AU162" i="36"/>
  <c r="AQ162" i="36"/>
  <c r="AP163" i="36"/>
  <c r="AT166" i="38"/>
  <c r="AQ166" i="38"/>
  <c r="AU166" i="38"/>
  <c r="AP167" i="38"/>
  <c r="AQ162" i="34"/>
  <c r="AU162" i="34"/>
  <c r="AT162" i="34"/>
  <c r="AP163" i="34"/>
  <c r="AU98" i="36"/>
  <c r="AQ98" i="36"/>
  <c r="AT98" i="36"/>
  <c r="AP99" i="36"/>
  <c r="AU161" i="40"/>
  <c r="AT161" i="40"/>
  <c r="AQ161" i="40"/>
  <c r="AP162" i="40"/>
  <c r="AU100" i="40"/>
  <c r="AT100" i="40"/>
  <c r="AQ100" i="40"/>
  <c r="AP101" i="40"/>
  <c r="AT101" i="34"/>
  <c r="AQ101" i="34"/>
  <c r="AU101" i="34"/>
  <c r="AP102" i="34"/>
  <c r="AQ36" i="34"/>
  <c r="AU36" i="34"/>
  <c r="AT36" i="34"/>
  <c r="AP37" i="34"/>
  <c r="AT101" i="42"/>
  <c r="AU101" i="42"/>
  <c r="C10" i="7" s="1"/>
  <c r="AQ101" i="42"/>
  <c r="AP102" i="42"/>
  <c r="AP166" i="1"/>
  <c r="AQ165" i="1"/>
  <c r="AU165" i="1"/>
  <c r="AT165" i="1"/>
  <c r="AQ102" i="1"/>
  <c r="AT102" i="1"/>
  <c r="AU102" i="1"/>
  <c r="AP103" i="1"/>
  <c r="AU36" i="1"/>
  <c r="AT36" i="1"/>
  <c r="AQ36" i="1"/>
  <c r="AP37" i="1"/>
  <c r="E10" i="7" l="1"/>
  <c r="AR10" i="7" s="1"/>
  <c r="AT36" i="38"/>
  <c r="AP37" i="38"/>
  <c r="AQ37" i="38" s="1"/>
  <c r="AQ36" i="38"/>
  <c r="AU162" i="40"/>
  <c r="AT162" i="40"/>
  <c r="AQ162" i="40"/>
  <c r="AP163" i="40"/>
  <c r="AQ36" i="40"/>
  <c r="AT36" i="40"/>
  <c r="AU36" i="40"/>
  <c r="AP37" i="40"/>
  <c r="AU163" i="36"/>
  <c r="AT163" i="36"/>
  <c r="AQ163" i="36"/>
  <c r="AP164" i="36"/>
  <c r="AQ37" i="34"/>
  <c r="AU37" i="34"/>
  <c r="AT37" i="34"/>
  <c r="AP38" i="34"/>
  <c r="AQ163" i="34"/>
  <c r="AU163" i="34"/>
  <c r="AT163" i="34"/>
  <c r="AP164" i="34"/>
  <c r="AT101" i="40"/>
  <c r="AQ101" i="40"/>
  <c r="AU101" i="40"/>
  <c r="AP102" i="40"/>
  <c r="AQ101" i="38"/>
  <c r="AU101" i="38"/>
  <c r="AT101" i="38"/>
  <c r="AP102" i="38"/>
  <c r="AQ99" i="36"/>
  <c r="AU99" i="36"/>
  <c r="AT99" i="36"/>
  <c r="AP100" i="36"/>
  <c r="AT102" i="34"/>
  <c r="AQ102" i="34"/>
  <c r="AU102" i="34"/>
  <c r="AP103" i="34"/>
  <c r="AQ36" i="36"/>
  <c r="AT36" i="36"/>
  <c r="AU36" i="36"/>
  <c r="AP37" i="36"/>
  <c r="AT167" i="38"/>
  <c r="AU167" i="38"/>
  <c r="V8" i="7" s="1"/>
  <c r="W8" i="7" s="1"/>
  <c r="AQ167" i="38"/>
  <c r="AP103" i="42"/>
  <c r="AQ102" i="42"/>
  <c r="AT102" i="42"/>
  <c r="AU102" i="42"/>
  <c r="AP167" i="1"/>
  <c r="AQ166" i="1"/>
  <c r="AU166" i="1"/>
  <c r="D17" i="7" s="1"/>
  <c r="AT166" i="1"/>
  <c r="AT103" i="1"/>
  <c r="AQ103" i="1"/>
  <c r="AU103" i="1"/>
  <c r="AP38" i="1"/>
  <c r="AP39" i="1" s="1"/>
  <c r="AT37" i="1"/>
  <c r="AU37" i="1"/>
  <c r="AQ37" i="1"/>
  <c r="E17" i="7" l="1"/>
  <c r="AR17" i="7" s="1"/>
  <c r="AP38" i="38"/>
  <c r="AQ38" i="38" s="1"/>
  <c r="AT37" i="38"/>
  <c r="AU37" i="38"/>
  <c r="AU103" i="34"/>
  <c r="AQ103" i="34"/>
  <c r="AT103" i="34"/>
  <c r="AU37" i="40"/>
  <c r="AT37" i="40"/>
  <c r="AQ37" i="40"/>
  <c r="AP38" i="40"/>
  <c r="AU164" i="36"/>
  <c r="AT164" i="36"/>
  <c r="AQ164" i="36"/>
  <c r="AP165" i="36"/>
  <c r="AQ102" i="38"/>
  <c r="AT102" i="38"/>
  <c r="AU102" i="38"/>
  <c r="AP103" i="38"/>
  <c r="AQ164" i="34"/>
  <c r="AU164" i="34"/>
  <c r="AT164" i="34"/>
  <c r="AP165" i="34"/>
  <c r="AQ102" i="40"/>
  <c r="AT102" i="40"/>
  <c r="AU102" i="40"/>
  <c r="AP103" i="40"/>
  <c r="AU163" i="40"/>
  <c r="AT163" i="40"/>
  <c r="AQ163" i="40"/>
  <c r="AP164" i="40"/>
  <c r="AT100" i="36"/>
  <c r="AU100" i="36"/>
  <c r="AQ100" i="36"/>
  <c r="AP101" i="36"/>
  <c r="AQ37" i="36"/>
  <c r="AT37" i="36"/>
  <c r="AU37" i="36"/>
  <c r="AP38" i="36"/>
  <c r="AT38" i="34"/>
  <c r="AQ38" i="34"/>
  <c r="AU38" i="34"/>
  <c r="AP39" i="34"/>
  <c r="AU103" i="42"/>
  <c r="C24" i="7" s="1"/>
  <c r="AQ103" i="42"/>
  <c r="AT103" i="42"/>
  <c r="AQ167" i="1"/>
  <c r="AU167" i="1"/>
  <c r="AT167" i="1"/>
  <c r="AQ39" i="1"/>
  <c r="AT39" i="1"/>
  <c r="AU39" i="1"/>
  <c r="AQ10" i="7"/>
  <c r="AP10" i="7"/>
  <c r="AU38" i="1"/>
  <c r="D15" i="7" s="1"/>
  <c r="AT38" i="1"/>
  <c r="AQ38" i="1"/>
  <c r="E24" i="7" l="1"/>
  <c r="AR24" i="7" s="1"/>
  <c r="AQ17" i="7"/>
  <c r="AP17" i="7"/>
  <c r="E15" i="7"/>
  <c r="AR15" i="7" s="1"/>
  <c r="D8" i="7"/>
  <c r="E8" i="7" s="1"/>
  <c r="D13" i="7"/>
  <c r="AR31" i="7"/>
  <c r="AQ31" i="7" s="1"/>
  <c r="D16" i="7"/>
  <c r="AU38" i="38"/>
  <c r="AT38" i="38"/>
  <c r="AP39" i="38"/>
  <c r="AQ39" i="38" s="1"/>
  <c r="AU38" i="36"/>
  <c r="AT38" i="36"/>
  <c r="AQ38" i="36"/>
  <c r="AP39" i="36"/>
  <c r="AT38" i="40"/>
  <c r="AQ38" i="40"/>
  <c r="AU38" i="40"/>
  <c r="AP39" i="40"/>
  <c r="AT103" i="38"/>
  <c r="AQ103" i="38"/>
  <c r="AU103" i="38"/>
  <c r="AQ103" i="40"/>
  <c r="AU103" i="40"/>
  <c r="AT103" i="40"/>
  <c r="AU101" i="36"/>
  <c r="AQ101" i="36"/>
  <c r="AT101" i="36"/>
  <c r="AP102" i="36"/>
  <c r="AQ39" i="34"/>
  <c r="AT39" i="34"/>
  <c r="AU39" i="34"/>
  <c r="AQ165" i="36"/>
  <c r="AU165" i="36"/>
  <c r="AT165" i="36"/>
  <c r="AP166" i="36"/>
  <c r="AU165" i="34"/>
  <c r="AT165" i="34"/>
  <c r="AQ165" i="34"/>
  <c r="AP166" i="34"/>
  <c r="AQ164" i="40"/>
  <c r="AU164" i="40"/>
  <c r="AT164" i="40"/>
  <c r="AP165" i="40"/>
  <c r="AR32" i="7"/>
  <c r="AP32" i="7" s="1"/>
  <c r="AR41" i="7"/>
  <c r="AQ41" i="7" s="1"/>
  <c r="AR35" i="7"/>
  <c r="AP35" i="7" s="1"/>
  <c r="AR38" i="7"/>
  <c r="AQ38" i="7" s="1"/>
  <c r="AR46" i="7"/>
  <c r="AP24" i="7" l="1"/>
  <c r="AQ24" i="7"/>
  <c r="AQ15" i="7"/>
  <c r="AP15" i="7"/>
  <c r="E16" i="7"/>
  <c r="AR16" i="7" s="1"/>
  <c r="E13" i="7"/>
  <c r="AR13" i="7" s="1"/>
  <c r="AP31" i="7"/>
  <c r="AT39" i="38"/>
  <c r="AU39" i="38"/>
  <c r="AU39" i="36"/>
  <c r="AT39" i="36"/>
  <c r="AQ39" i="36"/>
  <c r="AU102" i="36"/>
  <c r="AQ102" i="36"/>
  <c r="AT102" i="36"/>
  <c r="AP103" i="36"/>
  <c r="AQ166" i="36"/>
  <c r="AU166" i="36"/>
  <c r="AT166" i="36"/>
  <c r="AP167" i="36"/>
  <c r="AT39" i="40"/>
  <c r="AQ39" i="40"/>
  <c r="AU39" i="40"/>
  <c r="AQ165" i="40"/>
  <c r="AT165" i="40"/>
  <c r="AU165" i="40"/>
  <c r="AP166" i="40"/>
  <c r="AQ166" i="34"/>
  <c r="AU166" i="34"/>
  <c r="AT166" i="34"/>
  <c r="AP167" i="34"/>
  <c r="AP21" i="7"/>
  <c r="AQ32" i="7"/>
  <c r="AP22" i="7"/>
  <c r="AQ35" i="7"/>
  <c r="AR26" i="7"/>
  <c r="AP26" i="7" s="1"/>
  <c r="AP38" i="7"/>
  <c r="AP41" i="7"/>
  <c r="AP46" i="7"/>
  <c r="AQ46" i="7"/>
  <c r="AQ13" i="7" l="1"/>
  <c r="AP13" i="7"/>
  <c r="AP16" i="7"/>
  <c r="AQ16" i="7"/>
  <c r="AU103" i="36"/>
  <c r="AQ103" i="36"/>
  <c r="AT103" i="36"/>
  <c r="AT167" i="34"/>
  <c r="AQ167" i="34"/>
  <c r="AU167" i="34"/>
  <c r="J8" i="7" s="1"/>
  <c r="K8" i="7" s="1"/>
  <c r="AQ167" i="36"/>
  <c r="AU167" i="36"/>
  <c r="P8" i="7" s="1"/>
  <c r="Q8" i="7" s="1"/>
  <c r="AT167" i="36"/>
  <c r="AQ166" i="40"/>
  <c r="AT166" i="40"/>
  <c r="AU166" i="40"/>
  <c r="AP167" i="40"/>
  <c r="AQ22" i="7"/>
  <c r="AQ26" i="7"/>
  <c r="AQ21" i="7"/>
  <c r="AQ167" i="40" l="1"/>
  <c r="AT167" i="40"/>
  <c r="AU167" i="40"/>
  <c r="AB8" i="7" l="1"/>
  <c r="AB7" i="7"/>
  <c r="AY43" i="7"/>
  <c r="AX43" i="7"/>
  <c r="AS39" i="7"/>
  <c r="AS40" i="7"/>
  <c r="AS46" i="7"/>
  <c r="AS44" i="7"/>
  <c r="AS41" i="7"/>
  <c r="AS42" i="7"/>
  <c r="AS37" i="7"/>
  <c r="AS38" i="7"/>
  <c r="AS45" i="7"/>
  <c r="AC7" i="7" l="1"/>
  <c r="AR7" i="7" s="1"/>
  <c r="AC8" i="7"/>
  <c r="AR8" i="7" s="1"/>
  <c r="AX44" i="7"/>
  <c r="AY44" i="7"/>
  <c r="AY46" i="7"/>
  <c r="AX46" i="7"/>
  <c r="AY45" i="7"/>
  <c r="AX45" i="7"/>
  <c r="AX42" i="7"/>
  <c r="AY42" i="7"/>
  <c r="AY41" i="7"/>
  <c r="AX41" i="7"/>
  <c r="AY40" i="7"/>
  <c r="AX40" i="7"/>
  <c r="AY38" i="7"/>
  <c r="AX38" i="7"/>
  <c r="AX37" i="7"/>
  <c r="AY37" i="7"/>
  <c r="AX39" i="7"/>
  <c r="AY39" i="7"/>
  <c r="AQ8" i="7" l="1"/>
  <c r="AP8" i="7"/>
  <c r="AQ7" i="7"/>
  <c r="AP7" i="7"/>
  <c r="AS43" i="7"/>
  <c r="AS19" i="7"/>
  <c r="AS18" i="7"/>
  <c r="AS20" i="7"/>
  <c r="AS21" i="7"/>
  <c r="AS22" i="7"/>
  <c r="AV43" i="7"/>
  <c r="AW43" i="7" s="1"/>
  <c r="AV44" i="7"/>
  <c r="AW44" i="7" s="1"/>
  <c r="AV38" i="7"/>
  <c r="AW38" i="7" s="1"/>
  <c r="AV41" i="7"/>
  <c r="AW41" i="7" s="1"/>
  <c r="AV45" i="7"/>
  <c r="AW45" i="7" s="1"/>
  <c r="AV39" i="7"/>
  <c r="AW39" i="7" s="1"/>
  <c r="AV37" i="7"/>
  <c r="AW37" i="7" s="1"/>
  <c r="AV42" i="7"/>
  <c r="AW42" i="7" s="1"/>
  <c r="AV40" i="7"/>
  <c r="AW40" i="7" s="1"/>
  <c r="AV46" i="7"/>
  <c r="AW46" i="7" s="1"/>
  <c r="AS35" i="7" l="1"/>
  <c r="AS34" i="7"/>
  <c r="AS36" i="7"/>
  <c r="AS12" i="7"/>
  <c r="AY12" i="7" s="1"/>
  <c r="AS8" i="7"/>
  <c r="AX8" i="7" s="1"/>
  <c r="AS9" i="7"/>
  <c r="AY9" i="7" s="1"/>
  <c r="AS33" i="7"/>
  <c r="AS30" i="7"/>
  <c r="AS25" i="7"/>
  <c r="AS28" i="7"/>
  <c r="AS31" i="7"/>
  <c r="AS32" i="7"/>
  <c r="AS26" i="7"/>
  <c r="AS27" i="7"/>
  <c r="AS29" i="7"/>
  <c r="AS24" i="7"/>
  <c r="AS23" i="7"/>
  <c r="AS14" i="7"/>
  <c r="AY14" i="7" s="1"/>
  <c r="AS16" i="7"/>
  <c r="AX16" i="7" s="1"/>
  <c r="AS10" i="7"/>
  <c r="AY10" i="7" s="1"/>
  <c r="AS17" i="7"/>
  <c r="AX17" i="7" s="1"/>
  <c r="AS7" i="7"/>
  <c r="AY7" i="7" s="1"/>
  <c r="AS13" i="7"/>
  <c r="AX13" i="7" s="1"/>
  <c r="AS11" i="7"/>
  <c r="AY11" i="7" s="1"/>
  <c r="AS15" i="7"/>
  <c r="AX15" i="7" s="1"/>
  <c r="AY22" i="7"/>
  <c r="AX22" i="7"/>
  <c r="AY18" i="7"/>
  <c r="AX18" i="7"/>
  <c r="AX21" i="7"/>
  <c r="AY21" i="7"/>
  <c r="AY20" i="7"/>
  <c r="AX20" i="7"/>
  <c r="AX19" i="7"/>
  <c r="AY19" i="7"/>
  <c r="AY36" i="7" l="1"/>
  <c r="AV36" i="7" s="1"/>
  <c r="AW36" i="7" s="1"/>
  <c r="AX36" i="7"/>
  <c r="AX34" i="7"/>
  <c r="AY34" i="7"/>
  <c r="AV34" i="7" s="1"/>
  <c r="AW34" i="7" s="1"/>
  <c r="AX35" i="7"/>
  <c r="AY35" i="7"/>
  <c r="AV35" i="7" s="1"/>
  <c r="AW35" i="7" s="1"/>
  <c r="AY8" i="7"/>
  <c r="AX12" i="7"/>
  <c r="AY16" i="7"/>
  <c r="AY13" i="7"/>
  <c r="AX9" i="7"/>
  <c r="AY23" i="7"/>
  <c r="AX23" i="7"/>
  <c r="AY26" i="7"/>
  <c r="AX26" i="7"/>
  <c r="AX25" i="7"/>
  <c r="AY25" i="7"/>
  <c r="AY24" i="7"/>
  <c r="AX24" i="7"/>
  <c r="AY32" i="7"/>
  <c r="AV32" i="7" s="1"/>
  <c r="AW32" i="7" s="1"/>
  <c r="AX32" i="7"/>
  <c r="AY30" i="7"/>
  <c r="AX30" i="7"/>
  <c r="AY29" i="7"/>
  <c r="AX29" i="7"/>
  <c r="AY31" i="7"/>
  <c r="AX31" i="7"/>
  <c r="AX33" i="7"/>
  <c r="AY33" i="7"/>
  <c r="AV33" i="7" s="1"/>
  <c r="AW33" i="7" s="1"/>
  <c r="AY27" i="7"/>
  <c r="AX27" i="7"/>
  <c r="AX28" i="7"/>
  <c r="AY28" i="7"/>
  <c r="AX7" i="7"/>
  <c r="AX10" i="7"/>
  <c r="AX11" i="7"/>
  <c r="AY17" i="7"/>
  <c r="AY15" i="7"/>
  <c r="AX14" i="7"/>
  <c r="AV21" i="7"/>
  <c r="AW21" i="7" s="1"/>
  <c r="AV22" i="7"/>
  <c r="AW22" i="7" s="1"/>
  <c r="AV19" i="7"/>
  <c r="AW19" i="7" s="1"/>
  <c r="AV18" i="7"/>
  <c r="AW18" i="7" s="1"/>
  <c r="AV20" i="7"/>
  <c r="AW20" i="7" s="1"/>
  <c r="AV31" i="7" l="1"/>
  <c r="AW31" i="7" s="1"/>
  <c r="AV30" i="7"/>
  <c r="AW30" i="7" s="1"/>
  <c r="AV29" i="7"/>
  <c r="AW29" i="7" s="1"/>
  <c r="AV23" i="7"/>
  <c r="AW23" i="7" s="1"/>
  <c r="AV28" i="7"/>
  <c r="AW28" i="7" s="1"/>
  <c r="AV27" i="7"/>
  <c r="AW27" i="7" s="1"/>
  <c r="AV26" i="7"/>
  <c r="AW26" i="7" s="1"/>
  <c r="AV25" i="7"/>
  <c r="AW25" i="7" s="1"/>
  <c r="AV24" i="7"/>
  <c r="AW24" i="7" s="1"/>
  <c r="AV14" i="7"/>
  <c r="AW14" i="7" s="1"/>
  <c r="AV16" i="7"/>
  <c r="AW16" i="7" s="1"/>
  <c r="AV17" i="7"/>
  <c r="AW17" i="7" s="1"/>
  <c r="AV15" i="7"/>
  <c r="AW15" i="7" s="1"/>
  <c r="AV10" i="7"/>
  <c r="AW10" i="7" s="1"/>
  <c r="AV13" i="7"/>
  <c r="AW13" i="7" s="1"/>
  <c r="AV8" i="7"/>
  <c r="AW8" i="7" s="1"/>
  <c r="AV9" i="7"/>
  <c r="AW9" i="7" s="1"/>
  <c r="AV12" i="7"/>
  <c r="AW12" i="7" s="1"/>
  <c r="AV11" i="7"/>
  <c r="AW11" i="7" s="1"/>
  <c r="AV7" i="7"/>
  <c r="AW7" i="7" s="1"/>
</calcChain>
</file>

<file path=xl/sharedStrings.xml><?xml version="1.0" encoding="utf-8"?>
<sst xmlns="http://schemas.openxmlformats.org/spreadsheetml/2006/main" count="12943" uniqueCount="780">
  <si>
    <t>ESCOLA</t>
  </si>
  <si>
    <t>PONTUAÇÃO</t>
  </si>
  <si>
    <t>TOTAL</t>
  </si>
  <si>
    <t>CLASSIFICAÇÃO</t>
  </si>
  <si>
    <t>S É R I E    P R A T A</t>
  </si>
  <si>
    <t>SUB-09</t>
  </si>
  <si>
    <t>MASC</t>
  </si>
  <si>
    <t>FEM</t>
  </si>
  <si>
    <t>SUB-11</t>
  </si>
  <si>
    <t>SUB-13</t>
  </si>
  <si>
    <t>SUB-15</t>
  </si>
  <si>
    <t>SUB-17</t>
  </si>
  <si>
    <t>SUB 11 FEMININO</t>
  </si>
  <si>
    <t>PONTUAÇÃO ESCOLA:</t>
  </si>
  <si>
    <t>SIM</t>
  </si>
  <si>
    <t>NOMES</t>
  </si>
  <si>
    <t>PONTUAÇÃO ALUNO</t>
  </si>
  <si>
    <t>PONTUAÇÃO ESCOLA</t>
  </si>
  <si>
    <t>LUGAR</t>
  </si>
  <si>
    <t>SUB 09 FEMININO</t>
  </si>
  <si>
    <t>S É R I E   P R A T A</t>
  </si>
  <si>
    <t xml:space="preserve">S É R I E   O U R O </t>
  </si>
  <si>
    <t xml:space="preserve">S É R I E   B R O N Z E </t>
  </si>
  <si>
    <t xml:space="preserve">S É R I E    B R O N Z E </t>
  </si>
  <si>
    <t>SUB 11 MASCULINO</t>
  </si>
  <si>
    <t>SUB 09 MASCULINO</t>
  </si>
  <si>
    <t>ESCOLAS PARTICIPANTES</t>
  </si>
  <si>
    <t>ALUNOS PARTICIPANTES</t>
  </si>
  <si>
    <t>NÃO</t>
  </si>
  <si>
    <t>SUB 13 FEMININO</t>
  </si>
  <si>
    <t>SUB 13 MASCULINO</t>
  </si>
  <si>
    <t>SUB 15 FEMININO</t>
  </si>
  <si>
    <t>SUB 15 MASCULINO</t>
  </si>
  <si>
    <t>SUB 17 FEMININO</t>
  </si>
  <si>
    <t>SUB 17 MASCULINO</t>
  </si>
  <si>
    <t>CLASSIFICAÇÃO GERAL</t>
  </si>
  <si>
    <t>NOME</t>
  </si>
  <si>
    <t>FINAL</t>
  </si>
  <si>
    <t>X</t>
  </si>
  <si>
    <t>GRUPO 1</t>
  </si>
  <si>
    <t>SEQUÊNCIA DE JOGOS</t>
  </si>
  <si>
    <t>PLACAR</t>
  </si>
  <si>
    <t>PARTIDAS</t>
  </si>
  <si>
    <t>P1</t>
  </si>
  <si>
    <t>P2</t>
  </si>
  <si>
    <t>SÉRIE</t>
  </si>
  <si>
    <t>GRUPO 2</t>
  </si>
  <si>
    <t>GRUPO 3</t>
  </si>
  <si>
    <t>GRUPO 4</t>
  </si>
  <si>
    <t>GRUPO 5</t>
  </si>
  <si>
    <t>GRUPO 6</t>
  </si>
  <si>
    <t>GRUPO 7</t>
  </si>
  <si>
    <t>GRUPO 8</t>
  </si>
  <si>
    <t>GRUPO 9</t>
  </si>
  <si>
    <t>GRUPO 10</t>
  </si>
  <si>
    <t>GRUPO 11</t>
  </si>
  <si>
    <t>GRUPO 12</t>
  </si>
  <si>
    <t>GRUPO 13</t>
  </si>
  <si>
    <t>GRUPO 14</t>
  </si>
  <si>
    <t>GRUPO 15</t>
  </si>
  <si>
    <t>GRUPO 16</t>
  </si>
  <si>
    <t>GRUPO 17</t>
  </si>
  <si>
    <t>GRUPO 18</t>
  </si>
  <si>
    <t>GRUPO 19</t>
  </si>
  <si>
    <t>GRUPO 20</t>
  </si>
  <si>
    <t>GRUPO 21</t>
  </si>
  <si>
    <t>GRUPO 22</t>
  </si>
  <si>
    <t>GRUPO 23</t>
  </si>
  <si>
    <t>GRUPO 24</t>
  </si>
  <si>
    <t>GRUPO 25</t>
  </si>
  <si>
    <t>GRUPO 26</t>
  </si>
  <si>
    <t>GRUPO 27</t>
  </si>
  <si>
    <t>GRUPO 28</t>
  </si>
  <si>
    <t>GRUPO 29</t>
  </si>
  <si>
    <t>GRUPO 30</t>
  </si>
  <si>
    <t>GRUPO 31</t>
  </si>
  <si>
    <t>GRUPO 32</t>
  </si>
  <si>
    <t>P3</t>
  </si>
  <si>
    <t>P4</t>
  </si>
  <si>
    <t>EQUIPE 91</t>
  </si>
  <si>
    <t>EQUIPE 92</t>
  </si>
  <si>
    <t>-</t>
  </si>
  <si>
    <t>GRUPOS PARTICIPANTES</t>
  </si>
  <si>
    <t>FEDERADO</t>
  </si>
  <si>
    <t>CATEGORIA</t>
  </si>
  <si>
    <t>GENÊRO</t>
  </si>
  <si>
    <t xml:space="preserve">S É R I E   P R A T A </t>
  </si>
  <si>
    <t>S É R I E   B R O N Z E</t>
  </si>
  <si>
    <t xml:space="preserve">S É R I E  P R A T A </t>
  </si>
  <si>
    <t xml:space="preserve">S É R I E  B R O N Z E </t>
  </si>
  <si>
    <t xml:space="preserve">S É R I E  O U R O </t>
  </si>
  <si>
    <t xml:space="preserve">S É R I E  P R A T A O U R O </t>
  </si>
  <si>
    <t>S É R I E  B R O N Z E</t>
  </si>
  <si>
    <t>PONTUAÇÃO SUB 09</t>
  </si>
  <si>
    <t>COLOCAÇÃO SUB 09</t>
  </si>
  <si>
    <t>PONTUAÇÃO FEDERADO</t>
  </si>
  <si>
    <t>COLOCAÇÃO FEDERADO</t>
  </si>
  <si>
    <t>COLOCAÇÃO SUB 17</t>
  </si>
  <si>
    <t>PONTUAÇÃO SUB 17</t>
  </si>
  <si>
    <t>COLOCAÇÃO SUB 15</t>
  </si>
  <si>
    <t>PONTUAÇÃO SUB 15</t>
  </si>
  <si>
    <t>COLOCAÇÃO SUB 13</t>
  </si>
  <si>
    <t>PONTUAÇÃO SUB 13</t>
  </si>
  <si>
    <t>COLOCAÇÃO SUB 11</t>
  </si>
  <si>
    <t>PONTUAÇÃO SUB 11</t>
  </si>
  <si>
    <t>ALFREDO KULLIAN DI LIDDO</t>
  </si>
  <si>
    <t>M</t>
  </si>
  <si>
    <t>ESCOLA VILLARE</t>
  </si>
  <si>
    <t>SUB 09</t>
  </si>
  <si>
    <t>ANA JÚLIA RIBEIRO DE LIMA BARRETO SANTOS</t>
  </si>
  <si>
    <t>F</t>
  </si>
  <si>
    <t>COLÉGIO ENGENHEIRO SALVADOR ARENA</t>
  </si>
  <si>
    <t>ANTONIO PAVÃO VIEIRA</t>
  </si>
  <si>
    <t>IEBURIX -SBC</t>
  </si>
  <si>
    <t>ARTHUR DAMIANI DANTAS</t>
  </si>
  <si>
    <t>COLÉGIO ARBOS - UNIDADE SANTO ANDRÉ</t>
  </si>
  <si>
    <t>ARTHUR HENRIQUE ROJA</t>
  </si>
  <si>
    <t>ARTHUR MAZIERI REZENDE</t>
  </si>
  <si>
    <t>COLÉGIO ARBOS DE SÃO BERNARDO DO CAMPO</t>
  </si>
  <si>
    <t>ARTHUR PULIDO CARMONA</t>
  </si>
  <si>
    <t>COLÉGIO ATENEU</t>
  </si>
  <si>
    <t>ARTHUR RIBEIRO DELGADO</t>
  </si>
  <si>
    <t>PEN LIFE</t>
  </si>
  <si>
    <t>BENICIO V. LIMA</t>
  </si>
  <si>
    <t>RIO BRANCO - SBC</t>
  </si>
  <si>
    <t>BERNARDO AGUILAR MARIN</t>
  </si>
  <si>
    <t>BERNARDO DE BRITO BANDEIRA</t>
  </si>
  <si>
    <t>ABACO IPIRANGA</t>
  </si>
  <si>
    <t>BRUNO VIEIRA MIRA</t>
  </si>
  <si>
    <t>LICEU JARDIM</t>
  </si>
  <si>
    <t>CAUÃ NUNES BARROS</t>
  </si>
  <si>
    <t>CLARA ANTONITSCH VIDO</t>
  </si>
  <si>
    <t>DANIEL MAZZOCHI MARY</t>
  </si>
  <si>
    <t>DAVI CRUZ SANTOS</t>
  </si>
  <si>
    <t>DAVI SIMOYAMA BLASSIOLI ARCANJO</t>
  </si>
  <si>
    <t>EDUARDA HELENA FIORETTI</t>
  </si>
  <si>
    <t>ENRICO FRIAS SIGOLI DE PAULA</t>
  </si>
  <si>
    <t>ENRICO LUPINARI PALERMO</t>
  </si>
  <si>
    <t>ENZO BENTO DURANTE DA COSTA</t>
  </si>
  <si>
    <t>AMERICAN ACADEMY SCHOOL SBC</t>
  </si>
  <si>
    <t>FELIPE FERRAZ FERREIRA MONTEIRO</t>
  </si>
  <si>
    <t>FELIPE PARONETO REZENDE</t>
  </si>
  <si>
    <t>FELIPE PERDÃO BERTI SANCHES</t>
  </si>
  <si>
    <t>FELIPE RAFAEL CARDOZO</t>
  </si>
  <si>
    <t>FELIPE TAMANAGA PORRO</t>
  </si>
  <si>
    <t>FERNANDO MIGUEL FIORETTI</t>
  </si>
  <si>
    <t>FRANCISCO OLIVEIRA MARIN</t>
  </si>
  <si>
    <t>COLÉGIO SÃO MAURO</t>
  </si>
  <si>
    <t>GABRIELA NILANDER DE LIMA</t>
  </si>
  <si>
    <t>COLÉGIO ARBOS SÃO CAETANO DO SUL</t>
  </si>
  <si>
    <t>GUILHERME KINA DER FORTES</t>
  </si>
  <si>
    <t>GUSTAVO DI MATTEO CANEPA GERARDI</t>
  </si>
  <si>
    <t>GUSTAVO ROLDAN DACAR BALLARIN</t>
  </si>
  <si>
    <t>HEITOR GUIMARÃES</t>
  </si>
  <si>
    <t>COLÉGIO MARCONI - GRU</t>
  </si>
  <si>
    <t>HELOISA NEGRÃO DE OLIVEIRA</t>
  </si>
  <si>
    <t>EXTERNATO SANTO ANTONIO</t>
  </si>
  <si>
    <t>HENRIQUE MARTINS MONTOUTO</t>
  </si>
  <si>
    <t>HENRIQUE MORAIS GONSALES</t>
  </si>
  <si>
    <t>JOÃO CONOVALOV CABRAL CAVELHO</t>
  </si>
  <si>
    <t>JOÃO LUCAS DIAS</t>
  </si>
  <si>
    <t>JOAQUIM STAUB DA SILVA</t>
  </si>
  <si>
    <t>JORGE HIDEKI DO AMARAL YAMAGUTI</t>
  </si>
  <si>
    <t>LAIS FRANCELINO RODRIGUES</t>
  </si>
  <si>
    <t>LAURA PAIVA BRANCALHÃO</t>
  </si>
  <si>
    <t>LORENZO FONTOURA DA SILVA</t>
  </si>
  <si>
    <t>LORENZO MASCARI BRANDINO</t>
  </si>
  <si>
    <t>LORENZO VEZARO MONTINI</t>
  </si>
  <si>
    <t>LUCAS ANTONIO DA SILVA SOUZA</t>
  </si>
  <si>
    <t>LUCAS ROCHETTI VAZQUEZ CARMO</t>
  </si>
  <si>
    <t>LUCAS SILVA MENEZES</t>
  </si>
  <si>
    <t>LUCCA BENJAMIN BARBOSA MORENO</t>
  </si>
  <si>
    <t>LUIGI BELLINI VOLTARELLI</t>
  </si>
  <si>
    <t>LUIZ FELIPE MONZANI CARNEIRO</t>
  </si>
  <si>
    <t>MANUELLA PIRES DE FARIAS</t>
  </si>
  <si>
    <t>MARIA DOMENICA FURUKAVA MONTEIRO</t>
  </si>
  <si>
    <t>MATEUS DE BRITO ALINERI</t>
  </si>
  <si>
    <t>MATEUS SIQUEIRA ZENKER</t>
  </si>
  <si>
    <t>MATHEUS GONÇALVES SARDELARI</t>
  </si>
  <si>
    <t>MATHEUS HENRIQUE SGOBI</t>
  </si>
  <si>
    <t>MATHEUS JARDIM CASSI</t>
  </si>
  <si>
    <t>ESCOLA IL SOLE</t>
  </si>
  <si>
    <t>MATHEUS JULIANI CRUZ</t>
  </si>
  <si>
    <t>MATHEUS MAIA JAWORSKY</t>
  </si>
  <si>
    <t>MATTEO ROSANOVA FEIJÓ</t>
  </si>
  <si>
    <t>MIGUEL CHAGAS DA SILVA</t>
  </si>
  <si>
    <t>MIGUEL DE SANTANA SALVADOR LOPES</t>
  </si>
  <si>
    <t>MIGUEL L RUGGERI</t>
  </si>
  <si>
    <t>COLEGIO PETROPOLIS</t>
  </si>
  <si>
    <t>MIGUEL TRENTI MANZZI</t>
  </si>
  <si>
    <t>NICOLAS GRILLO HENRIQUE</t>
  </si>
  <si>
    <t>NICOLAS LOPES MOURA DE OLIVEIRA</t>
  </si>
  <si>
    <t>OLGA OLIVEIRA WELSCH</t>
  </si>
  <si>
    <t>PABLO DE CAMPOS MOLEIRO</t>
  </si>
  <si>
    <t>PEDRO HENRIQUE REDA FERREIRA</t>
  </si>
  <si>
    <t>PEDRO LIMA ARAUJO</t>
  </si>
  <si>
    <t>PIETRA SALAZAR MASSUCATO</t>
  </si>
  <si>
    <t>PIETRO TOLEDO</t>
  </si>
  <si>
    <t>RAFAEL ALAHMAR MADLUM BARATELLA</t>
  </si>
  <si>
    <t>RAFAEL CARRADORI ZACHARIAS</t>
  </si>
  <si>
    <t>RODRIGO MASSINI JUNIOR</t>
  </si>
  <si>
    <t>SOPHIA MENDES DA SILVA</t>
  </si>
  <si>
    <t>THEO FROEMMING MINEMATSU</t>
  </si>
  <si>
    <t>THEO HENARE MINELLI DE SÁ</t>
  </si>
  <si>
    <t>THEO SCHNYDER HERNANDES</t>
  </si>
  <si>
    <t>THOMAS AUGUSTO COSTA TABOA</t>
  </si>
  <si>
    <t>TIAGO PARONETO REZENDE</t>
  </si>
  <si>
    <t>VICENTE MOREIRA MEDINA</t>
  </si>
  <si>
    <t>YASMIN HARUMI SERIKAWA MORI</t>
  </si>
  <si>
    <t>ALICE SANTI LIMONETE</t>
  </si>
  <si>
    <t>SUB 11</t>
  </si>
  <si>
    <t>ALLAN DUQUE</t>
  </si>
  <si>
    <t>ANTONIO ROBERTO CARREIRA ISRAEL</t>
  </si>
  <si>
    <t>ARTHUR BERTINI ZANCHETA</t>
  </si>
  <si>
    <t>ARTHUR COSTA MACIEL</t>
  </si>
  <si>
    <t>ARTHUR DE PAULA MULLER</t>
  </si>
  <si>
    <t>ARTHUR SCAQUETTI SCARFONE</t>
  </si>
  <si>
    <t>BEATRIZ DELPOIO DE ARAÚJO</t>
  </si>
  <si>
    <t>BENÍCIO BEDUSCHI BUCCERONI</t>
  </si>
  <si>
    <t>BENÍCIO MELLO BRITO</t>
  </si>
  <si>
    <t>BENÍCIO PEPINELI MOLERO</t>
  </si>
  <si>
    <t>BENTO TOSTA DAVERSI</t>
  </si>
  <si>
    <t>COLÉGIO SINGULAR SÃO CAETANO</t>
  </si>
  <si>
    <t>BERNARDO FERREIRA FIGUEIREDO</t>
  </si>
  <si>
    <t>BERNARDO HISSA DOS SANTOS</t>
  </si>
  <si>
    <t>BRUNO PEREZ MARTIN BIANCO</t>
  </si>
  <si>
    <t>BRUNO SALLES</t>
  </si>
  <si>
    <t>CAIO SILVA RAMALHO OLIVEIRA</t>
  </si>
  <si>
    <t>CECÍLIA GARAVELLO DE ARAÚJO</t>
  </si>
  <si>
    <t>CECÍLIA MARIA DE SOUZA BASTOS</t>
  </si>
  <si>
    <t>CESAR TRIGLIA</t>
  </si>
  <si>
    <t>DANIEL QUADRINI AROCA</t>
  </si>
  <si>
    <t>COLÉGIO SÃO JOSÉ</t>
  </si>
  <si>
    <t>DANILO RICO ALVES REGINALDO</t>
  </si>
  <si>
    <t>DAVI DA SILVA HAYASHI</t>
  </si>
  <si>
    <t>DAVI MAIA SANTICIOLI</t>
  </si>
  <si>
    <t>DAVI PATRÍCIO DOS SANTOS</t>
  </si>
  <si>
    <t>DAVI VALLS GARBIN</t>
  </si>
  <si>
    <t>DENISE CASAGRANDE DE MEDEIROS</t>
  </si>
  <si>
    <t>ENRICO CABRIOTI DOS SANTOS MELGES</t>
  </si>
  <si>
    <t>ENRICO CUNHA DI FRANCESCO CEPPO</t>
  </si>
  <si>
    <t>ENZO FROEMMING MINEMATSU</t>
  </si>
  <si>
    <t>ENZO KAZUO YSHIKAWA</t>
  </si>
  <si>
    <t>ENZO MAIA DENTE</t>
  </si>
  <si>
    <t>ENZO NAKAMURA JORDÃO</t>
  </si>
  <si>
    <t>ENZO ROCHA TAKUMA</t>
  </si>
  <si>
    <t>ESTER GUIMARÃES</t>
  </si>
  <si>
    <t>FELIPA DOS ANJOS GENTIL</t>
  </si>
  <si>
    <t>FELIPE BRITO RUAS</t>
  </si>
  <si>
    <t>EVOLUTION TEENS</t>
  </si>
  <si>
    <t>FELIPE JARDIM FERRARI</t>
  </si>
  <si>
    <t>FELIPE RAYMUNDO SANTOS</t>
  </si>
  <si>
    <t>FELIPE SOUZA TANIGAWA</t>
  </si>
  <si>
    <t>FELIPE VENEROSO SILVA</t>
  </si>
  <si>
    <t>FERNANDO CONSTANTINO DE SANTI MARTINI</t>
  </si>
  <si>
    <t>FERNANDO IORI TORRES</t>
  </si>
  <si>
    <t>GABRIEL  JARDIM CASSI</t>
  </si>
  <si>
    <t>GABRIEL ANDRADE DE MELO</t>
  </si>
  <si>
    <t>GABRIEL BISCHOFF LOIOLA</t>
  </si>
  <si>
    <t>GABRIEL STRACHINO BARBALHO</t>
  </si>
  <si>
    <t>GAEL EGAMI</t>
  </si>
  <si>
    <t>GAEL GARCIA MARQUES</t>
  </si>
  <si>
    <t>GAEL LEANDRINI PASCHOAL</t>
  </si>
  <si>
    <t>GAEL SANTANDER REIS</t>
  </si>
  <si>
    <t>GHAEL DOS SANTOS PERES</t>
  </si>
  <si>
    <t>GUIL CAVALCANTI SIQUEIRA</t>
  </si>
  <si>
    <t>GUILHERME BERNARDI PINTO</t>
  </si>
  <si>
    <t>GUILHERME MOUTH CRIVELLARI</t>
  </si>
  <si>
    <t>GUILHERME PEREIRA SORRENTINO</t>
  </si>
  <si>
    <t>GUSTAVO FONSECA ROSSI</t>
  </si>
  <si>
    <t>GUSTAVO RICCI MORISHITA</t>
  </si>
  <si>
    <t>HEITOR DIOGENES VALARINI</t>
  </si>
  <si>
    <t>HEITOR PELLEGRINI PICHE</t>
  </si>
  <si>
    <t>HEITOR SOARES CAVALCANTE</t>
  </si>
  <si>
    <t>HELENA VERAS CASTRO</t>
  </si>
  <si>
    <t>COLÉGIO BANDEIRANTES</t>
  </si>
  <si>
    <t>HELOÍSA AKEMI MATSUDA</t>
  </si>
  <si>
    <t>HELOISA SILVA DOS SANTOS</t>
  </si>
  <si>
    <t>HENRY GOMES LIMA</t>
  </si>
  <si>
    <t>IAN REZENDE</t>
  </si>
  <si>
    <t>IURI WAHHAB OKINO</t>
  </si>
  <si>
    <t>JASON ZHI YAN</t>
  </si>
  <si>
    <t>JOÃO PEDRO BRITES PEREIRA</t>
  </si>
  <si>
    <t>JOÃO VITOR YUICHI MACHIDA ISEKI</t>
  </si>
  <si>
    <t>JÚLIA DE OLIVEIRA COMETTI</t>
  </si>
  <si>
    <t>JULIA GOMES</t>
  </si>
  <si>
    <t>JULIO ESTEVES GRIGOLETTI</t>
  </si>
  <si>
    <t>KAORU UEHARA DE MORAIS</t>
  </si>
  <si>
    <t>KAUAN DOMINGUES SULA</t>
  </si>
  <si>
    <t>LARISSA MARQUES FURTADO</t>
  </si>
  <si>
    <t>LAURA RAMOS GRIZOLLI</t>
  </si>
  <si>
    <t>LAURA SIMOYAMA BLASSIOLI ARCANJO</t>
  </si>
  <si>
    <t>LEONARDO ARTIOLI GARKALNS</t>
  </si>
  <si>
    <t>LEONARDO FARO</t>
  </si>
  <si>
    <t>LEONARDO FRANCISCO GRIESE</t>
  </si>
  <si>
    <t>LEONARDO RIBEIRO CAMOLESI</t>
  </si>
  <si>
    <t>LEONARDO ZENARO BOLANHO</t>
  </si>
  <si>
    <t>LORENZO BELOTTI</t>
  </si>
  <si>
    <t>LORENZO DOS SANTOS BEVILACQUA</t>
  </si>
  <si>
    <t>LORENZO FANTI HEIERLING</t>
  </si>
  <si>
    <t>LORENZO LUPINARI PALERMO</t>
  </si>
  <si>
    <t>LORENZO MIGUEL DA SILVA BERTTI</t>
  </si>
  <si>
    <t>LUCA YUJI VOLPE FUGITA</t>
  </si>
  <si>
    <t>LUCAS FILGUEIRAS DA SILVA</t>
  </si>
  <si>
    <t>LUCAS RENATO PEREIRA ROSA</t>
  </si>
  <si>
    <t>LUCAS YUJI UEHARA</t>
  </si>
  <si>
    <t>LUCCA CAPUCHO DOS S SANCHO'</t>
  </si>
  <si>
    <t>LUCCA DASCENCZI DE SOUZA</t>
  </si>
  <si>
    <t>LUCCA DE ALMEIDA BRANCALLIAO</t>
  </si>
  <si>
    <t>LUCCA MAFRA THEODORO</t>
  </si>
  <si>
    <t>LUCCA PONCE SANTOS</t>
  </si>
  <si>
    <t>LUIGI LOPES PERUGINO CANUTO</t>
  </si>
  <si>
    <t>LUIGI TAMMONE CORSINI</t>
  </si>
  <si>
    <t>LUIS OCTÁVIO FURUKAVA MONTEIRO</t>
  </si>
  <si>
    <t>MALUH GUIMARÃES PINHO</t>
  </si>
  <si>
    <t>MANUELA CORDEIRO DA SILVA LIRA</t>
  </si>
  <si>
    <t>MATHEUS ALVES DA COSTA</t>
  </si>
  <si>
    <t>MATHEUS BERTELLI MUCCIA</t>
  </si>
  <si>
    <t>MATHEUS FELIZ SANCHES</t>
  </si>
  <si>
    <t>MATHEUS SILVA PINTO</t>
  </si>
  <si>
    <t>MATTEO CESAR COSTA</t>
  </si>
  <si>
    <t>MICAELLA QUEIROZ DOS SANTOS ALMEIDA</t>
  </si>
  <si>
    <t>MIGUEL LUIZ TEIXEIRA</t>
  </si>
  <si>
    <t>MIGUEL MELO LOPES</t>
  </si>
  <si>
    <t>MIGUEL PEREIRA SORRENTINO</t>
  </si>
  <si>
    <t>MIGUEL STANGUINI</t>
  </si>
  <si>
    <t>MURILO CUZZIN PASSARELA</t>
  </si>
  <si>
    <t>MURILO RUIZ CANOSA</t>
  </si>
  <si>
    <t>MURILO XAVIER OLIVEIRA ALBUQUERQUE</t>
  </si>
  <si>
    <t>NICOLAS BANZATO MIZRAHI</t>
  </si>
  <si>
    <t>NICOLAS KOU</t>
  </si>
  <si>
    <t>NINA MEI HORII TODA</t>
  </si>
  <si>
    <t>OLAVO ZOTELLI DE ANDRADE</t>
  </si>
  <si>
    <t>OLYNTHO VOLTARELLI</t>
  </si>
  <si>
    <t>OTÁVIO PAGLERANI MONTEIRO DE ANDRADE</t>
  </si>
  <si>
    <t>OTÁVIO RODRIGUES CARLI</t>
  </si>
  <si>
    <t>PAULO HENRIQUE REZENDE DE LIMA RODRIGUES</t>
  </si>
  <si>
    <t>PEDRO DAMASCENO PIMENTEL</t>
  </si>
  <si>
    <t>PEDRO DUARTE DE ALMEIDA</t>
  </si>
  <si>
    <t>PEDRO GOMES MARQUES JÚNIOR</t>
  </si>
  <si>
    <t>PEDRO HENRIQUE ALMEIDA NUNES</t>
  </si>
  <si>
    <t>PEDRO HENRIQUE DOS REIS SILVA</t>
  </si>
  <si>
    <t>PEDRO JUN REIS MURATA</t>
  </si>
  <si>
    <t>PEDRO MELO LOPES</t>
  </si>
  <si>
    <t>PEDRO OLIVEIRA MACHADO</t>
  </si>
  <si>
    <t>PEDRO PEREIRA  DAMÁSIO</t>
  </si>
  <si>
    <t>PEDRO PICHELLI ZUCHETTO</t>
  </si>
  <si>
    <t>PEDRO TIEZZI GARCIA</t>
  </si>
  <si>
    <t>RAFAEL ESPERIDIÃO EIRAS</t>
  </si>
  <si>
    <t>RAFAEL PIETTA COSTA</t>
  </si>
  <si>
    <t>RENAN FERREIRA GISSONI</t>
  </si>
  <si>
    <t>RENATO YUKIO MIYAHIRA PEGGAU</t>
  </si>
  <si>
    <t>RICARDO SALVADOR DE MATTOS</t>
  </si>
  <si>
    <t>SAMUEL BOHRER</t>
  </si>
  <si>
    <t>SAMUEL FERNANDES MARTINS</t>
  </si>
  <si>
    <t>SOFIA BRITO NASCIMENTO</t>
  </si>
  <si>
    <t>SOFIA SOUZA CAPANEMA</t>
  </si>
  <si>
    <t>SURIE DE PAULA NAVARRO</t>
  </si>
  <si>
    <t>THEO DE MORAES GASPAR</t>
  </si>
  <si>
    <t>THEO GUEDES RIBEIRO</t>
  </si>
  <si>
    <t>THEO MUNARO DIAS R SANTOS</t>
  </si>
  <si>
    <t>THEO OBST SANTIAGO</t>
  </si>
  <si>
    <t>THIAGO AUGUSTO BASSO DE CAMPOS</t>
  </si>
  <si>
    <t>VICTOR HIDEKI MATSUMURA GOMES</t>
  </si>
  <si>
    <t>VÍTOR DE LANDABURU MONTESINOS COSTA</t>
  </si>
  <si>
    <t>VIVIAN MATSUMOTO</t>
  </si>
  <si>
    <t>YURI FONSECA CABALEIRO COSTA</t>
  </si>
  <si>
    <t>ALEXANDRE BORBA MARQUES</t>
  </si>
  <si>
    <t>SUB 13</t>
  </si>
  <si>
    <t>AMANDA SOPHIA PIROZZI</t>
  </si>
  <si>
    <t>ANTÔNIO SILVEIRA DE CARVALHO</t>
  </si>
  <si>
    <t>APOLO GROSSO BEVILAQUA</t>
  </si>
  <si>
    <t>ARTHUR GIACOMASSI PITA</t>
  </si>
  <si>
    <t>ARTHUR OLIVEIRA DA ROCHA</t>
  </si>
  <si>
    <t>ARTHUR VIEIRA SICART</t>
  </si>
  <si>
    <t>ARTUR PEREIRA ARGONDIZO</t>
  </si>
  <si>
    <t>ESCOLA STAGIUM</t>
  </si>
  <si>
    <t>BEATRIZ TOMÉ CYRILLO</t>
  </si>
  <si>
    <t>BENÍCIO COELHO FORTES</t>
  </si>
  <si>
    <t>BENICIO LOURENÇON VARELA SCOPEL</t>
  </si>
  <si>
    <t>BENJAMIN OLIVEIRA AMORIM</t>
  </si>
  <si>
    <t>BENTO MARCHETI UEDA</t>
  </si>
  <si>
    <t>BENTO SAKATA UZUELI</t>
  </si>
  <si>
    <t>COLÉGIO VÉRTICE</t>
  </si>
  <si>
    <t>BERNARDO CARREIRA GUANDALIGNI</t>
  </si>
  <si>
    <t>BERNARDO DE MELO PORTELA</t>
  </si>
  <si>
    <t>BERNARDO KAIROF DE SOUZA MENDES DA SILVA</t>
  </si>
  <si>
    <t>BERNARDO PAGETTI GUEDES</t>
  </si>
  <si>
    <t>BRUNO PICHELLI ZUCHETTO</t>
  </si>
  <si>
    <t>CALVIN DELAZERI</t>
  </si>
  <si>
    <t>CARLOS EDUARDO RODRIGUES RIBEIRO</t>
  </si>
  <si>
    <t>CENTRO DE ESTUDOS JÚLIO VERNE</t>
  </si>
  <si>
    <t>DANIEL MAYER BONTEMPI</t>
  </si>
  <si>
    <t>DANIEL PRANDO FARIA</t>
  </si>
  <si>
    <t>DAVI ESPERIDIÃO DE SOUZA SANTOS</t>
  </si>
  <si>
    <t>DAVI POVEDA COELHO</t>
  </si>
  <si>
    <t>DIEGO SANTOS SPINELLI</t>
  </si>
  <si>
    <t>DIOGO VIEIRA CHAVES</t>
  </si>
  <si>
    <t>EDUARDO ALVES MENDES FILHO</t>
  </si>
  <si>
    <t>EDUARDO PRADO TORRES</t>
  </si>
  <si>
    <t>EDUARDO PRIMIANO MUARREK</t>
  </si>
  <si>
    <t>EDUARDO TADASHI SHIMIZU</t>
  </si>
  <si>
    <t>ENZO CASANOVA BRIGHI</t>
  </si>
  <si>
    <t>ENZO TOMIO</t>
  </si>
  <si>
    <t>FELIPE MACHADO AMATO</t>
  </si>
  <si>
    <t>FELIPE MALTEMPI ALVES</t>
  </si>
  <si>
    <t>FERNANDO BIRAL MAROTA</t>
  </si>
  <si>
    <t>FERNANDO GARAVELLO DE ARAUJO</t>
  </si>
  <si>
    <t>GABRIEL APOLUCENA DE FARIAS</t>
  </si>
  <si>
    <t>GABRIEL LOURENÇO LESSA</t>
  </si>
  <si>
    <t>GABRIEL PIOVESAN ZAMPOLLO</t>
  </si>
  <si>
    <t>GABRIEL SORECHIO NETO</t>
  </si>
  <si>
    <t>GABRIEL VASCONCELLOS STANGUINI</t>
  </si>
  <si>
    <t>GIOVANA CASTELLAN MAGIONE</t>
  </si>
  <si>
    <t>GUILHERME HENRIQUE PORTELA NUNES</t>
  </si>
  <si>
    <t>GUSTAVO ANDREASSA CARVALHO</t>
  </si>
  <si>
    <t>GUSTAVO NOGUEIRA FEITOSA</t>
  </si>
  <si>
    <t>HEITOR BONAZZI COMAR</t>
  </si>
  <si>
    <t>HEITOR CEZAR TEIXEIRA DA SILVA</t>
  </si>
  <si>
    <t>HENRIQUE MARQUES MONTAGNER</t>
  </si>
  <si>
    <t>IAGO SERRANO MAGNANI</t>
  </si>
  <si>
    <t>JOÃO GARCIA GRANDOLFO</t>
  </si>
  <si>
    <t>JOÃO LUCA CEOLDO RUBIRA</t>
  </si>
  <si>
    <t>JOÃO PAULO GIANNOTTI BATISTUCCI</t>
  </si>
  <si>
    <t>JOÃO PAULO SOARES</t>
  </si>
  <si>
    <t>JOÃO PEDRO FERREIRA SILVA</t>
  </si>
  <si>
    <t>JOÃO PEDRO GRAZIANO FREIRE</t>
  </si>
  <si>
    <t>JOÃO TAKANO CALMAZINI</t>
  </si>
  <si>
    <t>JULIANO MOLINA DE OLIVEIRA</t>
  </si>
  <si>
    <t>KEVIN KENJI SAKUDA</t>
  </si>
  <si>
    <t>LAMAR ANDRAWES</t>
  </si>
  <si>
    <t>LARA BERSANO BENTO</t>
  </si>
  <si>
    <t>LAURA REGINI GRIZANTE</t>
  </si>
  <si>
    <t>LAURA SARAIVA</t>
  </si>
  <si>
    <t>LEONARDO HERNANDES DE ASSIS</t>
  </si>
  <si>
    <t>LEONARDO VASCONCELLOS PAZIAN</t>
  </si>
  <si>
    <t>LUCAS BATISTA PAVANELLO</t>
  </si>
  <si>
    <t>LUCAS CLAUDINO</t>
  </si>
  <si>
    <t>LUCAS F. CORREA</t>
  </si>
  <si>
    <t>LUCAS GONÇALVES PEDROSO</t>
  </si>
  <si>
    <t>LUCAS MAYER BONTEMPI</t>
  </si>
  <si>
    <t>LUCAS WANG FUJII KAO</t>
  </si>
  <si>
    <t>LUCCA LAW GUASTAPAGLIA</t>
  </si>
  <si>
    <t>LUIZA SARAIVA</t>
  </si>
  <si>
    <t>MANUELA TEJOS</t>
  </si>
  <si>
    <t>MARCO ANTÔNIO DE BARROS HAYAKAWA</t>
  </si>
  <si>
    <t>MARIA PIETRA FURUKAVA MONTEIRO</t>
  </si>
  <si>
    <t>MARINA MARTINS MEDRANO</t>
  </si>
  <si>
    <t>MATEUS YUDI SUIZO NINCAO</t>
  </si>
  <si>
    <t>MELISSA MATSUMOTO</t>
  </si>
  <si>
    <t>MIGUEL AGUIAR</t>
  </si>
  <si>
    <t>MIGUEL FERREIRA DE JESUS</t>
  </si>
  <si>
    <t>MIGUEL G. DE OLIVEIRA CORONATE</t>
  </si>
  <si>
    <t>MIGUEL TAVARES MALHEIRO</t>
  </si>
  <si>
    <t>MURILLO MOSCHELLA BERNACCI SOLANO</t>
  </si>
  <si>
    <t>MURILO SILVA GOMES</t>
  </si>
  <si>
    <t>NATÁLIA PAIVA BRANCALHÃO</t>
  </si>
  <si>
    <t>NATHALIA IERVOLINO COLLETTI</t>
  </si>
  <si>
    <t>NICOLAS GRACIANO</t>
  </si>
  <si>
    <t>NICOLAS GUITZEL GARCIA</t>
  </si>
  <si>
    <t>NICOLY SHIOZAWA CERQUEIRA</t>
  </si>
  <si>
    <t>PEDRO LAFANI RODRIGUES MOSCHELLA CARMONA</t>
  </si>
  <si>
    <t>PEDRO LEVI CAMPOS</t>
  </si>
  <si>
    <t>PEDRO LIMA DE MELO</t>
  </si>
  <si>
    <t>PIETRO GUIRRO CARINCI</t>
  </si>
  <si>
    <t>PIETRO SELAN FOSALUZA</t>
  </si>
  <si>
    <t>RAFAEL DE CARVALHO SOARES</t>
  </si>
  <si>
    <t>RAFAEL GUIMARÃES FURTADO</t>
  </si>
  <si>
    <t>RAFAEL LOBATO DA CONCEIÇÃO</t>
  </si>
  <si>
    <t>RAFAEL LUZ E SANTOS</t>
  </si>
  <si>
    <t>RAFAEL PICCOLO VENDRAME</t>
  </si>
  <si>
    <t>RAFAEL ZANQUETA RIBEIRO</t>
  </si>
  <si>
    <t>RAPHAEL BENICIO FREIRES MACIEL</t>
  </si>
  <si>
    <t>RENATO BARROS DE COSTA GARCIA</t>
  </si>
  <si>
    <t>RENZO CUNHA DI FRANCESCO CEPPO</t>
  </si>
  <si>
    <t>THEO PANARIELLO PESSUTO CRUZ</t>
  </si>
  <si>
    <t>TIAGO DREER DURAN</t>
  </si>
  <si>
    <t>VITOR YUKIO DAROS</t>
  </si>
  <si>
    <t>ÁGATHA MARQUES TEIXEIRA VANINI</t>
  </si>
  <si>
    <t>SUB 15</t>
  </si>
  <si>
    <t>AGHATA LIKA IKEDA SHIMABUKU</t>
  </si>
  <si>
    <t>ANA CAROLINA A HASEGAWA</t>
  </si>
  <si>
    <t>ARTHUR FIORAVANTE</t>
  </si>
  <si>
    <t>ARTHUR LOPES LINARES SANTANA</t>
  </si>
  <si>
    <t>ARTHUR REIS DE ARAUJO</t>
  </si>
  <si>
    <t>BEATRIZ OTERO</t>
  </si>
  <si>
    <t>BENICIO VASCONCELOS VIEIRA</t>
  </si>
  <si>
    <t>BRUNA FERNANDES LOPES</t>
  </si>
  <si>
    <t>BRUNO NEPOMUCENO DOS SANTOS</t>
  </si>
  <si>
    <t>CAIQUE ACAIABA DE SOUSA MARTIS</t>
  </si>
  <si>
    <t>DAVI L RUGGERI</t>
  </si>
  <si>
    <t>FELIPE ANTONIO DE SÁ EIRAS QUISPE</t>
  </si>
  <si>
    <t>GABRIEL ALEXANDRE FRANCHI</t>
  </si>
  <si>
    <t>GABRIEL DE MELLO PIRES</t>
  </si>
  <si>
    <t>GABRIEL EDUARDO MARINELLI PEGO</t>
  </si>
  <si>
    <t>GABRIEL MÜLLER POPI PEDROSA RAMOS</t>
  </si>
  <si>
    <t>GABRIELA NETTO CARDOSO</t>
  </si>
  <si>
    <t>GIOVANNI TODESCO</t>
  </si>
  <si>
    <t>GUILHERME TEIXEIRA DOS REIS</t>
  </si>
  <si>
    <t>GUSTAVO NILANDER DE LIMA</t>
  </si>
  <si>
    <t>GUSTAVO NOVELLI SUTTO</t>
  </si>
  <si>
    <t>HENRIQUE STUGINSKI STOFFA KOYAMA</t>
  </si>
  <si>
    <t>JOÃO EMÍLIO DE SOUZA BASTOS</t>
  </si>
  <si>
    <t>JORGE DE OLIVEIRA MACEDO</t>
  </si>
  <si>
    <t>JOSÉ LUÍS FERNANDES VALENÇA</t>
  </si>
  <si>
    <t>JÚLIA ADRIANI GOMES NICOLA</t>
  </si>
  <si>
    <t>KAIO DIAS MOREIRA</t>
  </si>
  <si>
    <t>KAUAN CAMARGO</t>
  </si>
  <si>
    <t>LEONARDO BIASINI DE FRANCO</t>
  </si>
  <si>
    <t>LEONARDO CALANDRELLI SILVA</t>
  </si>
  <si>
    <t>LEONARDO GUIRELLI DE ABREU</t>
  </si>
  <si>
    <t>LORENA BEATRIZ ANTONIO SQUASSONI</t>
  </si>
  <si>
    <t>LORENA VALENTINUCI</t>
  </si>
  <si>
    <t>LUIGI ENRICO SILVA ZENORINI MURTA</t>
  </si>
  <si>
    <t>MAISA DE SÁ</t>
  </si>
  <si>
    <t>ESCOLA PRÓ CONHECER</t>
  </si>
  <si>
    <t>MAITÊ ERMINIA DOS REIS CARVALHO</t>
  </si>
  <si>
    <t>MARIA EDUARDA TORRES BARBOSA</t>
  </si>
  <si>
    <t>MARIA LETÍCIA FURUKAVA MONTEIRO</t>
  </si>
  <si>
    <t>MARIANA MANSO DA SILVA</t>
  </si>
  <si>
    <t>MATEUS HENRIQUE DA SILVA</t>
  </si>
  <si>
    <t>MATEUS ISHII ZUCARELI</t>
  </si>
  <si>
    <t>MATEUS ROCHETTI VAZQUEZ CARMO</t>
  </si>
  <si>
    <t>MATHEUS MOREIRA CHAGAS</t>
  </si>
  <si>
    <t>MATHEUS SOBRAL NEGRETI</t>
  </si>
  <si>
    <t>COLÉGIO STOCCO</t>
  </si>
  <si>
    <t>MATHEUS VASCONCELOS PEREIRA</t>
  </si>
  <si>
    <t>MIGUEL CUNHA DA SILVA</t>
  </si>
  <si>
    <t>MILENA SERRANO MAGNANI</t>
  </si>
  <si>
    <t>MIRELA VIVANCO CARDOSO</t>
  </si>
  <si>
    <t>MURILO HENRIQUE DELFIOL</t>
  </si>
  <si>
    <t>MURILO KENZO KIYOMOTO SHIGENO</t>
  </si>
  <si>
    <t>NATAN DREER DURAN</t>
  </si>
  <si>
    <t>NICOLAS CLEBER SANTOS TAVARES</t>
  </si>
  <si>
    <t>NICOLAS PIETRO DOS SANTOS SILVA</t>
  </si>
  <si>
    <t>PABLO VASQUES GOMES</t>
  </si>
  <si>
    <t>PEDRO HENRIQUE VIEIRA DE MELLO BARROS</t>
  </si>
  <si>
    <t>PEDRO RODRIGUES GUASTELLA</t>
  </si>
  <si>
    <t>RAFAELA ADILEU</t>
  </si>
  <si>
    <t>RAPHAEL FERNANDES DE ALMEIDA</t>
  </si>
  <si>
    <t>RODRIGO LAVIOLA GONZALEZ</t>
  </si>
  <si>
    <t>SAMUEL COSTA BRAZ</t>
  </si>
  <si>
    <t>SANDRO MOZES SILVESTRINI</t>
  </si>
  <si>
    <t>SOFIA MILLON DE LUCA</t>
  </si>
  <si>
    <t>THEO KUBOTA LOIOLA</t>
  </si>
  <si>
    <t>THIAGO SILVESTRE MORGAN</t>
  </si>
  <si>
    <t>VITOR KENJI SAKATE</t>
  </si>
  <si>
    <t>ÁLVARO LUIS ALBANEZ VIEIRA DA SILVA</t>
  </si>
  <si>
    <t>SUB 18</t>
  </si>
  <si>
    <t>AMANDA DE ALBUQUERQUE RIBEIRO</t>
  </si>
  <si>
    <t>ANDRÉ YUJI YOSHIDA MEIRA</t>
  </si>
  <si>
    <t>ARTHUR HENRIQUE SOARES GONÇALVES</t>
  </si>
  <si>
    <t>ASHLEY DIAS OLIVEIRA</t>
  </si>
  <si>
    <t>ASHLEY NATSUMI KUMANO MAEGAWA</t>
  </si>
  <si>
    <t>BRUNO MARTINS GARCIA</t>
  </si>
  <si>
    <t>CAUÃ NAVARRO BRUZATI</t>
  </si>
  <si>
    <t>EDUARDO HIDEYOSHI</t>
  </si>
  <si>
    <t>ENZO VERTICCHIO DI LULLO</t>
  </si>
  <si>
    <t>ERINA KIKUCHI</t>
  </si>
  <si>
    <t>FELIPE HIDEKI MIAZAKI</t>
  </si>
  <si>
    <t>FREDERICO DE OLIVEIRA LIMA SHIRAI</t>
  </si>
  <si>
    <t>GABRIEL CUSTÓDIO FERNANDEZ</t>
  </si>
  <si>
    <t>GUILHERME PETERSON SANCHEZ GONÇALVES</t>
  </si>
  <si>
    <t>GUSTAVO IAN SANCHEZ GONÇALVES</t>
  </si>
  <si>
    <t>GUSTAVO KENJI ETO</t>
  </si>
  <si>
    <t>HELOÍSA APARECIDA OLIVEIRA RIBEIRO</t>
  </si>
  <si>
    <t>HENRIQUE BORGES FONTÃO DE OLIVEIRA</t>
  </si>
  <si>
    <t>IZABELLY VIEIRA SCHLOZ</t>
  </si>
  <si>
    <t>JOÃO FELIPE CAVALCANTE DE SÁ</t>
  </si>
  <si>
    <t>JÚLIA DA SILVA MATOS</t>
  </si>
  <si>
    <t>JULIA MIKI OTIAI</t>
  </si>
  <si>
    <t>KAUE KALYNYTSCHENKO GONÇALVES</t>
  </si>
  <si>
    <t>KENAI TANAAMI BIANCHI</t>
  </si>
  <si>
    <t>LARISSA REGINI GRIZANTE</t>
  </si>
  <si>
    <t>LEANDRO SAKATA MOURA</t>
  </si>
  <si>
    <t>LUCA COSTA GUERRA</t>
  </si>
  <si>
    <t>LUCAS AFONSO DI RENZO</t>
  </si>
  <si>
    <t>LUCAS DE OLIVEIRA COHEN</t>
  </si>
  <si>
    <t>LUCAS SATOSHI SASAKI</t>
  </si>
  <si>
    <t>LUCAS VICENTE LATORRE</t>
  </si>
  <si>
    <t>LUCCA MAGALHÃES E SILVA</t>
  </si>
  <si>
    <t>LUIS FELIPE DE SOUSA FERREIRA</t>
  </si>
  <si>
    <t>E.E. 20 DE AGOSTO</t>
  </si>
  <si>
    <t>LUÍSA COSTA RAMOS</t>
  </si>
  <si>
    <t>LUIZ GUILHERME CHIEFFO CABRAL</t>
  </si>
  <si>
    <t>LUIZA CRISTINA URTADO BRAZ</t>
  </si>
  <si>
    <t>MARCO ANTONIO RODRIGUES TAVARES DA SILVA</t>
  </si>
  <si>
    <t>MARCOS GENARI DE CARVALHO</t>
  </si>
  <si>
    <t>MARIA ISABEL CHIRATA</t>
  </si>
  <si>
    <t>MARÍLIA MIRANDA BRITO</t>
  </si>
  <si>
    <t>MIGUEL ADOLFO LUCIN</t>
  </si>
  <si>
    <t>MIGUEL ARIETE VITORINO DIAS RAPOSO SOARES</t>
  </si>
  <si>
    <t>MURILO ANDRADE</t>
  </si>
  <si>
    <t>NATAN SCHMIDT FRANGETTI</t>
  </si>
  <si>
    <t>NÍCHOLAS SIMÕES VAZ</t>
  </si>
  <si>
    <t>RENZO CAVASSANI</t>
  </si>
  <si>
    <t>SARA DE MELO ZANUNI</t>
  </si>
  <si>
    <t>VINICIUS FOZ DE BARROS</t>
  </si>
  <si>
    <t>VINÍCIUS SELICHEVIC MESSIAS</t>
  </si>
  <si>
    <t>YANN JUSTI</t>
  </si>
  <si>
    <t>YASMIN DE SANTANA VERIDIANO</t>
  </si>
  <si>
    <t>BYE</t>
  </si>
  <si>
    <t>GUSTAVO CANO</t>
  </si>
  <si>
    <t>GRUPO 33</t>
  </si>
  <si>
    <t>GRUPO 34</t>
  </si>
  <si>
    <t>GRUPO 35</t>
  </si>
  <si>
    <t>GRUPO 36</t>
  </si>
  <si>
    <t>GRUPO 37</t>
  </si>
  <si>
    <t>GRUPO 38</t>
  </si>
  <si>
    <t>GRUPO 39</t>
  </si>
  <si>
    <t>GRUPO 40</t>
  </si>
  <si>
    <t>GRUPO 41</t>
  </si>
  <si>
    <t>GRUPO 42</t>
  </si>
  <si>
    <t>GRUPO 43</t>
  </si>
  <si>
    <t>GRUPO 44</t>
  </si>
  <si>
    <t>GRUPO 45</t>
  </si>
  <si>
    <t>GRUPO 46</t>
  </si>
  <si>
    <t>GRUPO 47</t>
  </si>
  <si>
    <t>GRUPO 48</t>
  </si>
  <si>
    <t>GABRIEL JARDIM CASSI</t>
  </si>
  <si>
    <t xml:space="preserve">MATHEUS KAYO </t>
  </si>
  <si>
    <t>ESCOLA INTERAÇÃO</t>
  </si>
  <si>
    <t>Geovanna Moraes Santos</t>
  </si>
  <si>
    <t xml:space="preserve">SUB 11 </t>
  </si>
  <si>
    <t>Leonardo Elias Teixeira</t>
  </si>
  <si>
    <t>Bernardo Souza Cardozo</t>
  </si>
  <si>
    <t>Guilherme Pereira Veloso</t>
  </si>
  <si>
    <t>Miguel Oliveira Gingaro</t>
  </si>
  <si>
    <t>Matheus Henrique de Oliveira</t>
  </si>
  <si>
    <t>Heitor Dias de Oliveira Tamayoshi</t>
  </si>
  <si>
    <t>Rafael da Silva Zampoli</t>
  </si>
  <si>
    <t>Davi Aleixo Loiola</t>
  </si>
  <si>
    <t>Lorenzo Segalla Gama</t>
  </si>
  <si>
    <t>Leonardo Cassitas Souza</t>
  </si>
  <si>
    <t>Giovanni Dias Rinco de Oliveira</t>
  </si>
  <si>
    <t>Arthur Aventura de Souza Costa</t>
  </si>
  <si>
    <t>Pedro Araujo Rodrigues</t>
  </si>
  <si>
    <t>Pedro Augusto de Oliveira</t>
  </si>
  <si>
    <t>Dante de Oliveira</t>
  </si>
  <si>
    <t>Pedro Henrique Carvalho Moreira</t>
  </si>
  <si>
    <t>Vinicius Gonçalves Visentim</t>
  </si>
  <si>
    <t>Pedro Rocha Antonangelo da Silva</t>
  </si>
  <si>
    <t>Lucas Porto Ribeiro</t>
  </si>
  <si>
    <t>Benjamin Morgado Badanai</t>
  </si>
  <si>
    <t>Lorenzo Mazzini Anitelli</t>
  </si>
  <si>
    <t>João Pedro Costa da Silva</t>
  </si>
  <si>
    <t>Lucas Movio Baptista de Barros</t>
  </si>
  <si>
    <t>Vitor Moretto Gifu</t>
  </si>
  <si>
    <t>sub 09</t>
  </si>
  <si>
    <t>GIOVANI PRADO MARTINS GARCIA</t>
  </si>
  <si>
    <t>THEO AIOLFI CASTRO</t>
  </si>
  <si>
    <t>EDUCANDÁRIO - S.A</t>
  </si>
  <si>
    <t>JOAQUIM DE CILLO RIOS</t>
  </si>
  <si>
    <t>LORENZO GALASTRI PINTO</t>
  </si>
  <si>
    <t>ALEXSANDRO DA COSTA ASSIS</t>
  </si>
  <si>
    <t>VINICIUS MUNHOS DEL CISTIA</t>
  </si>
  <si>
    <t>GUSTAVO HENRIQUE RODRIGUES GONÇALVES</t>
  </si>
  <si>
    <t>PEDRO HENRIQUE MAZZA DA COSTA</t>
  </si>
  <si>
    <t>GUSTAVO FERNANDES DELLA LIBERA</t>
  </si>
  <si>
    <t>FELIPE RIBEIRO DA SILVA MOREIRA</t>
  </si>
  <si>
    <t>LIONEL ROMANINI GLAL</t>
  </si>
  <si>
    <t>ESCOLA PINHEIRO</t>
  </si>
  <si>
    <t>RAFAEL CIMIM</t>
  </si>
  <si>
    <t>KAILA ATTIS</t>
  </si>
  <si>
    <t>MARIA EDUARDA</t>
  </si>
  <si>
    <t>LETICIA TADOKORO</t>
  </si>
  <si>
    <t>LAURA ROSSIN</t>
  </si>
  <si>
    <t>GUILHERME BENTO</t>
  </si>
  <si>
    <t xml:space="preserve">GIOVANA MORAES </t>
  </si>
  <si>
    <t>THEO RIBEIRO</t>
  </si>
  <si>
    <t>BERNARDO ROMA</t>
  </si>
  <si>
    <t>PEDRO</t>
  </si>
  <si>
    <t>BENJAMIN CAMARGO</t>
  </si>
  <si>
    <t>ARTHUR SARAIVA</t>
  </si>
  <si>
    <t>GABRIEL APOLUCENA</t>
  </si>
  <si>
    <t>VITOR YUKIO</t>
  </si>
  <si>
    <t xml:space="preserve">JOÃO PEDRO GRAZIANO </t>
  </si>
  <si>
    <t>ENZO CASANOVA</t>
  </si>
  <si>
    <t>NICOLAS TAVARES</t>
  </si>
  <si>
    <t>PEDRO MAZA</t>
  </si>
  <si>
    <t>ARTHUR REIS</t>
  </si>
  <si>
    <t>BERNARDO MIRANDA</t>
  </si>
  <si>
    <t xml:space="preserve">RAPHAEL FERNANDES </t>
  </si>
  <si>
    <t xml:space="preserve">ARTHUR PEREIRA </t>
  </si>
  <si>
    <t>ANTONIO EDUARDO</t>
  </si>
  <si>
    <t>RAFAEL LUZ</t>
  </si>
  <si>
    <t>PEDRO GOMES</t>
  </si>
  <si>
    <t>BERNARDO TOME</t>
  </si>
  <si>
    <t>IAN JUSTI</t>
  </si>
  <si>
    <t>PEDRO SOUTO</t>
  </si>
  <si>
    <t>GUSTAVO HENRIQUE</t>
  </si>
  <si>
    <t>GABRIEL MATS</t>
  </si>
  <si>
    <t>GUSTAVO FERNANDES</t>
  </si>
  <si>
    <t xml:space="preserve">RAFAEL MIRANDA </t>
  </si>
  <si>
    <t>GUILHERME CAVALCANTI SIQUEIRA</t>
  </si>
  <si>
    <t>SÃO JOSÉ</t>
  </si>
  <si>
    <t>LEONARDO SERRANO</t>
  </si>
  <si>
    <t>ARBOS SÃO CAETANO</t>
  </si>
  <si>
    <t>GUILHERME VELOSO</t>
  </si>
  <si>
    <t>ESCOLA INTERACAO</t>
  </si>
  <si>
    <t>GUSTAVO RICCI</t>
  </si>
  <si>
    <t>BENICIO BEDUCHI</t>
  </si>
  <si>
    <t xml:space="preserve">FELIPE JARDIM </t>
  </si>
  <si>
    <t>THEO DIAS</t>
  </si>
  <si>
    <t>LUIS MONTEIRO</t>
  </si>
  <si>
    <t>SÃO MAURO</t>
  </si>
  <si>
    <t>LUCAS ROSA</t>
  </si>
  <si>
    <t xml:space="preserve">LUCAS YUDI </t>
  </si>
  <si>
    <t>LEONARDO ELIAS</t>
  </si>
  <si>
    <t xml:space="preserve">JULIO ESTEVES </t>
  </si>
  <si>
    <t xml:space="preserve">ANTONIO EDUARDO </t>
  </si>
  <si>
    <t>BENTO TOSTA</t>
  </si>
  <si>
    <t>SINGULAR SCS</t>
  </si>
  <si>
    <t>MURILO PASSARELA</t>
  </si>
  <si>
    <t>D</t>
  </si>
  <si>
    <t>V</t>
  </si>
  <si>
    <t>GUILHERME MOUTH</t>
  </si>
  <si>
    <t>ARBOS SÃO BERNARDO</t>
  </si>
  <si>
    <t>JOÃO IZEKI</t>
  </si>
  <si>
    <t>AMERICAN ADCADEMY SBC</t>
  </si>
  <si>
    <t>FELIPE SOUZA</t>
  </si>
  <si>
    <t xml:space="preserve">OTAVIO DE ANDRADE </t>
  </si>
  <si>
    <t>FERNANDO DI SANTI</t>
  </si>
  <si>
    <t>MATHEUS DE OLIVEIRA</t>
  </si>
  <si>
    <t>ARTHUR BERTINI</t>
  </si>
  <si>
    <t>IL SOLE</t>
  </si>
  <si>
    <t>GAEL REIS</t>
  </si>
  <si>
    <t>MIGUEL LUIS</t>
  </si>
  <si>
    <t>GABRIEL LOIOLA</t>
  </si>
  <si>
    <t>THEO DE MORAIS</t>
  </si>
  <si>
    <t>THIAGO CAMPOS</t>
  </si>
  <si>
    <t>THEO OBST</t>
  </si>
  <si>
    <t>RENAN FERREIRA</t>
  </si>
  <si>
    <t>ARBOS SANTO ANDRÉ</t>
  </si>
  <si>
    <t>LUIGI CORSINI</t>
  </si>
  <si>
    <t>MIGUEL OLIVEIRA</t>
  </si>
  <si>
    <t>VICTOR GOMES</t>
  </si>
  <si>
    <t>PEDRO PIMENTEL</t>
  </si>
  <si>
    <t>KAUA DOMINGUES SULA</t>
  </si>
  <si>
    <t>MATHEUS MUCIA</t>
  </si>
  <si>
    <t>FELIPE SILVA</t>
  </si>
  <si>
    <t>LEONARDO GRIESE</t>
  </si>
  <si>
    <t>BERNARDO SOUZA</t>
  </si>
  <si>
    <t>PEDRO SILVA</t>
  </si>
  <si>
    <t>NICOLAS GARCIA</t>
  </si>
  <si>
    <t>SALVADOR ARENA</t>
  </si>
  <si>
    <t>LUCAS PEDROSO</t>
  </si>
  <si>
    <t>FELIPE MACHADO</t>
  </si>
  <si>
    <t>COLÉGIO PETRÓPOLIS</t>
  </si>
  <si>
    <t>JOÃO GARCIA</t>
  </si>
  <si>
    <t>FELIPE ALVES</t>
  </si>
  <si>
    <t>VÉRTICE</t>
  </si>
  <si>
    <t>IAGO SERRANO</t>
  </si>
  <si>
    <t>GABRIEL APOLO SENA</t>
  </si>
  <si>
    <t>RAFAEL SIMIM</t>
  </si>
  <si>
    <t>PINHEIRO</t>
  </si>
  <si>
    <t>LUCAS DE BARROS</t>
  </si>
  <si>
    <t>PIETRO SELAN</t>
  </si>
  <si>
    <t>LEONARDO PAZIANI</t>
  </si>
  <si>
    <t>JOÃO CALMAZINI</t>
  </si>
  <si>
    <t>1º</t>
  </si>
  <si>
    <t>2º</t>
  </si>
  <si>
    <t>3º</t>
  </si>
  <si>
    <t>4º</t>
  </si>
  <si>
    <t>5º</t>
  </si>
  <si>
    <t>6º</t>
  </si>
  <si>
    <t>8º</t>
  </si>
  <si>
    <t>9º</t>
  </si>
  <si>
    <t>10º</t>
  </si>
  <si>
    <t>11º</t>
  </si>
  <si>
    <t>12º</t>
  </si>
  <si>
    <t>13º</t>
  </si>
  <si>
    <t>15º</t>
  </si>
  <si>
    <t>16º</t>
  </si>
  <si>
    <t>17º</t>
  </si>
  <si>
    <t>7º</t>
  </si>
  <si>
    <t>14º</t>
  </si>
  <si>
    <t>18º</t>
  </si>
  <si>
    <t>19º</t>
  </si>
  <si>
    <t>20º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</si>
</sst>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32" x14ac:knownFonts="1">
    <font>
      <sz val="11"/>
      <color theme="1"/>
      <name val="Calibri"/>
      <family val="2"/>
      <scheme val="minor"/>
    </font>
    <font>
      <b/>
      <sz val="11"/>
      <color theme="1"/>
      <name val="Calibri"/>
      <family val="2"/>
      <scheme val="minor"/>
    </font>
    <font>
      <sz val="8"/>
      <name val="Calibri"/>
      <family val="2"/>
      <scheme val="minor"/>
    </font>
    <font>
      <sz val="11"/>
      <color theme="1"/>
      <name val="Century Gothic"/>
      <family val="2"/>
    </font>
    <font>
      <b/>
      <sz val="11"/>
      <color theme="1"/>
      <name val="Century Gothic"/>
      <family val="2"/>
    </font>
    <font>
      <sz val="10"/>
      <color theme="1"/>
      <name val="Century Gothic"/>
      <family val="2"/>
    </font>
    <font>
      <b/>
      <sz val="10"/>
      <color theme="1"/>
      <name val="Century Gothic"/>
      <family val="2"/>
    </font>
    <font>
      <b/>
      <sz val="12"/>
      <color theme="0"/>
      <name val="Century Gothic"/>
      <family val="2"/>
    </font>
    <font>
      <b/>
      <sz val="11"/>
      <color rgb="FFFF0066"/>
      <name val="Century Gothic"/>
      <family val="2"/>
    </font>
    <font>
      <b/>
      <sz val="12"/>
      <color theme="1"/>
      <name val="Century Gothic"/>
      <family val="2"/>
    </font>
    <font>
      <b/>
      <sz val="11"/>
      <color theme="0"/>
      <name val="Century Gothic"/>
      <family val="2"/>
    </font>
    <font>
      <sz val="11"/>
      <color theme="0"/>
      <name val="Century Gothic"/>
      <family val="2"/>
    </font>
    <font>
      <sz val="11"/>
      <name val="Century Gothic"/>
      <family val="2"/>
    </font>
    <font>
      <sz val="10"/>
      <name val="Century Gothic"/>
      <family val="2"/>
    </font>
    <font>
      <sz val="10"/>
      <color theme="0"/>
      <name val="Century Gothic"/>
      <family val="2"/>
    </font>
    <font>
      <b/>
      <sz val="11"/>
      <name val="Century Gothic"/>
      <family val="2"/>
    </font>
    <font>
      <b/>
      <sz val="9"/>
      <color theme="0"/>
      <name val="Century Gothic"/>
      <family val="2"/>
    </font>
    <font>
      <b/>
      <sz val="11"/>
      <color rgb="FFFFCCFF"/>
      <name val="Calibri"/>
      <family val="2"/>
      <scheme val="minor"/>
    </font>
    <font>
      <b/>
      <sz val="11"/>
      <color rgb="FFFF0000"/>
      <name val="Century Gothic"/>
      <family val="2"/>
    </font>
    <font>
      <sz val="11"/>
      <color rgb="FFFFCCFF"/>
      <name val="Century Gothic"/>
      <family val="2"/>
    </font>
    <font>
      <sz val="11"/>
      <color rgb="FFC1C1FF"/>
      <name val="Century Gothic"/>
      <family val="2"/>
    </font>
    <font>
      <b/>
      <sz val="11"/>
      <color rgb="FFC1C1FF"/>
      <name val="Calibri"/>
      <family val="2"/>
      <scheme val="minor"/>
    </font>
    <font>
      <b/>
      <u/>
      <sz val="11"/>
      <color rgb="FFFF0066"/>
      <name val="Century Gothic"/>
      <family val="2"/>
    </font>
    <font>
      <b/>
      <u/>
      <sz val="11"/>
      <color rgb="FFFF0000"/>
      <name val="Century Gothic"/>
      <family val="2"/>
    </font>
    <font>
      <b/>
      <sz val="11"/>
      <color rgb="FFFFCCFF"/>
      <name val="Century Gothic"/>
      <family val="2"/>
    </font>
    <font>
      <b/>
      <sz val="11"/>
      <color rgb="FFC1C1FF"/>
      <name val="Century Gothic"/>
      <family val="2"/>
    </font>
    <font>
      <sz val="10"/>
      <color rgb="FFFF0000"/>
      <name val="Century Gothic"/>
      <family val="2"/>
    </font>
    <font>
      <sz val="11"/>
      <color rgb="FFFF0000"/>
      <name val="Century Gothic"/>
      <family val="2"/>
    </font>
    <font>
      <b/>
      <sz val="10"/>
      <color rgb="FFFF0000"/>
      <name val="Century Gothic"/>
      <family val="2"/>
    </font>
    <font>
      <b/>
      <sz val="10"/>
      <color theme="0"/>
      <name val="Century Gothic"/>
      <family val="2"/>
    </font>
    <font>
      <b/>
      <sz val="12"/>
      <name val="Century Gothic"/>
      <family val="2"/>
    </font>
    <font>
      <sz val="12"/>
      <color theme="1"/>
      <name val="Century Gothic"/>
      <family val="2"/>
    </font>
  </fonts>
  <fills count="27">
    <fill>
      <patternFill patternType="none"/>
    </fill>
    <fill>
      <patternFill patternType="gray125"/>
    </fill>
    <fill>
      <gradientFill degree="270">
        <stop position="0">
          <color theme="0"/>
        </stop>
        <stop position="1">
          <color theme="4" tint="0.40000610370189521"/>
        </stop>
      </gradientFill>
    </fill>
    <fill>
      <patternFill patternType="solid">
        <fgColor rgb="FFFF0066"/>
        <bgColor indexed="64"/>
      </patternFill>
    </fill>
    <fill>
      <patternFill patternType="solid">
        <fgColor rgb="FFFFCCFF"/>
        <bgColor indexed="64"/>
      </patternFill>
    </fill>
    <fill>
      <patternFill patternType="solid">
        <fgColor theme="7" tint="0.59999389629810485"/>
        <bgColor indexed="64"/>
      </patternFill>
    </fill>
    <fill>
      <patternFill patternType="solid">
        <fgColor rgb="FFFF9FFF"/>
        <bgColor indexed="64"/>
      </patternFill>
    </fill>
    <fill>
      <patternFill patternType="solid">
        <fgColor theme="0" tint="-0.34998626667073579"/>
        <bgColor indexed="64"/>
      </patternFill>
    </fill>
    <fill>
      <patternFill patternType="solid">
        <fgColor rgb="FFFFB219"/>
        <bgColor indexed="64"/>
      </patternFill>
    </fill>
    <fill>
      <patternFill patternType="solid">
        <fgColor rgb="FFFFDC97"/>
        <bgColor indexed="64"/>
      </patternFill>
    </fill>
    <fill>
      <patternFill patternType="solid">
        <fgColor rgb="FFC55A11"/>
        <bgColor indexed="64"/>
      </patternFill>
    </fill>
    <fill>
      <patternFill patternType="solid">
        <fgColor theme="4"/>
        <bgColor indexed="64"/>
      </patternFill>
    </fill>
    <fill>
      <patternFill patternType="solid">
        <fgColor rgb="FFC1C1FF"/>
        <bgColor indexed="64"/>
      </patternFill>
    </fill>
    <fill>
      <patternFill patternType="solid">
        <fgColor rgb="FF9797FF"/>
        <bgColor indexed="64"/>
      </patternFill>
    </fill>
    <fill>
      <patternFill patternType="solid">
        <fgColor theme="4" tint="-0.249977111117893"/>
        <bgColor indexed="64"/>
      </patternFill>
    </fill>
    <fill>
      <patternFill patternType="solid">
        <fgColor theme="2" tint="-9.9978637043366805E-2"/>
        <bgColor indexed="64"/>
      </patternFill>
    </fill>
    <fill>
      <patternFill patternType="solid">
        <fgColor rgb="FFE2B68A"/>
        <bgColor indexed="64"/>
      </patternFill>
    </fill>
    <fill>
      <patternFill patternType="solid">
        <fgColor rgb="FFFFD347"/>
        <bgColor indexed="64"/>
      </patternFill>
    </fill>
    <fill>
      <patternFill patternType="solid">
        <fgColor rgb="FF1BA94A"/>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0"/>
        <bgColor indexed="64"/>
      </patternFill>
    </fill>
    <fill>
      <patternFill patternType="solid">
        <fgColor theme="5" tint="0.79998168889431442"/>
        <bgColor indexed="64"/>
      </patternFill>
    </fill>
    <fill>
      <patternFill patternType="solid">
        <fgColor rgb="FFD9D9D9"/>
        <bgColor indexed="64"/>
      </patternFill>
    </fill>
    <fill>
      <patternFill patternType="solid">
        <fgColor rgb="FF4472C4"/>
        <bgColor indexed="64"/>
      </patternFill>
    </fill>
    <fill>
      <patternFill patternType="solid">
        <fgColor rgb="FFFFFF66"/>
        <bgColor indexed="64"/>
      </patternFill>
    </fill>
    <fill>
      <patternFill patternType="solid">
        <fgColor theme="7"/>
        <bgColor indexed="64"/>
      </patternFill>
    </fill>
  </fills>
  <borders count="34">
    <border>
      <left/>
      <right/>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bottom/>
      <diagonal/>
    </border>
    <border>
      <left style="medium">
        <color indexed="64"/>
      </left>
      <right style="thin">
        <color indexed="64"/>
      </right>
      <top style="thin">
        <color indexed="64"/>
      </top>
      <bottom/>
      <diagonal/>
    </border>
    <border>
      <left style="thin">
        <color indexed="64"/>
      </left>
      <right/>
      <top/>
      <bottom/>
      <diagonal/>
    </border>
    <border>
      <left style="thin">
        <color indexed="64"/>
      </left>
      <right style="medium">
        <color indexed="64"/>
      </right>
      <top/>
      <bottom/>
      <diagonal/>
    </border>
    <border>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style="medium">
        <color indexed="64"/>
      </right>
      <top style="thin">
        <color indexed="64"/>
      </top>
      <bottom/>
      <diagonal/>
    </border>
    <border>
      <left/>
      <right style="thin">
        <color indexed="64"/>
      </right>
      <top style="thin">
        <color indexed="64"/>
      </top>
      <bottom/>
      <diagonal/>
    </border>
    <border>
      <left/>
      <right style="medium">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theme="0"/>
      </right>
      <top/>
      <bottom style="thin">
        <color theme="0"/>
      </bottom>
      <diagonal/>
    </border>
    <border>
      <left/>
      <right style="thin">
        <color theme="0"/>
      </right>
      <top style="thin">
        <color theme="0"/>
      </top>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thin">
        <color indexed="64"/>
      </right>
      <top/>
      <bottom/>
      <diagonal/>
    </border>
    <border>
      <left style="thin">
        <color theme="0"/>
      </left>
      <right style="thin">
        <color theme="0"/>
      </right>
      <top/>
      <bottom/>
      <diagonal/>
    </border>
  </borders>
  <cellStyleXfs count="1">
    <xf numFmtId="0" fontId="0" fillId="0" borderId="0"/>
  </cellStyleXfs>
  <cellXfs count="287">
    <xf numFmtId="0" fontId="0" fillId="0" borderId="0" xfId="0"/>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horizontal="center" vertical="center"/>
    </xf>
    <xf numFmtId="0" fontId="6" fillId="0" borderId="0" xfId="0" applyFont="1" applyAlignment="1">
      <alignment horizontal="center" vertical="center"/>
    </xf>
    <xf numFmtId="0" fontId="8" fillId="0" borderId="0" xfId="0" applyFont="1" applyAlignment="1">
      <alignment horizontal="left" vertical="center"/>
    </xf>
    <xf numFmtId="0" fontId="8" fillId="0" borderId="1" xfId="0" applyFont="1" applyBorder="1" applyAlignment="1">
      <alignment horizontal="right" vertical="center"/>
    </xf>
    <xf numFmtId="0" fontId="8" fillId="0" borderId="1" xfId="0" applyFont="1" applyBorder="1" applyAlignment="1">
      <alignment horizontal="left" vertical="center"/>
    </xf>
    <xf numFmtId="0" fontId="3" fillId="4" borderId="0" xfId="0" applyFont="1" applyFill="1" applyAlignment="1">
      <alignment vertical="center"/>
    </xf>
    <xf numFmtId="0" fontId="10" fillId="3" borderId="3" xfId="0" applyFont="1" applyFill="1" applyBorder="1" applyAlignment="1">
      <alignment horizontal="center" vertical="center"/>
    </xf>
    <xf numFmtId="0" fontId="6" fillId="4" borderId="6" xfId="0" applyFont="1" applyFill="1" applyBorder="1" applyAlignment="1">
      <alignment horizontal="center" vertical="center"/>
    </xf>
    <xf numFmtId="0" fontId="1" fillId="4" borderId="0" xfId="0" applyFont="1" applyFill="1" applyAlignment="1">
      <alignment horizontal="center" vertical="center"/>
    </xf>
    <xf numFmtId="0" fontId="1" fillId="4" borderId="0" xfId="0" applyFont="1" applyFill="1" applyAlignment="1">
      <alignment vertical="center"/>
    </xf>
    <xf numFmtId="0" fontId="6" fillId="4" borderId="3" xfId="0" applyFont="1" applyFill="1" applyBorder="1" applyAlignment="1">
      <alignment horizontal="right" vertical="center"/>
    </xf>
    <xf numFmtId="0" fontId="6" fillId="4" borderId="4" xfId="0" applyFont="1" applyFill="1" applyBorder="1" applyAlignment="1">
      <alignment horizontal="left" vertical="center"/>
    </xf>
    <xf numFmtId="0" fontId="6"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9" xfId="0" applyFont="1" applyFill="1" applyBorder="1" applyAlignment="1">
      <alignment horizontal="center" vertical="center"/>
    </xf>
    <xf numFmtId="0" fontId="1" fillId="4" borderId="10" xfId="0" applyFont="1" applyFill="1" applyBorder="1" applyAlignment="1">
      <alignment horizontal="center" vertical="center"/>
    </xf>
    <xf numFmtId="0" fontId="1" fillId="4" borderId="11" xfId="0" applyFont="1" applyFill="1" applyBorder="1" applyAlignment="1">
      <alignment horizontal="center" vertical="center"/>
    </xf>
    <xf numFmtId="0" fontId="11" fillId="0" borderId="0" xfId="0" applyFont="1" applyAlignment="1">
      <alignment vertical="center"/>
    </xf>
    <xf numFmtId="0" fontId="6" fillId="4" borderId="3" xfId="0" applyFont="1" applyFill="1" applyBorder="1" applyAlignment="1">
      <alignment horizontal="center" vertical="center"/>
    </xf>
    <xf numFmtId="0" fontId="4" fillId="0" borderId="0" xfId="0" applyFont="1" applyAlignment="1">
      <alignment horizontal="center" vertical="center"/>
    </xf>
    <xf numFmtId="0" fontId="12" fillId="0" borderId="0" xfId="0" applyFont="1" applyAlignment="1">
      <alignment vertical="center"/>
    </xf>
    <xf numFmtId="0" fontId="13" fillId="0" borderId="0" xfId="0" applyFont="1" applyAlignment="1">
      <alignment horizontal="center" vertical="center"/>
    </xf>
    <xf numFmtId="0" fontId="14" fillId="0" borderId="0" xfId="0" applyFont="1" applyAlignment="1">
      <alignment horizontal="center" vertical="center"/>
    </xf>
    <xf numFmtId="0" fontId="4" fillId="12" borderId="18" xfId="0" applyFont="1" applyFill="1" applyBorder="1" applyAlignment="1">
      <alignment vertical="center"/>
    </xf>
    <xf numFmtId="0" fontId="3" fillId="12" borderId="18" xfId="0" applyFont="1" applyFill="1" applyBorder="1" applyAlignment="1">
      <alignment vertical="center"/>
    </xf>
    <xf numFmtId="0" fontId="10" fillId="11" borderId="5" xfId="0" applyFont="1" applyFill="1" applyBorder="1" applyAlignment="1">
      <alignment horizontal="center" vertical="center" wrapText="1"/>
    </xf>
    <xf numFmtId="0" fontId="1" fillId="12" borderId="0" xfId="0" applyFont="1" applyFill="1" applyAlignment="1">
      <alignment horizontal="center" vertical="center"/>
    </xf>
    <xf numFmtId="0" fontId="1" fillId="12" borderId="0" xfId="0" applyFont="1" applyFill="1" applyAlignment="1">
      <alignment vertical="center"/>
    </xf>
    <xf numFmtId="0" fontId="6" fillId="12" borderId="3" xfId="0" applyFont="1" applyFill="1" applyBorder="1" applyAlignment="1">
      <alignment horizontal="right" vertical="center"/>
    </xf>
    <xf numFmtId="0" fontId="6" fillId="12" borderId="4" xfId="0" applyFont="1" applyFill="1" applyBorder="1" applyAlignment="1">
      <alignment horizontal="left" vertical="center"/>
    </xf>
    <xf numFmtId="0" fontId="6" fillId="12" borderId="5" xfId="0" applyFont="1" applyFill="1" applyBorder="1" applyAlignment="1">
      <alignment horizontal="center" vertical="center"/>
    </xf>
    <xf numFmtId="0" fontId="1" fillId="12" borderId="9" xfId="0" applyFont="1" applyFill="1" applyBorder="1" applyAlignment="1">
      <alignment horizontal="center" vertical="center"/>
    </xf>
    <xf numFmtId="0" fontId="1" fillId="12" borderId="10" xfId="0" applyFont="1" applyFill="1" applyBorder="1" applyAlignment="1">
      <alignment horizontal="center" vertical="center"/>
    </xf>
    <xf numFmtId="0" fontId="1" fillId="12" borderId="11" xfId="0" applyFont="1" applyFill="1" applyBorder="1" applyAlignment="1">
      <alignment horizontal="center" vertical="center"/>
    </xf>
    <xf numFmtId="0" fontId="3" fillId="12" borderId="0" xfId="0" applyFont="1" applyFill="1" applyAlignment="1">
      <alignment vertical="center"/>
    </xf>
    <xf numFmtId="0" fontId="0" fillId="0" borderId="0" xfId="0" applyAlignment="1">
      <alignment horizontal="center"/>
    </xf>
    <xf numFmtId="0" fontId="0" fillId="15" borderId="5" xfId="0" applyFill="1" applyBorder="1" applyAlignment="1">
      <alignment horizontal="center"/>
    </xf>
    <xf numFmtId="0" fontId="4" fillId="0" borderId="0" xfId="0" applyFont="1" applyAlignment="1">
      <alignment horizontal="left" vertical="center"/>
    </xf>
    <xf numFmtId="0" fontId="3" fillId="0" borderId="0" xfId="0" applyFont="1" applyAlignment="1">
      <alignment horizontal="right" vertical="center"/>
    </xf>
    <xf numFmtId="0" fontId="16" fillId="0" borderId="0" xfId="0" applyFont="1" applyAlignment="1">
      <alignment horizontal="center" vertical="center"/>
    </xf>
    <xf numFmtId="0" fontId="10" fillId="3" borderId="5" xfId="0" applyFont="1" applyFill="1" applyBorder="1" applyAlignment="1">
      <alignment horizontal="center" vertical="center" wrapText="1"/>
    </xf>
    <xf numFmtId="0" fontId="4" fillId="5" borderId="5" xfId="0" applyFont="1" applyFill="1" applyBorder="1" applyAlignment="1" applyProtection="1">
      <alignment horizontal="center" vertical="center"/>
      <protection locked="0"/>
    </xf>
    <xf numFmtId="0" fontId="3" fillId="0" borderId="0" xfId="0" applyFont="1" applyAlignment="1" applyProtection="1">
      <alignment horizontal="center" vertical="center"/>
      <protection hidden="1"/>
    </xf>
    <xf numFmtId="0" fontId="4" fillId="0" borderId="0" xfId="0" applyFont="1" applyAlignment="1" applyProtection="1">
      <alignment horizontal="center" vertical="center"/>
      <protection hidden="1"/>
    </xf>
    <xf numFmtId="0" fontId="4" fillId="20" borderId="3" xfId="0" applyFont="1" applyFill="1" applyBorder="1" applyAlignment="1" applyProtection="1">
      <alignment horizontal="right" vertical="center"/>
      <protection hidden="1"/>
    </xf>
    <xf numFmtId="0" fontId="4" fillId="20" borderId="4" xfId="0" applyFont="1" applyFill="1" applyBorder="1" applyAlignment="1" applyProtection="1">
      <alignment horizontal="left" vertical="center"/>
      <protection hidden="1"/>
    </xf>
    <xf numFmtId="0" fontId="4" fillId="20" borderId="4" xfId="0" applyFont="1" applyFill="1" applyBorder="1" applyAlignment="1" applyProtection="1">
      <alignment horizontal="center" vertical="center"/>
      <protection hidden="1"/>
    </xf>
    <xf numFmtId="0" fontId="3" fillId="0" borderId="0" xfId="0" applyFont="1" applyAlignment="1" applyProtection="1">
      <alignment vertical="center"/>
      <protection locked="0"/>
    </xf>
    <xf numFmtId="0" fontId="17" fillId="4" borderId="0" xfId="0" applyFont="1" applyFill="1" applyAlignment="1">
      <alignment horizontal="center" vertical="center"/>
    </xf>
    <xf numFmtId="0" fontId="17" fillId="4" borderId="7" xfId="0" applyFont="1" applyFill="1" applyBorder="1" applyAlignment="1">
      <alignment horizontal="center" vertical="center"/>
    </xf>
    <xf numFmtId="0" fontId="17" fillId="4" borderId="9" xfId="0" applyFont="1" applyFill="1" applyBorder="1" applyAlignment="1">
      <alignment horizontal="center" vertical="center"/>
    </xf>
    <xf numFmtId="0" fontId="17" fillId="4" borderId="10" xfId="0" applyFont="1" applyFill="1" applyBorder="1" applyAlignment="1">
      <alignment horizontal="center" vertical="center"/>
    </xf>
    <xf numFmtId="0" fontId="17" fillId="4" borderId="11" xfId="0" applyFont="1" applyFill="1" applyBorder="1" applyAlignment="1">
      <alignment horizontal="center" vertical="center"/>
    </xf>
    <xf numFmtId="0" fontId="17" fillId="4" borderId="12" xfId="0" applyFont="1" applyFill="1" applyBorder="1" applyAlignment="1">
      <alignment horizontal="center" vertical="center"/>
    </xf>
    <xf numFmtId="0" fontId="17" fillId="4" borderId="13" xfId="0" applyFont="1" applyFill="1" applyBorder="1" applyAlignment="1">
      <alignment horizontal="center" vertical="center"/>
    </xf>
    <xf numFmtId="0" fontId="7" fillId="3" borderId="1" xfId="0" applyFont="1" applyFill="1" applyBorder="1" applyAlignment="1">
      <alignment horizontal="center" vertical="center"/>
    </xf>
    <xf numFmtId="0" fontId="7" fillId="11" borderId="3" xfId="0" applyFont="1" applyFill="1" applyBorder="1" applyAlignment="1">
      <alignment horizontal="center" vertical="center"/>
    </xf>
    <xf numFmtId="0" fontId="12" fillId="4" borderId="0" xfId="0" applyFont="1" applyFill="1" applyAlignment="1">
      <alignment vertical="center"/>
    </xf>
    <xf numFmtId="0" fontId="3" fillId="4" borderId="18" xfId="0" applyFont="1" applyFill="1" applyBorder="1" applyAlignment="1">
      <alignment vertical="center"/>
    </xf>
    <xf numFmtId="0" fontId="4" fillId="4" borderId="0" xfId="0" applyFont="1" applyFill="1" applyAlignment="1">
      <alignment vertical="center"/>
    </xf>
    <xf numFmtId="0" fontId="6" fillId="4" borderId="0" xfId="0" applyFont="1" applyFill="1" applyAlignment="1">
      <alignment horizontal="center" vertical="center"/>
    </xf>
    <xf numFmtId="0" fontId="3" fillId="4" borderId="19" xfId="0" applyFont="1" applyFill="1" applyBorder="1" applyAlignment="1">
      <alignment vertical="center"/>
    </xf>
    <xf numFmtId="0" fontId="3" fillId="4" borderId="10" xfId="0" applyFont="1" applyFill="1" applyBorder="1" applyAlignment="1">
      <alignment vertical="center"/>
    </xf>
    <xf numFmtId="0" fontId="3" fillId="4" borderId="20" xfId="0" applyFont="1" applyFill="1" applyBorder="1" applyAlignment="1">
      <alignment vertical="center"/>
    </xf>
    <xf numFmtId="0" fontId="3" fillId="4" borderId="21" xfId="0" applyFont="1" applyFill="1" applyBorder="1" applyAlignment="1">
      <alignment vertical="center"/>
    </xf>
    <xf numFmtId="0" fontId="3" fillId="4" borderId="11" xfId="0" applyFont="1" applyFill="1" applyBorder="1" applyAlignment="1">
      <alignment vertical="center"/>
    </xf>
    <xf numFmtId="0" fontId="3" fillId="4" borderId="8" xfId="0" applyFont="1" applyFill="1" applyBorder="1" applyAlignment="1">
      <alignment vertical="center"/>
    </xf>
    <xf numFmtId="0" fontId="3" fillId="4" borderId="22" xfId="0" applyFont="1" applyFill="1" applyBorder="1" applyAlignment="1">
      <alignment vertical="center"/>
    </xf>
    <xf numFmtId="0" fontId="4" fillId="4" borderId="0" xfId="0" applyFont="1" applyFill="1" applyAlignment="1">
      <alignment horizontal="center" vertical="center"/>
    </xf>
    <xf numFmtId="0" fontId="3" fillId="4" borderId="25" xfId="0" applyFont="1" applyFill="1" applyBorder="1" applyAlignment="1">
      <alignment vertical="center"/>
    </xf>
    <xf numFmtId="0" fontId="3" fillId="4" borderId="2" xfId="0" applyFont="1" applyFill="1" applyBorder="1" applyAlignment="1">
      <alignment vertical="center"/>
    </xf>
    <xf numFmtId="0" fontId="4" fillId="4" borderId="18" xfId="0" applyFont="1" applyFill="1" applyBorder="1" applyAlignment="1">
      <alignment vertical="center"/>
    </xf>
    <xf numFmtId="0" fontId="1" fillId="4" borderId="18" xfId="0" applyFont="1" applyFill="1" applyBorder="1" applyAlignment="1">
      <alignment horizontal="center" vertical="center"/>
    </xf>
    <xf numFmtId="0" fontId="17" fillId="4" borderId="19" xfId="0" applyFont="1" applyFill="1" applyBorder="1" applyAlignment="1">
      <alignment horizontal="center" vertical="center"/>
    </xf>
    <xf numFmtId="0" fontId="17" fillId="4" borderId="26" xfId="0" applyFont="1" applyFill="1" applyBorder="1" applyAlignment="1">
      <alignment horizontal="center" vertical="center"/>
    </xf>
    <xf numFmtId="0" fontId="19" fillId="4" borderId="0" xfId="0" applyFont="1" applyFill="1" applyAlignment="1">
      <alignment vertical="center"/>
    </xf>
    <xf numFmtId="0" fontId="3" fillId="21" borderId="18" xfId="0" applyFont="1" applyFill="1" applyBorder="1" applyAlignment="1">
      <alignment vertical="center"/>
    </xf>
    <xf numFmtId="0" fontId="12" fillId="21" borderId="18" xfId="0" applyFont="1" applyFill="1" applyBorder="1" applyAlignment="1">
      <alignment vertical="center"/>
    </xf>
    <xf numFmtId="0" fontId="1" fillId="21" borderId="0" xfId="0" applyFont="1" applyFill="1" applyAlignment="1">
      <alignment vertical="center"/>
    </xf>
    <xf numFmtId="0" fontId="9" fillId="22" borderId="17" xfId="0" applyFont="1" applyFill="1" applyBorder="1" applyAlignment="1">
      <alignment horizontal="center" vertical="center"/>
    </xf>
    <xf numFmtId="0" fontId="6" fillId="4" borderId="18" xfId="0" applyFont="1" applyFill="1" applyBorder="1" applyAlignment="1">
      <alignment horizontal="center" vertical="center"/>
    </xf>
    <xf numFmtId="0" fontId="4" fillId="12" borderId="0" xfId="0" applyFont="1" applyFill="1" applyAlignment="1">
      <alignment horizontal="center" vertical="center"/>
    </xf>
    <xf numFmtId="0" fontId="12" fillId="12" borderId="0" xfId="0" applyFont="1" applyFill="1" applyAlignment="1">
      <alignment vertical="center"/>
    </xf>
    <xf numFmtId="0" fontId="4" fillId="12" borderId="0" xfId="0" applyFont="1" applyFill="1" applyAlignment="1">
      <alignment vertical="center"/>
    </xf>
    <xf numFmtId="0" fontId="17" fillId="12" borderId="0" xfId="0" applyFont="1" applyFill="1" applyAlignment="1">
      <alignment horizontal="center" vertical="center"/>
    </xf>
    <xf numFmtId="0" fontId="19" fillId="12" borderId="0" xfId="0" applyFont="1" applyFill="1" applyAlignment="1">
      <alignment vertical="center"/>
    </xf>
    <xf numFmtId="0" fontId="3" fillId="12" borderId="8" xfId="0" applyFont="1" applyFill="1" applyBorder="1" applyAlignment="1">
      <alignment vertical="center"/>
    </xf>
    <xf numFmtId="0" fontId="3" fillId="12" borderId="22" xfId="0" applyFont="1" applyFill="1" applyBorder="1" applyAlignment="1">
      <alignment vertical="center"/>
    </xf>
    <xf numFmtId="0" fontId="3" fillId="12" borderId="19" xfId="0" applyFont="1" applyFill="1" applyBorder="1" applyAlignment="1">
      <alignment vertical="center"/>
    </xf>
    <xf numFmtId="0" fontId="1" fillId="12" borderId="18" xfId="0" applyFont="1" applyFill="1" applyBorder="1" applyAlignment="1">
      <alignment horizontal="center" vertical="center"/>
    </xf>
    <xf numFmtId="0" fontId="17" fillId="12" borderId="10" xfId="0" applyFont="1" applyFill="1" applyBorder="1" applyAlignment="1">
      <alignment horizontal="center" vertical="center"/>
    </xf>
    <xf numFmtId="0" fontId="3" fillId="12" borderId="10" xfId="0" applyFont="1" applyFill="1" applyBorder="1" applyAlignment="1">
      <alignment vertical="center"/>
    </xf>
    <xf numFmtId="0" fontId="3" fillId="12" borderId="21" xfId="0" applyFont="1" applyFill="1" applyBorder="1" applyAlignment="1">
      <alignment vertical="center"/>
    </xf>
    <xf numFmtId="0" fontId="3" fillId="12" borderId="11" xfId="0" applyFont="1" applyFill="1" applyBorder="1" applyAlignment="1">
      <alignment vertical="center"/>
    </xf>
    <xf numFmtId="0" fontId="3" fillId="12" borderId="25" xfId="0" applyFont="1" applyFill="1" applyBorder="1" applyAlignment="1">
      <alignment vertical="center"/>
    </xf>
    <xf numFmtId="0" fontId="3" fillId="12" borderId="20" xfId="0" applyFont="1" applyFill="1" applyBorder="1" applyAlignment="1">
      <alignment vertical="center"/>
    </xf>
    <xf numFmtId="0" fontId="6" fillId="12" borderId="0" xfId="0" applyFont="1" applyFill="1" applyAlignment="1">
      <alignment horizontal="center" vertical="center"/>
    </xf>
    <xf numFmtId="0" fontId="20" fillId="12" borderId="0" xfId="0" applyFont="1" applyFill="1" applyAlignment="1">
      <alignment vertical="center"/>
    </xf>
    <xf numFmtId="0" fontId="21" fillId="12" borderId="0" xfId="0" applyFont="1" applyFill="1" applyAlignment="1">
      <alignment horizontal="center" vertical="center"/>
    </xf>
    <xf numFmtId="0" fontId="21" fillId="12" borderId="11" xfId="0" applyFont="1" applyFill="1" applyBorder="1" applyAlignment="1">
      <alignment horizontal="center" vertical="center"/>
    </xf>
    <xf numFmtId="0" fontId="21" fillId="12" borderId="26" xfId="0" applyFont="1" applyFill="1" applyBorder="1" applyAlignment="1">
      <alignment horizontal="center" vertical="center"/>
    </xf>
    <xf numFmtId="0" fontId="21" fillId="12" borderId="19" xfId="0" applyFont="1" applyFill="1" applyBorder="1" applyAlignment="1">
      <alignment horizontal="center" vertical="center"/>
    </xf>
    <xf numFmtId="0" fontId="21" fillId="12" borderId="12" xfId="0" applyFont="1" applyFill="1" applyBorder="1" applyAlignment="1">
      <alignment horizontal="center" vertical="center"/>
    </xf>
    <xf numFmtId="0" fontId="21" fillId="12" borderId="13" xfId="0" applyFont="1" applyFill="1" applyBorder="1" applyAlignment="1">
      <alignment horizontal="center" vertical="center"/>
    </xf>
    <xf numFmtId="0" fontId="21" fillId="12" borderId="7" xfId="0" applyFont="1" applyFill="1" applyBorder="1" applyAlignment="1">
      <alignment horizontal="center" vertical="center"/>
    </xf>
    <xf numFmtId="3" fontId="3" fillId="19" borderId="5" xfId="0" applyNumberFormat="1" applyFont="1" applyFill="1" applyBorder="1" applyAlignment="1" applyProtection="1">
      <alignment horizontal="center" vertical="center"/>
      <protection hidden="1"/>
    </xf>
    <xf numFmtId="3" fontId="4" fillId="5" borderId="5" xfId="0" applyNumberFormat="1" applyFont="1" applyFill="1" applyBorder="1" applyAlignment="1" applyProtection="1">
      <alignment horizontal="center" vertical="center"/>
      <protection hidden="1"/>
    </xf>
    <xf numFmtId="3" fontId="4" fillId="20" borderId="5" xfId="0" applyNumberFormat="1" applyFont="1" applyFill="1" applyBorder="1" applyAlignment="1" applyProtection="1">
      <alignment horizontal="center" vertical="center"/>
      <protection hidden="1"/>
    </xf>
    <xf numFmtId="0" fontId="6" fillId="12" borderId="3" xfId="0" applyFont="1" applyFill="1" applyBorder="1" applyAlignment="1">
      <alignment horizontal="center" vertical="center"/>
    </xf>
    <xf numFmtId="0" fontId="3" fillId="4" borderId="27" xfId="0" applyFont="1" applyFill="1" applyBorder="1" applyAlignment="1">
      <alignment vertical="center"/>
    </xf>
    <xf numFmtId="0" fontId="10" fillId="21" borderId="16" xfId="0" applyFont="1" applyFill="1" applyBorder="1" applyAlignment="1">
      <alignment horizontal="center" vertical="center"/>
    </xf>
    <xf numFmtId="0" fontId="10" fillId="21" borderId="3" xfId="0" applyFont="1" applyFill="1" applyBorder="1" applyAlignment="1">
      <alignment horizontal="center" vertical="center"/>
    </xf>
    <xf numFmtId="0" fontId="6" fillId="21" borderId="5" xfId="0" applyFont="1" applyFill="1" applyBorder="1" applyAlignment="1">
      <alignment horizontal="center" vertical="center"/>
    </xf>
    <xf numFmtId="0" fontId="6" fillId="21" borderId="18" xfId="0" applyFont="1" applyFill="1" applyBorder="1" applyAlignment="1">
      <alignment horizontal="center" vertical="center"/>
    </xf>
    <xf numFmtId="0" fontId="11" fillId="21" borderId="18" xfId="0" applyFont="1" applyFill="1" applyBorder="1" applyAlignment="1">
      <alignment vertical="center"/>
    </xf>
    <xf numFmtId="164" fontId="11" fillId="0" borderId="0" xfId="0" applyNumberFormat="1" applyFont="1" applyAlignment="1">
      <alignment vertical="center"/>
    </xf>
    <xf numFmtId="0" fontId="6" fillId="4" borderId="1" xfId="0" applyFont="1" applyFill="1" applyBorder="1" applyAlignment="1">
      <alignment horizontal="center" vertical="center"/>
    </xf>
    <xf numFmtId="0" fontId="23" fillId="0" borderId="0" xfId="0" applyFont="1" applyAlignment="1">
      <alignment horizontal="center" vertical="center"/>
    </xf>
    <xf numFmtId="0" fontId="1" fillId="4" borderId="32" xfId="0" applyFont="1" applyFill="1" applyBorder="1" applyAlignment="1">
      <alignment horizontal="center" vertical="center"/>
    </xf>
    <xf numFmtId="0" fontId="1" fillId="4" borderId="22" xfId="0" applyFont="1" applyFill="1" applyBorder="1" applyAlignment="1">
      <alignment horizontal="center" vertical="center"/>
    </xf>
    <xf numFmtId="0" fontId="17" fillId="4" borderId="8" xfId="0" applyFont="1" applyFill="1" applyBorder="1" applyAlignment="1">
      <alignment horizontal="center" vertical="center"/>
    </xf>
    <xf numFmtId="0" fontId="17" fillId="4" borderId="22" xfId="0" applyFont="1" applyFill="1" applyBorder="1" applyAlignment="1">
      <alignment horizontal="center" vertical="center"/>
    </xf>
    <xf numFmtId="0" fontId="17" fillId="4" borderId="21" xfId="0" applyFont="1" applyFill="1" applyBorder="1" applyAlignment="1">
      <alignment horizontal="center" vertical="center"/>
    </xf>
    <xf numFmtId="0" fontId="19" fillId="4" borderId="10" xfId="0" applyFont="1" applyFill="1" applyBorder="1" applyAlignment="1">
      <alignment vertical="center"/>
    </xf>
    <xf numFmtId="0" fontId="24" fillId="4" borderId="0" xfId="0" applyFont="1" applyFill="1" applyAlignment="1">
      <alignment horizontal="center" vertical="center"/>
    </xf>
    <xf numFmtId="0" fontId="17" fillId="4" borderId="32" xfId="0" applyFont="1" applyFill="1" applyBorder="1" applyAlignment="1">
      <alignment horizontal="center" vertical="center"/>
    </xf>
    <xf numFmtId="0" fontId="19" fillId="4" borderId="18" xfId="0" applyFont="1" applyFill="1" applyBorder="1" applyAlignment="1">
      <alignment vertical="center"/>
    </xf>
    <xf numFmtId="0" fontId="6" fillId="12" borderId="1" xfId="0" applyFont="1" applyFill="1" applyBorder="1" applyAlignment="1">
      <alignment horizontal="center" vertical="center"/>
    </xf>
    <xf numFmtId="0" fontId="10" fillId="24" borderId="5" xfId="0" applyFont="1" applyFill="1" applyBorder="1" applyAlignment="1">
      <alignment horizontal="center" vertical="center" wrapText="1"/>
    </xf>
    <xf numFmtId="0" fontId="10" fillId="24" borderId="3" xfId="0" applyFont="1" applyFill="1" applyBorder="1" applyAlignment="1">
      <alignment horizontal="center" vertical="center"/>
    </xf>
    <xf numFmtId="0" fontId="1" fillId="12" borderId="6" xfId="0" applyFont="1" applyFill="1" applyBorder="1" applyAlignment="1">
      <alignment horizontal="center" vertical="center"/>
    </xf>
    <xf numFmtId="0" fontId="24" fillId="12" borderId="0" xfId="0" applyFont="1" applyFill="1" applyAlignment="1">
      <alignment horizontal="center" vertical="center"/>
    </xf>
    <xf numFmtId="0" fontId="3" fillId="12" borderId="2" xfId="0" applyFont="1" applyFill="1" applyBorder="1" applyAlignment="1">
      <alignment vertical="center"/>
    </xf>
    <xf numFmtId="0" fontId="6" fillId="12" borderId="6" xfId="0" applyFont="1" applyFill="1" applyBorder="1" applyAlignment="1">
      <alignment horizontal="center" vertical="center"/>
    </xf>
    <xf numFmtId="0" fontId="21" fillId="12" borderId="9" xfId="0" applyFont="1" applyFill="1" applyBorder="1" applyAlignment="1">
      <alignment horizontal="center" vertical="center"/>
    </xf>
    <xf numFmtId="0" fontId="21" fillId="12" borderId="10" xfId="0" applyFont="1" applyFill="1" applyBorder="1" applyAlignment="1">
      <alignment horizontal="center" vertical="center"/>
    </xf>
    <xf numFmtId="0" fontId="3" fillId="12" borderId="26" xfId="0" applyFont="1" applyFill="1" applyBorder="1" applyAlignment="1">
      <alignment vertical="center"/>
    </xf>
    <xf numFmtId="0" fontId="1" fillId="12" borderId="22" xfId="0" applyFont="1" applyFill="1" applyBorder="1" applyAlignment="1">
      <alignment horizontal="center" vertical="center"/>
    </xf>
    <xf numFmtId="0" fontId="3" fillId="12" borderId="27" xfId="0" applyFont="1" applyFill="1" applyBorder="1" applyAlignment="1">
      <alignment vertical="center"/>
    </xf>
    <xf numFmtId="0" fontId="21" fillId="12" borderId="8" xfId="0" applyFont="1" applyFill="1" applyBorder="1" applyAlignment="1">
      <alignment horizontal="center" vertical="center"/>
    </xf>
    <xf numFmtId="0" fontId="21" fillId="12" borderId="22" xfId="0" applyFont="1" applyFill="1" applyBorder="1" applyAlignment="1">
      <alignment horizontal="center" vertical="center"/>
    </xf>
    <xf numFmtId="0" fontId="20" fillId="12" borderId="8" xfId="0" applyFont="1" applyFill="1" applyBorder="1" applyAlignment="1">
      <alignment vertical="center"/>
    </xf>
    <xf numFmtId="0" fontId="21" fillId="12" borderId="21" xfId="0" applyFont="1" applyFill="1" applyBorder="1" applyAlignment="1">
      <alignment horizontal="center" vertical="center"/>
    </xf>
    <xf numFmtId="0" fontId="20" fillId="12" borderId="10" xfId="0" applyFont="1" applyFill="1" applyBorder="1" applyAlignment="1">
      <alignment vertical="center"/>
    </xf>
    <xf numFmtId="0" fontId="20" fillId="12" borderId="27" xfId="0" applyFont="1" applyFill="1" applyBorder="1" applyAlignment="1">
      <alignment vertical="center"/>
    </xf>
    <xf numFmtId="0" fontId="21" fillId="12" borderId="32" xfId="0" applyFont="1" applyFill="1" applyBorder="1" applyAlignment="1">
      <alignment horizontal="center" vertical="center"/>
    </xf>
    <xf numFmtId="0" fontId="25" fillId="12" borderId="0" xfId="0" applyFont="1" applyFill="1" applyAlignment="1">
      <alignment horizontal="center" vertical="center"/>
    </xf>
    <xf numFmtId="0" fontId="20" fillId="12" borderId="18" xfId="0" applyFont="1" applyFill="1" applyBorder="1" applyAlignment="1">
      <alignment vertical="center"/>
    </xf>
    <xf numFmtId="0" fontId="21" fillId="12" borderId="0" xfId="0" applyFont="1" applyFill="1" applyAlignment="1">
      <alignment vertical="center"/>
    </xf>
    <xf numFmtId="0" fontId="0" fillId="15" borderId="33" xfId="0" applyFill="1" applyBorder="1" applyAlignment="1">
      <alignment horizontal="center"/>
    </xf>
    <xf numFmtId="0" fontId="26" fillId="0" borderId="0" xfId="0" applyFont="1" applyAlignment="1">
      <alignment horizontal="center" vertical="center"/>
    </xf>
    <xf numFmtId="0" fontId="18" fillId="21" borderId="16" xfId="0" applyFont="1" applyFill="1" applyBorder="1" applyAlignment="1">
      <alignment horizontal="center" vertical="center"/>
    </xf>
    <xf numFmtId="0" fontId="18" fillId="21" borderId="3" xfId="0" applyFont="1" applyFill="1" applyBorder="1" applyAlignment="1">
      <alignment horizontal="center" vertical="center"/>
    </xf>
    <xf numFmtId="0" fontId="28" fillId="21" borderId="5" xfId="0" applyFont="1" applyFill="1" applyBorder="1" applyAlignment="1">
      <alignment horizontal="center" vertical="center"/>
    </xf>
    <xf numFmtId="0" fontId="28" fillId="21" borderId="18" xfId="0" applyFont="1" applyFill="1" applyBorder="1" applyAlignment="1">
      <alignment horizontal="center" vertical="center"/>
    </xf>
    <xf numFmtId="0" fontId="27" fillId="0" borderId="0" xfId="0" applyFont="1" applyAlignment="1">
      <alignment vertical="center"/>
    </xf>
    <xf numFmtId="0" fontId="29" fillId="21" borderId="5" xfId="0" applyFont="1" applyFill="1" applyBorder="1" applyAlignment="1">
      <alignment horizontal="center" vertical="center"/>
    </xf>
    <xf numFmtId="0" fontId="29" fillId="21" borderId="18" xfId="0" applyFont="1" applyFill="1" applyBorder="1" applyAlignment="1">
      <alignment horizontal="center" vertical="center"/>
    </xf>
    <xf numFmtId="0" fontId="9" fillId="25" borderId="17" xfId="0" applyFont="1" applyFill="1" applyBorder="1" applyAlignment="1">
      <alignment horizontal="center" vertical="center"/>
    </xf>
    <xf numFmtId="0" fontId="1" fillId="9" borderId="30" xfId="0" applyFont="1" applyFill="1" applyBorder="1" applyAlignment="1">
      <alignment horizontal="center" vertical="top" wrapText="1"/>
    </xf>
    <xf numFmtId="0" fontId="4" fillId="0" borderId="0" xfId="0" applyFont="1" applyAlignment="1">
      <alignment vertical="top" wrapText="1"/>
    </xf>
    <xf numFmtId="0" fontId="4" fillId="4" borderId="18" xfId="0" applyFont="1" applyFill="1" applyBorder="1" applyAlignment="1">
      <alignment vertical="top" wrapText="1"/>
    </xf>
    <xf numFmtId="0" fontId="1" fillId="9" borderId="31" xfId="0" applyFont="1" applyFill="1" applyBorder="1" applyAlignment="1">
      <alignment horizontal="center" vertical="top" wrapText="1"/>
    </xf>
    <xf numFmtId="0" fontId="1" fillId="4" borderId="0" xfId="0" applyFont="1" applyFill="1" applyAlignment="1">
      <alignment horizontal="center" vertical="top" wrapText="1"/>
    </xf>
    <xf numFmtId="0" fontId="4" fillId="4" borderId="0" xfId="0" applyFont="1" applyFill="1" applyAlignment="1">
      <alignment horizontal="center" vertical="top" wrapText="1"/>
    </xf>
    <xf numFmtId="0" fontId="4" fillId="0" borderId="0" xfId="0" applyFont="1" applyAlignment="1">
      <alignment horizontal="center" vertical="top" wrapText="1"/>
    </xf>
    <xf numFmtId="0" fontId="1" fillId="23" borderId="30" xfId="0" applyFont="1" applyFill="1" applyBorder="1" applyAlignment="1">
      <alignment horizontal="center" vertical="top" wrapText="1"/>
    </xf>
    <xf numFmtId="0" fontId="1" fillId="23" borderId="31" xfId="0" applyFont="1" applyFill="1" applyBorder="1" applyAlignment="1">
      <alignment horizontal="center" vertical="top" wrapText="1"/>
    </xf>
    <xf numFmtId="0" fontId="1" fillId="16" borderId="30" xfId="0" applyFont="1" applyFill="1" applyBorder="1" applyAlignment="1">
      <alignment horizontal="center" vertical="top" wrapText="1"/>
    </xf>
    <xf numFmtId="0" fontId="1" fillId="16" borderId="31" xfId="0" applyFont="1" applyFill="1" applyBorder="1" applyAlignment="1">
      <alignment horizontal="center" vertical="top" wrapText="1"/>
    </xf>
    <xf numFmtId="0" fontId="3" fillId="0" borderId="0" xfId="0" applyFont="1" applyAlignment="1">
      <alignment vertical="top" wrapText="1"/>
    </xf>
    <xf numFmtId="0" fontId="6" fillId="0" borderId="0" xfId="0" applyFont="1" applyAlignment="1">
      <alignment horizontal="center" vertical="top" wrapText="1"/>
    </xf>
    <xf numFmtId="0" fontId="1" fillId="4" borderId="18" xfId="0" applyFont="1" applyFill="1" applyBorder="1" applyAlignment="1">
      <alignment horizontal="center" vertical="top" wrapText="1"/>
    </xf>
    <xf numFmtId="0" fontId="17" fillId="4" borderId="0" xfId="0" applyFont="1" applyFill="1" applyAlignment="1">
      <alignment horizontal="center" vertical="top" wrapText="1"/>
    </xf>
    <xf numFmtId="0" fontId="24" fillId="4" borderId="0" xfId="0" applyFont="1" applyFill="1" applyAlignment="1">
      <alignment horizontal="center" vertical="top" wrapText="1"/>
    </xf>
    <xf numFmtId="0" fontId="5" fillId="0" borderId="0" xfId="0" applyFont="1" applyAlignment="1">
      <alignment horizontal="center" vertical="top" wrapText="1"/>
    </xf>
    <xf numFmtId="0" fontId="3" fillId="4" borderId="18" xfId="0" applyFont="1" applyFill="1" applyBorder="1" applyAlignment="1">
      <alignment vertical="top" wrapText="1"/>
    </xf>
    <xf numFmtId="0" fontId="1" fillId="4" borderId="0" xfId="0" applyFont="1" applyFill="1" applyAlignment="1">
      <alignment vertical="top" wrapText="1"/>
    </xf>
    <xf numFmtId="0" fontId="19" fillId="4" borderId="0" xfId="0" applyFont="1" applyFill="1" applyAlignment="1">
      <alignment vertical="top" wrapText="1"/>
    </xf>
    <xf numFmtId="0" fontId="3" fillId="4" borderId="0" xfId="0" applyFont="1" applyFill="1" applyAlignment="1">
      <alignment vertical="top" wrapText="1"/>
    </xf>
    <xf numFmtId="0" fontId="12" fillId="0" borderId="0" xfId="0" applyFont="1" applyAlignment="1">
      <alignment vertical="top" wrapText="1"/>
    </xf>
    <xf numFmtId="0" fontId="13" fillId="0" borderId="0" xfId="0" applyFont="1" applyAlignment="1">
      <alignment horizontal="center" vertical="top" wrapText="1"/>
    </xf>
    <xf numFmtId="0" fontId="1" fillId="9" borderId="30" xfId="0" applyFont="1" applyFill="1" applyBorder="1" applyAlignment="1">
      <alignment horizontal="left" vertical="top" wrapText="1"/>
    </xf>
    <xf numFmtId="0" fontId="19" fillId="4" borderId="18" xfId="0" applyFont="1" applyFill="1" applyBorder="1" applyAlignment="1">
      <alignment vertical="top" wrapText="1"/>
    </xf>
    <xf numFmtId="0" fontId="4" fillId="12" borderId="18" xfId="0" applyFont="1" applyFill="1" applyBorder="1" applyAlignment="1">
      <alignment vertical="top" wrapText="1"/>
    </xf>
    <xf numFmtId="0" fontId="1" fillId="12" borderId="0" xfId="0" applyFont="1" applyFill="1" applyAlignment="1">
      <alignment horizontal="center" vertical="top" wrapText="1"/>
    </xf>
    <xf numFmtId="0" fontId="4" fillId="12" borderId="0" xfId="0" applyFont="1" applyFill="1" applyAlignment="1">
      <alignment horizontal="center" vertical="top" wrapText="1"/>
    </xf>
    <xf numFmtId="0" fontId="21" fillId="12" borderId="0" xfId="0" applyFont="1" applyFill="1" applyAlignment="1">
      <alignment horizontal="center" vertical="top" wrapText="1"/>
    </xf>
    <xf numFmtId="0" fontId="1" fillId="12" borderId="18" xfId="0" applyFont="1" applyFill="1" applyBorder="1" applyAlignment="1">
      <alignment horizontal="center" vertical="top" wrapText="1"/>
    </xf>
    <xf numFmtId="0" fontId="17" fillId="12" borderId="0" xfId="0" applyFont="1" applyFill="1" applyAlignment="1">
      <alignment horizontal="center" vertical="top" wrapText="1"/>
    </xf>
    <xf numFmtId="0" fontId="24" fillId="12" borderId="0" xfId="0" applyFont="1" applyFill="1" applyAlignment="1">
      <alignment horizontal="center" vertical="top" wrapText="1"/>
    </xf>
    <xf numFmtId="0" fontId="25" fillId="12" borderId="0" xfId="0" applyFont="1" applyFill="1" applyAlignment="1">
      <alignment horizontal="center" vertical="top" wrapText="1"/>
    </xf>
    <xf numFmtId="0" fontId="3" fillId="12" borderId="18" xfId="0" applyFont="1" applyFill="1" applyBorder="1" applyAlignment="1">
      <alignment vertical="top" wrapText="1"/>
    </xf>
    <xf numFmtId="0" fontId="1" fillId="12" borderId="0" xfId="0" applyFont="1" applyFill="1" applyAlignment="1">
      <alignment vertical="top" wrapText="1"/>
    </xf>
    <xf numFmtId="0" fontId="20" fillId="12" borderId="0" xfId="0" applyFont="1" applyFill="1" applyAlignment="1">
      <alignment vertical="top" wrapText="1"/>
    </xf>
    <xf numFmtId="0" fontId="3" fillId="12" borderId="0" xfId="0" applyFont="1" applyFill="1" applyAlignment="1">
      <alignment vertical="top" wrapText="1"/>
    </xf>
    <xf numFmtId="0" fontId="19" fillId="12" borderId="0" xfId="0" applyFont="1" applyFill="1" applyAlignment="1">
      <alignment vertical="top" wrapText="1"/>
    </xf>
    <xf numFmtId="0" fontId="20" fillId="12" borderId="18" xfId="0" applyFont="1" applyFill="1" applyBorder="1" applyAlignment="1">
      <alignment vertical="top" wrapText="1"/>
    </xf>
    <xf numFmtId="0" fontId="1" fillId="12" borderId="30" xfId="0" applyFont="1" applyFill="1" applyBorder="1" applyAlignment="1">
      <alignment horizontal="center" vertical="top" wrapText="1"/>
    </xf>
    <xf numFmtId="0" fontId="30" fillId="3" borderId="2" xfId="0" applyFont="1" applyFill="1" applyBorder="1" applyAlignment="1">
      <alignment horizontal="center" vertical="center"/>
    </xf>
    <xf numFmtId="0" fontId="15" fillId="4" borderId="0" xfId="0" applyFont="1" applyFill="1" applyAlignment="1">
      <alignment vertical="center"/>
    </xf>
    <xf numFmtId="0" fontId="15" fillId="17" borderId="5" xfId="0" applyFont="1" applyFill="1" applyBorder="1" applyAlignment="1">
      <alignment horizontal="center" vertical="center"/>
    </xf>
    <xf numFmtId="0" fontId="31" fillId="12" borderId="0" xfId="0" applyFont="1" applyFill="1" applyAlignment="1">
      <alignment vertical="top" wrapText="1"/>
    </xf>
    <xf numFmtId="0" fontId="31" fillId="12" borderId="0" xfId="0" applyFont="1" applyFill="1" applyAlignment="1">
      <alignment vertical="center"/>
    </xf>
    <xf numFmtId="3" fontId="3" fillId="19" borderId="0" xfId="0" applyNumberFormat="1" applyFont="1" applyFill="1" applyAlignment="1" applyProtection="1">
      <alignment horizontal="center" vertical="center"/>
      <protection hidden="1"/>
    </xf>
    <xf numFmtId="0" fontId="15" fillId="26" borderId="18" xfId="0" applyFont="1" applyFill="1" applyBorder="1" applyAlignment="1">
      <alignment vertical="center"/>
    </xf>
    <xf numFmtId="0" fontId="15" fillId="0" borderId="18" xfId="0" applyFont="1" applyBorder="1" applyAlignment="1">
      <alignment horizontal="center" vertical="center"/>
    </xf>
    <xf numFmtId="0" fontId="15" fillId="0" borderId="0" xfId="0" applyFont="1" applyAlignment="1">
      <alignment horizontal="center" vertical="center"/>
    </xf>
    <xf numFmtId="3" fontId="3" fillId="0" borderId="0" xfId="0" applyNumberFormat="1" applyFont="1" applyAlignment="1" applyProtection="1">
      <alignment horizontal="center" vertical="center"/>
      <protection hidden="1"/>
    </xf>
    <xf numFmtId="0" fontId="15" fillId="0" borderId="3" xfId="0" applyFont="1" applyBorder="1" applyAlignment="1">
      <alignment horizontal="center" vertical="center"/>
    </xf>
    <xf numFmtId="0" fontId="15" fillId="0" borderId="5" xfId="0" applyFont="1" applyBorder="1" applyAlignment="1">
      <alignment horizontal="center" vertical="center"/>
    </xf>
    <xf numFmtId="3" fontId="3" fillId="0" borderId="5" xfId="0" applyNumberFormat="1" applyFont="1" applyBorder="1" applyAlignment="1" applyProtection="1">
      <alignment horizontal="center" vertical="center"/>
      <protection hidden="1"/>
    </xf>
    <xf numFmtId="0" fontId="10" fillId="18" borderId="5" xfId="0" applyFont="1" applyFill="1" applyBorder="1" applyAlignment="1">
      <alignment horizontal="center" vertical="center" wrapText="1"/>
    </xf>
    <xf numFmtId="0" fontId="15" fillId="17" borderId="5" xfId="0" applyFont="1" applyFill="1" applyBorder="1" applyAlignment="1">
      <alignment horizontal="center" vertical="center"/>
    </xf>
    <xf numFmtId="0" fontId="4" fillId="2" borderId="0" xfId="0" applyFont="1" applyFill="1" applyAlignment="1">
      <alignment horizontal="center" vertical="center"/>
    </xf>
    <xf numFmtId="0" fontId="15" fillId="17" borderId="1" xfId="0" applyFont="1" applyFill="1" applyBorder="1" applyAlignment="1">
      <alignment horizontal="center" vertical="center"/>
    </xf>
    <xf numFmtId="0" fontId="15" fillId="26" borderId="3" xfId="0" applyFont="1" applyFill="1" applyBorder="1" applyAlignment="1">
      <alignment horizontal="center" vertical="center"/>
    </xf>
    <xf numFmtId="0" fontId="15" fillId="26" borderId="17" xfId="0" applyFont="1" applyFill="1" applyBorder="1" applyAlignment="1">
      <alignment horizontal="center" vertical="center"/>
    </xf>
    <xf numFmtId="0" fontId="22" fillId="0" borderId="6" xfId="0" applyFont="1" applyBorder="1" applyAlignment="1">
      <alignment horizontal="right" vertical="center"/>
    </xf>
    <xf numFmtId="0" fontId="22" fillId="0" borderId="0" xfId="0" applyFont="1" applyAlignment="1">
      <alignment horizontal="right"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10" fillId="3" borderId="15" xfId="0" applyFont="1" applyFill="1" applyBorder="1" applyAlignment="1">
      <alignment horizontal="center" vertical="center"/>
    </xf>
    <xf numFmtId="0" fontId="10" fillId="3" borderId="16" xfId="0" applyFont="1" applyFill="1" applyBorder="1" applyAlignment="1">
      <alignment horizontal="center" vertical="center"/>
    </xf>
    <xf numFmtId="0" fontId="10" fillId="3" borderId="28"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17" xfId="0" applyFont="1" applyFill="1" applyBorder="1" applyAlignment="1">
      <alignment horizontal="center" vertical="center"/>
    </xf>
    <xf numFmtId="0" fontId="10" fillId="3" borderId="4" xfId="0" applyFont="1" applyFill="1" applyBorder="1" applyAlignment="1">
      <alignment horizontal="center" vertical="center"/>
    </xf>
    <xf numFmtId="0" fontId="6" fillId="4" borderId="2" xfId="0" applyFont="1" applyFill="1" applyBorder="1" applyAlignment="1">
      <alignment horizontal="center" vertical="center"/>
    </xf>
    <xf numFmtId="0" fontId="6" fillId="4" borderId="29" xfId="0" applyFont="1" applyFill="1" applyBorder="1" applyAlignment="1">
      <alignment horizontal="center" vertical="center"/>
    </xf>
    <xf numFmtId="0" fontId="6" fillId="2" borderId="0" xfId="0" applyFont="1" applyFill="1" applyAlignment="1">
      <alignment horizontal="center" vertical="center"/>
    </xf>
    <xf numFmtId="0" fontId="1" fillId="6" borderId="23" xfId="0" applyFont="1" applyFill="1" applyBorder="1" applyAlignment="1">
      <alignment horizontal="center" vertical="center"/>
    </xf>
    <xf numFmtId="0" fontId="1" fillId="6" borderId="14" xfId="0" applyFont="1" applyFill="1" applyBorder="1" applyAlignment="1">
      <alignment horizontal="center" vertical="center"/>
    </xf>
    <xf numFmtId="0" fontId="18" fillId="4" borderId="0" xfId="0" applyFont="1" applyFill="1" applyAlignment="1">
      <alignment horizontal="center" vertical="center"/>
    </xf>
    <xf numFmtId="0" fontId="4" fillId="4" borderId="24" xfId="0" applyFont="1" applyFill="1" applyBorder="1" applyAlignment="1">
      <alignment horizontal="center" vertical="center"/>
    </xf>
    <xf numFmtId="0" fontId="30" fillId="3" borderId="3" xfId="0" applyFont="1" applyFill="1" applyBorder="1" applyAlignment="1">
      <alignment horizontal="center" vertical="center"/>
    </xf>
    <xf numFmtId="0" fontId="30" fillId="3" borderId="17" xfId="0" applyFont="1" applyFill="1" applyBorder="1" applyAlignment="1">
      <alignment horizontal="center" vertical="center"/>
    </xf>
    <xf numFmtId="0" fontId="7" fillId="7" borderId="5" xfId="0" applyFont="1" applyFill="1" applyBorder="1" applyAlignment="1">
      <alignment horizontal="center" vertical="center"/>
    </xf>
    <xf numFmtId="0" fontId="10" fillId="10" borderId="5"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4" xfId="0" applyFont="1" applyFill="1" applyBorder="1" applyAlignment="1">
      <alignment horizontal="center" vertical="center"/>
    </xf>
    <xf numFmtId="0" fontId="9" fillId="8" borderId="5" xfId="0" applyFont="1" applyFill="1" applyBorder="1" applyAlignment="1">
      <alignment horizontal="center" vertical="center"/>
    </xf>
    <xf numFmtId="0" fontId="9" fillId="8" borderId="6" xfId="0" applyFont="1" applyFill="1" applyBorder="1" applyAlignment="1">
      <alignment horizontal="center" vertical="center"/>
    </xf>
    <xf numFmtId="0" fontId="9" fillId="8" borderId="0" xfId="0" applyFont="1" applyFill="1" applyAlignment="1">
      <alignment horizontal="center" vertical="center"/>
    </xf>
    <xf numFmtId="0" fontId="7" fillId="7" borderId="15" xfId="0" applyFont="1" applyFill="1" applyBorder="1" applyAlignment="1">
      <alignment horizontal="center" vertical="center"/>
    </xf>
    <xf numFmtId="0" fontId="7" fillId="7" borderId="16" xfId="0" applyFont="1" applyFill="1" applyBorder="1" applyAlignment="1">
      <alignment horizontal="center" vertical="center"/>
    </xf>
    <xf numFmtId="0" fontId="10" fillId="10" borderId="15" xfId="0" applyFont="1" applyFill="1" applyBorder="1" applyAlignment="1">
      <alignment horizontal="center" vertical="center"/>
    </xf>
    <xf numFmtId="0" fontId="10" fillId="10" borderId="16" xfId="0" applyFont="1" applyFill="1" applyBorder="1" applyAlignment="1">
      <alignment horizontal="center" vertical="center"/>
    </xf>
    <xf numFmtId="0" fontId="6" fillId="12" borderId="3" xfId="0" applyFont="1" applyFill="1" applyBorder="1" applyAlignment="1">
      <alignment horizontal="center" vertical="center"/>
    </xf>
    <xf numFmtId="0" fontId="6" fillId="12" borderId="4" xfId="0" applyFont="1" applyFill="1" applyBorder="1" applyAlignment="1">
      <alignment horizontal="center" vertical="center"/>
    </xf>
    <xf numFmtId="0" fontId="10" fillId="24" borderId="15" xfId="0" applyFont="1" applyFill="1" applyBorder="1" applyAlignment="1">
      <alignment horizontal="center" vertical="center"/>
    </xf>
    <xf numFmtId="0" fontId="10" fillId="24" borderId="16" xfId="0" applyFont="1" applyFill="1" applyBorder="1" applyAlignment="1">
      <alignment horizontal="center" vertical="center"/>
    </xf>
    <xf numFmtId="0" fontId="10" fillId="24" borderId="28" xfId="0" applyFont="1" applyFill="1" applyBorder="1" applyAlignment="1">
      <alignment horizontal="center" vertical="center"/>
    </xf>
    <xf numFmtId="0" fontId="10" fillId="24" borderId="3" xfId="0" applyFont="1" applyFill="1" applyBorder="1" applyAlignment="1">
      <alignment horizontal="center" vertical="center"/>
    </xf>
    <xf numFmtId="0" fontId="10" fillId="24" borderId="17" xfId="0" applyFont="1" applyFill="1" applyBorder="1" applyAlignment="1">
      <alignment horizontal="center" vertical="center"/>
    </xf>
    <xf numFmtId="0" fontId="10" fillId="24" borderId="4" xfId="0" applyFont="1" applyFill="1" applyBorder="1" applyAlignment="1">
      <alignment horizontal="center" vertical="center"/>
    </xf>
    <xf numFmtId="0" fontId="6" fillId="12" borderId="2" xfId="0" applyFont="1" applyFill="1" applyBorder="1" applyAlignment="1">
      <alignment horizontal="center" vertical="center"/>
    </xf>
    <xf numFmtId="0" fontId="6" fillId="12" borderId="29" xfId="0" applyFont="1" applyFill="1" applyBorder="1" applyAlignment="1">
      <alignment horizontal="center" vertical="center"/>
    </xf>
    <xf numFmtId="0" fontId="10" fillId="11" borderId="3" xfId="0" applyFont="1" applyFill="1" applyBorder="1" applyAlignment="1">
      <alignment horizontal="center" vertical="center" wrapText="1"/>
    </xf>
    <xf numFmtId="0" fontId="10" fillId="11" borderId="17" xfId="0" applyFont="1" applyFill="1" applyBorder="1" applyAlignment="1">
      <alignment horizontal="center" vertical="center" wrapText="1"/>
    </xf>
    <xf numFmtId="0" fontId="10" fillId="11" borderId="4" xfId="0" applyFont="1" applyFill="1" applyBorder="1" applyAlignment="1">
      <alignment horizontal="center" vertical="center" wrapText="1"/>
    </xf>
    <xf numFmtId="0" fontId="1" fillId="13" borderId="23" xfId="0" applyFont="1" applyFill="1" applyBorder="1" applyAlignment="1">
      <alignment horizontal="center" vertical="center"/>
    </xf>
    <xf numFmtId="0" fontId="1" fillId="13" borderId="14" xfId="0" applyFont="1" applyFill="1" applyBorder="1" applyAlignment="1">
      <alignment horizontal="center" vertical="center"/>
    </xf>
    <xf numFmtId="0" fontId="18" fillId="12" borderId="0" xfId="0" applyFont="1" applyFill="1" applyAlignment="1">
      <alignment horizontal="center" vertical="center"/>
    </xf>
    <xf numFmtId="0" fontId="4" fillId="12" borderId="24" xfId="0" applyFont="1" applyFill="1" applyBorder="1" applyAlignment="1">
      <alignment horizontal="center" vertical="center"/>
    </xf>
    <xf numFmtId="0" fontId="1" fillId="12" borderId="23" xfId="0" applyFont="1" applyFill="1" applyBorder="1" applyAlignment="1">
      <alignment horizontal="center" vertical="center"/>
    </xf>
    <xf numFmtId="0" fontId="1" fillId="12" borderId="14" xfId="0" applyFont="1" applyFill="1" applyBorder="1" applyAlignment="1">
      <alignment horizontal="center" vertical="center"/>
    </xf>
    <xf numFmtId="0" fontId="30" fillId="24" borderId="3" xfId="0" applyFont="1" applyFill="1" applyBorder="1" applyAlignment="1">
      <alignment horizontal="center" vertical="center"/>
    </xf>
    <xf numFmtId="0" fontId="30" fillId="24" borderId="17" xfId="0" applyFont="1" applyFill="1" applyBorder="1" applyAlignment="1">
      <alignment horizontal="center" vertical="center"/>
    </xf>
    <xf numFmtId="0" fontId="7" fillId="24" borderId="3" xfId="0" applyFont="1" applyFill="1" applyBorder="1" applyAlignment="1">
      <alignment horizontal="center" vertical="center"/>
    </xf>
    <xf numFmtId="0" fontId="7" fillId="24" borderId="17" xfId="0" applyFont="1" applyFill="1" applyBorder="1" applyAlignment="1">
      <alignment horizontal="center" vertical="center"/>
    </xf>
    <xf numFmtId="0" fontId="7" fillId="24" borderId="4" xfId="0" applyFont="1" applyFill="1" applyBorder="1" applyAlignment="1">
      <alignment horizontal="center" vertical="center"/>
    </xf>
    <xf numFmtId="0" fontId="18" fillId="4" borderId="0" xfId="0" applyFont="1" applyFill="1" applyAlignment="1">
      <alignment horizontal="center" vertical="top" wrapText="1"/>
    </xf>
    <xf numFmtId="0" fontId="10" fillId="10" borderId="16" xfId="0" applyFont="1" applyFill="1" applyBorder="1" applyAlignment="1">
      <alignment horizontal="center" vertical="top" wrapText="1"/>
    </xf>
    <xf numFmtId="0" fontId="7" fillId="7" borderId="16" xfId="0" applyFont="1" applyFill="1" applyBorder="1" applyAlignment="1">
      <alignment horizontal="center" vertical="top" wrapText="1"/>
    </xf>
    <xf numFmtId="0" fontId="6" fillId="2" borderId="0" xfId="0" applyFont="1" applyFill="1" applyAlignment="1">
      <alignment horizontal="center" vertical="top" wrapText="1"/>
    </xf>
    <xf numFmtId="0" fontId="9" fillId="8" borderId="0" xfId="0" applyFont="1" applyFill="1" applyAlignment="1">
      <alignment horizontal="center" vertical="top" wrapText="1"/>
    </xf>
    <xf numFmtId="0" fontId="10" fillId="14" borderId="5" xfId="0" applyFont="1" applyFill="1" applyBorder="1" applyAlignment="1">
      <alignment horizontal="center" vertical="center"/>
    </xf>
    <xf numFmtId="0" fontId="10" fillId="14" borderId="6" xfId="0" applyFont="1" applyFill="1" applyBorder="1" applyAlignment="1">
      <alignment horizontal="center" vertical="center"/>
    </xf>
    <xf numFmtId="0" fontId="10" fillId="14" borderId="0" xfId="0" applyFont="1" applyFill="1" applyAlignment="1">
      <alignment horizontal="center" vertical="center"/>
    </xf>
    <xf numFmtId="0" fontId="10" fillId="14" borderId="15" xfId="0" applyFont="1" applyFill="1" applyBorder="1" applyAlignment="1">
      <alignment horizontal="center" vertical="center"/>
    </xf>
    <xf numFmtId="0" fontId="10" fillId="14" borderId="16" xfId="0" applyFont="1" applyFill="1" applyBorder="1" applyAlignment="1">
      <alignment horizontal="center" vertical="center"/>
    </xf>
  </cellXfs>
  <cellStyles count="1">
    <cellStyle name="Normal" xfId="0" builtinId="0"/>
  </cellStyles>
  <dxfs count="1026">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
      <fill>
        <patternFill>
          <bgColor theme="7" tint="0.59996337778862885"/>
        </patternFill>
      </fill>
    </dxf>
    <dxf>
      <fill>
        <patternFill>
          <bgColor theme="0" tint="-0.14996795556505021"/>
        </patternFill>
      </fill>
    </dxf>
    <dxf>
      <fill>
        <patternFill>
          <bgColor theme="5" tint="-0.24994659260841701"/>
        </patternFill>
      </fill>
    </dxf>
  </dxfs>
  <tableStyles count="0" defaultTableStyle="TableStyleMedium2" defaultPivotStyle="PivotStyleLight16"/>
  <colors>
    <mruColors>
      <color rgb="FFCCFF99"/>
      <color rgb="FFFFFF66"/>
      <color rgb="FFC1C1FF"/>
      <color rgb="FF9797FF"/>
      <color rgb="FF4472C4"/>
      <color rgb="FFFFCCFF"/>
      <color rgb="FFE2B68A"/>
      <color rgb="FFD9D9D9"/>
      <color rgb="FF1BA94A"/>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951372</xdr:colOff>
      <xdr:row>1</xdr:row>
      <xdr:rowOff>78443</xdr:rowOff>
    </xdr:from>
    <xdr:ext cx="6724638" cy="549959"/>
    <xdr:sp macro="" textlink="">
      <xdr:nvSpPr>
        <xdr:cNvPr id="2" name="Retângulo 1">
          <a:extLst>
            <a:ext uri="{FF2B5EF4-FFF2-40B4-BE49-F238E27FC236}">
              <a16:creationId xmlns:a16="http://schemas.microsoft.com/office/drawing/2014/main" id="{00000000-0008-0000-0000-000002000000}"/>
            </a:ext>
          </a:extLst>
        </xdr:cNvPr>
        <xdr:cNvSpPr/>
      </xdr:nvSpPr>
      <xdr:spPr>
        <a:xfrm>
          <a:off x="78441" y="156884"/>
          <a:ext cx="6724638" cy="549959"/>
        </a:xfrm>
        <a:prstGeom prst="rect">
          <a:avLst/>
        </a:prstGeom>
        <a:noFill/>
      </xdr:spPr>
      <xdr:txBody>
        <a:bodyPr wrap="square" lIns="91440" tIns="45720" rIns="91440" bIns="45720">
          <a:spAutoFit/>
        </a:bodyPr>
        <a:lstStyle/>
        <a:p>
          <a:pPr algn="ctr"/>
          <a:r>
            <a:rPr lang="pt-BR" sz="28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6</a:t>
          </a:r>
          <a:endParaRPr lang="pt-BR" sz="28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3</xdr:col>
      <xdr:colOff>23092</xdr:colOff>
      <xdr:row>2</xdr:row>
      <xdr:rowOff>232668</xdr:rowOff>
    </xdr:from>
    <xdr:ext cx="5807878" cy="419217"/>
    <xdr:sp macro="" textlink="">
      <xdr:nvSpPr>
        <xdr:cNvPr id="3" name="Retângulo 2">
          <a:extLst>
            <a:ext uri="{FF2B5EF4-FFF2-40B4-BE49-F238E27FC236}">
              <a16:creationId xmlns:a16="http://schemas.microsoft.com/office/drawing/2014/main" id="{00000000-0008-0000-0000-000003000000}"/>
            </a:ext>
          </a:extLst>
        </xdr:cNvPr>
        <xdr:cNvSpPr/>
      </xdr:nvSpPr>
      <xdr:spPr>
        <a:xfrm>
          <a:off x="78441" y="1084315"/>
          <a:ext cx="5807878" cy="419217"/>
        </a:xfrm>
        <a:prstGeom prst="rect">
          <a:avLst/>
        </a:prstGeom>
        <a:noFill/>
      </xdr:spPr>
      <xdr:txBody>
        <a:bodyPr wrap="square" lIns="91440" tIns="45720" rIns="91440" bIns="45720">
          <a:spAutoFit/>
        </a:bodyPr>
        <a:lstStyle/>
        <a:p>
          <a:pPr algn="ctr"/>
          <a:endParaRPr lang="pt-BR" sz="2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latin typeface="Century Gothic" panose="020B0502020202020204" pitchFamily="34" charset="0"/>
          </a:endParaRPr>
        </a:p>
      </xdr:txBody>
    </xdr:sp>
    <xdr:clientData/>
  </xdr:oneCellAnchor>
  <xdr:oneCellAnchor>
    <xdr:from>
      <xdr:col>4</xdr:col>
      <xdr:colOff>81945</xdr:colOff>
      <xdr:row>1</xdr:row>
      <xdr:rowOff>528789</xdr:rowOff>
    </xdr:from>
    <xdr:ext cx="4429418" cy="502152"/>
    <xdr:sp macro="" textlink="">
      <xdr:nvSpPr>
        <xdr:cNvPr id="4" name="Retângulo 3">
          <a:extLst>
            <a:ext uri="{FF2B5EF4-FFF2-40B4-BE49-F238E27FC236}">
              <a16:creationId xmlns:a16="http://schemas.microsoft.com/office/drawing/2014/main" id="{00000000-0008-0000-0000-000004000000}"/>
            </a:ext>
          </a:extLst>
        </xdr:cNvPr>
        <xdr:cNvSpPr/>
      </xdr:nvSpPr>
      <xdr:spPr>
        <a:xfrm>
          <a:off x="78441" y="607230"/>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1</xdr:col>
      <xdr:colOff>2116224</xdr:colOff>
      <xdr:row>1</xdr:row>
      <xdr:rowOff>308159</xdr:rowOff>
    </xdr:from>
    <xdr:ext cx="902071" cy="949697"/>
    <xdr:pic>
      <xdr:nvPicPr>
        <xdr:cNvPr id="5" name="Imagem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1" y="386600"/>
          <a:ext cx="902071" cy="949697"/>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12</xdr:col>
      <xdr:colOff>22411</xdr:colOff>
      <xdr:row>1</xdr:row>
      <xdr:rowOff>78443</xdr:rowOff>
    </xdr:from>
    <xdr:ext cx="7789199" cy="549959"/>
    <xdr:sp macro="" textlink="">
      <xdr:nvSpPr>
        <xdr:cNvPr id="13" name="Retângulo 12">
          <a:extLst>
            <a:ext uri="{FF2B5EF4-FFF2-40B4-BE49-F238E27FC236}">
              <a16:creationId xmlns:a16="http://schemas.microsoft.com/office/drawing/2014/main" id="{00000000-0008-0000-0900-00000D000000}"/>
            </a:ext>
          </a:extLst>
        </xdr:cNvPr>
        <xdr:cNvSpPr/>
      </xdr:nvSpPr>
      <xdr:spPr>
        <a:xfrm>
          <a:off x="6051736" y="154643"/>
          <a:ext cx="7789199" cy="549959"/>
        </a:xfrm>
        <a:prstGeom prst="rect">
          <a:avLst/>
        </a:prstGeom>
        <a:noFill/>
      </xdr:spPr>
      <xdr:txBody>
        <a:bodyPr wrap="square" lIns="91440" tIns="45720" rIns="91440" bIns="45720">
          <a:spAutoFit/>
        </a:bodyPr>
        <a:lstStyle/>
        <a:p>
          <a:pPr algn="ctr"/>
          <a:r>
            <a:rPr lang="pt-BR" sz="28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6</a:t>
          </a:r>
          <a:endParaRPr lang="pt-BR" sz="28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15</xdr:col>
      <xdr:colOff>180168</xdr:colOff>
      <xdr:row>1</xdr:row>
      <xdr:rowOff>528789</xdr:rowOff>
    </xdr:from>
    <xdr:ext cx="4429418" cy="502152"/>
    <xdr:sp macro="" textlink="">
      <xdr:nvSpPr>
        <xdr:cNvPr id="15" name="Retângulo 14">
          <a:extLst>
            <a:ext uri="{FF2B5EF4-FFF2-40B4-BE49-F238E27FC236}">
              <a16:creationId xmlns:a16="http://schemas.microsoft.com/office/drawing/2014/main" id="{00000000-0008-0000-0900-00000F000000}"/>
            </a:ext>
          </a:extLst>
        </xdr:cNvPr>
        <xdr:cNvSpPr/>
      </xdr:nvSpPr>
      <xdr:spPr>
        <a:xfrm>
          <a:off x="7952568" y="604989"/>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10</xdr:col>
      <xdr:colOff>1053353</xdr:colOff>
      <xdr:row>1</xdr:row>
      <xdr:rowOff>155865</xdr:rowOff>
    </xdr:from>
    <xdr:ext cx="1030279" cy="1084674"/>
    <xdr:pic>
      <xdr:nvPicPr>
        <xdr:cNvPr id="16" name="Imagem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01528" y="232065"/>
          <a:ext cx="1030279" cy="1084674"/>
        </a:xfrm>
        <a:prstGeom prst="rect">
          <a:avLst/>
        </a:prstGeom>
        <a:noFill/>
        <a:ln>
          <a:noFill/>
        </a:ln>
      </xdr:spPr>
    </xdr:pic>
    <xdr:clientData/>
  </xdr:oneCellAnchor>
  <xdr:oneCellAnchor>
    <xdr:from>
      <xdr:col>43</xdr:col>
      <xdr:colOff>1037114</xdr:colOff>
      <xdr:row>1</xdr:row>
      <xdr:rowOff>56030</xdr:rowOff>
    </xdr:from>
    <xdr:ext cx="5480796" cy="419217"/>
    <xdr:sp macro="" textlink="">
      <xdr:nvSpPr>
        <xdr:cNvPr id="17" name="Retângulo 16">
          <a:extLst>
            <a:ext uri="{FF2B5EF4-FFF2-40B4-BE49-F238E27FC236}">
              <a16:creationId xmlns:a16="http://schemas.microsoft.com/office/drawing/2014/main" id="{00000000-0008-0000-0900-000011000000}"/>
            </a:ext>
          </a:extLst>
        </xdr:cNvPr>
        <xdr:cNvSpPr/>
      </xdr:nvSpPr>
      <xdr:spPr>
        <a:xfrm>
          <a:off x="23220839" y="132230"/>
          <a:ext cx="5480796" cy="419217"/>
        </a:xfrm>
        <a:prstGeom prst="rect">
          <a:avLst/>
        </a:prstGeom>
        <a:noFill/>
      </xdr:spPr>
      <xdr:txBody>
        <a:bodyPr wrap="square" lIns="91440" tIns="45720" rIns="91440" bIns="45720">
          <a:spAutoFit/>
        </a:bodyPr>
        <a:lstStyle/>
        <a:p>
          <a:pPr algn="ctr"/>
          <a:r>
            <a:rPr lang="pt-BR" sz="20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4 </a:t>
          </a:r>
          <a:endParaRPr lang="pt-BR" sz="20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43</xdr:col>
      <xdr:colOff>1810471</xdr:colOff>
      <xdr:row>1</xdr:row>
      <xdr:rowOff>428493</xdr:rowOff>
    </xdr:from>
    <xdr:ext cx="4429418" cy="502152"/>
    <xdr:sp macro="" textlink="">
      <xdr:nvSpPr>
        <xdr:cNvPr id="19" name="Retângulo 18">
          <a:extLst>
            <a:ext uri="{FF2B5EF4-FFF2-40B4-BE49-F238E27FC236}">
              <a16:creationId xmlns:a16="http://schemas.microsoft.com/office/drawing/2014/main" id="{00000000-0008-0000-0900-000013000000}"/>
            </a:ext>
          </a:extLst>
        </xdr:cNvPr>
        <xdr:cNvSpPr/>
      </xdr:nvSpPr>
      <xdr:spPr>
        <a:xfrm>
          <a:off x="23994196" y="504693"/>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43</xdr:col>
      <xdr:colOff>93575</xdr:colOff>
      <xdr:row>1</xdr:row>
      <xdr:rowOff>248766</xdr:rowOff>
    </xdr:from>
    <xdr:ext cx="902071" cy="949697"/>
    <xdr:pic>
      <xdr:nvPicPr>
        <xdr:cNvPr id="20" name="Imagem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77300" y="324966"/>
          <a:ext cx="902071" cy="949697"/>
        </a:xfrm>
        <a:prstGeom prst="rect">
          <a:avLst/>
        </a:prstGeom>
        <a:noFill/>
        <a:ln>
          <a:noFill/>
        </a:ln>
      </xdr:spPr>
    </xdr:pic>
    <xdr:clientData/>
  </xdr:oneCellAnchor>
  <xdr:oneCellAnchor>
    <xdr:from>
      <xdr:col>24</xdr:col>
      <xdr:colOff>933144</xdr:colOff>
      <xdr:row>1</xdr:row>
      <xdr:rowOff>154845</xdr:rowOff>
    </xdr:from>
    <xdr:ext cx="1030279" cy="1084674"/>
    <xdr:pic>
      <xdr:nvPicPr>
        <xdr:cNvPr id="21" name="Imagem 20">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9469" y="231045"/>
          <a:ext cx="1030279" cy="1084674"/>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2</xdr:col>
      <xdr:colOff>951372</xdr:colOff>
      <xdr:row>1</xdr:row>
      <xdr:rowOff>78443</xdr:rowOff>
    </xdr:from>
    <xdr:ext cx="6724638" cy="549959"/>
    <xdr:sp macro="" textlink="">
      <xdr:nvSpPr>
        <xdr:cNvPr id="6" name="Retângulo 5">
          <a:extLst>
            <a:ext uri="{FF2B5EF4-FFF2-40B4-BE49-F238E27FC236}">
              <a16:creationId xmlns:a16="http://schemas.microsoft.com/office/drawing/2014/main" id="{00000000-0008-0000-0A00-000006000000}"/>
            </a:ext>
          </a:extLst>
        </xdr:cNvPr>
        <xdr:cNvSpPr/>
      </xdr:nvSpPr>
      <xdr:spPr>
        <a:xfrm>
          <a:off x="4342272" y="154643"/>
          <a:ext cx="6724638" cy="549959"/>
        </a:xfrm>
        <a:prstGeom prst="rect">
          <a:avLst/>
        </a:prstGeom>
        <a:noFill/>
      </xdr:spPr>
      <xdr:txBody>
        <a:bodyPr wrap="square" lIns="91440" tIns="45720" rIns="91440" bIns="45720">
          <a:spAutoFit/>
        </a:bodyPr>
        <a:lstStyle/>
        <a:p>
          <a:pPr algn="ctr"/>
          <a:r>
            <a:rPr lang="pt-BR" sz="28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6</a:t>
          </a:r>
          <a:endParaRPr lang="pt-BR" sz="28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4</xdr:col>
      <xdr:colOff>81945</xdr:colOff>
      <xdr:row>1</xdr:row>
      <xdr:rowOff>528789</xdr:rowOff>
    </xdr:from>
    <xdr:ext cx="4429418" cy="502152"/>
    <xdr:sp macro="" textlink="">
      <xdr:nvSpPr>
        <xdr:cNvPr id="8" name="Retângulo 7">
          <a:extLst>
            <a:ext uri="{FF2B5EF4-FFF2-40B4-BE49-F238E27FC236}">
              <a16:creationId xmlns:a16="http://schemas.microsoft.com/office/drawing/2014/main" id="{00000000-0008-0000-0A00-000008000000}"/>
            </a:ext>
          </a:extLst>
        </xdr:cNvPr>
        <xdr:cNvSpPr/>
      </xdr:nvSpPr>
      <xdr:spPr>
        <a:xfrm>
          <a:off x="5444520" y="604989"/>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1</xdr:col>
      <xdr:colOff>2116224</xdr:colOff>
      <xdr:row>1</xdr:row>
      <xdr:rowOff>308159</xdr:rowOff>
    </xdr:from>
    <xdr:ext cx="902071" cy="949697"/>
    <xdr:pic>
      <xdr:nvPicPr>
        <xdr:cNvPr id="9" name="Imagem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2424" y="384359"/>
          <a:ext cx="902071" cy="949697"/>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12</xdr:col>
      <xdr:colOff>22411</xdr:colOff>
      <xdr:row>1</xdr:row>
      <xdr:rowOff>78443</xdr:rowOff>
    </xdr:from>
    <xdr:ext cx="7789199" cy="549959"/>
    <xdr:sp macro="" textlink="">
      <xdr:nvSpPr>
        <xdr:cNvPr id="11" name="Retângulo 10">
          <a:extLst>
            <a:ext uri="{FF2B5EF4-FFF2-40B4-BE49-F238E27FC236}">
              <a16:creationId xmlns:a16="http://schemas.microsoft.com/office/drawing/2014/main" id="{00000000-0008-0000-0B00-00000B000000}"/>
            </a:ext>
          </a:extLst>
        </xdr:cNvPr>
        <xdr:cNvSpPr/>
      </xdr:nvSpPr>
      <xdr:spPr>
        <a:xfrm>
          <a:off x="6051736" y="154643"/>
          <a:ext cx="7789199" cy="549959"/>
        </a:xfrm>
        <a:prstGeom prst="rect">
          <a:avLst/>
        </a:prstGeom>
        <a:noFill/>
      </xdr:spPr>
      <xdr:txBody>
        <a:bodyPr wrap="square" lIns="91440" tIns="45720" rIns="91440" bIns="45720">
          <a:spAutoFit/>
        </a:bodyPr>
        <a:lstStyle/>
        <a:p>
          <a:pPr algn="ctr"/>
          <a:r>
            <a:rPr lang="pt-BR" sz="28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6</a:t>
          </a:r>
          <a:endParaRPr lang="pt-BR" sz="28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15</xdr:col>
      <xdr:colOff>180168</xdr:colOff>
      <xdr:row>1</xdr:row>
      <xdr:rowOff>528789</xdr:rowOff>
    </xdr:from>
    <xdr:ext cx="4429418" cy="502152"/>
    <xdr:sp macro="" textlink="">
      <xdr:nvSpPr>
        <xdr:cNvPr id="13" name="Retângulo 12">
          <a:extLst>
            <a:ext uri="{FF2B5EF4-FFF2-40B4-BE49-F238E27FC236}">
              <a16:creationId xmlns:a16="http://schemas.microsoft.com/office/drawing/2014/main" id="{00000000-0008-0000-0B00-00000D000000}"/>
            </a:ext>
          </a:extLst>
        </xdr:cNvPr>
        <xdr:cNvSpPr/>
      </xdr:nvSpPr>
      <xdr:spPr>
        <a:xfrm>
          <a:off x="7952568" y="604989"/>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10</xdr:col>
      <xdr:colOff>1053353</xdr:colOff>
      <xdr:row>1</xdr:row>
      <xdr:rowOff>155865</xdr:rowOff>
    </xdr:from>
    <xdr:ext cx="1030279" cy="1084674"/>
    <xdr:pic>
      <xdr:nvPicPr>
        <xdr:cNvPr id="14" name="Imagem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01528" y="232065"/>
          <a:ext cx="1030279" cy="1084674"/>
        </a:xfrm>
        <a:prstGeom prst="rect">
          <a:avLst/>
        </a:prstGeom>
        <a:noFill/>
        <a:ln>
          <a:noFill/>
        </a:ln>
      </xdr:spPr>
    </xdr:pic>
    <xdr:clientData/>
  </xdr:oneCellAnchor>
  <xdr:oneCellAnchor>
    <xdr:from>
      <xdr:col>43</xdr:col>
      <xdr:colOff>1037114</xdr:colOff>
      <xdr:row>1</xdr:row>
      <xdr:rowOff>56030</xdr:rowOff>
    </xdr:from>
    <xdr:ext cx="5480796" cy="419217"/>
    <xdr:sp macro="" textlink="">
      <xdr:nvSpPr>
        <xdr:cNvPr id="15" name="Retângulo 14">
          <a:extLst>
            <a:ext uri="{FF2B5EF4-FFF2-40B4-BE49-F238E27FC236}">
              <a16:creationId xmlns:a16="http://schemas.microsoft.com/office/drawing/2014/main" id="{00000000-0008-0000-0B00-00000F000000}"/>
            </a:ext>
          </a:extLst>
        </xdr:cNvPr>
        <xdr:cNvSpPr/>
      </xdr:nvSpPr>
      <xdr:spPr>
        <a:xfrm>
          <a:off x="23220839" y="132230"/>
          <a:ext cx="5480796" cy="419217"/>
        </a:xfrm>
        <a:prstGeom prst="rect">
          <a:avLst/>
        </a:prstGeom>
        <a:noFill/>
      </xdr:spPr>
      <xdr:txBody>
        <a:bodyPr wrap="square" lIns="91440" tIns="45720" rIns="91440" bIns="45720">
          <a:spAutoFit/>
        </a:bodyPr>
        <a:lstStyle/>
        <a:p>
          <a:pPr algn="ctr"/>
          <a:r>
            <a:rPr lang="pt-BR" sz="20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4</a:t>
          </a:r>
          <a:endParaRPr lang="pt-BR" sz="20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43</xdr:col>
      <xdr:colOff>1810471</xdr:colOff>
      <xdr:row>1</xdr:row>
      <xdr:rowOff>428493</xdr:rowOff>
    </xdr:from>
    <xdr:ext cx="4429418" cy="502152"/>
    <xdr:sp macro="" textlink="">
      <xdr:nvSpPr>
        <xdr:cNvPr id="17" name="Retângulo 16">
          <a:extLst>
            <a:ext uri="{FF2B5EF4-FFF2-40B4-BE49-F238E27FC236}">
              <a16:creationId xmlns:a16="http://schemas.microsoft.com/office/drawing/2014/main" id="{00000000-0008-0000-0B00-000011000000}"/>
            </a:ext>
          </a:extLst>
        </xdr:cNvPr>
        <xdr:cNvSpPr/>
      </xdr:nvSpPr>
      <xdr:spPr>
        <a:xfrm>
          <a:off x="23994196" y="504693"/>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43</xdr:col>
      <xdr:colOff>93575</xdr:colOff>
      <xdr:row>1</xdr:row>
      <xdr:rowOff>248766</xdr:rowOff>
    </xdr:from>
    <xdr:ext cx="902071" cy="949697"/>
    <xdr:pic>
      <xdr:nvPicPr>
        <xdr:cNvPr id="18" name="Imagem 17">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77300" y="324966"/>
          <a:ext cx="902071" cy="949697"/>
        </a:xfrm>
        <a:prstGeom prst="rect">
          <a:avLst/>
        </a:prstGeom>
        <a:noFill/>
        <a:ln>
          <a:noFill/>
        </a:ln>
      </xdr:spPr>
    </xdr:pic>
    <xdr:clientData/>
  </xdr:oneCellAnchor>
  <xdr:oneCellAnchor>
    <xdr:from>
      <xdr:col>24</xdr:col>
      <xdr:colOff>933144</xdr:colOff>
      <xdr:row>1</xdr:row>
      <xdr:rowOff>154845</xdr:rowOff>
    </xdr:from>
    <xdr:ext cx="1030279" cy="1084674"/>
    <xdr:pic>
      <xdr:nvPicPr>
        <xdr:cNvPr id="19" name="Imagem 18">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9469" y="231045"/>
          <a:ext cx="1030279" cy="1084674"/>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2</xdr:col>
      <xdr:colOff>951372</xdr:colOff>
      <xdr:row>1</xdr:row>
      <xdr:rowOff>78443</xdr:rowOff>
    </xdr:from>
    <xdr:ext cx="6724638" cy="549959"/>
    <xdr:sp macro="" textlink="">
      <xdr:nvSpPr>
        <xdr:cNvPr id="8" name="Retângulo 7">
          <a:extLst>
            <a:ext uri="{FF2B5EF4-FFF2-40B4-BE49-F238E27FC236}">
              <a16:creationId xmlns:a16="http://schemas.microsoft.com/office/drawing/2014/main" id="{00000000-0008-0000-0C00-000008000000}"/>
            </a:ext>
          </a:extLst>
        </xdr:cNvPr>
        <xdr:cNvSpPr/>
      </xdr:nvSpPr>
      <xdr:spPr>
        <a:xfrm>
          <a:off x="4342272" y="154643"/>
          <a:ext cx="6724638" cy="549959"/>
        </a:xfrm>
        <a:prstGeom prst="rect">
          <a:avLst/>
        </a:prstGeom>
        <a:noFill/>
      </xdr:spPr>
      <xdr:txBody>
        <a:bodyPr wrap="square" lIns="91440" tIns="45720" rIns="91440" bIns="45720">
          <a:spAutoFit/>
        </a:bodyPr>
        <a:lstStyle/>
        <a:p>
          <a:pPr algn="ctr"/>
          <a:r>
            <a:rPr lang="pt-BR" sz="28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6</a:t>
          </a:r>
          <a:endParaRPr lang="pt-BR" sz="28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4</xdr:col>
      <xdr:colOff>81945</xdr:colOff>
      <xdr:row>1</xdr:row>
      <xdr:rowOff>528789</xdr:rowOff>
    </xdr:from>
    <xdr:ext cx="4429418" cy="502152"/>
    <xdr:sp macro="" textlink="">
      <xdr:nvSpPr>
        <xdr:cNvPr id="10" name="Retângulo 9">
          <a:extLst>
            <a:ext uri="{FF2B5EF4-FFF2-40B4-BE49-F238E27FC236}">
              <a16:creationId xmlns:a16="http://schemas.microsoft.com/office/drawing/2014/main" id="{00000000-0008-0000-0C00-00000A000000}"/>
            </a:ext>
          </a:extLst>
        </xdr:cNvPr>
        <xdr:cNvSpPr/>
      </xdr:nvSpPr>
      <xdr:spPr>
        <a:xfrm>
          <a:off x="5444520" y="604989"/>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1</xdr:col>
      <xdr:colOff>2116224</xdr:colOff>
      <xdr:row>1</xdr:row>
      <xdr:rowOff>308159</xdr:rowOff>
    </xdr:from>
    <xdr:ext cx="902071" cy="949697"/>
    <xdr:pic>
      <xdr:nvPicPr>
        <xdr:cNvPr id="11" name="Imagem 10">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2424" y="384359"/>
          <a:ext cx="902071" cy="949697"/>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12</xdr:col>
      <xdr:colOff>22411</xdr:colOff>
      <xdr:row>1</xdr:row>
      <xdr:rowOff>78443</xdr:rowOff>
    </xdr:from>
    <xdr:ext cx="7789199" cy="549959"/>
    <xdr:sp macro="" textlink="">
      <xdr:nvSpPr>
        <xdr:cNvPr id="11" name="Retângulo 10">
          <a:extLst>
            <a:ext uri="{FF2B5EF4-FFF2-40B4-BE49-F238E27FC236}">
              <a16:creationId xmlns:a16="http://schemas.microsoft.com/office/drawing/2014/main" id="{00000000-0008-0000-0D00-00000B000000}"/>
            </a:ext>
          </a:extLst>
        </xdr:cNvPr>
        <xdr:cNvSpPr/>
      </xdr:nvSpPr>
      <xdr:spPr>
        <a:xfrm>
          <a:off x="6051736" y="154643"/>
          <a:ext cx="7789199" cy="549959"/>
        </a:xfrm>
        <a:prstGeom prst="rect">
          <a:avLst/>
        </a:prstGeom>
        <a:noFill/>
      </xdr:spPr>
      <xdr:txBody>
        <a:bodyPr wrap="square" lIns="91440" tIns="45720" rIns="91440" bIns="45720">
          <a:spAutoFit/>
        </a:bodyPr>
        <a:lstStyle/>
        <a:p>
          <a:pPr algn="ctr"/>
          <a:r>
            <a:rPr lang="pt-BR" sz="28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6</a:t>
          </a:r>
          <a:endParaRPr lang="pt-BR" sz="28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15</xdr:col>
      <xdr:colOff>180168</xdr:colOff>
      <xdr:row>1</xdr:row>
      <xdr:rowOff>528789</xdr:rowOff>
    </xdr:from>
    <xdr:ext cx="4429418" cy="502152"/>
    <xdr:sp macro="" textlink="">
      <xdr:nvSpPr>
        <xdr:cNvPr id="13" name="Retângulo 12">
          <a:extLst>
            <a:ext uri="{FF2B5EF4-FFF2-40B4-BE49-F238E27FC236}">
              <a16:creationId xmlns:a16="http://schemas.microsoft.com/office/drawing/2014/main" id="{00000000-0008-0000-0D00-00000D000000}"/>
            </a:ext>
          </a:extLst>
        </xdr:cNvPr>
        <xdr:cNvSpPr/>
      </xdr:nvSpPr>
      <xdr:spPr>
        <a:xfrm>
          <a:off x="7952568" y="604989"/>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10</xdr:col>
      <xdr:colOff>1053353</xdr:colOff>
      <xdr:row>1</xdr:row>
      <xdr:rowOff>155865</xdr:rowOff>
    </xdr:from>
    <xdr:ext cx="1030279" cy="1084674"/>
    <xdr:pic>
      <xdr:nvPicPr>
        <xdr:cNvPr id="14" name="Imagem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01528" y="232065"/>
          <a:ext cx="1030279" cy="1084674"/>
        </a:xfrm>
        <a:prstGeom prst="rect">
          <a:avLst/>
        </a:prstGeom>
        <a:noFill/>
        <a:ln>
          <a:noFill/>
        </a:ln>
      </xdr:spPr>
    </xdr:pic>
    <xdr:clientData/>
  </xdr:oneCellAnchor>
  <xdr:oneCellAnchor>
    <xdr:from>
      <xdr:col>43</xdr:col>
      <xdr:colOff>1037114</xdr:colOff>
      <xdr:row>1</xdr:row>
      <xdr:rowOff>56030</xdr:rowOff>
    </xdr:from>
    <xdr:ext cx="5480796" cy="419217"/>
    <xdr:sp macro="" textlink="">
      <xdr:nvSpPr>
        <xdr:cNvPr id="15" name="Retângulo 14">
          <a:extLst>
            <a:ext uri="{FF2B5EF4-FFF2-40B4-BE49-F238E27FC236}">
              <a16:creationId xmlns:a16="http://schemas.microsoft.com/office/drawing/2014/main" id="{00000000-0008-0000-0D00-00000F000000}"/>
            </a:ext>
          </a:extLst>
        </xdr:cNvPr>
        <xdr:cNvSpPr/>
      </xdr:nvSpPr>
      <xdr:spPr>
        <a:xfrm>
          <a:off x="23220839" y="132230"/>
          <a:ext cx="5480796" cy="419217"/>
        </a:xfrm>
        <a:prstGeom prst="rect">
          <a:avLst/>
        </a:prstGeom>
        <a:noFill/>
      </xdr:spPr>
      <xdr:txBody>
        <a:bodyPr wrap="square" lIns="91440" tIns="45720" rIns="91440" bIns="45720">
          <a:spAutoFit/>
        </a:bodyPr>
        <a:lstStyle/>
        <a:p>
          <a:pPr algn="ctr"/>
          <a:r>
            <a:rPr lang="pt-BR" sz="20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4 </a:t>
          </a:r>
          <a:endParaRPr lang="pt-BR" sz="20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43</xdr:col>
      <xdr:colOff>1810471</xdr:colOff>
      <xdr:row>1</xdr:row>
      <xdr:rowOff>428493</xdr:rowOff>
    </xdr:from>
    <xdr:ext cx="4429418" cy="502152"/>
    <xdr:sp macro="" textlink="">
      <xdr:nvSpPr>
        <xdr:cNvPr id="17" name="Retângulo 16">
          <a:extLst>
            <a:ext uri="{FF2B5EF4-FFF2-40B4-BE49-F238E27FC236}">
              <a16:creationId xmlns:a16="http://schemas.microsoft.com/office/drawing/2014/main" id="{00000000-0008-0000-0D00-000011000000}"/>
            </a:ext>
          </a:extLst>
        </xdr:cNvPr>
        <xdr:cNvSpPr/>
      </xdr:nvSpPr>
      <xdr:spPr>
        <a:xfrm>
          <a:off x="23994196" y="504693"/>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43</xdr:col>
      <xdr:colOff>93575</xdr:colOff>
      <xdr:row>1</xdr:row>
      <xdr:rowOff>248766</xdr:rowOff>
    </xdr:from>
    <xdr:ext cx="902071" cy="949697"/>
    <xdr:pic>
      <xdr:nvPicPr>
        <xdr:cNvPr id="18" name="Imagem 17">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77300" y="324966"/>
          <a:ext cx="902071" cy="949697"/>
        </a:xfrm>
        <a:prstGeom prst="rect">
          <a:avLst/>
        </a:prstGeom>
        <a:noFill/>
        <a:ln>
          <a:noFill/>
        </a:ln>
      </xdr:spPr>
    </xdr:pic>
    <xdr:clientData/>
  </xdr:oneCellAnchor>
  <xdr:oneCellAnchor>
    <xdr:from>
      <xdr:col>24</xdr:col>
      <xdr:colOff>933144</xdr:colOff>
      <xdr:row>1</xdr:row>
      <xdr:rowOff>154845</xdr:rowOff>
    </xdr:from>
    <xdr:ext cx="1030279" cy="1084674"/>
    <xdr:pic>
      <xdr:nvPicPr>
        <xdr:cNvPr id="19" name="Imagem 18">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9469" y="231045"/>
          <a:ext cx="1030279" cy="1084674"/>
        </a:xfrm>
        <a:prstGeom prst="rect">
          <a:avLst/>
        </a:prstGeom>
        <a:noFill/>
        <a:ln>
          <a:noFill/>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2</xdr:col>
      <xdr:colOff>951372</xdr:colOff>
      <xdr:row>1</xdr:row>
      <xdr:rowOff>78443</xdr:rowOff>
    </xdr:from>
    <xdr:ext cx="6724638" cy="549959"/>
    <xdr:sp macro="" textlink="">
      <xdr:nvSpPr>
        <xdr:cNvPr id="6" name="Retângulo 5">
          <a:extLst>
            <a:ext uri="{FF2B5EF4-FFF2-40B4-BE49-F238E27FC236}">
              <a16:creationId xmlns:a16="http://schemas.microsoft.com/office/drawing/2014/main" id="{00000000-0008-0000-0E00-000006000000}"/>
            </a:ext>
          </a:extLst>
        </xdr:cNvPr>
        <xdr:cNvSpPr/>
      </xdr:nvSpPr>
      <xdr:spPr>
        <a:xfrm>
          <a:off x="4342272" y="154643"/>
          <a:ext cx="6724638" cy="549959"/>
        </a:xfrm>
        <a:prstGeom prst="rect">
          <a:avLst/>
        </a:prstGeom>
        <a:noFill/>
      </xdr:spPr>
      <xdr:txBody>
        <a:bodyPr wrap="square" lIns="91440" tIns="45720" rIns="91440" bIns="45720">
          <a:spAutoFit/>
        </a:bodyPr>
        <a:lstStyle/>
        <a:p>
          <a:pPr algn="ctr"/>
          <a:r>
            <a:rPr lang="pt-BR" sz="28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6</a:t>
          </a:r>
          <a:endParaRPr lang="pt-BR" sz="28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4</xdr:col>
      <xdr:colOff>81945</xdr:colOff>
      <xdr:row>1</xdr:row>
      <xdr:rowOff>528789</xdr:rowOff>
    </xdr:from>
    <xdr:ext cx="4429418" cy="502152"/>
    <xdr:sp macro="" textlink="">
      <xdr:nvSpPr>
        <xdr:cNvPr id="8" name="Retângulo 7">
          <a:extLst>
            <a:ext uri="{FF2B5EF4-FFF2-40B4-BE49-F238E27FC236}">
              <a16:creationId xmlns:a16="http://schemas.microsoft.com/office/drawing/2014/main" id="{00000000-0008-0000-0E00-000008000000}"/>
            </a:ext>
          </a:extLst>
        </xdr:cNvPr>
        <xdr:cNvSpPr/>
      </xdr:nvSpPr>
      <xdr:spPr>
        <a:xfrm>
          <a:off x="5444520" y="604989"/>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1</xdr:col>
      <xdr:colOff>2116224</xdr:colOff>
      <xdr:row>1</xdr:row>
      <xdr:rowOff>308159</xdr:rowOff>
    </xdr:from>
    <xdr:ext cx="902071" cy="949697"/>
    <xdr:pic>
      <xdr:nvPicPr>
        <xdr:cNvPr id="9" name="Imagem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2424" y="384359"/>
          <a:ext cx="902071" cy="949697"/>
        </a:xfrm>
        <a:prstGeom prst="rect">
          <a:avLst/>
        </a:prstGeom>
        <a:noFill/>
        <a:ln>
          <a:noFill/>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12</xdr:col>
      <xdr:colOff>22411</xdr:colOff>
      <xdr:row>1</xdr:row>
      <xdr:rowOff>78443</xdr:rowOff>
    </xdr:from>
    <xdr:ext cx="7789199" cy="549959"/>
    <xdr:sp macro="" textlink="">
      <xdr:nvSpPr>
        <xdr:cNvPr id="11" name="Retângulo 10">
          <a:extLst>
            <a:ext uri="{FF2B5EF4-FFF2-40B4-BE49-F238E27FC236}">
              <a16:creationId xmlns:a16="http://schemas.microsoft.com/office/drawing/2014/main" id="{00000000-0008-0000-0F00-00000B000000}"/>
            </a:ext>
          </a:extLst>
        </xdr:cNvPr>
        <xdr:cNvSpPr/>
      </xdr:nvSpPr>
      <xdr:spPr>
        <a:xfrm>
          <a:off x="6051736" y="154643"/>
          <a:ext cx="7789199" cy="549959"/>
        </a:xfrm>
        <a:prstGeom prst="rect">
          <a:avLst/>
        </a:prstGeom>
        <a:noFill/>
      </xdr:spPr>
      <xdr:txBody>
        <a:bodyPr wrap="square" lIns="91440" tIns="45720" rIns="91440" bIns="45720">
          <a:spAutoFit/>
        </a:bodyPr>
        <a:lstStyle/>
        <a:p>
          <a:pPr algn="ctr"/>
          <a:r>
            <a:rPr lang="pt-BR" sz="28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6</a:t>
          </a:r>
          <a:endParaRPr lang="pt-BR" sz="28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14</xdr:col>
      <xdr:colOff>730865</xdr:colOff>
      <xdr:row>2</xdr:row>
      <xdr:rowOff>232668</xdr:rowOff>
    </xdr:from>
    <xdr:ext cx="5807878" cy="419217"/>
    <xdr:sp macro="" textlink="">
      <xdr:nvSpPr>
        <xdr:cNvPr id="12" name="Retângulo 11">
          <a:extLst>
            <a:ext uri="{FF2B5EF4-FFF2-40B4-BE49-F238E27FC236}">
              <a16:creationId xmlns:a16="http://schemas.microsoft.com/office/drawing/2014/main" id="{00000000-0008-0000-0F00-00000C000000}"/>
            </a:ext>
          </a:extLst>
        </xdr:cNvPr>
        <xdr:cNvSpPr/>
      </xdr:nvSpPr>
      <xdr:spPr>
        <a:xfrm>
          <a:off x="7255490" y="1080393"/>
          <a:ext cx="5807878" cy="419217"/>
        </a:xfrm>
        <a:prstGeom prst="rect">
          <a:avLst/>
        </a:prstGeom>
        <a:noFill/>
      </xdr:spPr>
      <xdr:txBody>
        <a:bodyPr wrap="square" lIns="91440" tIns="45720" rIns="91440" bIns="45720">
          <a:spAutoFit/>
        </a:bodyPr>
        <a:lstStyle/>
        <a:p>
          <a:pPr algn="ctr"/>
          <a:endParaRPr lang="pt-BR" sz="2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latin typeface="Century Gothic" panose="020B0502020202020204" pitchFamily="34" charset="0"/>
          </a:endParaRPr>
        </a:p>
      </xdr:txBody>
    </xdr:sp>
    <xdr:clientData/>
  </xdr:oneCellAnchor>
  <xdr:oneCellAnchor>
    <xdr:from>
      <xdr:col>15</xdr:col>
      <xdr:colOff>180168</xdr:colOff>
      <xdr:row>1</xdr:row>
      <xdr:rowOff>528789</xdr:rowOff>
    </xdr:from>
    <xdr:ext cx="4429418" cy="502152"/>
    <xdr:sp macro="" textlink="">
      <xdr:nvSpPr>
        <xdr:cNvPr id="13" name="Retângulo 12">
          <a:extLst>
            <a:ext uri="{FF2B5EF4-FFF2-40B4-BE49-F238E27FC236}">
              <a16:creationId xmlns:a16="http://schemas.microsoft.com/office/drawing/2014/main" id="{00000000-0008-0000-0F00-00000D000000}"/>
            </a:ext>
          </a:extLst>
        </xdr:cNvPr>
        <xdr:cNvSpPr/>
      </xdr:nvSpPr>
      <xdr:spPr>
        <a:xfrm>
          <a:off x="7952568" y="604989"/>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10</xdr:col>
      <xdr:colOff>1053353</xdr:colOff>
      <xdr:row>1</xdr:row>
      <xdr:rowOff>155865</xdr:rowOff>
    </xdr:from>
    <xdr:ext cx="1030279" cy="1084674"/>
    <xdr:pic>
      <xdr:nvPicPr>
        <xdr:cNvPr id="14" name="Imagem 13">
          <a:extLst>
            <a:ext uri="{FF2B5EF4-FFF2-40B4-BE49-F238E27FC236}">
              <a16:creationId xmlns:a16="http://schemas.microsoft.com/office/drawing/2014/main" id="{00000000-0008-0000-0F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01528" y="232065"/>
          <a:ext cx="1030279" cy="1084674"/>
        </a:xfrm>
        <a:prstGeom prst="rect">
          <a:avLst/>
        </a:prstGeom>
        <a:noFill/>
        <a:ln>
          <a:noFill/>
        </a:ln>
      </xdr:spPr>
    </xdr:pic>
    <xdr:clientData/>
  </xdr:oneCellAnchor>
  <xdr:oneCellAnchor>
    <xdr:from>
      <xdr:col>43</xdr:col>
      <xdr:colOff>1037114</xdr:colOff>
      <xdr:row>1</xdr:row>
      <xdr:rowOff>56030</xdr:rowOff>
    </xdr:from>
    <xdr:ext cx="5480796" cy="419217"/>
    <xdr:sp macro="" textlink="">
      <xdr:nvSpPr>
        <xdr:cNvPr id="15" name="Retângulo 14">
          <a:extLst>
            <a:ext uri="{FF2B5EF4-FFF2-40B4-BE49-F238E27FC236}">
              <a16:creationId xmlns:a16="http://schemas.microsoft.com/office/drawing/2014/main" id="{00000000-0008-0000-0F00-00000F000000}"/>
            </a:ext>
          </a:extLst>
        </xdr:cNvPr>
        <xdr:cNvSpPr/>
      </xdr:nvSpPr>
      <xdr:spPr>
        <a:xfrm>
          <a:off x="23220839" y="132230"/>
          <a:ext cx="5480796" cy="419217"/>
        </a:xfrm>
        <a:prstGeom prst="rect">
          <a:avLst/>
        </a:prstGeom>
        <a:noFill/>
      </xdr:spPr>
      <xdr:txBody>
        <a:bodyPr wrap="square" lIns="91440" tIns="45720" rIns="91440" bIns="45720">
          <a:spAutoFit/>
        </a:bodyPr>
        <a:lstStyle/>
        <a:p>
          <a:pPr algn="ctr"/>
          <a:r>
            <a:rPr lang="pt-BR" sz="20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4</a:t>
          </a:r>
          <a:endParaRPr lang="pt-BR" sz="20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43</xdr:col>
      <xdr:colOff>1810471</xdr:colOff>
      <xdr:row>1</xdr:row>
      <xdr:rowOff>428493</xdr:rowOff>
    </xdr:from>
    <xdr:ext cx="4429418" cy="502152"/>
    <xdr:sp macro="" textlink="">
      <xdr:nvSpPr>
        <xdr:cNvPr id="17" name="Retângulo 16">
          <a:extLst>
            <a:ext uri="{FF2B5EF4-FFF2-40B4-BE49-F238E27FC236}">
              <a16:creationId xmlns:a16="http://schemas.microsoft.com/office/drawing/2014/main" id="{00000000-0008-0000-0F00-000011000000}"/>
            </a:ext>
          </a:extLst>
        </xdr:cNvPr>
        <xdr:cNvSpPr/>
      </xdr:nvSpPr>
      <xdr:spPr>
        <a:xfrm>
          <a:off x="23994196" y="504693"/>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43</xdr:col>
      <xdr:colOff>93575</xdr:colOff>
      <xdr:row>1</xdr:row>
      <xdr:rowOff>248766</xdr:rowOff>
    </xdr:from>
    <xdr:ext cx="902071" cy="949697"/>
    <xdr:pic>
      <xdr:nvPicPr>
        <xdr:cNvPr id="18" name="Imagem 17">
          <a:extLst>
            <a:ext uri="{FF2B5EF4-FFF2-40B4-BE49-F238E27FC236}">
              <a16:creationId xmlns:a16="http://schemas.microsoft.com/office/drawing/2014/main" id="{00000000-0008-0000-0F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77300" y="324966"/>
          <a:ext cx="902071" cy="949697"/>
        </a:xfrm>
        <a:prstGeom prst="rect">
          <a:avLst/>
        </a:prstGeom>
        <a:noFill/>
        <a:ln>
          <a:noFill/>
        </a:ln>
      </xdr:spPr>
    </xdr:pic>
    <xdr:clientData/>
  </xdr:oneCellAnchor>
  <xdr:oneCellAnchor>
    <xdr:from>
      <xdr:col>24</xdr:col>
      <xdr:colOff>933144</xdr:colOff>
      <xdr:row>1</xdr:row>
      <xdr:rowOff>154845</xdr:rowOff>
    </xdr:from>
    <xdr:ext cx="1030279" cy="1084674"/>
    <xdr:pic>
      <xdr:nvPicPr>
        <xdr:cNvPr id="19" name="Imagem 18">
          <a:extLst>
            <a:ext uri="{FF2B5EF4-FFF2-40B4-BE49-F238E27FC236}">
              <a16:creationId xmlns:a16="http://schemas.microsoft.com/office/drawing/2014/main" id="{00000000-0008-0000-0F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9469" y="231045"/>
          <a:ext cx="1030279" cy="1084674"/>
        </a:xfrm>
        <a:prstGeom prst="rect">
          <a:avLst/>
        </a:prstGeom>
        <a:noFill/>
        <a:ln>
          <a:noFill/>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2</xdr:col>
      <xdr:colOff>951372</xdr:colOff>
      <xdr:row>1</xdr:row>
      <xdr:rowOff>78443</xdr:rowOff>
    </xdr:from>
    <xdr:ext cx="6724638" cy="549959"/>
    <xdr:sp macro="" textlink="">
      <xdr:nvSpPr>
        <xdr:cNvPr id="14" name="Retângulo 13">
          <a:extLst>
            <a:ext uri="{FF2B5EF4-FFF2-40B4-BE49-F238E27FC236}">
              <a16:creationId xmlns:a16="http://schemas.microsoft.com/office/drawing/2014/main" id="{00000000-0008-0000-1000-00000E000000}"/>
            </a:ext>
          </a:extLst>
        </xdr:cNvPr>
        <xdr:cNvSpPr/>
      </xdr:nvSpPr>
      <xdr:spPr>
        <a:xfrm>
          <a:off x="4342272" y="154643"/>
          <a:ext cx="6724638" cy="549959"/>
        </a:xfrm>
        <a:prstGeom prst="rect">
          <a:avLst/>
        </a:prstGeom>
        <a:noFill/>
      </xdr:spPr>
      <xdr:txBody>
        <a:bodyPr wrap="square" lIns="91440" tIns="45720" rIns="91440" bIns="45720">
          <a:spAutoFit/>
        </a:bodyPr>
        <a:lstStyle/>
        <a:p>
          <a:pPr algn="ctr"/>
          <a:r>
            <a:rPr lang="pt-BR" sz="28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6</a:t>
          </a:r>
          <a:endParaRPr lang="pt-BR" sz="28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4</xdr:col>
      <xdr:colOff>81945</xdr:colOff>
      <xdr:row>1</xdr:row>
      <xdr:rowOff>528789</xdr:rowOff>
    </xdr:from>
    <xdr:ext cx="4429418" cy="502152"/>
    <xdr:sp macro="" textlink="">
      <xdr:nvSpPr>
        <xdr:cNvPr id="16" name="Retângulo 15">
          <a:extLst>
            <a:ext uri="{FF2B5EF4-FFF2-40B4-BE49-F238E27FC236}">
              <a16:creationId xmlns:a16="http://schemas.microsoft.com/office/drawing/2014/main" id="{00000000-0008-0000-1000-000010000000}"/>
            </a:ext>
          </a:extLst>
        </xdr:cNvPr>
        <xdr:cNvSpPr/>
      </xdr:nvSpPr>
      <xdr:spPr>
        <a:xfrm>
          <a:off x="5444520" y="604989"/>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1</xdr:col>
      <xdr:colOff>2116224</xdr:colOff>
      <xdr:row>1</xdr:row>
      <xdr:rowOff>308159</xdr:rowOff>
    </xdr:from>
    <xdr:ext cx="902071" cy="949697"/>
    <xdr:pic>
      <xdr:nvPicPr>
        <xdr:cNvPr id="17" name="Imagem 16">
          <a:extLst>
            <a:ext uri="{FF2B5EF4-FFF2-40B4-BE49-F238E27FC236}">
              <a16:creationId xmlns:a16="http://schemas.microsoft.com/office/drawing/2014/main" id="{00000000-0008-0000-10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2424" y="384359"/>
          <a:ext cx="902071" cy="949697"/>
        </a:xfrm>
        <a:prstGeom prst="rect">
          <a:avLst/>
        </a:prstGeom>
        <a:noFill/>
        <a:ln>
          <a:noFill/>
        </a:ln>
      </xdr:spPr>
    </xdr:pic>
    <xdr:clientData/>
  </xdr:oneCellAnchor>
</xdr:wsDr>
</file>

<file path=xl/drawings/drawing18.xml><?xml version="1.0" encoding="utf-8"?>
<xdr:wsDr xmlns:xdr="http://schemas.openxmlformats.org/drawingml/2006/spreadsheetDrawing" xmlns:a="http://schemas.openxmlformats.org/drawingml/2006/main">
  <xdr:oneCellAnchor>
    <xdr:from>
      <xdr:col>12</xdr:col>
      <xdr:colOff>22411</xdr:colOff>
      <xdr:row>1</xdr:row>
      <xdr:rowOff>78443</xdr:rowOff>
    </xdr:from>
    <xdr:ext cx="7789199" cy="549959"/>
    <xdr:sp macro="" textlink="">
      <xdr:nvSpPr>
        <xdr:cNvPr id="20" name="Retângulo 19">
          <a:extLst>
            <a:ext uri="{FF2B5EF4-FFF2-40B4-BE49-F238E27FC236}">
              <a16:creationId xmlns:a16="http://schemas.microsoft.com/office/drawing/2014/main" id="{00000000-0008-0000-1100-000014000000}"/>
            </a:ext>
          </a:extLst>
        </xdr:cNvPr>
        <xdr:cNvSpPr/>
      </xdr:nvSpPr>
      <xdr:spPr>
        <a:xfrm>
          <a:off x="6051736" y="154643"/>
          <a:ext cx="7789199" cy="549959"/>
        </a:xfrm>
        <a:prstGeom prst="rect">
          <a:avLst/>
        </a:prstGeom>
        <a:noFill/>
      </xdr:spPr>
      <xdr:txBody>
        <a:bodyPr wrap="square" lIns="91440" tIns="45720" rIns="91440" bIns="45720">
          <a:spAutoFit/>
        </a:bodyPr>
        <a:lstStyle/>
        <a:p>
          <a:pPr algn="ctr"/>
          <a:r>
            <a:rPr lang="pt-BR" sz="28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6</a:t>
          </a:r>
          <a:endParaRPr lang="pt-BR" sz="28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15</xdr:col>
      <xdr:colOff>180168</xdr:colOff>
      <xdr:row>1</xdr:row>
      <xdr:rowOff>528789</xdr:rowOff>
    </xdr:from>
    <xdr:ext cx="4429418" cy="502152"/>
    <xdr:sp macro="" textlink="">
      <xdr:nvSpPr>
        <xdr:cNvPr id="22" name="Retângulo 21">
          <a:extLst>
            <a:ext uri="{FF2B5EF4-FFF2-40B4-BE49-F238E27FC236}">
              <a16:creationId xmlns:a16="http://schemas.microsoft.com/office/drawing/2014/main" id="{00000000-0008-0000-1100-000016000000}"/>
            </a:ext>
          </a:extLst>
        </xdr:cNvPr>
        <xdr:cNvSpPr/>
      </xdr:nvSpPr>
      <xdr:spPr>
        <a:xfrm>
          <a:off x="7952568" y="604989"/>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10</xdr:col>
      <xdr:colOff>1053353</xdr:colOff>
      <xdr:row>1</xdr:row>
      <xdr:rowOff>155865</xdr:rowOff>
    </xdr:from>
    <xdr:ext cx="1030279" cy="1084674"/>
    <xdr:pic>
      <xdr:nvPicPr>
        <xdr:cNvPr id="23" name="Imagem 22">
          <a:extLst>
            <a:ext uri="{FF2B5EF4-FFF2-40B4-BE49-F238E27FC236}">
              <a16:creationId xmlns:a16="http://schemas.microsoft.com/office/drawing/2014/main" id="{00000000-0008-0000-11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01528" y="232065"/>
          <a:ext cx="1030279" cy="1084674"/>
        </a:xfrm>
        <a:prstGeom prst="rect">
          <a:avLst/>
        </a:prstGeom>
        <a:noFill/>
        <a:ln>
          <a:noFill/>
        </a:ln>
      </xdr:spPr>
    </xdr:pic>
    <xdr:clientData/>
  </xdr:oneCellAnchor>
  <xdr:oneCellAnchor>
    <xdr:from>
      <xdr:col>43</xdr:col>
      <xdr:colOff>1037114</xdr:colOff>
      <xdr:row>1</xdr:row>
      <xdr:rowOff>56030</xdr:rowOff>
    </xdr:from>
    <xdr:ext cx="5480796" cy="419217"/>
    <xdr:sp macro="" textlink="">
      <xdr:nvSpPr>
        <xdr:cNvPr id="24" name="Retângulo 23">
          <a:extLst>
            <a:ext uri="{FF2B5EF4-FFF2-40B4-BE49-F238E27FC236}">
              <a16:creationId xmlns:a16="http://schemas.microsoft.com/office/drawing/2014/main" id="{00000000-0008-0000-1100-000018000000}"/>
            </a:ext>
          </a:extLst>
        </xdr:cNvPr>
        <xdr:cNvSpPr/>
      </xdr:nvSpPr>
      <xdr:spPr>
        <a:xfrm>
          <a:off x="23220839" y="132230"/>
          <a:ext cx="5480796" cy="419217"/>
        </a:xfrm>
        <a:prstGeom prst="rect">
          <a:avLst/>
        </a:prstGeom>
        <a:noFill/>
      </xdr:spPr>
      <xdr:txBody>
        <a:bodyPr wrap="square" lIns="91440" tIns="45720" rIns="91440" bIns="45720">
          <a:spAutoFit/>
        </a:bodyPr>
        <a:lstStyle/>
        <a:p>
          <a:pPr algn="ctr"/>
          <a:r>
            <a:rPr lang="pt-BR" sz="20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4 </a:t>
          </a:r>
          <a:endParaRPr lang="pt-BR" sz="20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43</xdr:col>
      <xdr:colOff>1810471</xdr:colOff>
      <xdr:row>1</xdr:row>
      <xdr:rowOff>428493</xdr:rowOff>
    </xdr:from>
    <xdr:ext cx="4429418" cy="502152"/>
    <xdr:sp macro="" textlink="">
      <xdr:nvSpPr>
        <xdr:cNvPr id="26" name="Retângulo 25">
          <a:extLst>
            <a:ext uri="{FF2B5EF4-FFF2-40B4-BE49-F238E27FC236}">
              <a16:creationId xmlns:a16="http://schemas.microsoft.com/office/drawing/2014/main" id="{00000000-0008-0000-1100-00001A000000}"/>
            </a:ext>
          </a:extLst>
        </xdr:cNvPr>
        <xdr:cNvSpPr/>
      </xdr:nvSpPr>
      <xdr:spPr>
        <a:xfrm>
          <a:off x="23994196" y="504693"/>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43</xdr:col>
      <xdr:colOff>93575</xdr:colOff>
      <xdr:row>1</xdr:row>
      <xdr:rowOff>248766</xdr:rowOff>
    </xdr:from>
    <xdr:ext cx="902071" cy="949697"/>
    <xdr:pic>
      <xdr:nvPicPr>
        <xdr:cNvPr id="27" name="Imagem 26">
          <a:extLst>
            <a:ext uri="{FF2B5EF4-FFF2-40B4-BE49-F238E27FC236}">
              <a16:creationId xmlns:a16="http://schemas.microsoft.com/office/drawing/2014/main" id="{00000000-0008-0000-11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77300" y="324966"/>
          <a:ext cx="902071" cy="949697"/>
        </a:xfrm>
        <a:prstGeom prst="rect">
          <a:avLst/>
        </a:prstGeom>
        <a:noFill/>
        <a:ln>
          <a:noFill/>
        </a:ln>
      </xdr:spPr>
    </xdr:pic>
    <xdr:clientData/>
  </xdr:oneCellAnchor>
  <xdr:oneCellAnchor>
    <xdr:from>
      <xdr:col>24</xdr:col>
      <xdr:colOff>933144</xdr:colOff>
      <xdr:row>1</xdr:row>
      <xdr:rowOff>154845</xdr:rowOff>
    </xdr:from>
    <xdr:ext cx="1030279" cy="1084674"/>
    <xdr:pic>
      <xdr:nvPicPr>
        <xdr:cNvPr id="28" name="Imagem 27">
          <a:extLst>
            <a:ext uri="{FF2B5EF4-FFF2-40B4-BE49-F238E27FC236}">
              <a16:creationId xmlns:a16="http://schemas.microsoft.com/office/drawing/2014/main" id="{00000000-0008-0000-11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9469" y="231045"/>
          <a:ext cx="1030279" cy="1084674"/>
        </a:xfrm>
        <a:prstGeom prst="rect">
          <a:avLst/>
        </a:prstGeom>
        <a:noFill/>
        <a:ln>
          <a:noFill/>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2</xdr:col>
      <xdr:colOff>951372</xdr:colOff>
      <xdr:row>1</xdr:row>
      <xdr:rowOff>78443</xdr:rowOff>
    </xdr:from>
    <xdr:ext cx="6724638" cy="549959"/>
    <xdr:sp macro="" textlink="">
      <xdr:nvSpPr>
        <xdr:cNvPr id="8" name="Retângulo 7">
          <a:extLst>
            <a:ext uri="{FF2B5EF4-FFF2-40B4-BE49-F238E27FC236}">
              <a16:creationId xmlns:a16="http://schemas.microsoft.com/office/drawing/2014/main" id="{00000000-0008-0000-1200-000008000000}"/>
            </a:ext>
          </a:extLst>
        </xdr:cNvPr>
        <xdr:cNvSpPr/>
      </xdr:nvSpPr>
      <xdr:spPr>
        <a:xfrm>
          <a:off x="4342272" y="154643"/>
          <a:ext cx="6724638" cy="549959"/>
        </a:xfrm>
        <a:prstGeom prst="rect">
          <a:avLst/>
        </a:prstGeom>
        <a:noFill/>
      </xdr:spPr>
      <xdr:txBody>
        <a:bodyPr wrap="square" lIns="91440" tIns="45720" rIns="91440" bIns="45720">
          <a:spAutoFit/>
        </a:bodyPr>
        <a:lstStyle/>
        <a:p>
          <a:pPr algn="ctr"/>
          <a:r>
            <a:rPr lang="pt-BR" sz="28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6</a:t>
          </a:r>
          <a:endParaRPr lang="pt-BR" sz="28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4</xdr:col>
      <xdr:colOff>81945</xdr:colOff>
      <xdr:row>1</xdr:row>
      <xdr:rowOff>528789</xdr:rowOff>
    </xdr:from>
    <xdr:ext cx="4429418" cy="502152"/>
    <xdr:sp macro="" textlink="">
      <xdr:nvSpPr>
        <xdr:cNvPr id="10" name="Retângulo 9">
          <a:extLst>
            <a:ext uri="{FF2B5EF4-FFF2-40B4-BE49-F238E27FC236}">
              <a16:creationId xmlns:a16="http://schemas.microsoft.com/office/drawing/2014/main" id="{00000000-0008-0000-1200-00000A000000}"/>
            </a:ext>
          </a:extLst>
        </xdr:cNvPr>
        <xdr:cNvSpPr/>
      </xdr:nvSpPr>
      <xdr:spPr>
        <a:xfrm>
          <a:off x="5444520" y="604989"/>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1</xdr:col>
      <xdr:colOff>2116224</xdr:colOff>
      <xdr:row>1</xdr:row>
      <xdr:rowOff>308159</xdr:rowOff>
    </xdr:from>
    <xdr:ext cx="902071" cy="949697"/>
    <xdr:pic>
      <xdr:nvPicPr>
        <xdr:cNvPr id="11" name="Imagem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2424" y="384359"/>
          <a:ext cx="902071" cy="949697"/>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12</xdr:col>
      <xdr:colOff>22411</xdr:colOff>
      <xdr:row>1</xdr:row>
      <xdr:rowOff>78443</xdr:rowOff>
    </xdr:from>
    <xdr:ext cx="7789199" cy="549959"/>
    <xdr:sp macro="" textlink="">
      <xdr:nvSpPr>
        <xdr:cNvPr id="10" name="Retângulo 9">
          <a:extLst>
            <a:ext uri="{FF2B5EF4-FFF2-40B4-BE49-F238E27FC236}">
              <a16:creationId xmlns:a16="http://schemas.microsoft.com/office/drawing/2014/main" id="{00000000-0008-0000-0100-00000A000000}"/>
            </a:ext>
          </a:extLst>
        </xdr:cNvPr>
        <xdr:cNvSpPr/>
      </xdr:nvSpPr>
      <xdr:spPr>
        <a:xfrm>
          <a:off x="6051176" y="156884"/>
          <a:ext cx="7789199" cy="549959"/>
        </a:xfrm>
        <a:prstGeom prst="rect">
          <a:avLst/>
        </a:prstGeom>
        <a:noFill/>
      </xdr:spPr>
      <xdr:txBody>
        <a:bodyPr wrap="square" lIns="91440" tIns="45720" rIns="91440" bIns="45720">
          <a:spAutoFit/>
        </a:bodyPr>
        <a:lstStyle/>
        <a:p>
          <a:pPr algn="ctr"/>
          <a:r>
            <a:rPr lang="pt-BR" sz="28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6</a:t>
          </a:r>
          <a:endParaRPr lang="pt-BR" sz="28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14</xdr:col>
      <xdr:colOff>730865</xdr:colOff>
      <xdr:row>2</xdr:row>
      <xdr:rowOff>232668</xdr:rowOff>
    </xdr:from>
    <xdr:ext cx="5807878" cy="419217"/>
    <xdr:sp macro="" textlink="">
      <xdr:nvSpPr>
        <xdr:cNvPr id="11" name="Retângulo 10">
          <a:extLst>
            <a:ext uri="{FF2B5EF4-FFF2-40B4-BE49-F238E27FC236}">
              <a16:creationId xmlns:a16="http://schemas.microsoft.com/office/drawing/2014/main" id="{00000000-0008-0000-0100-00000B000000}"/>
            </a:ext>
          </a:extLst>
        </xdr:cNvPr>
        <xdr:cNvSpPr/>
      </xdr:nvSpPr>
      <xdr:spPr>
        <a:xfrm>
          <a:off x="7252689" y="1084315"/>
          <a:ext cx="5807878" cy="419217"/>
        </a:xfrm>
        <a:prstGeom prst="rect">
          <a:avLst/>
        </a:prstGeom>
        <a:noFill/>
      </xdr:spPr>
      <xdr:txBody>
        <a:bodyPr wrap="square" lIns="91440" tIns="45720" rIns="91440" bIns="45720">
          <a:spAutoFit/>
        </a:bodyPr>
        <a:lstStyle/>
        <a:p>
          <a:pPr algn="ctr"/>
          <a:endParaRPr lang="pt-BR" sz="2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latin typeface="Century Gothic" panose="020B0502020202020204" pitchFamily="34" charset="0"/>
          </a:endParaRPr>
        </a:p>
      </xdr:txBody>
    </xdr:sp>
    <xdr:clientData/>
  </xdr:oneCellAnchor>
  <xdr:oneCellAnchor>
    <xdr:from>
      <xdr:col>15</xdr:col>
      <xdr:colOff>180168</xdr:colOff>
      <xdr:row>1</xdr:row>
      <xdr:rowOff>528789</xdr:rowOff>
    </xdr:from>
    <xdr:ext cx="4429418" cy="502152"/>
    <xdr:sp macro="" textlink="">
      <xdr:nvSpPr>
        <xdr:cNvPr id="12" name="Retângulo 11">
          <a:extLst>
            <a:ext uri="{FF2B5EF4-FFF2-40B4-BE49-F238E27FC236}">
              <a16:creationId xmlns:a16="http://schemas.microsoft.com/office/drawing/2014/main" id="{00000000-0008-0000-0100-00000C000000}"/>
            </a:ext>
          </a:extLst>
        </xdr:cNvPr>
        <xdr:cNvSpPr/>
      </xdr:nvSpPr>
      <xdr:spPr>
        <a:xfrm>
          <a:off x="7945844" y="607230"/>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10</xdr:col>
      <xdr:colOff>1053353</xdr:colOff>
      <xdr:row>1</xdr:row>
      <xdr:rowOff>155865</xdr:rowOff>
    </xdr:from>
    <xdr:ext cx="1030279" cy="1084674"/>
    <xdr:pic>
      <xdr:nvPicPr>
        <xdr:cNvPr id="13" name="Imagem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02088" y="234306"/>
          <a:ext cx="1030279" cy="1084674"/>
        </a:xfrm>
        <a:prstGeom prst="rect">
          <a:avLst/>
        </a:prstGeom>
        <a:noFill/>
        <a:ln>
          <a:noFill/>
        </a:ln>
      </xdr:spPr>
    </xdr:pic>
    <xdr:clientData/>
  </xdr:oneCellAnchor>
  <xdr:oneCellAnchor>
    <xdr:from>
      <xdr:col>43</xdr:col>
      <xdr:colOff>1037114</xdr:colOff>
      <xdr:row>1</xdr:row>
      <xdr:rowOff>56030</xdr:rowOff>
    </xdr:from>
    <xdr:ext cx="5480796" cy="419217"/>
    <xdr:sp macro="" textlink="">
      <xdr:nvSpPr>
        <xdr:cNvPr id="31" name="Retângulo 30">
          <a:extLst>
            <a:ext uri="{FF2B5EF4-FFF2-40B4-BE49-F238E27FC236}">
              <a16:creationId xmlns:a16="http://schemas.microsoft.com/office/drawing/2014/main" id="{00000000-0008-0000-0100-00001F000000}"/>
            </a:ext>
          </a:extLst>
        </xdr:cNvPr>
        <xdr:cNvSpPr/>
      </xdr:nvSpPr>
      <xdr:spPr>
        <a:xfrm>
          <a:off x="23437673" y="134471"/>
          <a:ext cx="5480796" cy="419217"/>
        </a:xfrm>
        <a:prstGeom prst="rect">
          <a:avLst/>
        </a:prstGeom>
        <a:noFill/>
      </xdr:spPr>
      <xdr:txBody>
        <a:bodyPr wrap="square" lIns="91440" tIns="45720" rIns="91440" bIns="45720">
          <a:spAutoFit/>
        </a:bodyPr>
        <a:lstStyle/>
        <a:p>
          <a:pPr algn="ctr"/>
          <a:r>
            <a:rPr lang="pt-BR" sz="20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4 </a:t>
          </a:r>
          <a:endParaRPr lang="pt-BR" sz="20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43</xdr:col>
      <xdr:colOff>934155</xdr:colOff>
      <xdr:row>2</xdr:row>
      <xdr:rowOff>143019</xdr:rowOff>
    </xdr:from>
    <xdr:ext cx="5807878" cy="406843"/>
    <xdr:sp macro="" textlink="">
      <xdr:nvSpPr>
        <xdr:cNvPr id="32" name="Retângulo 31">
          <a:extLst>
            <a:ext uri="{FF2B5EF4-FFF2-40B4-BE49-F238E27FC236}">
              <a16:creationId xmlns:a16="http://schemas.microsoft.com/office/drawing/2014/main" id="{00000000-0008-0000-0100-000020000000}"/>
            </a:ext>
          </a:extLst>
        </xdr:cNvPr>
        <xdr:cNvSpPr/>
      </xdr:nvSpPr>
      <xdr:spPr>
        <a:xfrm>
          <a:off x="23121802" y="994666"/>
          <a:ext cx="5807878" cy="406843"/>
        </a:xfrm>
        <a:prstGeom prst="rect">
          <a:avLst/>
        </a:prstGeom>
        <a:noFill/>
      </xdr:spPr>
      <xdr:txBody>
        <a:bodyPr wrap="square" lIns="91440" tIns="45720" rIns="91440" bIns="45720">
          <a:spAutoFit/>
        </a:bodyPr>
        <a:lstStyle/>
        <a:p>
          <a:pPr algn="ctr"/>
          <a:endParaRPr lang="pt-BR" sz="2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latin typeface="Century Gothic" panose="020B0502020202020204" pitchFamily="34" charset="0"/>
          </a:endParaRPr>
        </a:p>
      </xdr:txBody>
    </xdr:sp>
    <xdr:clientData/>
  </xdr:oneCellAnchor>
  <xdr:oneCellAnchor>
    <xdr:from>
      <xdr:col>43</xdr:col>
      <xdr:colOff>1810471</xdr:colOff>
      <xdr:row>1</xdr:row>
      <xdr:rowOff>428493</xdr:rowOff>
    </xdr:from>
    <xdr:ext cx="4429418" cy="502152"/>
    <xdr:sp macro="" textlink="">
      <xdr:nvSpPr>
        <xdr:cNvPr id="33" name="Retângulo 32">
          <a:extLst>
            <a:ext uri="{FF2B5EF4-FFF2-40B4-BE49-F238E27FC236}">
              <a16:creationId xmlns:a16="http://schemas.microsoft.com/office/drawing/2014/main" id="{00000000-0008-0000-0100-000021000000}"/>
            </a:ext>
          </a:extLst>
        </xdr:cNvPr>
        <xdr:cNvSpPr/>
      </xdr:nvSpPr>
      <xdr:spPr>
        <a:xfrm>
          <a:off x="23998118" y="506934"/>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43</xdr:col>
      <xdr:colOff>93575</xdr:colOff>
      <xdr:row>1</xdr:row>
      <xdr:rowOff>248766</xdr:rowOff>
    </xdr:from>
    <xdr:ext cx="902071" cy="949697"/>
    <xdr:pic>
      <xdr:nvPicPr>
        <xdr:cNvPr id="34" name="Imagem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494134" y="327207"/>
          <a:ext cx="902071" cy="949697"/>
        </a:xfrm>
        <a:prstGeom prst="rect">
          <a:avLst/>
        </a:prstGeom>
        <a:noFill/>
        <a:ln>
          <a:noFill/>
        </a:ln>
      </xdr:spPr>
    </xdr:pic>
    <xdr:clientData/>
  </xdr:oneCellAnchor>
  <xdr:oneCellAnchor>
    <xdr:from>
      <xdr:col>24</xdr:col>
      <xdr:colOff>933144</xdr:colOff>
      <xdr:row>1</xdr:row>
      <xdr:rowOff>154845</xdr:rowOff>
    </xdr:from>
    <xdr:ext cx="1030279" cy="1084674"/>
    <xdr:pic>
      <xdr:nvPicPr>
        <xdr:cNvPr id="14" name="Imagem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27703" y="233286"/>
          <a:ext cx="1030279" cy="1084674"/>
        </a:xfrm>
        <a:prstGeom prst="rect">
          <a:avLst/>
        </a:prstGeom>
        <a:noFill/>
        <a:ln>
          <a:noFill/>
        </a:ln>
      </xdr:spPr>
    </xdr:pic>
    <xdr:clientData/>
  </xdr:oneCellAnchor>
</xdr:wsDr>
</file>

<file path=xl/drawings/drawing20.xml><?xml version="1.0" encoding="utf-8"?>
<xdr:wsDr xmlns:xdr="http://schemas.openxmlformats.org/drawingml/2006/spreadsheetDrawing" xmlns:a="http://schemas.openxmlformats.org/drawingml/2006/main">
  <xdr:oneCellAnchor>
    <xdr:from>
      <xdr:col>12</xdr:col>
      <xdr:colOff>22411</xdr:colOff>
      <xdr:row>1</xdr:row>
      <xdr:rowOff>78443</xdr:rowOff>
    </xdr:from>
    <xdr:ext cx="7789199" cy="549959"/>
    <xdr:sp macro="" textlink="">
      <xdr:nvSpPr>
        <xdr:cNvPr id="11" name="Retângulo 10">
          <a:extLst>
            <a:ext uri="{FF2B5EF4-FFF2-40B4-BE49-F238E27FC236}">
              <a16:creationId xmlns:a16="http://schemas.microsoft.com/office/drawing/2014/main" id="{00000000-0008-0000-1300-00000B000000}"/>
            </a:ext>
          </a:extLst>
        </xdr:cNvPr>
        <xdr:cNvSpPr/>
      </xdr:nvSpPr>
      <xdr:spPr>
        <a:xfrm>
          <a:off x="6051736" y="154643"/>
          <a:ext cx="7789199" cy="549959"/>
        </a:xfrm>
        <a:prstGeom prst="rect">
          <a:avLst/>
        </a:prstGeom>
        <a:noFill/>
      </xdr:spPr>
      <xdr:txBody>
        <a:bodyPr wrap="square" lIns="91440" tIns="45720" rIns="91440" bIns="45720">
          <a:spAutoFit/>
        </a:bodyPr>
        <a:lstStyle/>
        <a:p>
          <a:pPr algn="ctr"/>
          <a:r>
            <a:rPr lang="pt-BR" sz="28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6</a:t>
          </a:r>
          <a:endParaRPr lang="pt-BR" sz="28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15</xdr:col>
      <xdr:colOff>180168</xdr:colOff>
      <xdr:row>1</xdr:row>
      <xdr:rowOff>528789</xdr:rowOff>
    </xdr:from>
    <xdr:ext cx="4429418" cy="502152"/>
    <xdr:sp macro="" textlink="">
      <xdr:nvSpPr>
        <xdr:cNvPr id="13" name="Retângulo 12">
          <a:extLst>
            <a:ext uri="{FF2B5EF4-FFF2-40B4-BE49-F238E27FC236}">
              <a16:creationId xmlns:a16="http://schemas.microsoft.com/office/drawing/2014/main" id="{00000000-0008-0000-1300-00000D000000}"/>
            </a:ext>
          </a:extLst>
        </xdr:cNvPr>
        <xdr:cNvSpPr/>
      </xdr:nvSpPr>
      <xdr:spPr>
        <a:xfrm>
          <a:off x="7952568" y="604989"/>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10</xdr:col>
      <xdr:colOff>1053353</xdr:colOff>
      <xdr:row>1</xdr:row>
      <xdr:rowOff>155865</xdr:rowOff>
    </xdr:from>
    <xdr:ext cx="1030279" cy="1084674"/>
    <xdr:pic>
      <xdr:nvPicPr>
        <xdr:cNvPr id="14" name="Imagem 13">
          <a:extLst>
            <a:ext uri="{FF2B5EF4-FFF2-40B4-BE49-F238E27FC236}">
              <a16:creationId xmlns:a16="http://schemas.microsoft.com/office/drawing/2014/main" id="{00000000-0008-0000-13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01528" y="232065"/>
          <a:ext cx="1030279" cy="1084674"/>
        </a:xfrm>
        <a:prstGeom prst="rect">
          <a:avLst/>
        </a:prstGeom>
        <a:noFill/>
        <a:ln>
          <a:noFill/>
        </a:ln>
      </xdr:spPr>
    </xdr:pic>
    <xdr:clientData/>
  </xdr:oneCellAnchor>
  <xdr:oneCellAnchor>
    <xdr:from>
      <xdr:col>43</xdr:col>
      <xdr:colOff>1037114</xdr:colOff>
      <xdr:row>1</xdr:row>
      <xdr:rowOff>56030</xdr:rowOff>
    </xdr:from>
    <xdr:ext cx="5480796" cy="419217"/>
    <xdr:sp macro="" textlink="">
      <xdr:nvSpPr>
        <xdr:cNvPr id="15" name="Retângulo 14">
          <a:extLst>
            <a:ext uri="{FF2B5EF4-FFF2-40B4-BE49-F238E27FC236}">
              <a16:creationId xmlns:a16="http://schemas.microsoft.com/office/drawing/2014/main" id="{00000000-0008-0000-1300-00000F000000}"/>
            </a:ext>
          </a:extLst>
        </xdr:cNvPr>
        <xdr:cNvSpPr/>
      </xdr:nvSpPr>
      <xdr:spPr>
        <a:xfrm>
          <a:off x="23220839" y="132230"/>
          <a:ext cx="5480796" cy="419217"/>
        </a:xfrm>
        <a:prstGeom prst="rect">
          <a:avLst/>
        </a:prstGeom>
        <a:noFill/>
      </xdr:spPr>
      <xdr:txBody>
        <a:bodyPr wrap="square" lIns="91440" tIns="45720" rIns="91440" bIns="45720">
          <a:spAutoFit/>
        </a:bodyPr>
        <a:lstStyle/>
        <a:p>
          <a:pPr algn="ctr"/>
          <a:r>
            <a:rPr lang="pt-BR" sz="20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4</a:t>
          </a:r>
          <a:endParaRPr lang="pt-BR" sz="20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43</xdr:col>
      <xdr:colOff>1810471</xdr:colOff>
      <xdr:row>1</xdr:row>
      <xdr:rowOff>428493</xdr:rowOff>
    </xdr:from>
    <xdr:ext cx="4429418" cy="502152"/>
    <xdr:sp macro="" textlink="">
      <xdr:nvSpPr>
        <xdr:cNvPr id="17" name="Retângulo 16">
          <a:extLst>
            <a:ext uri="{FF2B5EF4-FFF2-40B4-BE49-F238E27FC236}">
              <a16:creationId xmlns:a16="http://schemas.microsoft.com/office/drawing/2014/main" id="{00000000-0008-0000-1300-000011000000}"/>
            </a:ext>
          </a:extLst>
        </xdr:cNvPr>
        <xdr:cNvSpPr/>
      </xdr:nvSpPr>
      <xdr:spPr>
        <a:xfrm>
          <a:off x="23994196" y="504693"/>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43</xdr:col>
      <xdr:colOff>93575</xdr:colOff>
      <xdr:row>1</xdr:row>
      <xdr:rowOff>248766</xdr:rowOff>
    </xdr:from>
    <xdr:ext cx="902071" cy="949697"/>
    <xdr:pic>
      <xdr:nvPicPr>
        <xdr:cNvPr id="18" name="Imagem 17">
          <a:extLst>
            <a:ext uri="{FF2B5EF4-FFF2-40B4-BE49-F238E27FC236}">
              <a16:creationId xmlns:a16="http://schemas.microsoft.com/office/drawing/2014/main" id="{00000000-0008-0000-13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77300" y="324966"/>
          <a:ext cx="902071" cy="949697"/>
        </a:xfrm>
        <a:prstGeom prst="rect">
          <a:avLst/>
        </a:prstGeom>
        <a:noFill/>
        <a:ln>
          <a:noFill/>
        </a:ln>
      </xdr:spPr>
    </xdr:pic>
    <xdr:clientData/>
  </xdr:oneCellAnchor>
  <xdr:oneCellAnchor>
    <xdr:from>
      <xdr:col>24</xdr:col>
      <xdr:colOff>933144</xdr:colOff>
      <xdr:row>1</xdr:row>
      <xdr:rowOff>154845</xdr:rowOff>
    </xdr:from>
    <xdr:ext cx="1030279" cy="1084674"/>
    <xdr:pic>
      <xdr:nvPicPr>
        <xdr:cNvPr id="19" name="Imagem 18">
          <a:extLst>
            <a:ext uri="{FF2B5EF4-FFF2-40B4-BE49-F238E27FC236}">
              <a16:creationId xmlns:a16="http://schemas.microsoft.com/office/drawing/2014/main" id="{00000000-0008-0000-13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9469" y="231045"/>
          <a:ext cx="1030279" cy="1084674"/>
        </a:xfrm>
        <a:prstGeom prst="rect">
          <a:avLst/>
        </a:prstGeom>
        <a:noFill/>
        <a:ln>
          <a:noFill/>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1</xdr:col>
      <xdr:colOff>0</xdr:colOff>
      <xdr:row>2</xdr:row>
      <xdr:rowOff>0</xdr:rowOff>
    </xdr:from>
    <xdr:ext cx="297657" cy="323850"/>
    <xdr:sp macro="" textlink="">
      <xdr:nvSpPr>
        <xdr:cNvPr id="2" name="AutoShape 1">
          <a:extLst>
            <a:ext uri="{FF2B5EF4-FFF2-40B4-BE49-F238E27FC236}">
              <a16:creationId xmlns:a16="http://schemas.microsoft.com/office/drawing/2014/main" id="{00000000-0008-0000-1500-000002000000}"/>
            </a:ext>
          </a:extLst>
        </xdr:cNvPr>
        <xdr:cNvSpPr>
          <a:spLocks noChangeAspect="1" noChangeArrowheads="1"/>
        </xdr:cNvSpPr>
      </xdr:nvSpPr>
      <xdr:spPr bwMode="auto">
        <a:xfrm>
          <a:off x="10477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xdr:row>
      <xdr:rowOff>0</xdr:rowOff>
    </xdr:from>
    <xdr:ext cx="297657" cy="323850"/>
    <xdr:sp macro="" textlink="">
      <xdr:nvSpPr>
        <xdr:cNvPr id="3" name="AutoShape 1">
          <a:extLst>
            <a:ext uri="{FF2B5EF4-FFF2-40B4-BE49-F238E27FC236}">
              <a16:creationId xmlns:a16="http://schemas.microsoft.com/office/drawing/2014/main" id="{00000000-0008-0000-1500-000003000000}"/>
            </a:ext>
          </a:extLst>
        </xdr:cNvPr>
        <xdr:cNvSpPr>
          <a:spLocks noChangeAspect="1" noChangeArrowheads="1"/>
        </xdr:cNvSpPr>
      </xdr:nvSpPr>
      <xdr:spPr bwMode="auto">
        <a:xfrm>
          <a:off x="10477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xdr:row>
      <xdr:rowOff>0</xdr:rowOff>
    </xdr:from>
    <xdr:ext cx="297657" cy="323850"/>
    <xdr:sp macro="" textlink="">
      <xdr:nvSpPr>
        <xdr:cNvPr id="4" name="AutoShape 1">
          <a:extLst>
            <a:ext uri="{FF2B5EF4-FFF2-40B4-BE49-F238E27FC236}">
              <a16:creationId xmlns:a16="http://schemas.microsoft.com/office/drawing/2014/main" id="{00000000-0008-0000-1500-000004000000}"/>
            </a:ext>
          </a:extLst>
        </xdr:cNvPr>
        <xdr:cNvSpPr>
          <a:spLocks noChangeAspect="1" noChangeArrowheads="1"/>
        </xdr:cNvSpPr>
      </xdr:nvSpPr>
      <xdr:spPr bwMode="auto">
        <a:xfrm>
          <a:off x="10477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xdr:row>
      <xdr:rowOff>0</xdr:rowOff>
    </xdr:from>
    <xdr:ext cx="297657" cy="323850"/>
    <xdr:sp macro="" textlink="">
      <xdr:nvSpPr>
        <xdr:cNvPr id="5" name="AutoShape 1">
          <a:extLst>
            <a:ext uri="{FF2B5EF4-FFF2-40B4-BE49-F238E27FC236}">
              <a16:creationId xmlns:a16="http://schemas.microsoft.com/office/drawing/2014/main" id="{00000000-0008-0000-1500-000005000000}"/>
            </a:ext>
          </a:extLst>
        </xdr:cNvPr>
        <xdr:cNvSpPr>
          <a:spLocks noChangeAspect="1" noChangeArrowheads="1"/>
        </xdr:cNvSpPr>
      </xdr:nvSpPr>
      <xdr:spPr bwMode="auto">
        <a:xfrm>
          <a:off x="10477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xdr:row>
      <xdr:rowOff>0</xdr:rowOff>
    </xdr:from>
    <xdr:ext cx="297657" cy="323850"/>
    <xdr:sp macro="" textlink="">
      <xdr:nvSpPr>
        <xdr:cNvPr id="6" name="AutoShape 1">
          <a:extLst>
            <a:ext uri="{FF2B5EF4-FFF2-40B4-BE49-F238E27FC236}">
              <a16:creationId xmlns:a16="http://schemas.microsoft.com/office/drawing/2014/main" id="{00000000-0008-0000-1500-000006000000}"/>
            </a:ext>
          </a:extLst>
        </xdr:cNvPr>
        <xdr:cNvSpPr>
          <a:spLocks noChangeAspect="1" noChangeArrowheads="1"/>
        </xdr:cNvSpPr>
      </xdr:nvSpPr>
      <xdr:spPr bwMode="auto">
        <a:xfrm>
          <a:off x="10477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xdr:row>
      <xdr:rowOff>0</xdr:rowOff>
    </xdr:from>
    <xdr:ext cx="297657" cy="323850"/>
    <xdr:sp macro="" textlink="">
      <xdr:nvSpPr>
        <xdr:cNvPr id="7" name="AutoShape 1">
          <a:extLst>
            <a:ext uri="{FF2B5EF4-FFF2-40B4-BE49-F238E27FC236}">
              <a16:creationId xmlns:a16="http://schemas.microsoft.com/office/drawing/2014/main" id="{00000000-0008-0000-1500-000007000000}"/>
            </a:ext>
          </a:extLst>
        </xdr:cNvPr>
        <xdr:cNvSpPr>
          <a:spLocks noChangeAspect="1" noChangeArrowheads="1"/>
        </xdr:cNvSpPr>
      </xdr:nvSpPr>
      <xdr:spPr bwMode="auto">
        <a:xfrm>
          <a:off x="10477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8" name="AutoShape 1">
          <a:extLst>
            <a:ext uri="{FF2B5EF4-FFF2-40B4-BE49-F238E27FC236}">
              <a16:creationId xmlns:a16="http://schemas.microsoft.com/office/drawing/2014/main" id="{00000000-0008-0000-1500-000008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9" name="AutoShape 1">
          <a:extLst>
            <a:ext uri="{FF2B5EF4-FFF2-40B4-BE49-F238E27FC236}">
              <a16:creationId xmlns:a16="http://schemas.microsoft.com/office/drawing/2014/main" id="{00000000-0008-0000-1500-000009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10" name="AutoShape 1">
          <a:extLst>
            <a:ext uri="{FF2B5EF4-FFF2-40B4-BE49-F238E27FC236}">
              <a16:creationId xmlns:a16="http://schemas.microsoft.com/office/drawing/2014/main" id="{00000000-0008-0000-1500-00000A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11" name="AutoShape 1">
          <a:extLst>
            <a:ext uri="{FF2B5EF4-FFF2-40B4-BE49-F238E27FC236}">
              <a16:creationId xmlns:a16="http://schemas.microsoft.com/office/drawing/2014/main" id="{00000000-0008-0000-1500-00000B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12" name="AutoShape 1">
          <a:extLst>
            <a:ext uri="{FF2B5EF4-FFF2-40B4-BE49-F238E27FC236}">
              <a16:creationId xmlns:a16="http://schemas.microsoft.com/office/drawing/2014/main" id="{00000000-0008-0000-1500-00000C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13" name="AutoShape 1">
          <a:extLst>
            <a:ext uri="{FF2B5EF4-FFF2-40B4-BE49-F238E27FC236}">
              <a16:creationId xmlns:a16="http://schemas.microsoft.com/office/drawing/2014/main" id="{00000000-0008-0000-1500-00000D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14" name="AutoShape 1">
          <a:extLst>
            <a:ext uri="{FF2B5EF4-FFF2-40B4-BE49-F238E27FC236}">
              <a16:creationId xmlns:a16="http://schemas.microsoft.com/office/drawing/2014/main" id="{00000000-0008-0000-1500-00000E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15" name="AutoShape 1">
          <a:extLst>
            <a:ext uri="{FF2B5EF4-FFF2-40B4-BE49-F238E27FC236}">
              <a16:creationId xmlns:a16="http://schemas.microsoft.com/office/drawing/2014/main" id="{00000000-0008-0000-1500-00000F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16" name="AutoShape 1">
          <a:extLst>
            <a:ext uri="{FF2B5EF4-FFF2-40B4-BE49-F238E27FC236}">
              <a16:creationId xmlns:a16="http://schemas.microsoft.com/office/drawing/2014/main" id="{00000000-0008-0000-1500-000010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17" name="AutoShape 1">
          <a:extLst>
            <a:ext uri="{FF2B5EF4-FFF2-40B4-BE49-F238E27FC236}">
              <a16:creationId xmlns:a16="http://schemas.microsoft.com/office/drawing/2014/main" id="{00000000-0008-0000-1500-000011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18" name="AutoShape 1">
          <a:extLst>
            <a:ext uri="{FF2B5EF4-FFF2-40B4-BE49-F238E27FC236}">
              <a16:creationId xmlns:a16="http://schemas.microsoft.com/office/drawing/2014/main" id="{00000000-0008-0000-1500-000012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19" name="AutoShape 1">
          <a:extLst>
            <a:ext uri="{FF2B5EF4-FFF2-40B4-BE49-F238E27FC236}">
              <a16:creationId xmlns:a16="http://schemas.microsoft.com/office/drawing/2014/main" id="{00000000-0008-0000-1500-000013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20" name="AutoShape 1">
          <a:extLst>
            <a:ext uri="{FF2B5EF4-FFF2-40B4-BE49-F238E27FC236}">
              <a16:creationId xmlns:a16="http://schemas.microsoft.com/office/drawing/2014/main" id="{00000000-0008-0000-1500-000014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21" name="AutoShape 1">
          <a:extLst>
            <a:ext uri="{FF2B5EF4-FFF2-40B4-BE49-F238E27FC236}">
              <a16:creationId xmlns:a16="http://schemas.microsoft.com/office/drawing/2014/main" id="{00000000-0008-0000-1500-000015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22" name="AutoShape 1">
          <a:extLst>
            <a:ext uri="{FF2B5EF4-FFF2-40B4-BE49-F238E27FC236}">
              <a16:creationId xmlns:a16="http://schemas.microsoft.com/office/drawing/2014/main" id="{00000000-0008-0000-1500-000016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23" name="AutoShape 1">
          <a:extLst>
            <a:ext uri="{FF2B5EF4-FFF2-40B4-BE49-F238E27FC236}">
              <a16:creationId xmlns:a16="http://schemas.microsoft.com/office/drawing/2014/main" id="{00000000-0008-0000-1500-000017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24" name="AutoShape 1">
          <a:extLst>
            <a:ext uri="{FF2B5EF4-FFF2-40B4-BE49-F238E27FC236}">
              <a16:creationId xmlns:a16="http://schemas.microsoft.com/office/drawing/2014/main" id="{00000000-0008-0000-1500-000018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25" name="AutoShape 1">
          <a:extLst>
            <a:ext uri="{FF2B5EF4-FFF2-40B4-BE49-F238E27FC236}">
              <a16:creationId xmlns:a16="http://schemas.microsoft.com/office/drawing/2014/main" id="{00000000-0008-0000-1500-000019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26" name="AutoShape 1">
          <a:extLst>
            <a:ext uri="{FF2B5EF4-FFF2-40B4-BE49-F238E27FC236}">
              <a16:creationId xmlns:a16="http://schemas.microsoft.com/office/drawing/2014/main" id="{00000000-0008-0000-1500-00001A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27" name="AutoShape 1">
          <a:extLst>
            <a:ext uri="{FF2B5EF4-FFF2-40B4-BE49-F238E27FC236}">
              <a16:creationId xmlns:a16="http://schemas.microsoft.com/office/drawing/2014/main" id="{00000000-0008-0000-1500-00001B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28" name="AutoShape 1">
          <a:extLst>
            <a:ext uri="{FF2B5EF4-FFF2-40B4-BE49-F238E27FC236}">
              <a16:creationId xmlns:a16="http://schemas.microsoft.com/office/drawing/2014/main" id="{00000000-0008-0000-1500-00001C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29" name="AutoShape 1">
          <a:extLst>
            <a:ext uri="{FF2B5EF4-FFF2-40B4-BE49-F238E27FC236}">
              <a16:creationId xmlns:a16="http://schemas.microsoft.com/office/drawing/2014/main" id="{00000000-0008-0000-1500-00001D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30" name="AutoShape 1">
          <a:extLst>
            <a:ext uri="{FF2B5EF4-FFF2-40B4-BE49-F238E27FC236}">
              <a16:creationId xmlns:a16="http://schemas.microsoft.com/office/drawing/2014/main" id="{00000000-0008-0000-1500-00001E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31" name="AutoShape 1">
          <a:extLst>
            <a:ext uri="{FF2B5EF4-FFF2-40B4-BE49-F238E27FC236}">
              <a16:creationId xmlns:a16="http://schemas.microsoft.com/office/drawing/2014/main" id="{00000000-0008-0000-1500-00001F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32" name="AutoShape 1">
          <a:extLst>
            <a:ext uri="{FF2B5EF4-FFF2-40B4-BE49-F238E27FC236}">
              <a16:creationId xmlns:a16="http://schemas.microsoft.com/office/drawing/2014/main" id="{00000000-0008-0000-1500-000020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33" name="AutoShape 1">
          <a:extLst>
            <a:ext uri="{FF2B5EF4-FFF2-40B4-BE49-F238E27FC236}">
              <a16:creationId xmlns:a16="http://schemas.microsoft.com/office/drawing/2014/main" id="{00000000-0008-0000-1500-000021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34" name="AutoShape 1">
          <a:extLst>
            <a:ext uri="{FF2B5EF4-FFF2-40B4-BE49-F238E27FC236}">
              <a16:creationId xmlns:a16="http://schemas.microsoft.com/office/drawing/2014/main" id="{00000000-0008-0000-1500-000022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35" name="AutoShape 1">
          <a:extLst>
            <a:ext uri="{FF2B5EF4-FFF2-40B4-BE49-F238E27FC236}">
              <a16:creationId xmlns:a16="http://schemas.microsoft.com/office/drawing/2014/main" id="{00000000-0008-0000-1500-000023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36" name="AutoShape 1">
          <a:extLst>
            <a:ext uri="{FF2B5EF4-FFF2-40B4-BE49-F238E27FC236}">
              <a16:creationId xmlns:a16="http://schemas.microsoft.com/office/drawing/2014/main" id="{00000000-0008-0000-1500-000024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xdr:row>
      <xdr:rowOff>0</xdr:rowOff>
    </xdr:from>
    <xdr:ext cx="297657" cy="323850"/>
    <xdr:sp macro="" textlink="">
      <xdr:nvSpPr>
        <xdr:cNvPr id="37" name="AutoShape 1">
          <a:extLst>
            <a:ext uri="{FF2B5EF4-FFF2-40B4-BE49-F238E27FC236}">
              <a16:creationId xmlns:a16="http://schemas.microsoft.com/office/drawing/2014/main" id="{00000000-0008-0000-1500-000025000000}"/>
            </a:ext>
          </a:extLst>
        </xdr:cNvPr>
        <xdr:cNvSpPr>
          <a:spLocks noChangeAspect="1" noChangeArrowheads="1"/>
        </xdr:cNvSpPr>
      </xdr:nvSpPr>
      <xdr:spPr bwMode="auto">
        <a:xfrm>
          <a:off x="214312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xdr:row>
      <xdr:rowOff>0</xdr:rowOff>
    </xdr:from>
    <xdr:ext cx="297657" cy="323850"/>
    <xdr:sp macro="" textlink="">
      <xdr:nvSpPr>
        <xdr:cNvPr id="38" name="AutoShape 1">
          <a:extLst>
            <a:ext uri="{FF2B5EF4-FFF2-40B4-BE49-F238E27FC236}">
              <a16:creationId xmlns:a16="http://schemas.microsoft.com/office/drawing/2014/main" id="{00000000-0008-0000-1500-000026000000}"/>
            </a:ext>
          </a:extLst>
        </xdr:cNvPr>
        <xdr:cNvSpPr>
          <a:spLocks noChangeAspect="1" noChangeArrowheads="1"/>
        </xdr:cNvSpPr>
      </xdr:nvSpPr>
      <xdr:spPr bwMode="auto">
        <a:xfrm>
          <a:off x="10477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xdr:row>
      <xdr:rowOff>0</xdr:rowOff>
    </xdr:from>
    <xdr:ext cx="297657" cy="323850"/>
    <xdr:sp macro="" textlink="">
      <xdr:nvSpPr>
        <xdr:cNvPr id="39" name="AutoShape 1">
          <a:extLst>
            <a:ext uri="{FF2B5EF4-FFF2-40B4-BE49-F238E27FC236}">
              <a16:creationId xmlns:a16="http://schemas.microsoft.com/office/drawing/2014/main" id="{00000000-0008-0000-1500-000027000000}"/>
            </a:ext>
          </a:extLst>
        </xdr:cNvPr>
        <xdr:cNvSpPr>
          <a:spLocks noChangeAspect="1" noChangeArrowheads="1"/>
        </xdr:cNvSpPr>
      </xdr:nvSpPr>
      <xdr:spPr bwMode="auto">
        <a:xfrm>
          <a:off x="10477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xdr:row>
      <xdr:rowOff>0</xdr:rowOff>
    </xdr:from>
    <xdr:ext cx="297657" cy="323850"/>
    <xdr:sp macro="" textlink="">
      <xdr:nvSpPr>
        <xdr:cNvPr id="40" name="AutoShape 1">
          <a:extLst>
            <a:ext uri="{FF2B5EF4-FFF2-40B4-BE49-F238E27FC236}">
              <a16:creationId xmlns:a16="http://schemas.microsoft.com/office/drawing/2014/main" id="{00000000-0008-0000-1500-000028000000}"/>
            </a:ext>
          </a:extLst>
        </xdr:cNvPr>
        <xdr:cNvSpPr>
          <a:spLocks noChangeAspect="1" noChangeArrowheads="1"/>
        </xdr:cNvSpPr>
      </xdr:nvSpPr>
      <xdr:spPr bwMode="auto">
        <a:xfrm>
          <a:off x="10477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xdr:row>
      <xdr:rowOff>0</xdr:rowOff>
    </xdr:from>
    <xdr:ext cx="297657" cy="323850"/>
    <xdr:sp macro="" textlink="">
      <xdr:nvSpPr>
        <xdr:cNvPr id="41" name="AutoShape 1">
          <a:extLst>
            <a:ext uri="{FF2B5EF4-FFF2-40B4-BE49-F238E27FC236}">
              <a16:creationId xmlns:a16="http://schemas.microsoft.com/office/drawing/2014/main" id="{00000000-0008-0000-1500-000029000000}"/>
            </a:ext>
          </a:extLst>
        </xdr:cNvPr>
        <xdr:cNvSpPr>
          <a:spLocks noChangeAspect="1" noChangeArrowheads="1"/>
        </xdr:cNvSpPr>
      </xdr:nvSpPr>
      <xdr:spPr bwMode="auto">
        <a:xfrm>
          <a:off x="10477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xdr:row>
      <xdr:rowOff>0</xdr:rowOff>
    </xdr:from>
    <xdr:ext cx="297657" cy="323850"/>
    <xdr:sp macro="" textlink="">
      <xdr:nvSpPr>
        <xdr:cNvPr id="42" name="AutoShape 1">
          <a:extLst>
            <a:ext uri="{FF2B5EF4-FFF2-40B4-BE49-F238E27FC236}">
              <a16:creationId xmlns:a16="http://schemas.microsoft.com/office/drawing/2014/main" id="{00000000-0008-0000-1500-00002A000000}"/>
            </a:ext>
          </a:extLst>
        </xdr:cNvPr>
        <xdr:cNvSpPr>
          <a:spLocks noChangeAspect="1" noChangeArrowheads="1"/>
        </xdr:cNvSpPr>
      </xdr:nvSpPr>
      <xdr:spPr bwMode="auto">
        <a:xfrm>
          <a:off x="10477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xdr:row>
      <xdr:rowOff>0</xdr:rowOff>
    </xdr:from>
    <xdr:ext cx="297657" cy="323850"/>
    <xdr:sp macro="" textlink="">
      <xdr:nvSpPr>
        <xdr:cNvPr id="43" name="AutoShape 1">
          <a:extLst>
            <a:ext uri="{FF2B5EF4-FFF2-40B4-BE49-F238E27FC236}">
              <a16:creationId xmlns:a16="http://schemas.microsoft.com/office/drawing/2014/main" id="{00000000-0008-0000-1500-00002B000000}"/>
            </a:ext>
          </a:extLst>
        </xdr:cNvPr>
        <xdr:cNvSpPr>
          <a:spLocks noChangeAspect="1" noChangeArrowheads="1"/>
        </xdr:cNvSpPr>
      </xdr:nvSpPr>
      <xdr:spPr bwMode="auto">
        <a:xfrm>
          <a:off x="10477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xdr:row>
      <xdr:rowOff>0</xdr:rowOff>
    </xdr:from>
    <xdr:ext cx="297657" cy="323850"/>
    <xdr:sp macro="" textlink="">
      <xdr:nvSpPr>
        <xdr:cNvPr id="44" name="AutoShape 1">
          <a:extLst>
            <a:ext uri="{FF2B5EF4-FFF2-40B4-BE49-F238E27FC236}">
              <a16:creationId xmlns:a16="http://schemas.microsoft.com/office/drawing/2014/main" id="{00000000-0008-0000-1500-00002C000000}"/>
            </a:ext>
          </a:extLst>
        </xdr:cNvPr>
        <xdr:cNvSpPr>
          <a:spLocks noChangeAspect="1" noChangeArrowheads="1"/>
        </xdr:cNvSpPr>
      </xdr:nvSpPr>
      <xdr:spPr bwMode="auto">
        <a:xfrm>
          <a:off x="2324100"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xdr:row>
      <xdr:rowOff>0</xdr:rowOff>
    </xdr:from>
    <xdr:ext cx="297657" cy="323850"/>
    <xdr:sp macro="" textlink="">
      <xdr:nvSpPr>
        <xdr:cNvPr id="45" name="AutoShape 1">
          <a:extLst>
            <a:ext uri="{FF2B5EF4-FFF2-40B4-BE49-F238E27FC236}">
              <a16:creationId xmlns:a16="http://schemas.microsoft.com/office/drawing/2014/main" id="{00000000-0008-0000-1500-00002D000000}"/>
            </a:ext>
          </a:extLst>
        </xdr:cNvPr>
        <xdr:cNvSpPr>
          <a:spLocks noChangeAspect="1" noChangeArrowheads="1"/>
        </xdr:cNvSpPr>
      </xdr:nvSpPr>
      <xdr:spPr bwMode="auto">
        <a:xfrm>
          <a:off x="2324100"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xdr:row>
      <xdr:rowOff>0</xdr:rowOff>
    </xdr:from>
    <xdr:ext cx="297657" cy="323850"/>
    <xdr:sp macro="" textlink="">
      <xdr:nvSpPr>
        <xdr:cNvPr id="46" name="AutoShape 1">
          <a:extLst>
            <a:ext uri="{FF2B5EF4-FFF2-40B4-BE49-F238E27FC236}">
              <a16:creationId xmlns:a16="http://schemas.microsoft.com/office/drawing/2014/main" id="{00000000-0008-0000-1500-00002E000000}"/>
            </a:ext>
          </a:extLst>
        </xdr:cNvPr>
        <xdr:cNvSpPr>
          <a:spLocks noChangeAspect="1" noChangeArrowheads="1"/>
        </xdr:cNvSpPr>
      </xdr:nvSpPr>
      <xdr:spPr bwMode="auto">
        <a:xfrm>
          <a:off x="2324100"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xdr:row>
      <xdr:rowOff>0</xdr:rowOff>
    </xdr:from>
    <xdr:ext cx="297657" cy="323850"/>
    <xdr:sp macro="" textlink="">
      <xdr:nvSpPr>
        <xdr:cNvPr id="47" name="AutoShape 1">
          <a:extLst>
            <a:ext uri="{FF2B5EF4-FFF2-40B4-BE49-F238E27FC236}">
              <a16:creationId xmlns:a16="http://schemas.microsoft.com/office/drawing/2014/main" id="{00000000-0008-0000-1500-00002F000000}"/>
            </a:ext>
          </a:extLst>
        </xdr:cNvPr>
        <xdr:cNvSpPr>
          <a:spLocks noChangeAspect="1" noChangeArrowheads="1"/>
        </xdr:cNvSpPr>
      </xdr:nvSpPr>
      <xdr:spPr bwMode="auto">
        <a:xfrm>
          <a:off x="2324100"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xdr:row>
      <xdr:rowOff>0</xdr:rowOff>
    </xdr:from>
    <xdr:ext cx="297657" cy="323850"/>
    <xdr:sp macro="" textlink="">
      <xdr:nvSpPr>
        <xdr:cNvPr id="48" name="AutoShape 1">
          <a:extLst>
            <a:ext uri="{FF2B5EF4-FFF2-40B4-BE49-F238E27FC236}">
              <a16:creationId xmlns:a16="http://schemas.microsoft.com/office/drawing/2014/main" id="{00000000-0008-0000-1500-000030000000}"/>
            </a:ext>
          </a:extLst>
        </xdr:cNvPr>
        <xdr:cNvSpPr>
          <a:spLocks noChangeAspect="1" noChangeArrowheads="1"/>
        </xdr:cNvSpPr>
      </xdr:nvSpPr>
      <xdr:spPr bwMode="auto">
        <a:xfrm>
          <a:off x="2324100"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xdr:row>
      <xdr:rowOff>0</xdr:rowOff>
    </xdr:from>
    <xdr:ext cx="297657" cy="323850"/>
    <xdr:sp macro="" textlink="">
      <xdr:nvSpPr>
        <xdr:cNvPr id="49" name="AutoShape 1">
          <a:extLst>
            <a:ext uri="{FF2B5EF4-FFF2-40B4-BE49-F238E27FC236}">
              <a16:creationId xmlns:a16="http://schemas.microsoft.com/office/drawing/2014/main" id="{00000000-0008-0000-1500-000031000000}"/>
            </a:ext>
          </a:extLst>
        </xdr:cNvPr>
        <xdr:cNvSpPr>
          <a:spLocks noChangeAspect="1" noChangeArrowheads="1"/>
        </xdr:cNvSpPr>
      </xdr:nvSpPr>
      <xdr:spPr bwMode="auto">
        <a:xfrm>
          <a:off x="2324100"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xdr:row>
      <xdr:rowOff>0</xdr:rowOff>
    </xdr:from>
    <xdr:ext cx="297657" cy="323850"/>
    <xdr:sp macro="" textlink="">
      <xdr:nvSpPr>
        <xdr:cNvPr id="50" name="AutoShape 1">
          <a:extLst>
            <a:ext uri="{FF2B5EF4-FFF2-40B4-BE49-F238E27FC236}">
              <a16:creationId xmlns:a16="http://schemas.microsoft.com/office/drawing/2014/main" id="{00000000-0008-0000-1500-000032000000}"/>
            </a:ext>
          </a:extLst>
        </xdr:cNvPr>
        <xdr:cNvSpPr>
          <a:spLocks noChangeAspect="1" noChangeArrowheads="1"/>
        </xdr:cNvSpPr>
      </xdr:nvSpPr>
      <xdr:spPr bwMode="auto">
        <a:xfrm>
          <a:off x="2324100"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xdr:row>
      <xdr:rowOff>0</xdr:rowOff>
    </xdr:from>
    <xdr:ext cx="297657" cy="323850"/>
    <xdr:sp macro="" textlink="">
      <xdr:nvSpPr>
        <xdr:cNvPr id="51" name="AutoShape 1">
          <a:extLst>
            <a:ext uri="{FF2B5EF4-FFF2-40B4-BE49-F238E27FC236}">
              <a16:creationId xmlns:a16="http://schemas.microsoft.com/office/drawing/2014/main" id="{00000000-0008-0000-1500-000033000000}"/>
            </a:ext>
          </a:extLst>
        </xdr:cNvPr>
        <xdr:cNvSpPr>
          <a:spLocks noChangeAspect="1" noChangeArrowheads="1"/>
        </xdr:cNvSpPr>
      </xdr:nvSpPr>
      <xdr:spPr bwMode="auto">
        <a:xfrm>
          <a:off x="2324100"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xdr:row>
      <xdr:rowOff>0</xdr:rowOff>
    </xdr:from>
    <xdr:ext cx="297657" cy="323850"/>
    <xdr:sp macro="" textlink="">
      <xdr:nvSpPr>
        <xdr:cNvPr id="52" name="AutoShape 1">
          <a:extLst>
            <a:ext uri="{FF2B5EF4-FFF2-40B4-BE49-F238E27FC236}">
              <a16:creationId xmlns:a16="http://schemas.microsoft.com/office/drawing/2014/main" id="{00000000-0008-0000-1500-000034000000}"/>
            </a:ext>
          </a:extLst>
        </xdr:cNvPr>
        <xdr:cNvSpPr>
          <a:spLocks noChangeAspect="1" noChangeArrowheads="1"/>
        </xdr:cNvSpPr>
      </xdr:nvSpPr>
      <xdr:spPr bwMode="auto">
        <a:xfrm>
          <a:off x="2324100"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xdr:row>
      <xdr:rowOff>0</xdr:rowOff>
    </xdr:from>
    <xdr:ext cx="297657" cy="323850"/>
    <xdr:sp macro="" textlink="">
      <xdr:nvSpPr>
        <xdr:cNvPr id="53" name="AutoShape 1">
          <a:extLst>
            <a:ext uri="{FF2B5EF4-FFF2-40B4-BE49-F238E27FC236}">
              <a16:creationId xmlns:a16="http://schemas.microsoft.com/office/drawing/2014/main" id="{00000000-0008-0000-1500-000035000000}"/>
            </a:ext>
          </a:extLst>
        </xdr:cNvPr>
        <xdr:cNvSpPr>
          <a:spLocks noChangeAspect="1" noChangeArrowheads="1"/>
        </xdr:cNvSpPr>
      </xdr:nvSpPr>
      <xdr:spPr bwMode="auto">
        <a:xfrm>
          <a:off x="2324100"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xdr:row>
      <xdr:rowOff>0</xdr:rowOff>
    </xdr:from>
    <xdr:ext cx="297657" cy="323850"/>
    <xdr:sp macro="" textlink="">
      <xdr:nvSpPr>
        <xdr:cNvPr id="54" name="AutoShape 1">
          <a:extLst>
            <a:ext uri="{FF2B5EF4-FFF2-40B4-BE49-F238E27FC236}">
              <a16:creationId xmlns:a16="http://schemas.microsoft.com/office/drawing/2014/main" id="{00000000-0008-0000-1500-000036000000}"/>
            </a:ext>
          </a:extLst>
        </xdr:cNvPr>
        <xdr:cNvSpPr>
          <a:spLocks noChangeAspect="1" noChangeArrowheads="1"/>
        </xdr:cNvSpPr>
      </xdr:nvSpPr>
      <xdr:spPr bwMode="auto">
        <a:xfrm>
          <a:off x="2324100"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xdr:row>
      <xdr:rowOff>0</xdr:rowOff>
    </xdr:from>
    <xdr:ext cx="297657" cy="323850"/>
    <xdr:sp macro="" textlink="">
      <xdr:nvSpPr>
        <xdr:cNvPr id="55" name="AutoShape 1">
          <a:extLst>
            <a:ext uri="{FF2B5EF4-FFF2-40B4-BE49-F238E27FC236}">
              <a16:creationId xmlns:a16="http://schemas.microsoft.com/office/drawing/2014/main" id="{00000000-0008-0000-1500-000037000000}"/>
            </a:ext>
          </a:extLst>
        </xdr:cNvPr>
        <xdr:cNvSpPr>
          <a:spLocks noChangeAspect="1" noChangeArrowheads="1"/>
        </xdr:cNvSpPr>
      </xdr:nvSpPr>
      <xdr:spPr bwMode="auto">
        <a:xfrm>
          <a:off x="2324100"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297657" cy="323850"/>
    <xdr:sp macro="" textlink="">
      <xdr:nvSpPr>
        <xdr:cNvPr id="56" name="AutoShape 1">
          <a:extLst>
            <a:ext uri="{FF2B5EF4-FFF2-40B4-BE49-F238E27FC236}">
              <a16:creationId xmlns:a16="http://schemas.microsoft.com/office/drawing/2014/main" id="{00000000-0008-0000-1500-000038000000}"/>
            </a:ext>
          </a:extLst>
        </xdr:cNvPr>
        <xdr:cNvSpPr>
          <a:spLocks noChangeAspect="1" noChangeArrowheads="1"/>
        </xdr:cNvSpPr>
      </xdr:nvSpPr>
      <xdr:spPr bwMode="auto">
        <a:xfrm>
          <a:off x="429577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297657" cy="323850"/>
    <xdr:sp macro="" textlink="">
      <xdr:nvSpPr>
        <xdr:cNvPr id="57" name="AutoShape 1">
          <a:extLst>
            <a:ext uri="{FF2B5EF4-FFF2-40B4-BE49-F238E27FC236}">
              <a16:creationId xmlns:a16="http://schemas.microsoft.com/office/drawing/2014/main" id="{00000000-0008-0000-1500-000039000000}"/>
            </a:ext>
          </a:extLst>
        </xdr:cNvPr>
        <xdr:cNvSpPr>
          <a:spLocks noChangeAspect="1" noChangeArrowheads="1"/>
        </xdr:cNvSpPr>
      </xdr:nvSpPr>
      <xdr:spPr bwMode="auto">
        <a:xfrm>
          <a:off x="429577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297657" cy="323850"/>
    <xdr:sp macro="" textlink="">
      <xdr:nvSpPr>
        <xdr:cNvPr id="58" name="AutoShape 1">
          <a:extLst>
            <a:ext uri="{FF2B5EF4-FFF2-40B4-BE49-F238E27FC236}">
              <a16:creationId xmlns:a16="http://schemas.microsoft.com/office/drawing/2014/main" id="{00000000-0008-0000-1500-00003A000000}"/>
            </a:ext>
          </a:extLst>
        </xdr:cNvPr>
        <xdr:cNvSpPr>
          <a:spLocks noChangeAspect="1" noChangeArrowheads="1"/>
        </xdr:cNvSpPr>
      </xdr:nvSpPr>
      <xdr:spPr bwMode="auto">
        <a:xfrm>
          <a:off x="429577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297657" cy="323850"/>
    <xdr:sp macro="" textlink="">
      <xdr:nvSpPr>
        <xdr:cNvPr id="59" name="AutoShape 1">
          <a:extLst>
            <a:ext uri="{FF2B5EF4-FFF2-40B4-BE49-F238E27FC236}">
              <a16:creationId xmlns:a16="http://schemas.microsoft.com/office/drawing/2014/main" id="{00000000-0008-0000-1500-00003B000000}"/>
            </a:ext>
          </a:extLst>
        </xdr:cNvPr>
        <xdr:cNvSpPr>
          <a:spLocks noChangeAspect="1" noChangeArrowheads="1"/>
        </xdr:cNvSpPr>
      </xdr:nvSpPr>
      <xdr:spPr bwMode="auto">
        <a:xfrm>
          <a:off x="429577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297657" cy="323850"/>
    <xdr:sp macro="" textlink="">
      <xdr:nvSpPr>
        <xdr:cNvPr id="60" name="AutoShape 1">
          <a:extLst>
            <a:ext uri="{FF2B5EF4-FFF2-40B4-BE49-F238E27FC236}">
              <a16:creationId xmlns:a16="http://schemas.microsoft.com/office/drawing/2014/main" id="{00000000-0008-0000-1500-00003C000000}"/>
            </a:ext>
          </a:extLst>
        </xdr:cNvPr>
        <xdr:cNvSpPr>
          <a:spLocks noChangeAspect="1" noChangeArrowheads="1"/>
        </xdr:cNvSpPr>
      </xdr:nvSpPr>
      <xdr:spPr bwMode="auto">
        <a:xfrm>
          <a:off x="429577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297657" cy="323850"/>
    <xdr:sp macro="" textlink="">
      <xdr:nvSpPr>
        <xdr:cNvPr id="61" name="AutoShape 1">
          <a:extLst>
            <a:ext uri="{FF2B5EF4-FFF2-40B4-BE49-F238E27FC236}">
              <a16:creationId xmlns:a16="http://schemas.microsoft.com/office/drawing/2014/main" id="{00000000-0008-0000-1500-00003D000000}"/>
            </a:ext>
          </a:extLst>
        </xdr:cNvPr>
        <xdr:cNvSpPr>
          <a:spLocks noChangeAspect="1" noChangeArrowheads="1"/>
        </xdr:cNvSpPr>
      </xdr:nvSpPr>
      <xdr:spPr bwMode="auto">
        <a:xfrm>
          <a:off x="429577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297657" cy="323850"/>
    <xdr:sp macro="" textlink="">
      <xdr:nvSpPr>
        <xdr:cNvPr id="62" name="AutoShape 1">
          <a:extLst>
            <a:ext uri="{FF2B5EF4-FFF2-40B4-BE49-F238E27FC236}">
              <a16:creationId xmlns:a16="http://schemas.microsoft.com/office/drawing/2014/main" id="{00000000-0008-0000-1500-00003E000000}"/>
            </a:ext>
          </a:extLst>
        </xdr:cNvPr>
        <xdr:cNvSpPr>
          <a:spLocks noChangeAspect="1" noChangeArrowheads="1"/>
        </xdr:cNvSpPr>
      </xdr:nvSpPr>
      <xdr:spPr bwMode="auto">
        <a:xfrm>
          <a:off x="429577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297657" cy="323850"/>
    <xdr:sp macro="" textlink="">
      <xdr:nvSpPr>
        <xdr:cNvPr id="63" name="AutoShape 1">
          <a:extLst>
            <a:ext uri="{FF2B5EF4-FFF2-40B4-BE49-F238E27FC236}">
              <a16:creationId xmlns:a16="http://schemas.microsoft.com/office/drawing/2014/main" id="{00000000-0008-0000-1500-00003F000000}"/>
            </a:ext>
          </a:extLst>
        </xdr:cNvPr>
        <xdr:cNvSpPr>
          <a:spLocks noChangeAspect="1" noChangeArrowheads="1"/>
        </xdr:cNvSpPr>
      </xdr:nvSpPr>
      <xdr:spPr bwMode="auto">
        <a:xfrm>
          <a:off x="429577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297657" cy="323850"/>
    <xdr:sp macro="" textlink="">
      <xdr:nvSpPr>
        <xdr:cNvPr id="64" name="AutoShape 1">
          <a:extLst>
            <a:ext uri="{FF2B5EF4-FFF2-40B4-BE49-F238E27FC236}">
              <a16:creationId xmlns:a16="http://schemas.microsoft.com/office/drawing/2014/main" id="{00000000-0008-0000-1500-000040000000}"/>
            </a:ext>
          </a:extLst>
        </xdr:cNvPr>
        <xdr:cNvSpPr>
          <a:spLocks noChangeAspect="1" noChangeArrowheads="1"/>
        </xdr:cNvSpPr>
      </xdr:nvSpPr>
      <xdr:spPr bwMode="auto">
        <a:xfrm>
          <a:off x="429577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297657" cy="323850"/>
    <xdr:sp macro="" textlink="">
      <xdr:nvSpPr>
        <xdr:cNvPr id="65" name="AutoShape 1">
          <a:extLst>
            <a:ext uri="{FF2B5EF4-FFF2-40B4-BE49-F238E27FC236}">
              <a16:creationId xmlns:a16="http://schemas.microsoft.com/office/drawing/2014/main" id="{00000000-0008-0000-1500-000041000000}"/>
            </a:ext>
          </a:extLst>
        </xdr:cNvPr>
        <xdr:cNvSpPr>
          <a:spLocks noChangeAspect="1" noChangeArrowheads="1"/>
        </xdr:cNvSpPr>
      </xdr:nvSpPr>
      <xdr:spPr bwMode="auto">
        <a:xfrm>
          <a:off x="429577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297657" cy="323850"/>
    <xdr:sp macro="" textlink="">
      <xdr:nvSpPr>
        <xdr:cNvPr id="66" name="AutoShape 1">
          <a:extLst>
            <a:ext uri="{FF2B5EF4-FFF2-40B4-BE49-F238E27FC236}">
              <a16:creationId xmlns:a16="http://schemas.microsoft.com/office/drawing/2014/main" id="{00000000-0008-0000-1500-000042000000}"/>
            </a:ext>
          </a:extLst>
        </xdr:cNvPr>
        <xdr:cNvSpPr>
          <a:spLocks noChangeAspect="1" noChangeArrowheads="1"/>
        </xdr:cNvSpPr>
      </xdr:nvSpPr>
      <xdr:spPr bwMode="auto">
        <a:xfrm>
          <a:off x="429577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297657" cy="323850"/>
    <xdr:sp macro="" textlink="">
      <xdr:nvSpPr>
        <xdr:cNvPr id="67" name="AutoShape 1">
          <a:extLst>
            <a:ext uri="{FF2B5EF4-FFF2-40B4-BE49-F238E27FC236}">
              <a16:creationId xmlns:a16="http://schemas.microsoft.com/office/drawing/2014/main" id="{00000000-0008-0000-1500-000043000000}"/>
            </a:ext>
          </a:extLst>
        </xdr:cNvPr>
        <xdr:cNvSpPr>
          <a:spLocks noChangeAspect="1" noChangeArrowheads="1"/>
        </xdr:cNvSpPr>
      </xdr:nvSpPr>
      <xdr:spPr bwMode="auto">
        <a:xfrm>
          <a:off x="4295775" y="1047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0</xdr:row>
      <xdr:rowOff>0</xdr:rowOff>
    </xdr:from>
    <xdr:ext cx="297657" cy="323850"/>
    <xdr:sp macro="" textlink="">
      <xdr:nvSpPr>
        <xdr:cNvPr id="68" name="AutoShape 1">
          <a:extLst>
            <a:ext uri="{FF2B5EF4-FFF2-40B4-BE49-F238E27FC236}">
              <a16:creationId xmlns:a16="http://schemas.microsoft.com/office/drawing/2014/main" id="{00000000-0008-0000-1500-000044000000}"/>
            </a:ext>
          </a:extLst>
        </xdr:cNvPr>
        <xdr:cNvSpPr>
          <a:spLocks noChangeAspect="1" noChangeArrowheads="1"/>
        </xdr:cNvSpPr>
      </xdr:nvSpPr>
      <xdr:spPr bwMode="auto">
        <a:xfrm>
          <a:off x="42957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0</xdr:row>
      <xdr:rowOff>0</xdr:rowOff>
    </xdr:from>
    <xdr:ext cx="297657" cy="323850"/>
    <xdr:sp macro="" textlink="">
      <xdr:nvSpPr>
        <xdr:cNvPr id="69" name="AutoShape 1">
          <a:extLst>
            <a:ext uri="{FF2B5EF4-FFF2-40B4-BE49-F238E27FC236}">
              <a16:creationId xmlns:a16="http://schemas.microsoft.com/office/drawing/2014/main" id="{00000000-0008-0000-1500-000045000000}"/>
            </a:ext>
          </a:extLst>
        </xdr:cNvPr>
        <xdr:cNvSpPr>
          <a:spLocks noChangeAspect="1" noChangeArrowheads="1"/>
        </xdr:cNvSpPr>
      </xdr:nvSpPr>
      <xdr:spPr bwMode="auto">
        <a:xfrm>
          <a:off x="42957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0</xdr:row>
      <xdr:rowOff>0</xdr:rowOff>
    </xdr:from>
    <xdr:ext cx="297657" cy="323850"/>
    <xdr:sp macro="" textlink="">
      <xdr:nvSpPr>
        <xdr:cNvPr id="70" name="AutoShape 1">
          <a:extLst>
            <a:ext uri="{FF2B5EF4-FFF2-40B4-BE49-F238E27FC236}">
              <a16:creationId xmlns:a16="http://schemas.microsoft.com/office/drawing/2014/main" id="{00000000-0008-0000-1500-000046000000}"/>
            </a:ext>
          </a:extLst>
        </xdr:cNvPr>
        <xdr:cNvSpPr>
          <a:spLocks noChangeAspect="1" noChangeArrowheads="1"/>
        </xdr:cNvSpPr>
      </xdr:nvSpPr>
      <xdr:spPr bwMode="auto">
        <a:xfrm>
          <a:off x="42957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0</xdr:row>
      <xdr:rowOff>0</xdr:rowOff>
    </xdr:from>
    <xdr:ext cx="297657" cy="323850"/>
    <xdr:sp macro="" textlink="">
      <xdr:nvSpPr>
        <xdr:cNvPr id="71" name="AutoShape 1">
          <a:extLst>
            <a:ext uri="{FF2B5EF4-FFF2-40B4-BE49-F238E27FC236}">
              <a16:creationId xmlns:a16="http://schemas.microsoft.com/office/drawing/2014/main" id="{00000000-0008-0000-1500-000047000000}"/>
            </a:ext>
          </a:extLst>
        </xdr:cNvPr>
        <xdr:cNvSpPr>
          <a:spLocks noChangeAspect="1" noChangeArrowheads="1"/>
        </xdr:cNvSpPr>
      </xdr:nvSpPr>
      <xdr:spPr bwMode="auto">
        <a:xfrm>
          <a:off x="42957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0</xdr:row>
      <xdr:rowOff>0</xdr:rowOff>
    </xdr:from>
    <xdr:ext cx="297657" cy="323850"/>
    <xdr:sp macro="" textlink="">
      <xdr:nvSpPr>
        <xdr:cNvPr id="72" name="AutoShape 1">
          <a:extLst>
            <a:ext uri="{FF2B5EF4-FFF2-40B4-BE49-F238E27FC236}">
              <a16:creationId xmlns:a16="http://schemas.microsoft.com/office/drawing/2014/main" id="{00000000-0008-0000-1500-000048000000}"/>
            </a:ext>
          </a:extLst>
        </xdr:cNvPr>
        <xdr:cNvSpPr>
          <a:spLocks noChangeAspect="1" noChangeArrowheads="1"/>
        </xdr:cNvSpPr>
      </xdr:nvSpPr>
      <xdr:spPr bwMode="auto">
        <a:xfrm>
          <a:off x="42957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0</xdr:row>
      <xdr:rowOff>0</xdr:rowOff>
    </xdr:from>
    <xdr:ext cx="297657" cy="323850"/>
    <xdr:sp macro="" textlink="">
      <xdr:nvSpPr>
        <xdr:cNvPr id="73" name="AutoShape 1">
          <a:extLst>
            <a:ext uri="{FF2B5EF4-FFF2-40B4-BE49-F238E27FC236}">
              <a16:creationId xmlns:a16="http://schemas.microsoft.com/office/drawing/2014/main" id="{00000000-0008-0000-1500-000049000000}"/>
            </a:ext>
          </a:extLst>
        </xdr:cNvPr>
        <xdr:cNvSpPr>
          <a:spLocks noChangeAspect="1" noChangeArrowheads="1"/>
        </xdr:cNvSpPr>
      </xdr:nvSpPr>
      <xdr:spPr bwMode="auto">
        <a:xfrm>
          <a:off x="42957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0</xdr:row>
      <xdr:rowOff>0</xdr:rowOff>
    </xdr:from>
    <xdr:ext cx="297657" cy="323850"/>
    <xdr:sp macro="" textlink="">
      <xdr:nvSpPr>
        <xdr:cNvPr id="74" name="AutoShape 1">
          <a:extLst>
            <a:ext uri="{FF2B5EF4-FFF2-40B4-BE49-F238E27FC236}">
              <a16:creationId xmlns:a16="http://schemas.microsoft.com/office/drawing/2014/main" id="{00000000-0008-0000-1500-00004A000000}"/>
            </a:ext>
          </a:extLst>
        </xdr:cNvPr>
        <xdr:cNvSpPr>
          <a:spLocks noChangeAspect="1" noChangeArrowheads="1"/>
        </xdr:cNvSpPr>
      </xdr:nvSpPr>
      <xdr:spPr bwMode="auto">
        <a:xfrm>
          <a:off x="42957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0</xdr:row>
      <xdr:rowOff>0</xdr:rowOff>
    </xdr:from>
    <xdr:ext cx="297657" cy="323850"/>
    <xdr:sp macro="" textlink="">
      <xdr:nvSpPr>
        <xdr:cNvPr id="75" name="AutoShape 1">
          <a:extLst>
            <a:ext uri="{FF2B5EF4-FFF2-40B4-BE49-F238E27FC236}">
              <a16:creationId xmlns:a16="http://schemas.microsoft.com/office/drawing/2014/main" id="{00000000-0008-0000-1500-00004B000000}"/>
            </a:ext>
          </a:extLst>
        </xdr:cNvPr>
        <xdr:cNvSpPr>
          <a:spLocks noChangeAspect="1" noChangeArrowheads="1"/>
        </xdr:cNvSpPr>
      </xdr:nvSpPr>
      <xdr:spPr bwMode="auto">
        <a:xfrm>
          <a:off x="42957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0</xdr:row>
      <xdr:rowOff>0</xdr:rowOff>
    </xdr:from>
    <xdr:ext cx="297657" cy="323850"/>
    <xdr:sp macro="" textlink="">
      <xdr:nvSpPr>
        <xdr:cNvPr id="76" name="AutoShape 1">
          <a:extLst>
            <a:ext uri="{FF2B5EF4-FFF2-40B4-BE49-F238E27FC236}">
              <a16:creationId xmlns:a16="http://schemas.microsoft.com/office/drawing/2014/main" id="{00000000-0008-0000-1500-00004C000000}"/>
            </a:ext>
          </a:extLst>
        </xdr:cNvPr>
        <xdr:cNvSpPr>
          <a:spLocks noChangeAspect="1" noChangeArrowheads="1"/>
        </xdr:cNvSpPr>
      </xdr:nvSpPr>
      <xdr:spPr bwMode="auto">
        <a:xfrm>
          <a:off x="42957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0</xdr:row>
      <xdr:rowOff>0</xdr:rowOff>
    </xdr:from>
    <xdr:ext cx="297657" cy="323850"/>
    <xdr:sp macro="" textlink="">
      <xdr:nvSpPr>
        <xdr:cNvPr id="77" name="AutoShape 1">
          <a:extLst>
            <a:ext uri="{FF2B5EF4-FFF2-40B4-BE49-F238E27FC236}">
              <a16:creationId xmlns:a16="http://schemas.microsoft.com/office/drawing/2014/main" id="{00000000-0008-0000-1500-00004D000000}"/>
            </a:ext>
          </a:extLst>
        </xdr:cNvPr>
        <xdr:cNvSpPr>
          <a:spLocks noChangeAspect="1" noChangeArrowheads="1"/>
        </xdr:cNvSpPr>
      </xdr:nvSpPr>
      <xdr:spPr bwMode="auto">
        <a:xfrm>
          <a:off x="42957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0</xdr:row>
      <xdr:rowOff>0</xdr:rowOff>
    </xdr:from>
    <xdr:ext cx="297657" cy="323850"/>
    <xdr:sp macro="" textlink="">
      <xdr:nvSpPr>
        <xdr:cNvPr id="78" name="AutoShape 1">
          <a:extLst>
            <a:ext uri="{FF2B5EF4-FFF2-40B4-BE49-F238E27FC236}">
              <a16:creationId xmlns:a16="http://schemas.microsoft.com/office/drawing/2014/main" id="{00000000-0008-0000-1500-00004E000000}"/>
            </a:ext>
          </a:extLst>
        </xdr:cNvPr>
        <xdr:cNvSpPr>
          <a:spLocks noChangeAspect="1" noChangeArrowheads="1"/>
        </xdr:cNvSpPr>
      </xdr:nvSpPr>
      <xdr:spPr bwMode="auto">
        <a:xfrm>
          <a:off x="42957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0</xdr:row>
      <xdr:rowOff>0</xdr:rowOff>
    </xdr:from>
    <xdr:ext cx="297657" cy="323850"/>
    <xdr:sp macro="" textlink="">
      <xdr:nvSpPr>
        <xdr:cNvPr id="79" name="AutoShape 1">
          <a:extLst>
            <a:ext uri="{FF2B5EF4-FFF2-40B4-BE49-F238E27FC236}">
              <a16:creationId xmlns:a16="http://schemas.microsoft.com/office/drawing/2014/main" id="{00000000-0008-0000-1500-00004F000000}"/>
            </a:ext>
          </a:extLst>
        </xdr:cNvPr>
        <xdr:cNvSpPr>
          <a:spLocks noChangeAspect="1" noChangeArrowheads="1"/>
        </xdr:cNvSpPr>
      </xdr:nvSpPr>
      <xdr:spPr bwMode="auto">
        <a:xfrm>
          <a:off x="42957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297657" cy="323850"/>
    <xdr:sp macro="" textlink="">
      <xdr:nvSpPr>
        <xdr:cNvPr id="80" name="AutoShape 1">
          <a:extLst>
            <a:ext uri="{FF2B5EF4-FFF2-40B4-BE49-F238E27FC236}">
              <a16:creationId xmlns:a16="http://schemas.microsoft.com/office/drawing/2014/main" id="{00000000-0008-0000-1500-000050000000}"/>
            </a:ext>
          </a:extLst>
        </xdr:cNvPr>
        <xdr:cNvSpPr>
          <a:spLocks noChangeAspect="1" noChangeArrowheads="1"/>
        </xdr:cNvSpPr>
      </xdr:nvSpPr>
      <xdr:spPr bwMode="auto">
        <a:xfrm>
          <a:off x="42957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297657" cy="323850"/>
    <xdr:sp macro="" textlink="">
      <xdr:nvSpPr>
        <xdr:cNvPr id="81" name="AutoShape 1">
          <a:extLst>
            <a:ext uri="{FF2B5EF4-FFF2-40B4-BE49-F238E27FC236}">
              <a16:creationId xmlns:a16="http://schemas.microsoft.com/office/drawing/2014/main" id="{00000000-0008-0000-1500-000051000000}"/>
            </a:ext>
          </a:extLst>
        </xdr:cNvPr>
        <xdr:cNvSpPr>
          <a:spLocks noChangeAspect="1" noChangeArrowheads="1"/>
        </xdr:cNvSpPr>
      </xdr:nvSpPr>
      <xdr:spPr bwMode="auto">
        <a:xfrm>
          <a:off x="42957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297657" cy="323850"/>
    <xdr:sp macro="" textlink="">
      <xdr:nvSpPr>
        <xdr:cNvPr id="82" name="AutoShape 1">
          <a:extLst>
            <a:ext uri="{FF2B5EF4-FFF2-40B4-BE49-F238E27FC236}">
              <a16:creationId xmlns:a16="http://schemas.microsoft.com/office/drawing/2014/main" id="{00000000-0008-0000-1500-000052000000}"/>
            </a:ext>
          </a:extLst>
        </xdr:cNvPr>
        <xdr:cNvSpPr>
          <a:spLocks noChangeAspect="1" noChangeArrowheads="1"/>
        </xdr:cNvSpPr>
      </xdr:nvSpPr>
      <xdr:spPr bwMode="auto">
        <a:xfrm>
          <a:off x="42957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297657" cy="323850"/>
    <xdr:sp macro="" textlink="">
      <xdr:nvSpPr>
        <xdr:cNvPr id="83" name="AutoShape 1">
          <a:extLst>
            <a:ext uri="{FF2B5EF4-FFF2-40B4-BE49-F238E27FC236}">
              <a16:creationId xmlns:a16="http://schemas.microsoft.com/office/drawing/2014/main" id="{00000000-0008-0000-1500-000053000000}"/>
            </a:ext>
          </a:extLst>
        </xdr:cNvPr>
        <xdr:cNvSpPr>
          <a:spLocks noChangeAspect="1" noChangeArrowheads="1"/>
        </xdr:cNvSpPr>
      </xdr:nvSpPr>
      <xdr:spPr bwMode="auto">
        <a:xfrm>
          <a:off x="42957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297657" cy="323850"/>
    <xdr:sp macro="" textlink="">
      <xdr:nvSpPr>
        <xdr:cNvPr id="84" name="AutoShape 1">
          <a:extLst>
            <a:ext uri="{FF2B5EF4-FFF2-40B4-BE49-F238E27FC236}">
              <a16:creationId xmlns:a16="http://schemas.microsoft.com/office/drawing/2014/main" id="{00000000-0008-0000-1500-000054000000}"/>
            </a:ext>
          </a:extLst>
        </xdr:cNvPr>
        <xdr:cNvSpPr>
          <a:spLocks noChangeAspect="1" noChangeArrowheads="1"/>
        </xdr:cNvSpPr>
      </xdr:nvSpPr>
      <xdr:spPr bwMode="auto">
        <a:xfrm>
          <a:off x="42957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297657" cy="323850"/>
    <xdr:sp macro="" textlink="">
      <xdr:nvSpPr>
        <xdr:cNvPr id="85" name="AutoShape 1">
          <a:extLst>
            <a:ext uri="{FF2B5EF4-FFF2-40B4-BE49-F238E27FC236}">
              <a16:creationId xmlns:a16="http://schemas.microsoft.com/office/drawing/2014/main" id="{00000000-0008-0000-1500-000055000000}"/>
            </a:ext>
          </a:extLst>
        </xdr:cNvPr>
        <xdr:cNvSpPr>
          <a:spLocks noChangeAspect="1" noChangeArrowheads="1"/>
        </xdr:cNvSpPr>
      </xdr:nvSpPr>
      <xdr:spPr bwMode="auto">
        <a:xfrm>
          <a:off x="42957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297657" cy="323850"/>
    <xdr:sp macro="" textlink="">
      <xdr:nvSpPr>
        <xdr:cNvPr id="86" name="AutoShape 1">
          <a:extLst>
            <a:ext uri="{FF2B5EF4-FFF2-40B4-BE49-F238E27FC236}">
              <a16:creationId xmlns:a16="http://schemas.microsoft.com/office/drawing/2014/main" id="{00000000-0008-0000-1500-000056000000}"/>
            </a:ext>
          </a:extLst>
        </xdr:cNvPr>
        <xdr:cNvSpPr>
          <a:spLocks noChangeAspect="1" noChangeArrowheads="1"/>
        </xdr:cNvSpPr>
      </xdr:nvSpPr>
      <xdr:spPr bwMode="auto">
        <a:xfrm>
          <a:off x="42957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297657" cy="323850"/>
    <xdr:sp macro="" textlink="">
      <xdr:nvSpPr>
        <xdr:cNvPr id="87" name="AutoShape 1">
          <a:extLst>
            <a:ext uri="{FF2B5EF4-FFF2-40B4-BE49-F238E27FC236}">
              <a16:creationId xmlns:a16="http://schemas.microsoft.com/office/drawing/2014/main" id="{00000000-0008-0000-1500-000057000000}"/>
            </a:ext>
          </a:extLst>
        </xdr:cNvPr>
        <xdr:cNvSpPr>
          <a:spLocks noChangeAspect="1" noChangeArrowheads="1"/>
        </xdr:cNvSpPr>
      </xdr:nvSpPr>
      <xdr:spPr bwMode="auto">
        <a:xfrm>
          <a:off x="42957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297657" cy="323850"/>
    <xdr:sp macro="" textlink="">
      <xdr:nvSpPr>
        <xdr:cNvPr id="88" name="AutoShape 1">
          <a:extLst>
            <a:ext uri="{FF2B5EF4-FFF2-40B4-BE49-F238E27FC236}">
              <a16:creationId xmlns:a16="http://schemas.microsoft.com/office/drawing/2014/main" id="{00000000-0008-0000-1500-000058000000}"/>
            </a:ext>
          </a:extLst>
        </xdr:cNvPr>
        <xdr:cNvSpPr>
          <a:spLocks noChangeAspect="1" noChangeArrowheads="1"/>
        </xdr:cNvSpPr>
      </xdr:nvSpPr>
      <xdr:spPr bwMode="auto">
        <a:xfrm>
          <a:off x="42957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297657" cy="323850"/>
    <xdr:sp macro="" textlink="">
      <xdr:nvSpPr>
        <xdr:cNvPr id="89" name="AutoShape 1">
          <a:extLst>
            <a:ext uri="{FF2B5EF4-FFF2-40B4-BE49-F238E27FC236}">
              <a16:creationId xmlns:a16="http://schemas.microsoft.com/office/drawing/2014/main" id="{00000000-0008-0000-1500-000059000000}"/>
            </a:ext>
          </a:extLst>
        </xdr:cNvPr>
        <xdr:cNvSpPr>
          <a:spLocks noChangeAspect="1" noChangeArrowheads="1"/>
        </xdr:cNvSpPr>
      </xdr:nvSpPr>
      <xdr:spPr bwMode="auto">
        <a:xfrm>
          <a:off x="42957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297657" cy="323850"/>
    <xdr:sp macro="" textlink="">
      <xdr:nvSpPr>
        <xdr:cNvPr id="90" name="AutoShape 1">
          <a:extLst>
            <a:ext uri="{FF2B5EF4-FFF2-40B4-BE49-F238E27FC236}">
              <a16:creationId xmlns:a16="http://schemas.microsoft.com/office/drawing/2014/main" id="{00000000-0008-0000-1500-00005A000000}"/>
            </a:ext>
          </a:extLst>
        </xdr:cNvPr>
        <xdr:cNvSpPr>
          <a:spLocks noChangeAspect="1" noChangeArrowheads="1"/>
        </xdr:cNvSpPr>
      </xdr:nvSpPr>
      <xdr:spPr bwMode="auto">
        <a:xfrm>
          <a:off x="42957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297657" cy="323850"/>
    <xdr:sp macro="" textlink="">
      <xdr:nvSpPr>
        <xdr:cNvPr id="91" name="AutoShape 1">
          <a:extLst>
            <a:ext uri="{FF2B5EF4-FFF2-40B4-BE49-F238E27FC236}">
              <a16:creationId xmlns:a16="http://schemas.microsoft.com/office/drawing/2014/main" id="{00000000-0008-0000-1500-00005B000000}"/>
            </a:ext>
          </a:extLst>
        </xdr:cNvPr>
        <xdr:cNvSpPr>
          <a:spLocks noChangeAspect="1" noChangeArrowheads="1"/>
        </xdr:cNvSpPr>
      </xdr:nvSpPr>
      <xdr:spPr bwMode="auto">
        <a:xfrm>
          <a:off x="42957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92" name="AutoShape 1">
          <a:extLst>
            <a:ext uri="{FF2B5EF4-FFF2-40B4-BE49-F238E27FC236}">
              <a16:creationId xmlns:a16="http://schemas.microsoft.com/office/drawing/2014/main" id="{00000000-0008-0000-1500-00005C000000}"/>
            </a:ext>
          </a:extLst>
        </xdr:cNvPr>
        <xdr:cNvSpPr>
          <a:spLocks noChangeAspect="1" noChangeArrowheads="1"/>
        </xdr:cNvSpPr>
      </xdr:nvSpPr>
      <xdr:spPr bwMode="auto">
        <a:xfrm>
          <a:off x="6334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93" name="AutoShape 1">
          <a:extLst>
            <a:ext uri="{FF2B5EF4-FFF2-40B4-BE49-F238E27FC236}">
              <a16:creationId xmlns:a16="http://schemas.microsoft.com/office/drawing/2014/main" id="{00000000-0008-0000-1500-00005D000000}"/>
            </a:ext>
          </a:extLst>
        </xdr:cNvPr>
        <xdr:cNvSpPr>
          <a:spLocks noChangeAspect="1" noChangeArrowheads="1"/>
        </xdr:cNvSpPr>
      </xdr:nvSpPr>
      <xdr:spPr bwMode="auto">
        <a:xfrm>
          <a:off x="6334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94" name="AutoShape 1">
          <a:extLst>
            <a:ext uri="{FF2B5EF4-FFF2-40B4-BE49-F238E27FC236}">
              <a16:creationId xmlns:a16="http://schemas.microsoft.com/office/drawing/2014/main" id="{00000000-0008-0000-1500-00005E000000}"/>
            </a:ext>
          </a:extLst>
        </xdr:cNvPr>
        <xdr:cNvSpPr>
          <a:spLocks noChangeAspect="1" noChangeArrowheads="1"/>
        </xdr:cNvSpPr>
      </xdr:nvSpPr>
      <xdr:spPr bwMode="auto">
        <a:xfrm>
          <a:off x="6334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95" name="AutoShape 1">
          <a:extLst>
            <a:ext uri="{FF2B5EF4-FFF2-40B4-BE49-F238E27FC236}">
              <a16:creationId xmlns:a16="http://schemas.microsoft.com/office/drawing/2014/main" id="{00000000-0008-0000-1500-00005F000000}"/>
            </a:ext>
          </a:extLst>
        </xdr:cNvPr>
        <xdr:cNvSpPr>
          <a:spLocks noChangeAspect="1" noChangeArrowheads="1"/>
        </xdr:cNvSpPr>
      </xdr:nvSpPr>
      <xdr:spPr bwMode="auto">
        <a:xfrm>
          <a:off x="6334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96" name="AutoShape 1">
          <a:extLst>
            <a:ext uri="{FF2B5EF4-FFF2-40B4-BE49-F238E27FC236}">
              <a16:creationId xmlns:a16="http://schemas.microsoft.com/office/drawing/2014/main" id="{00000000-0008-0000-1500-000060000000}"/>
            </a:ext>
          </a:extLst>
        </xdr:cNvPr>
        <xdr:cNvSpPr>
          <a:spLocks noChangeAspect="1" noChangeArrowheads="1"/>
        </xdr:cNvSpPr>
      </xdr:nvSpPr>
      <xdr:spPr bwMode="auto">
        <a:xfrm>
          <a:off x="6334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97" name="AutoShape 1">
          <a:extLst>
            <a:ext uri="{FF2B5EF4-FFF2-40B4-BE49-F238E27FC236}">
              <a16:creationId xmlns:a16="http://schemas.microsoft.com/office/drawing/2014/main" id="{00000000-0008-0000-1500-000061000000}"/>
            </a:ext>
          </a:extLst>
        </xdr:cNvPr>
        <xdr:cNvSpPr>
          <a:spLocks noChangeAspect="1" noChangeArrowheads="1"/>
        </xdr:cNvSpPr>
      </xdr:nvSpPr>
      <xdr:spPr bwMode="auto">
        <a:xfrm>
          <a:off x="6334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98" name="AutoShape 1">
          <a:extLst>
            <a:ext uri="{FF2B5EF4-FFF2-40B4-BE49-F238E27FC236}">
              <a16:creationId xmlns:a16="http://schemas.microsoft.com/office/drawing/2014/main" id="{00000000-0008-0000-1500-000062000000}"/>
            </a:ext>
          </a:extLst>
        </xdr:cNvPr>
        <xdr:cNvSpPr>
          <a:spLocks noChangeAspect="1" noChangeArrowheads="1"/>
        </xdr:cNvSpPr>
      </xdr:nvSpPr>
      <xdr:spPr bwMode="auto">
        <a:xfrm>
          <a:off x="6334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99" name="AutoShape 1">
          <a:extLst>
            <a:ext uri="{FF2B5EF4-FFF2-40B4-BE49-F238E27FC236}">
              <a16:creationId xmlns:a16="http://schemas.microsoft.com/office/drawing/2014/main" id="{00000000-0008-0000-1500-000063000000}"/>
            </a:ext>
          </a:extLst>
        </xdr:cNvPr>
        <xdr:cNvSpPr>
          <a:spLocks noChangeAspect="1" noChangeArrowheads="1"/>
        </xdr:cNvSpPr>
      </xdr:nvSpPr>
      <xdr:spPr bwMode="auto">
        <a:xfrm>
          <a:off x="6334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00" name="AutoShape 1">
          <a:extLst>
            <a:ext uri="{FF2B5EF4-FFF2-40B4-BE49-F238E27FC236}">
              <a16:creationId xmlns:a16="http://schemas.microsoft.com/office/drawing/2014/main" id="{00000000-0008-0000-1500-000064000000}"/>
            </a:ext>
          </a:extLst>
        </xdr:cNvPr>
        <xdr:cNvSpPr>
          <a:spLocks noChangeAspect="1" noChangeArrowheads="1"/>
        </xdr:cNvSpPr>
      </xdr:nvSpPr>
      <xdr:spPr bwMode="auto">
        <a:xfrm>
          <a:off x="6334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01" name="AutoShape 1">
          <a:extLst>
            <a:ext uri="{FF2B5EF4-FFF2-40B4-BE49-F238E27FC236}">
              <a16:creationId xmlns:a16="http://schemas.microsoft.com/office/drawing/2014/main" id="{00000000-0008-0000-1500-000065000000}"/>
            </a:ext>
          </a:extLst>
        </xdr:cNvPr>
        <xdr:cNvSpPr>
          <a:spLocks noChangeAspect="1" noChangeArrowheads="1"/>
        </xdr:cNvSpPr>
      </xdr:nvSpPr>
      <xdr:spPr bwMode="auto">
        <a:xfrm>
          <a:off x="6334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02" name="AutoShape 1">
          <a:extLst>
            <a:ext uri="{FF2B5EF4-FFF2-40B4-BE49-F238E27FC236}">
              <a16:creationId xmlns:a16="http://schemas.microsoft.com/office/drawing/2014/main" id="{00000000-0008-0000-1500-000066000000}"/>
            </a:ext>
          </a:extLst>
        </xdr:cNvPr>
        <xdr:cNvSpPr>
          <a:spLocks noChangeAspect="1" noChangeArrowheads="1"/>
        </xdr:cNvSpPr>
      </xdr:nvSpPr>
      <xdr:spPr bwMode="auto">
        <a:xfrm>
          <a:off x="6334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03" name="AutoShape 1">
          <a:extLst>
            <a:ext uri="{FF2B5EF4-FFF2-40B4-BE49-F238E27FC236}">
              <a16:creationId xmlns:a16="http://schemas.microsoft.com/office/drawing/2014/main" id="{00000000-0008-0000-1500-000067000000}"/>
            </a:ext>
          </a:extLst>
        </xdr:cNvPr>
        <xdr:cNvSpPr>
          <a:spLocks noChangeAspect="1" noChangeArrowheads="1"/>
        </xdr:cNvSpPr>
      </xdr:nvSpPr>
      <xdr:spPr bwMode="auto">
        <a:xfrm>
          <a:off x="6334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04" name="AutoShape 1">
          <a:extLst>
            <a:ext uri="{FF2B5EF4-FFF2-40B4-BE49-F238E27FC236}">
              <a16:creationId xmlns:a16="http://schemas.microsoft.com/office/drawing/2014/main" id="{00000000-0008-0000-1500-000068000000}"/>
            </a:ext>
          </a:extLst>
        </xdr:cNvPr>
        <xdr:cNvSpPr>
          <a:spLocks noChangeAspect="1" noChangeArrowheads="1"/>
        </xdr:cNvSpPr>
      </xdr:nvSpPr>
      <xdr:spPr bwMode="auto">
        <a:xfrm>
          <a:off x="83724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05" name="AutoShape 1">
          <a:extLst>
            <a:ext uri="{FF2B5EF4-FFF2-40B4-BE49-F238E27FC236}">
              <a16:creationId xmlns:a16="http://schemas.microsoft.com/office/drawing/2014/main" id="{00000000-0008-0000-1500-000069000000}"/>
            </a:ext>
          </a:extLst>
        </xdr:cNvPr>
        <xdr:cNvSpPr>
          <a:spLocks noChangeAspect="1" noChangeArrowheads="1"/>
        </xdr:cNvSpPr>
      </xdr:nvSpPr>
      <xdr:spPr bwMode="auto">
        <a:xfrm>
          <a:off x="83724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06" name="AutoShape 1">
          <a:extLst>
            <a:ext uri="{FF2B5EF4-FFF2-40B4-BE49-F238E27FC236}">
              <a16:creationId xmlns:a16="http://schemas.microsoft.com/office/drawing/2014/main" id="{00000000-0008-0000-1500-00006A000000}"/>
            </a:ext>
          </a:extLst>
        </xdr:cNvPr>
        <xdr:cNvSpPr>
          <a:spLocks noChangeAspect="1" noChangeArrowheads="1"/>
        </xdr:cNvSpPr>
      </xdr:nvSpPr>
      <xdr:spPr bwMode="auto">
        <a:xfrm>
          <a:off x="83724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07" name="AutoShape 1">
          <a:extLst>
            <a:ext uri="{FF2B5EF4-FFF2-40B4-BE49-F238E27FC236}">
              <a16:creationId xmlns:a16="http://schemas.microsoft.com/office/drawing/2014/main" id="{00000000-0008-0000-1500-00006B000000}"/>
            </a:ext>
          </a:extLst>
        </xdr:cNvPr>
        <xdr:cNvSpPr>
          <a:spLocks noChangeAspect="1" noChangeArrowheads="1"/>
        </xdr:cNvSpPr>
      </xdr:nvSpPr>
      <xdr:spPr bwMode="auto">
        <a:xfrm>
          <a:off x="83724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08" name="AutoShape 1">
          <a:extLst>
            <a:ext uri="{FF2B5EF4-FFF2-40B4-BE49-F238E27FC236}">
              <a16:creationId xmlns:a16="http://schemas.microsoft.com/office/drawing/2014/main" id="{00000000-0008-0000-1500-00006C000000}"/>
            </a:ext>
          </a:extLst>
        </xdr:cNvPr>
        <xdr:cNvSpPr>
          <a:spLocks noChangeAspect="1" noChangeArrowheads="1"/>
        </xdr:cNvSpPr>
      </xdr:nvSpPr>
      <xdr:spPr bwMode="auto">
        <a:xfrm>
          <a:off x="83724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09" name="AutoShape 1">
          <a:extLst>
            <a:ext uri="{FF2B5EF4-FFF2-40B4-BE49-F238E27FC236}">
              <a16:creationId xmlns:a16="http://schemas.microsoft.com/office/drawing/2014/main" id="{00000000-0008-0000-1500-00006D000000}"/>
            </a:ext>
          </a:extLst>
        </xdr:cNvPr>
        <xdr:cNvSpPr>
          <a:spLocks noChangeAspect="1" noChangeArrowheads="1"/>
        </xdr:cNvSpPr>
      </xdr:nvSpPr>
      <xdr:spPr bwMode="auto">
        <a:xfrm>
          <a:off x="83724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10" name="AutoShape 1">
          <a:extLst>
            <a:ext uri="{FF2B5EF4-FFF2-40B4-BE49-F238E27FC236}">
              <a16:creationId xmlns:a16="http://schemas.microsoft.com/office/drawing/2014/main" id="{00000000-0008-0000-1500-00006E000000}"/>
            </a:ext>
          </a:extLst>
        </xdr:cNvPr>
        <xdr:cNvSpPr>
          <a:spLocks noChangeAspect="1" noChangeArrowheads="1"/>
        </xdr:cNvSpPr>
      </xdr:nvSpPr>
      <xdr:spPr bwMode="auto">
        <a:xfrm>
          <a:off x="83724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11" name="AutoShape 1">
          <a:extLst>
            <a:ext uri="{FF2B5EF4-FFF2-40B4-BE49-F238E27FC236}">
              <a16:creationId xmlns:a16="http://schemas.microsoft.com/office/drawing/2014/main" id="{00000000-0008-0000-1500-00006F000000}"/>
            </a:ext>
          </a:extLst>
        </xdr:cNvPr>
        <xdr:cNvSpPr>
          <a:spLocks noChangeAspect="1" noChangeArrowheads="1"/>
        </xdr:cNvSpPr>
      </xdr:nvSpPr>
      <xdr:spPr bwMode="auto">
        <a:xfrm>
          <a:off x="83724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12" name="AutoShape 1">
          <a:extLst>
            <a:ext uri="{FF2B5EF4-FFF2-40B4-BE49-F238E27FC236}">
              <a16:creationId xmlns:a16="http://schemas.microsoft.com/office/drawing/2014/main" id="{00000000-0008-0000-1500-000070000000}"/>
            </a:ext>
          </a:extLst>
        </xdr:cNvPr>
        <xdr:cNvSpPr>
          <a:spLocks noChangeAspect="1" noChangeArrowheads="1"/>
        </xdr:cNvSpPr>
      </xdr:nvSpPr>
      <xdr:spPr bwMode="auto">
        <a:xfrm>
          <a:off x="83724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13" name="AutoShape 1">
          <a:extLst>
            <a:ext uri="{FF2B5EF4-FFF2-40B4-BE49-F238E27FC236}">
              <a16:creationId xmlns:a16="http://schemas.microsoft.com/office/drawing/2014/main" id="{00000000-0008-0000-1500-000071000000}"/>
            </a:ext>
          </a:extLst>
        </xdr:cNvPr>
        <xdr:cNvSpPr>
          <a:spLocks noChangeAspect="1" noChangeArrowheads="1"/>
        </xdr:cNvSpPr>
      </xdr:nvSpPr>
      <xdr:spPr bwMode="auto">
        <a:xfrm>
          <a:off x="83724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14" name="AutoShape 1">
          <a:extLst>
            <a:ext uri="{FF2B5EF4-FFF2-40B4-BE49-F238E27FC236}">
              <a16:creationId xmlns:a16="http://schemas.microsoft.com/office/drawing/2014/main" id="{00000000-0008-0000-1500-000072000000}"/>
            </a:ext>
          </a:extLst>
        </xdr:cNvPr>
        <xdr:cNvSpPr>
          <a:spLocks noChangeAspect="1" noChangeArrowheads="1"/>
        </xdr:cNvSpPr>
      </xdr:nvSpPr>
      <xdr:spPr bwMode="auto">
        <a:xfrm>
          <a:off x="83724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15" name="AutoShape 1">
          <a:extLst>
            <a:ext uri="{FF2B5EF4-FFF2-40B4-BE49-F238E27FC236}">
              <a16:creationId xmlns:a16="http://schemas.microsoft.com/office/drawing/2014/main" id="{00000000-0008-0000-1500-000073000000}"/>
            </a:ext>
          </a:extLst>
        </xdr:cNvPr>
        <xdr:cNvSpPr>
          <a:spLocks noChangeAspect="1" noChangeArrowheads="1"/>
        </xdr:cNvSpPr>
      </xdr:nvSpPr>
      <xdr:spPr bwMode="auto">
        <a:xfrm>
          <a:off x="83724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16" name="AutoShape 1">
          <a:extLst>
            <a:ext uri="{FF2B5EF4-FFF2-40B4-BE49-F238E27FC236}">
              <a16:creationId xmlns:a16="http://schemas.microsoft.com/office/drawing/2014/main" id="{00000000-0008-0000-1500-000074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17" name="AutoShape 1">
          <a:extLst>
            <a:ext uri="{FF2B5EF4-FFF2-40B4-BE49-F238E27FC236}">
              <a16:creationId xmlns:a16="http://schemas.microsoft.com/office/drawing/2014/main" id="{00000000-0008-0000-1500-000075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18" name="AutoShape 1">
          <a:extLst>
            <a:ext uri="{FF2B5EF4-FFF2-40B4-BE49-F238E27FC236}">
              <a16:creationId xmlns:a16="http://schemas.microsoft.com/office/drawing/2014/main" id="{00000000-0008-0000-1500-000076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19" name="AutoShape 1">
          <a:extLst>
            <a:ext uri="{FF2B5EF4-FFF2-40B4-BE49-F238E27FC236}">
              <a16:creationId xmlns:a16="http://schemas.microsoft.com/office/drawing/2014/main" id="{00000000-0008-0000-1500-000077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20" name="AutoShape 1">
          <a:extLst>
            <a:ext uri="{FF2B5EF4-FFF2-40B4-BE49-F238E27FC236}">
              <a16:creationId xmlns:a16="http://schemas.microsoft.com/office/drawing/2014/main" id="{00000000-0008-0000-1500-000078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21" name="AutoShape 1">
          <a:extLst>
            <a:ext uri="{FF2B5EF4-FFF2-40B4-BE49-F238E27FC236}">
              <a16:creationId xmlns:a16="http://schemas.microsoft.com/office/drawing/2014/main" id="{00000000-0008-0000-1500-000079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22" name="AutoShape 1">
          <a:extLst>
            <a:ext uri="{FF2B5EF4-FFF2-40B4-BE49-F238E27FC236}">
              <a16:creationId xmlns:a16="http://schemas.microsoft.com/office/drawing/2014/main" id="{00000000-0008-0000-1500-00007A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23" name="AutoShape 1">
          <a:extLst>
            <a:ext uri="{FF2B5EF4-FFF2-40B4-BE49-F238E27FC236}">
              <a16:creationId xmlns:a16="http://schemas.microsoft.com/office/drawing/2014/main" id="{00000000-0008-0000-1500-00007B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24" name="AutoShape 1">
          <a:extLst>
            <a:ext uri="{FF2B5EF4-FFF2-40B4-BE49-F238E27FC236}">
              <a16:creationId xmlns:a16="http://schemas.microsoft.com/office/drawing/2014/main" id="{00000000-0008-0000-1500-00007C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25" name="AutoShape 1">
          <a:extLst>
            <a:ext uri="{FF2B5EF4-FFF2-40B4-BE49-F238E27FC236}">
              <a16:creationId xmlns:a16="http://schemas.microsoft.com/office/drawing/2014/main" id="{00000000-0008-0000-1500-00007D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26" name="AutoShape 1">
          <a:extLst>
            <a:ext uri="{FF2B5EF4-FFF2-40B4-BE49-F238E27FC236}">
              <a16:creationId xmlns:a16="http://schemas.microsoft.com/office/drawing/2014/main" id="{00000000-0008-0000-1500-00007E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27" name="AutoShape 1">
          <a:extLst>
            <a:ext uri="{FF2B5EF4-FFF2-40B4-BE49-F238E27FC236}">
              <a16:creationId xmlns:a16="http://schemas.microsoft.com/office/drawing/2014/main" id="{00000000-0008-0000-1500-00007F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28" name="AutoShape 1">
          <a:extLst>
            <a:ext uri="{FF2B5EF4-FFF2-40B4-BE49-F238E27FC236}">
              <a16:creationId xmlns:a16="http://schemas.microsoft.com/office/drawing/2014/main" id="{00000000-0008-0000-1500-000080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29" name="AutoShape 1">
          <a:extLst>
            <a:ext uri="{FF2B5EF4-FFF2-40B4-BE49-F238E27FC236}">
              <a16:creationId xmlns:a16="http://schemas.microsoft.com/office/drawing/2014/main" id="{00000000-0008-0000-1500-000081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30" name="AutoShape 1">
          <a:extLst>
            <a:ext uri="{FF2B5EF4-FFF2-40B4-BE49-F238E27FC236}">
              <a16:creationId xmlns:a16="http://schemas.microsoft.com/office/drawing/2014/main" id="{00000000-0008-0000-1500-000082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31" name="AutoShape 1">
          <a:extLst>
            <a:ext uri="{FF2B5EF4-FFF2-40B4-BE49-F238E27FC236}">
              <a16:creationId xmlns:a16="http://schemas.microsoft.com/office/drawing/2014/main" id="{00000000-0008-0000-1500-000083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32" name="AutoShape 1">
          <a:extLst>
            <a:ext uri="{FF2B5EF4-FFF2-40B4-BE49-F238E27FC236}">
              <a16:creationId xmlns:a16="http://schemas.microsoft.com/office/drawing/2014/main" id="{00000000-0008-0000-1500-000084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33" name="AutoShape 1">
          <a:extLst>
            <a:ext uri="{FF2B5EF4-FFF2-40B4-BE49-F238E27FC236}">
              <a16:creationId xmlns:a16="http://schemas.microsoft.com/office/drawing/2014/main" id="{00000000-0008-0000-1500-000085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34" name="AutoShape 1">
          <a:extLst>
            <a:ext uri="{FF2B5EF4-FFF2-40B4-BE49-F238E27FC236}">
              <a16:creationId xmlns:a16="http://schemas.microsoft.com/office/drawing/2014/main" id="{00000000-0008-0000-1500-000086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35" name="AutoShape 1">
          <a:extLst>
            <a:ext uri="{FF2B5EF4-FFF2-40B4-BE49-F238E27FC236}">
              <a16:creationId xmlns:a16="http://schemas.microsoft.com/office/drawing/2014/main" id="{00000000-0008-0000-1500-000087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36" name="AutoShape 1">
          <a:extLst>
            <a:ext uri="{FF2B5EF4-FFF2-40B4-BE49-F238E27FC236}">
              <a16:creationId xmlns:a16="http://schemas.microsoft.com/office/drawing/2014/main" id="{00000000-0008-0000-1500-000088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37" name="AutoShape 1">
          <a:extLst>
            <a:ext uri="{FF2B5EF4-FFF2-40B4-BE49-F238E27FC236}">
              <a16:creationId xmlns:a16="http://schemas.microsoft.com/office/drawing/2014/main" id="{00000000-0008-0000-1500-000089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38" name="AutoShape 1">
          <a:extLst>
            <a:ext uri="{FF2B5EF4-FFF2-40B4-BE49-F238E27FC236}">
              <a16:creationId xmlns:a16="http://schemas.microsoft.com/office/drawing/2014/main" id="{00000000-0008-0000-1500-00008A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39" name="AutoShape 1">
          <a:extLst>
            <a:ext uri="{FF2B5EF4-FFF2-40B4-BE49-F238E27FC236}">
              <a16:creationId xmlns:a16="http://schemas.microsoft.com/office/drawing/2014/main" id="{00000000-0008-0000-1500-00008B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40" name="AutoShape 1">
          <a:extLst>
            <a:ext uri="{FF2B5EF4-FFF2-40B4-BE49-F238E27FC236}">
              <a16:creationId xmlns:a16="http://schemas.microsoft.com/office/drawing/2014/main" id="{00000000-0008-0000-1500-00008C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41" name="AutoShape 1">
          <a:extLst>
            <a:ext uri="{FF2B5EF4-FFF2-40B4-BE49-F238E27FC236}">
              <a16:creationId xmlns:a16="http://schemas.microsoft.com/office/drawing/2014/main" id="{00000000-0008-0000-1500-00008D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42" name="AutoShape 1">
          <a:extLst>
            <a:ext uri="{FF2B5EF4-FFF2-40B4-BE49-F238E27FC236}">
              <a16:creationId xmlns:a16="http://schemas.microsoft.com/office/drawing/2014/main" id="{00000000-0008-0000-1500-00008E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43" name="AutoShape 1">
          <a:extLst>
            <a:ext uri="{FF2B5EF4-FFF2-40B4-BE49-F238E27FC236}">
              <a16:creationId xmlns:a16="http://schemas.microsoft.com/office/drawing/2014/main" id="{00000000-0008-0000-1500-00008F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44" name="AutoShape 1">
          <a:extLst>
            <a:ext uri="{FF2B5EF4-FFF2-40B4-BE49-F238E27FC236}">
              <a16:creationId xmlns:a16="http://schemas.microsoft.com/office/drawing/2014/main" id="{00000000-0008-0000-1500-000090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297657" cy="323850"/>
    <xdr:sp macro="" textlink="">
      <xdr:nvSpPr>
        <xdr:cNvPr id="145" name="AutoShape 1">
          <a:extLst>
            <a:ext uri="{FF2B5EF4-FFF2-40B4-BE49-F238E27FC236}">
              <a16:creationId xmlns:a16="http://schemas.microsoft.com/office/drawing/2014/main" id="{00000000-0008-0000-1500-000091000000}"/>
            </a:ext>
          </a:extLst>
        </xdr:cNvPr>
        <xdr:cNvSpPr>
          <a:spLocks noChangeAspect="1" noChangeArrowheads="1"/>
        </xdr:cNvSpPr>
      </xdr:nvSpPr>
      <xdr:spPr bwMode="auto">
        <a:xfrm>
          <a:off x="214312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297657" cy="323850"/>
    <xdr:sp macro="" textlink="">
      <xdr:nvSpPr>
        <xdr:cNvPr id="146" name="AutoShape 1">
          <a:extLst>
            <a:ext uri="{FF2B5EF4-FFF2-40B4-BE49-F238E27FC236}">
              <a16:creationId xmlns:a16="http://schemas.microsoft.com/office/drawing/2014/main" id="{00000000-0008-0000-1500-000092000000}"/>
            </a:ext>
          </a:extLst>
        </xdr:cNvPr>
        <xdr:cNvSpPr>
          <a:spLocks noChangeAspect="1" noChangeArrowheads="1"/>
        </xdr:cNvSpPr>
      </xdr:nvSpPr>
      <xdr:spPr bwMode="auto">
        <a:xfrm>
          <a:off x="2324100"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297657" cy="323850"/>
    <xdr:sp macro="" textlink="">
      <xdr:nvSpPr>
        <xdr:cNvPr id="147" name="AutoShape 1">
          <a:extLst>
            <a:ext uri="{FF2B5EF4-FFF2-40B4-BE49-F238E27FC236}">
              <a16:creationId xmlns:a16="http://schemas.microsoft.com/office/drawing/2014/main" id="{00000000-0008-0000-1500-000093000000}"/>
            </a:ext>
          </a:extLst>
        </xdr:cNvPr>
        <xdr:cNvSpPr>
          <a:spLocks noChangeAspect="1" noChangeArrowheads="1"/>
        </xdr:cNvSpPr>
      </xdr:nvSpPr>
      <xdr:spPr bwMode="auto">
        <a:xfrm>
          <a:off x="2324100"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297657" cy="323850"/>
    <xdr:sp macro="" textlink="">
      <xdr:nvSpPr>
        <xdr:cNvPr id="148" name="AutoShape 1">
          <a:extLst>
            <a:ext uri="{FF2B5EF4-FFF2-40B4-BE49-F238E27FC236}">
              <a16:creationId xmlns:a16="http://schemas.microsoft.com/office/drawing/2014/main" id="{00000000-0008-0000-1500-000094000000}"/>
            </a:ext>
          </a:extLst>
        </xdr:cNvPr>
        <xdr:cNvSpPr>
          <a:spLocks noChangeAspect="1" noChangeArrowheads="1"/>
        </xdr:cNvSpPr>
      </xdr:nvSpPr>
      <xdr:spPr bwMode="auto">
        <a:xfrm>
          <a:off x="2324100"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297657" cy="323850"/>
    <xdr:sp macro="" textlink="">
      <xdr:nvSpPr>
        <xdr:cNvPr id="149" name="AutoShape 1">
          <a:extLst>
            <a:ext uri="{FF2B5EF4-FFF2-40B4-BE49-F238E27FC236}">
              <a16:creationId xmlns:a16="http://schemas.microsoft.com/office/drawing/2014/main" id="{00000000-0008-0000-1500-000095000000}"/>
            </a:ext>
          </a:extLst>
        </xdr:cNvPr>
        <xdr:cNvSpPr>
          <a:spLocks noChangeAspect="1" noChangeArrowheads="1"/>
        </xdr:cNvSpPr>
      </xdr:nvSpPr>
      <xdr:spPr bwMode="auto">
        <a:xfrm>
          <a:off x="2324100"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297657" cy="323850"/>
    <xdr:sp macro="" textlink="">
      <xdr:nvSpPr>
        <xdr:cNvPr id="150" name="AutoShape 1">
          <a:extLst>
            <a:ext uri="{FF2B5EF4-FFF2-40B4-BE49-F238E27FC236}">
              <a16:creationId xmlns:a16="http://schemas.microsoft.com/office/drawing/2014/main" id="{00000000-0008-0000-1500-000096000000}"/>
            </a:ext>
          </a:extLst>
        </xdr:cNvPr>
        <xdr:cNvSpPr>
          <a:spLocks noChangeAspect="1" noChangeArrowheads="1"/>
        </xdr:cNvSpPr>
      </xdr:nvSpPr>
      <xdr:spPr bwMode="auto">
        <a:xfrm>
          <a:off x="2324100"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297657" cy="323850"/>
    <xdr:sp macro="" textlink="">
      <xdr:nvSpPr>
        <xdr:cNvPr id="151" name="AutoShape 1">
          <a:extLst>
            <a:ext uri="{FF2B5EF4-FFF2-40B4-BE49-F238E27FC236}">
              <a16:creationId xmlns:a16="http://schemas.microsoft.com/office/drawing/2014/main" id="{00000000-0008-0000-1500-000097000000}"/>
            </a:ext>
          </a:extLst>
        </xdr:cNvPr>
        <xdr:cNvSpPr>
          <a:spLocks noChangeAspect="1" noChangeArrowheads="1"/>
        </xdr:cNvSpPr>
      </xdr:nvSpPr>
      <xdr:spPr bwMode="auto">
        <a:xfrm>
          <a:off x="2324100"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297657" cy="323850"/>
    <xdr:sp macro="" textlink="">
      <xdr:nvSpPr>
        <xdr:cNvPr id="152" name="AutoShape 1">
          <a:extLst>
            <a:ext uri="{FF2B5EF4-FFF2-40B4-BE49-F238E27FC236}">
              <a16:creationId xmlns:a16="http://schemas.microsoft.com/office/drawing/2014/main" id="{00000000-0008-0000-1500-000098000000}"/>
            </a:ext>
          </a:extLst>
        </xdr:cNvPr>
        <xdr:cNvSpPr>
          <a:spLocks noChangeAspect="1" noChangeArrowheads="1"/>
        </xdr:cNvSpPr>
      </xdr:nvSpPr>
      <xdr:spPr bwMode="auto">
        <a:xfrm>
          <a:off x="2324100"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297657" cy="323850"/>
    <xdr:sp macro="" textlink="">
      <xdr:nvSpPr>
        <xdr:cNvPr id="153" name="AutoShape 1">
          <a:extLst>
            <a:ext uri="{FF2B5EF4-FFF2-40B4-BE49-F238E27FC236}">
              <a16:creationId xmlns:a16="http://schemas.microsoft.com/office/drawing/2014/main" id="{00000000-0008-0000-1500-000099000000}"/>
            </a:ext>
          </a:extLst>
        </xdr:cNvPr>
        <xdr:cNvSpPr>
          <a:spLocks noChangeAspect="1" noChangeArrowheads="1"/>
        </xdr:cNvSpPr>
      </xdr:nvSpPr>
      <xdr:spPr bwMode="auto">
        <a:xfrm>
          <a:off x="2324100"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297657" cy="323850"/>
    <xdr:sp macro="" textlink="">
      <xdr:nvSpPr>
        <xdr:cNvPr id="154" name="AutoShape 1">
          <a:extLst>
            <a:ext uri="{FF2B5EF4-FFF2-40B4-BE49-F238E27FC236}">
              <a16:creationId xmlns:a16="http://schemas.microsoft.com/office/drawing/2014/main" id="{00000000-0008-0000-1500-00009A000000}"/>
            </a:ext>
          </a:extLst>
        </xdr:cNvPr>
        <xdr:cNvSpPr>
          <a:spLocks noChangeAspect="1" noChangeArrowheads="1"/>
        </xdr:cNvSpPr>
      </xdr:nvSpPr>
      <xdr:spPr bwMode="auto">
        <a:xfrm>
          <a:off x="2324100"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297657" cy="323850"/>
    <xdr:sp macro="" textlink="">
      <xdr:nvSpPr>
        <xdr:cNvPr id="155" name="AutoShape 1">
          <a:extLst>
            <a:ext uri="{FF2B5EF4-FFF2-40B4-BE49-F238E27FC236}">
              <a16:creationId xmlns:a16="http://schemas.microsoft.com/office/drawing/2014/main" id="{00000000-0008-0000-1500-00009B000000}"/>
            </a:ext>
          </a:extLst>
        </xdr:cNvPr>
        <xdr:cNvSpPr>
          <a:spLocks noChangeAspect="1" noChangeArrowheads="1"/>
        </xdr:cNvSpPr>
      </xdr:nvSpPr>
      <xdr:spPr bwMode="auto">
        <a:xfrm>
          <a:off x="2324100"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297657" cy="323850"/>
    <xdr:sp macro="" textlink="">
      <xdr:nvSpPr>
        <xdr:cNvPr id="156" name="AutoShape 1">
          <a:extLst>
            <a:ext uri="{FF2B5EF4-FFF2-40B4-BE49-F238E27FC236}">
              <a16:creationId xmlns:a16="http://schemas.microsoft.com/office/drawing/2014/main" id="{00000000-0008-0000-1500-00009C000000}"/>
            </a:ext>
          </a:extLst>
        </xdr:cNvPr>
        <xdr:cNvSpPr>
          <a:spLocks noChangeAspect="1" noChangeArrowheads="1"/>
        </xdr:cNvSpPr>
      </xdr:nvSpPr>
      <xdr:spPr bwMode="auto">
        <a:xfrm>
          <a:off x="2324100"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297657" cy="323850"/>
    <xdr:sp macro="" textlink="">
      <xdr:nvSpPr>
        <xdr:cNvPr id="157" name="AutoShape 1">
          <a:extLst>
            <a:ext uri="{FF2B5EF4-FFF2-40B4-BE49-F238E27FC236}">
              <a16:creationId xmlns:a16="http://schemas.microsoft.com/office/drawing/2014/main" id="{00000000-0008-0000-1500-00009D000000}"/>
            </a:ext>
          </a:extLst>
        </xdr:cNvPr>
        <xdr:cNvSpPr>
          <a:spLocks noChangeAspect="1" noChangeArrowheads="1"/>
        </xdr:cNvSpPr>
      </xdr:nvSpPr>
      <xdr:spPr bwMode="auto">
        <a:xfrm>
          <a:off x="2324100"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58" name="AutoShape 1">
          <a:extLst>
            <a:ext uri="{FF2B5EF4-FFF2-40B4-BE49-F238E27FC236}">
              <a16:creationId xmlns:a16="http://schemas.microsoft.com/office/drawing/2014/main" id="{00000000-0008-0000-1500-00009E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59" name="AutoShape 1">
          <a:extLst>
            <a:ext uri="{FF2B5EF4-FFF2-40B4-BE49-F238E27FC236}">
              <a16:creationId xmlns:a16="http://schemas.microsoft.com/office/drawing/2014/main" id="{00000000-0008-0000-1500-00009F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60" name="AutoShape 1">
          <a:extLst>
            <a:ext uri="{FF2B5EF4-FFF2-40B4-BE49-F238E27FC236}">
              <a16:creationId xmlns:a16="http://schemas.microsoft.com/office/drawing/2014/main" id="{00000000-0008-0000-1500-0000A0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61" name="AutoShape 1">
          <a:extLst>
            <a:ext uri="{FF2B5EF4-FFF2-40B4-BE49-F238E27FC236}">
              <a16:creationId xmlns:a16="http://schemas.microsoft.com/office/drawing/2014/main" id="{00000000-0008-0000-1500-0000A1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62" name="AutoShape 1">
          <a:extLst>
            <a:ext uri="{FF2B5EF4-FFF2-40B4-BE49-F238E27FC236}">
              <a16:creationId xmlns:a16="http://schemas.microsoft.com/office/drawing/2014/main" id="{00000000-0008-0000-1500-0000A2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63" name="AutoShape 1">
          <a:extLst>
            <a:ext uri="{FF2B5EF4-FFF2-40B4-BE49-F238E27FC236}">
              <a16:creationId xmlns:a16="http://schemas.microsoft.com/office/drawing/2014/main" id="{00000000-0008-0000-1500-0000A3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64" name="AutoShape 1">
          <a:extLst>
            <a:ext uri="{FF2B5EF4-FFF2-40B4-BE49-F238E27FC236}">
              <a16:creationId xmlns:a16="http://schemas.microsoft.com/office/drawing/2014/main" id="{00000000-0008-0000-1500-0000A4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65" name="AutoShape 1">
          <a:extLst>
            <a:ext uri="{FF2B5EF4-FFF2-40B4-BE49-F238E27FC236}">
              <a16:creationId xmlns:a16="http://schemas.microsoft.com/office/drawing/2014/main" id="{00000000-0008-0000-1500-0000A5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66" name="AutoShape 1">
          <a:extLst>
            <a:ext uri="{FF2B5EF4-FFF2-40B4-BE49-F238E27FC236}">
              <a16:creationId xmlns:a16="http://schemas.microsoft.com/office/drawing/2014/main" id="{00000000-0008-0000-1500-0000A6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67" name="AutoShape 1">
          <a:extLst>
            <a:ext uri="{FF2B5EF4-FFF2-40B4-BE49-F238E27FC236}">
              <a16:creationId xmlns:a16="http://schemas.microsoft.com/office/drawing/2014/main" id="{00000000-0008-0000-1500-0000A7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68" name="AutoShape 1">
          <a:extLst>
            <a:ext uri="{FF2B5EF4-FFF2-40B4-BE49-F238E27FC236}">
              <a16:creationId xmlns:a16="http://schemas.microsoft.com/office/drawing/2014/main" id="{00000000-0008-0000-1500-0000A8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xdr:row>
      <xdr:rowOff>0</xdr:rowOff>
    </xdr:from>
    <xdr:ext cx="297657" cy="323850"/>
    <xdr:sp macro="" textlink="">
      <xdr:nvSpPr>
        <xdr:cNvPr id="169" name="AutoShape 1">
          <a:extLst>
            <a:ext uri="{FF2B5EF4-FFF2-40B4-BE49-F238E27FC236}">
              <a16:creationId xmlns:a16="http://schemas.microsoft.com/office/drawing/2014/main" id="{00000000-0008-0000-1500-0000A9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xdr:row>
      <xdr:rowOff>0</xdr:rowOff>
    </xdr:from>
    <xdr:ext cx="297657" cy="323850"/>
    <xdr:sp macro="" textlink="">
      <xdr:nvSpPr>
        <xdr:cNvPr id="170" name="AutoShape 1">
          <a:extLst>
            <a:ext uri="{FF2B5EF4-FFF2-40B4-BE49-F238E27FC236}">
              <a16:creationId xmlns:a16="http://schemas.microsoft.com/office/drawing/2014/main" id="{00000000-0008-0000-1500-0000AA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xdr:row>
      <xdr:rowOff>0</xdr:rowOff>
    </xdr:from>
    <xdr:ext cx="297657" cy="323850"/>
    <xdr:sp macro="" textlink="">
      <xdr:nvSpPr>
        <xdr:cNvPr id="171" name="AutoShape 1">
          <a:extLst>
            <a:ext uri="{FF2B5EF4-FFF2-40B4-BE49-F238E27FC236}">
              <a16:creationId xmlns:a16="http://schemas.microsoft.com/office/drawing/2014/main" id="{00000000-0008-0000-1500-0000AB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xdr:row>
      <xdr:rowOff>0</xdr:rowOff>
    </xdr:from>
    <xdr:ext cx="297657" cy="323850"/>
    <xdr:sp macro="" textlink="">
      <xdr:nvSpPr>
        <xdr:cNvPr id="172" name="AutoShape 1">
          <a:extLst>
            <a:ext uri="{FF2B5EF4-FFF2-40B4-BE49-F238E27FC236}">
              <a16:creationId xmlns:a16="http://schemas.microsoft.com/office/drawing/2014/main" id="{00000000-0008-0000-1500-0000AC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xdr:row>
      <xdr:rowOff>0</xdr:rowOff>
    </xdr:from>
    <xdr:ext cx="297657" cy="323850"/>
    <xdr:sp macro="" textlink="">
      <xdr:nvSpPr>
        <xdr:cNvPr id="173" name="AutoShape 1">
          <a:extLst>
            <a:ext uri="{FF2B5EF4-FFF2-40B4-BE49-F238E27FC236}">
              <a16:creationId xmlns:a16="http://schemas.microsoft.com/office/drawing/2014/main" id="{00000000-0008-0000-1500-0000AD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xdr:row>
      <xdr:rowOff>0</xdr:rowOff>
    </xdr:from>
    <xdr:ext cx="297657" cy="323850"/>
    <xdr:sp macro="" textlink="">
      <xdr:nvSpPr>
        <xdr:cNvPr id="174" name="AutoShape 1">
          <a:extLst>
            <a:ext uri="{FF2B5EF4-FFF2-40B4-BE49-F238E27FC236}">
              <a16:creationId xmlns:a16="http://schemas.microsoft.com/office/drawing/2014/main" id="{00000000-0008-0000-1500-0000AE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xdr:row>
      <xdr:rowOff>0</xdr:rowOff>
    </xdr:from>
    <xdr:ext cx="297657" cy="323850"/>
    <xdr:sp macro="" textlink="">
      <xdr:nvSpPr>
        <xdr:cNvPr id="175" name="AutoShape 1">
          <a:extLst>
            <a:ext uri="{FF2B5EF4-FFF2-40B4-BE49-F238E27FC236}">
              <a16:creationId xmlns:a16="http://schemas.microsoft.com/office/drawing/2014/main" id="{00000000-0008-0000-1500-0000AF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xdr:row>
      <xdr:rowOff>0</xdr:rowOff>
    </xdr:from>
    <xdr:ext cx="297657" cy="323850"/>
    <xdr:sp macro="" textlink="">
      <xdr:nvSpPr>
        <xdr:cNvPr id="176" name="AutoShape 1">
          <a:extLst>
            <a:ext uri="{FF2B5EF4-FFF2-40B4-BE49-F238E27FC236}">
              <a16:creationId xmlns:a16="http://schemas.microsoft.com/office/drawing/2014/main" id="{00000000-0008-0000-1500-0000B0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xdr:row>
      <xdr:rowOff>0</xdr:rowOff>
    </xdr:from>
    <xdr:ext cx="297657" cy="323850"/>
    <xdr:sp macro="" textlink="">
      <xdr:nvSpPr>
        <xdr:cNvPr id="177" name="AutoShape 1">
          <a:extLst>
            <a:ext uri="{FF2B5EF4-FFF2-40B4-BE49-F238E27FC236}">
              <a16:creationId xmlns:a16="http://schemas.microsoft.com/office/drawing/2014/main" id="{00000000-0008-0000-1500-0000B1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xdr:row>
      <xdr:rowOff>0</xdr:rowOff>
    </xdr:from>
    <xdr:ext cx="297657" cy="323850"/>
    <xdr:sp macro="" textlink="">
      <xdr:nvSpPr>
        <xdr:cNvPr id="178" name="AutoShape 1">
          <a:extLst>
            <a:ext uri="{FF2B5EF4-FFF2-40B4-BE49-F238E27FC236}">
              <a16:creationId xmlns:a16="http://schemas.microsoft.com/office/drawing/2014/main" id="{00000000-0008-0000-1500-0000B2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xdr:row>
      <xdr:rowOff>0</xdr:rowOff>
    </xdr:from>
    <xdr:ext cx="297657" cy="323850"/>
    <xdr:sp macro="" textlink="">
      <xdr:nvSpPr>
        <xdr:cNvPr id="179" name="AutoShape 1">
          <a:extLst>
            <a:ext uri="{FF2B5EF4-FFF2-40B4-BE49-F238E27FC236}">
              <a16:creationId xmlns:a16="http://schemas.microsoft.com/office/drawing/2014/main" id="{00000000-0008-0000-1500-0000B3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xdr:row>
      <xdr:rowOff>0</xdr:rowOff>
    </xdr:from>
    <xdr:ext cx="297657" cy="323850"/>
    <xdr:sp macro="" textlink="">
      <xdr:nvSpPr>
        <xdr:cNvPr id="180" name="AutoShape 1">
          <a:extLst>
            <a:ext uri="{FF2B5EF4-FFF2-40B4-BE49-F238E27FC236}">
              <a16:creationId xmlns:a16="http://schemas.microsoft.com/office/drawing/2014/main" id="{00000000-0008-0000-1500-0000B4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xdr:row>
      <xdr:rowOff>0</xdr:rowOff>
    </xdr:from>
    <xdr:ext cx="297657" cy="323850"/>
    <xdr:sp macro="" textlink="">
      <xdr:nvSpPr>
        <xdr:cNvPr id="181" name="AutoShape 1">
          <a:extLst>
            <a:ext uri="{FF2B5EF4-FFF2-40B4-BE49-F238E27FC236}">
              <a16:creationId xmlns:a16="http://schemas.microsoft.com/office/drawing/2014/main" id="{00000000-0008-0000-1500-0000B5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xdr:row>
      <xdr:rowOff>0</xdr:rowOff>
    </xdr:from>
    <xdr:ext cx="297657" cy="323850"/>
    <xdr:sp macro="" textlink="">
      <xdr:nvSpPr>
        <xdr:cNvPr id="182" name="AutoShape 1">
          <a:extLst>
            <a:ext uri="{FF2B5EF4-FFF2-40B4-BE49-F238E27FC236}">
              <a16:creationId xmlns:a16="http://schemas.microsoft.com/office/drawing/2014/main" id="{00000000-0008-0000-1500-0000B6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xdr:row>
      <xdr:rowOff>0</xdr:rowOff>
    </xdr:from>
    <xdr:ext cx="297657" cy="323850"/>
    <xdr:sp macro="" textlink="">
      <xdr:nvSpPr>
        <xdr:cNvPr id="183" name="AutoShape 1">
          <a:extLst>
            <a:ext uri="{FF2B5EF4-FFF2-40B4-BE49-F238E27FC236}">
              <a16:creationId xmlns:a16="http://schemas.microsoft.com/office/drawing/2014/main" id="{00000000-0008-0000-1500-0000B7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xdr:row>
      <xdr:rowOff>0</xdr:rowOff>
    </xdr:from>
    <xdr:ext cx="297657" cy="323850"/>
    <xdr:sp macro="" textlink="">
      <xdr:nvSpPr>
        <xdr:cNvPr id="184" name="AutoShape 1">
          <a:extLst>
            <a:ext uri="{FF2B5EF4-FFF2-40B4-BE49-F238E27FC236}">
              <a16:creationId xmlns:a16="http://schemas.microsoft.com/office/drawing/2014/main" id="{00000000-0008-0000-1500-0000B8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xdr:row>
      <xdr:rowOff>0</xdr:rowOff>
    </xdr:from>
    <xdr:ext cx="297657" cy="323850"/>
    <xdr:sp macro="" textlink="">
      <xdr:nvSpPr>
        <xdr:cNvPr id="185" name="AutoShape 1">
          <a:extLst>
            <a:ext uri="{FF2B5EF4-FFF2-40B4-BE49-F238E27FC236}">
              <a16:creationId xmlns:a16="http://schemas.microsoft.com/office/drawing/2014/main" id="{00000000-0008-0000-1500-0000B9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xdr:row>
      <xdr:rowOff>0</xdr:rowOff>
    </xdr:from>
    <xdr:ext cx="297657" cy="323850"/>
    <xdr:sp macro="" textlink="">
      <xdr:nvSpPr>
        <xdr:cNvPr id="186" name="AutoShape 1">
          <a:extLst>
            <a:ext uri="{FF2B5EF4-FFF2-40B4-BE49-F238E27FC236}">
              <a16:creationId xmlns:a16="http://schemas.microsoft.com/office/drawing/2014/main" id="{00000000-0008-0000-1500-0000BA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xdr:row>
      <xdr:rowOff>0</xdr:rowOff>
    </xdr:from>
    <xdr:ext cx="297657" cy="323850"/>
    <xdr:sp macro="" textlink="">
      <xdr:nvSpPr>
        <xdr:cNvPr id="187" name="AutoShape 1">
          <a:extLst>
            <a:ext uri="{FF2B5EF4-FFF2-40B4-BE49-F238E27FC236}">
              <a16:creationId xmlns:a16="http://schemas.microsoft.com/office/drawing/2014/main" id="{00000000-0008-0000-1500-0000BB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xdr:row>
      <xdr:rowOff>0</xdr:rowOff>
    </xdr:from>
    <xdr:ext cx="297657" cy="323850"/>
    <xdr:sp macro="" textlink="">
      <xdr:nvSpPr>
        <xdr:cNvPr id="188" name="AutoShape 1">
          <a:extLst>
            <a:ext uri="{FF2B5EF4-FFF2-40B4-BE49-F238E27FC236}">
              <a16:creationId xmlns:a16="http://schemas.microsoft.com/office/drawing/2014/main" id="{00000000-0008-0000-1500-0000BC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xdr:row>
      <xdr:rowOff>0</xdr:rowOff>
    </xdr:from>
    <xdr:ext cx="297657" cy="323850"/>
    <xdr:sp macro="" textlink="">
      <xdr:nvSpPr>
        <xdr:cNvPr id="189" name="AutoShape 1">
          <a:extLst>
            <a:ext uri="{FF2B5EF4-FFF2-40B4-BE49-F238E27FC236}">
              <a16:creationId xmlns:a16="http://schemas.microsoft.com/office/drawing/2014/main" id="{00000000-0008-0000-1500-0000BD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xdr:row>
      <xdr:rowOff>0</xdr:rowOff>
    </xdr:from>
    <xdr:ext cx="297657" cy="323850"/>
    <xdr:sp macro="" textlink="">
      <xdr:nvSpPr>
        <xdr:cNvPr id="190" name="AutoShape 1">
          <a:extLst>
            <a:ext uri="{FF2B5EF4-FFF2-40B4-BE49-F238E27FC236}">
              <a16:creationId xmlns:a16="http://schemas.microsoft.com/office/drawing/2014/main" id="{00000000-0008-0000-1500-0000BE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xdr:row>
      <xdr:rowOff>0</xdr:rowOff>
    </xdr:from>
    <xdr:ext cx="297657" cy="323850"/>
    <xdr:sp macro="" textlink="">
      <xdr:nvSpPr>
        <xdr:cNvPr id="191" name="AutoShape 1">
          <a:extLst>
            <a:ext uri="{FF2B5EF4-FFF2-40B4-BE49-F238E27FC236}">
              <a16:creationId xmlns:a16="http://schemas.microsoft.com/office/drawing/2014/main" id="{00000000-0008-0000-1500-0000BF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xdr:row>
      <xdr:rowOff>0</xdr:rowOff>
    </xdr:from>
    <xdr:ext cx="297657" cy="323850"/>
    <xdr:sp macro="" textlink="">
      <xdr:nvSpPr>
        <xdr:cNvPr id="192" name="AutoShape 1">
          <a:extLst>
            <a:ext uri="{FF2B5EF4-FFF2-40B4-BE49-F238E27FC236}">
              <a16:creationId xmlns:a16="http://schemas.microsoft.com/office/drawing/2014/main" id="{00000000-0008-0000-1500-0000C0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xdr:row>
      <xdr:rowOff>0</xdr:rowOff>
    </xdr:from>
    <xdr:ext cx="297657" cy="323850"/>
    <xdr:sp macro="" textlink="">
      <xdr:nvSpPr>
        <xdr:cNvPr id="193" name="AutoShape 1">
          <a:extLst>
            <a:ext uri="{FF2B5EF4-FFF2-40B4-BE49-F238E27FC236}">
              <a16:creationId xmlns:a16="http://schemas.microsoft.com/office/drawing/2014/main" id="{00000000-0008-0000-1500-0000C1000000}"/>
            </a:ext>
          </a:extLst>
        </xdr:cNvPr>
        <xdr:cNvSpPr>
          <a:spLocks noChangeAspect="1" noChangeArrowheads="1"/>
        </xdr:cNvSpPr>
      </xdr:nvSpPr>
      <xdr:spPr bwMode="auto">
        <a:xfrm>
          <a:off x="7191375" y="2952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2.xml><?xml version="1.0" encoding="utf-8"?>
<xdr:wsDr xmlns:xdr="http://schemas.openxmlformats.org/drawingml/2006/spreadsheetDrawing" xmlns:a="http://schemas.openxmlformats.org/drawingml/2006/main">
  <xdr:oneCellAnchor>
    <xdr:from>
      <xdr:col>1</xdr:col>
      <xdr:colOff>0</xdr:colOff>
      <xdr:row>3</xdr:row>
      <xdr:rowOff>0</xdr:rowOff>
    </xdr:from>
    <xdr:ext cx="297657" cy="323850"/>
    <xdr:sp macro="" textlink="">
      <xdr:nvSpPr>
        <xdr:cNvPr id="4" name="AutoShape 1">
          <a:extLst>
            <a:ext uri="{FF2B5EF4-FFF2-40B4-BE49-F238E27FC236}">
              <a16:creationId xmlns:a16="http://schemas.microsoft.com/office/drawing/2014/main" id="{00000000-0008-0000-1400-000004000000}"/>
            </a:ext>
          </a:extLst>
        </xdr:cNvPr>
        <xdr:cNvSpPr>
          <a:spLocks noChangeAspect="1" noChangeArrowheads="1"/>
        </xdr:cNvSpPr>
      </xdr:nvSpPr>
      <xdr:spPr bwMode="auto">
        <a:xfrm>
          <a:off x="85725" y="17430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xdr:row>
      <xdr:rowOff>0</xdr:rowOff>
    </xdr:from>
    <xdr:ext cx="297657" cy="323850"/>
    <xdr:sp macro="" textlink="">
      <xdr:nvSpPr>
        <xdr:cNvPr id="5" name="AutoShape 1">
          <a:extLst>
            <a:ext uri="{FF2B5EF4-FFF2-40B4-BE49-F238E27FC236}">
              <a16:creationId xmlns:a16="http://schemas.microsoft.com/office/drawing/2014/main" id="{00000000-0008-0000-1400-000005000000}"/>
            </a:ext>
          </a:extLst>
        </xdr:cNvPr>
        <xdr:cNvSpPr>
          <a:spLocks noChangeAspect="1" noChangeArrowheads="1"/>
        </xdr:cNvSpPr>
      </xdr:nvSpPr>
      <xdr:spPr bwMode="auto">
        <a:xfrm>
          <a:off x="85725" y="17430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xdr:row>
      <xdr:rowOff>0</xdr:rowOff>
    </xdr:from>
    <xdr:ext cx="297657" cy="323850"/>
    <xdr:sp macro="" textlink="">
      <xdr:nvSpPr>
        <xdr:cNvPr id="6" name="AutoShape 1">
          <a:extLst>
            <a:ext uri="{FF2B5EF4-FFF2-40B4-BE49-F238E27FC236}">
              <a16:creationId xmlns:a16="http://schemas.microsoft.com/office/drawing/2014/main" id="{00000000-0008-0000-1400-000006000000}"/>
            </a:ext>
          </a:extLst>
        </xdr:cNvPr>
        <xdr:cNvSpPr>
          <a:spLocks noChangeAspect="1" noChangeArrowheads="1"/>
        </xdr:cNvSpPr>
      </xdr:nvSpPr>
      <xdr:spPr bwMode="auto">
        <a:xfrm>
          <a:off x="85725" y="17430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xdr:row>
      <xdr:rowOff>0</xdr:rowOff>
    </xdr:from>
    <xdr:ext cx="297657" cy="323850"/>
    <xdr:sp macro="" textlink="">
      <xdr:nvSpPr>
        <xdr:cNvPr id="7" name="AutoShape 1">
          <a:extLst>
            <a:ext uri="{FF2B5EF4-FFF2-40B4-BE49-F238E27FC236}">
              <a16:creationId xmlns:a16="http://schemas.microsoft.com/office/drawing/2014/main" id="{00000000-0008-0000-1400-000007000000}"/>
            </a:ext>
          </a:extLst>
        </xdr:cNvPr>
        <xdr:cNvSpPr>
          <a:spLocks noChangeAspect="1" noChangeArrowheads="1"/>
        </xdr:cNvSpPr>
      </xdr:nvSpPr>
      <xdr:spPr bwMode="auto">
        <a:xfrm>
          <a:off x="85725" y="17430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xdr:row>
      <xdr:rowOff>0</xdr:rowOff>
    </xdr:from>
    <xdr:ext cx="297657" cy="323850"/>
    <xdr:sp macro="" textlink="">
      <xdr:nvSpPr>
        <xdr:cNvPr id="8" name="AutoShape 1">
          <a:extLst>
            <a:ext uri="{FF2B5EF4-FFF2-40B4-BE49-F238E27FC236}">
              <a16:creationId xmlns:a16="http://schemas.microsoft.com/office/drawing/2014/main" id="{00000000-0008-0000-1400-000008000000}"/>
            </a:ext>
          </a:extLst>
        </xdr:cNvPr>
        <xdr:cNvSpPr>
          <a:spLocks noChangeAspect="1" noChangeArrowheads="1"/>
        </xdr:cNvSpPr>
      </xdr:nvSpPr>
      <xdr:spPr bwMode="auto">
        <a:xfrm>
          <a:off x="85725" y="17430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xdr:row>
      <xdr:rowOff>0</xdr:rowOff>
    </xdr:from>
    <xdr:ext cx="297657" cy="323850"/>
    <xdr:sp macro="" textlink="">
      <xdr:nvSpPr>
        <xdr:cNvPr id="9" name="AutoShape 1">
          <a:extLst>
            <a:ext uri="{FF2B5EF4-FFF2-40B4-BE49-F238E27FC236}">
              <a16:creationId xmlns:a16="http://schemas.microsoft.com/office/drawing/2014/main" id="{00000000-0008-0000-1400-000009000000}"/>
            </a:ext>
          </a:extLst>
        </xdr:cNvPr>
        <xdr:cNvSpPr>
          <a:spLocks noChangeAspect="1" noChangeArrowheads="1"/>
        </xdr:cNvSpPr>
      </xdr:nvSpPr>
      <xdr:spPr bwMode="auto">
        <a:xfrm>
          <a:off x="85725" y="17430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xdr:row>
      <xdr:rowOff>0</xdr:rowOff>
    </xdr:from>
    <xdr:ext cx="297657" cy="323850"/>
    <xdr:sp macro="" textlink="">
      <xdr:nvSpPr>
        <xdr:cNvPr id="14" name="AutoShape 1">
          <a:extLst>
            <a:ext uri="{FF2B5EF4-FFF2-40B4-BE49-F238E27FC236}">
              <a16:creationId xmlns:a16="http://schemas.microsoft.com/office/drawing/2014/main" id="{00000000-0008-0000-1400-00000E000000}"/>
            </a:ext>
          </a:extLst>
        </xdr:cNvPr>
        <xdr:cNvSpPr>
          <a:spLocks noChangeAspect="1" noChangeArrowheads="1"/>
        </xdr:cNvSpPr>
      </xdr:nvSpPr>
      <xdr:spPr bwMode="auto">
        <a:xfrm>
          <a:off x="85725" y="17430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xdr:row>
      <xdr:rowOff>0</xdr:rowOff>
    </xdr:from>
    <xdr:ext cx="297657" cy="323850"/>
    <xdr:sp macro="" textlink="">
      <xdr:nvSpPr>
        <xdr:cNvPr id="15" name="AutoShape 1">
          <a:extLst>
            <a:ext uri="{FF2B5EF4-FFF2-40B4-BE49-F238E27FC236}">
              <a16:creationId xmlns:a16="http://schemas.microsoft.com/office/drawing/2014/main" id="{00000000-0008-0000-1400-00000F000000}"/>
            </a:ext>
          </a:extLst>
        </xdr:cNvPr>
        <xdr:cNvSpPr>
          <a:spLocks noChangeAspect="1" noChangeArrowheads="1"/>
        </xdr:cNvSpPr>
      </xdr:nvSpPr>
      <xdr:spPr bwMode="auto">
        <a:xfrm>
          <a:off x="85725" y="17430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xdr:row>
      <xdr:rowOff>0</xdr:rowOff>
    </xdr:from>
    <xdr:ext cx="297657" cy="323850"/>
    <xdr:sp macro="" textlink="">
      <xdr:nvSpPr>
        <xdr:cNvPr id="16" name="AutoShape 1">
          <a:extLst>
            <a:ext uri="{FF2B5EF4-FFF2-40B4-BE49-F238E27FC236}">
              <a16:creationId xmlns:a16="http://schemas.microsoft.com/office/drawing/2014/main" id="{00000000-0008-0000-1400-000010000000}"/>
            </a:ext>
          </a:extLst>
        </xdr:cNvPr>
        <xdr:cNvSpPr>
          <a:spLocks noChangeAspect="1" noChangeArrowheads="1"/>
        </xdr:cNvSpPr>
      </xdr:nvSpPr>
      <xdr:spPr bwMode="auto">
        <a:xfrm>
          <a:off x="85725" y="17430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xdr:row>
      <xdr:rowOff>0</xdr:rowOff>
    </xdr:from>
    <xdr:ext cx="297657" cy="323850"/>
    <xdr:sp macro="" textlink="">
      <xdr:nvSpPr>
        <xdr:cNvPr id="17" name="AutoShape 1">
          <a:extLst>
            <a:ext uri="{FF2B5EF4-FFF2-40B4-BE49-F238E27FC236}">
              <a16:creationId xmlns:a16="http://schemas.microsoft.com/office/drawing/2014/main" id="{00000000-0008-0000-1400-000011000000}"/>
            </a:ext>
          </a:extLst>
        </xdr:cNvPr>
        <xdr:cNvSpPr>
          <a:spLocks noChangeAspect="1" noChangeArrowheads="1"/>
        </xdr:cNvSpPr>
      </xdr:nvSpPr>
      <xdr:spPr bwMode="auto">
        <a:xfrm>
          <a:off x="85725" y="17430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xdr:row>
      <xdr:rowOff>0</xdr:rowOff>
    </xdr:from>
    <xdr:ext cx="297657" cy="323850"/>
    <xdr:sp macro="" textlink="">
      <xdr:nvSpPr>
        <xdr:cNvPr id="18" name="AutoShape 1">
          <a:extLst>
            <a:ext uri="{FF2B5EF4-FFF2-40B4-BE49-F238E27FC236}">
              <a16:creationId xmlns:a16="http://schemas.microsoft.com/office/drawing/2014/main" id="{00000000-0008-0000-1400-000012000000}"/>
            </a:ext>
          </a:extLst>
        </xdr:cNvPr>
        <xdr:cNvSpPr>
          <a:spLocks noChangeAspect="1" noChangeArrowheads="1"/>
        </xdr:cNvSpPr>
      </xdr:nvSpPr>
      <xdr:spPr bwMode="auto">
        <a:xfrm>
          <a:off x="85725" y="17430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xdr:row>
      <xdr:rowOff>0</xdr:rowOff>
    </xdr:from>
    <xdr:ext cx="297657" cy="323850"/>
    <xdr:sp macro="" textlink="">
      <xdr:nvSpPr>
        <xdr:cNvPr id="19" name="AutoShape 1">
          <a:extLst>
            <a:ext uri="{FF2B5EF4-FFF2-40B4-BE49-F238E27FC236}">
              <a16:creationId xmlns:a16="http://schemas.microsoft.com/office/drawing/2014/main" id="{00000000-0008-0000-1400-000013000000}"/>
            </a:ext>
          </a:extLst>
        </xdr:cNvPr>
        <xdr:cNvSpPr>
          <a:spLocks noChangeAspect="1" noChangeArrowheads="1"/>
        </xdr:cNvSpPr>
      </xdr:nvSpPr>
      <xdr:spPr bwMode="auto">
        <a:xfrm>
          <a:off x="85725" y="17430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xdr:row>
      <xdr:rowOff>0</xdr:rowOff>
    </xdr:from>
    <xdr:ext cx="297657" cy="323850"/>
    <xdr:sp macro="" textlink="">
      <xdr:nvSpPr>
        <xdr:cNvPr id="20" name="AutoShape 1">
          <a:extLst>
            <a:ext uri="{FF2B5EF4-FFF2-40B4-BE49-F238E27FC236}">
              <a16:creationId xmlns:a16="http://schemas.microsoft.com/office/drawing/2014/main" id="{00000000-0008-0000-1400-000014000000}"/>
            </a:ext>
          </a:extLst>
        </xdr:cNvPr>
        <xdr:cNvSpPr>
          <a:spLocks noChangeAspect="1" noChangeArrowheads="1"/>
        </xdr:cNvSpPr>
      </xdr:nvSpPr>
      <xdr:spPr bwMode="auto">
        <a:xfrm>
          <a:off x="85725" y="17430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xdr:row>
      <xdr:rowOff>0</xdr:rowOff>
    </xdr:from>
    <xdr:ext cx="297657" cy="323850"/>
    <xdr:sp macro="" textlink="">
      <xdr:nvSpPr>
        <xdr:cNvPr id="21" name="AutoShape 1">
          <a:extLst>
            <a:ext uri="{FF2B5EF4-FFF2-40B4-BE49-F238E27FC236}">
              <a16:creationId xmlns:a16="http://schemas.microsoft.com/office/drawing/2014/main" id="{00000000-0008-0000-1400-000015000000}"/>
            </a:ext>
          </a:extLst>
        </xdr:cNvPr>
        <xdr:cNvSpPr>
          <a:spLocks noChangeAspect="1" noChangeArrowheads="1"/>
        </xdr:cNvSpPr>
      </xdr:nvSpPr>
      <xdr:spPr bwMode="auto">
        <a:xfrm>
          <a:off x="85725" y="17430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xdr:row>
      <xdr:rowOff>0</xdr:rowOff>
    </xdr:from>
    <xdr:ext cx="297657" cy="323850"/>
    <xdr:sp macro="" textlink="">
      <xdr:nvSpPr>
        <xdr:cNvPr id="22" name="AutoShape 1">
          <a:extLst>
            <a:ext uri="{FF2B5EF4-FFF2-40B4-BE49-F238E27FC236}">
              <a16:creationId xmlns:a16="http://schemas.microsoft.com/office/drawing/2014/main" id="{00000000-0008-0000-1400-000016000000}"/>
            </a:ext>
          </a:extLst>
        </xdr:cNvPr>
        <xdr:cNvSpPr>
          <a:spLocks noChangeAspect="1" noChangeArrowheads="1"/>
        </xdr:cNvSpPr>
      </xdr:nvSpPr>
      <xdr:spPr bwMode="auto">
        <a:xfrm>
          <a:off x="85725" y="17430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xdr:row>
      <xdr:rowOff>0</xdr:rowOff>
    </xdr:from>
    <xdr:ext cx="297657" cy="323850"/>
    <xdr:sp macro="" textlink="">
      <xdr:nvSpPr>
        <xdr:cNvPr id="23" name="AutoShape 1">
          <a:extLst>
            <a:ext uri="{FF2B5EF4-FFF2-40B4-BE49-F238E27FC236}">
              <a16:creationId xmlns:a16="http://schemas.microsoft.com/office/drawing/2014/main" id="{00000000-0008-0000-1400-000017000000}"/>
            </a:ext>
          </a:extLst>
        </xdr:cNvPr>
        <xdr:cNvSpPr>
          <a:spLocks noChangeAspect="1" noChangeArrowheads="1"/>
        </xdr:cNvSpPr>
      </xdr:nvSpPr>
      <xdr:spPr bwMode="auto">
        <a:xfrm>
          <a:off x="85725" y="17430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xdr:row>
      <xdr:rowOff>0</xdr:rowOff>
    </xdr:from>
    <xdr:ext cx="297657" cy="323850"/>
    <xdr:sp macro="" textlink="">
      <xdr:nvSpPr>
        <xdr:cNvPr id="24" name="AutoShape 1">
          <a:extLst>
            <a:ext uri="{FF2B5EF4-FFF2-40B4-BE49-F238E27FC236}">
              <a16:creationId xmlns:a16="http://schemas.microsoft.com/office/drawing/2014/main" id="{00000000-0008-0000-1400-000018000000}"/>
            </a:ext>
          </a:extLst>
        </xdr:cNvPr>
        <xdr:cNvSpPr>
          <a:spLocks noChangeAspect="1" noChangeArrowheads="1"/>
        </xdr:cNvSpPr>
      </xdr:nvSpPr>
      <xdr:spPr bwMode="auto">
        <a:xfrm>
          <a:off x="85725" y="17430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xdr:row>
      <xdr:rowOff>0</xdr:rowOff>
    </xdr:from>
    <xdr:ext cx="297657" cy="323850"/>
    <xdr:sp macro="" textlink="">
      <xdr:nvSpPr>
        <xdr:cNvPr id="25" name="AutoShape 1">
          <a:extLst>
            <a:ext uri="{FF2B5EF4-FFF2-40B4-BE49-F238E27FC236}">
              <a16:creationId xmlns:a16="http://schemas.microsoft.com/office/drawing/2014/main" id="{00000000-0008-0000-1400-000019000000}"/>
            </a:ext>
          </a:extLst>
        </xdr:cNvPr>
        <xdr:cNvSpPr>
          <a:spLocks noChangeAspect="1" noChangeArrowheads="1"/>
        </xdr:cNvSpPr>
      </xdr:nvSpPr>
      <xdr:spPr bwMode="auto">
        <a:xfrm>
          <a:off x="85725" y="1743075"/>
          <a:ext cx="297657"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620808</xdr:colOff>
      <xdr:row>1</xdr:row>
      <xdr:rowOff>113738</xdr:rowOff>
    </xdr:from>
    <xdr:ext cx="5979456" cy="484620"/>
    <xdr:sp macro="" textlink="">
      <xdr:nvSpPr>
        <xdr:cNvPr id="28" name="Retângulo 27">
          <a:extLst>
            <a:ext uri="{FF2B5EF4-FFF2-40B4-BE49-F238E27FC236}">
              <a16:creationId xmlns:a16="http://schemas.microsoft.com/office/drawing/2014/main" id="{00000000-0008-0000-1400-00001C000000}"/>
            </a:ext>
          </a:extLst>
        </xdr:cNvPr>
        <xdr:cNvSpPr/>
      </xdr:nvSpPr>
      <xdr:spPr>
        <a:xfrm>
          <a:off x="3803279" y="203385"/>
          <a:ext cx="5979456" cy="484620"/>
        </a:xfrm>
        <a:prstGeom prst="rect">
          <a:avLst/>
        </a:prstGeom>
        <a:noFill/>
      </xdr:spPr>
      <xdr:txBody>
        <a:bodyPr wrap="square" lIns="91440" tIns="45720" rIns="91440" bIns="45720">
          <a:spAutoFit/>
        </a:bodyPr>
        <a:lstStyle/>
        <a:p>
          <a:pPr algn="ctr"/>
          <a:r>
            <a:rPr lang="pt-BR" sz="24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4</a:t>
          </a:r>
          <a:endParaRPr lang="pt-BR" sz="2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9</xdr:col>
      <xdr:colOff>670264</xdr:colOff>
      <xdr:row>1</xdr:row>
      <xdr:rowOff>468836</xdr:rowOff>
    </xdr:from>
    <xdr:ext cx="4429418" cy="502152"/>
    <xdr:sp macro="" textlink="">
      <xdr:nvSpPr>
        <xdr:cNvPr id="29" name="Retângulo 28">
          <a:extLst>
            <a:ext uri="{FF2B5EF4-FFF2-40B4-BE49-F238E27FC236}">
              <a16:creationId xmlns:a16="http://schemas.microsoft.com/office/drawing/2014/main" id="{00000000-0008-0000-1400-00001D000000}"/>
            </a:ext>
          </a:extLst>
        </xdr:cNvPr>
        <xdr:cNvSpPr/>
      </xdr:nvSpPr>
      <xdr:spPr>
        <a:xfrm>
          <a:off x="4581117" y="558483"/>
          <a:ext cx="4429418" cy="502152"/>
        </a:xfrm>
        <a:prstGeom prst="rect">
          <a:avLst/>
        </a:prstGeom>
        <a:noFill/>
      </xdr:spPr>
      <xdr:txBody>
        <a:bodyPr wrap="none" lIns="91440" tIns="45720" rIns="91440" bIns="45720">
          <a:noAutofit/>
        </a:bodyPr>
        <a:lstStyle/>
        <a:p>
          <a:pPr algn="ctr"/>
          <a:r>
            <a:rPr lang="pt-BR" sz="32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3</xdr:col>
      <xdr:colOff>280151</xdr:colOff>
      <xdr:row>1</xdr:row>
      <xdr:rowOff>266138</xdr:rowOff>
    </xdr:from>
    <xdr:ext cx="902071" cy="949697"/>
    <xdr:pic>
      <xdr:nvPicPr>
        <xdr:cNvPr id="30" name="Imagem 29">
          <a:extLst>
            <a:ext uri="{FF2B5EF4-FFF2-40B4-BE49-F238E27FC236}">
              <a16:creationId xmlns:a16="http://schemas.microsoft.com/office/drawing/2014/main" id="{00000000-0008-0000-14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34239" y="355785"/>
          <a:ext cx="902071" cy="949697"/>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951372</xdr:colOff>
      <xdr:row>1</xdr:row>
      <xdr:rowOff>78443</xdr:rowOff>
    </xdr:from>
    <xdr:ext cx="6724638" cy="549959"/>
    <xdr:sp macro="" textlink="">
      <xdr:nvSpPr>
        <xdr:cNvPr id="2" name="Retângulo 1">
          <a:extLst>
            <a:ext uri="{FF2B5EF4-FFF2-40B4-BE49-F238E27FC236}">
              <a16:creationId xmlns:a16="http://schemas.microsoft.com/office/drawing/2014/main" id="{00000000-0008-0000-0200-000002000000}"/>
            </a:ext>
          </a:extLst>
        </xdr:cNvPr>
        <xdr:cNvSpPr/>
      </xdr:nvSpPr>
      <xdr:spPr>
        <a:xfrm>
          <a:off x="4342272" y="154643"/>
          <a:ext cx="6724638" cy="549959"/>
        </a:xfrm>
        <a:prstGeom prst="rect">
          <a:avLst/>
        </a:prstGeom>
        <a:noFill/>
      </xdr:spPr>
      <xdr:txBody>
        <a:bodyPr wrap="square" lIns="91440" tIns="45720" rIns="91440" bIns="45720">
          <a:spAutoFit/>
        </a:bodyPr>
        <a:lstStyle/>
        <a:p>
          <a:pPr algn="ctr"/>
          <a:r>
            <a:rPr lang="pt-BR" sz="28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6</a:t>
          </a:r>
          <a:endParaRPr lang="pt-BR" sz="28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3</xdr:col>
      <xdr:colOff>23092</xdr:colOff>
      <xdr:row>2</xdr:row>
      <xdr:rowOff>232668</xdr:rowOff>
    </xdr:from>
    <xdr:ext cx="5807878" cy="419217"/>
    <xdr:sp macro="" textlink="">
      <xdr:nvSpPr>
        <xdr:cNvPr id="3" name="Retângulo 2">
          <a:extLst>
            <a:ext uri="{FF2B5EF4-FFF2-40B4-BE49-F238E27FC236}">
              <a16:creationId xmlns:a16="http://schemas.microsoft.com/office/drawing/2014/main" id="{00000000-0008-0000-0200-000003000000}"/>
            </a:ext>
          </a:extLst>
        </xdr:cNvPr>
        <xdr:cNvSpPr/>
      </xdr:nvSpPr>
      <xdr:spPr>
        <a:xfrm>
          <a:off x="4852267" y="1080393"/>
          <a:ext cx="5807878" cy="419217"/>
        </a:xfrm>
        <a:prstGeom prst="rect">
          <a:avLst/>
        </a:prstGeom>
        <a:noFill/>
      </xdr:spPr>
      <xdr:txBody>
        <a:bodyPr wrap="square" lIns="91440" tIns="45720" rIns="91440" bIns="45720">
          <a:spAutoFit/>
        </a:bodyPr>
        <a:lstStyle/>
        <a:p>
          <a:pPr algn="ctr"/>
          <a:endParaRPr lang="pt-BR" sz="2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latin typeface="Century Gothic" panose="020B0502020202020204" pitchFamily="34" charset="0"/>
          </a:endParaRPr>
        </a:p>
      </xdr:txBody>
    </xdr:sp>
    <xdr:clientData/>
  </xdr:oneCellAnchor>
  <xdr:oneCellAnchor>
    <xdr:from>
      <xdr:col>4</xdr:col>
      <xdr:colOff>81945</xdr:colOff>
      <xdr:row>1</xdr:row>
      <xdr:rowOff>528789</xdr:rowOff>
    </xdr:from>
    <xdr:ext cx="4429418" cy="502152"/>
    <xdr:sp macro="" textlink="">
      <xdr:nvSpPr>
        <xdr:cNvPr id="4" name="Retângulo 3">
          <a:extLst>
            <a:ext uri="{FF2B5EF4-FFF2-40B4-BE49-F238E27FC236}">
              <a16:creationId xmlns:a16="http://schemas.microsoft.com/office/drawing/2014/main" id="{00000000-0008-0000-0200-000004000000}"/>
            </a:ext>
          </a:extLst>
        </xdr:cNvPr>
        <xdr:cNvSpPr/>
      </xdr:nvSpPr>
      <xdr:spPr>
        <a:xfrm>
          <a:off x="5444520" y="604989"/>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1</xdr:col>
      <xdr:colOff>2116224</xdr:colOff>
      <xdr:row>1</xdr:row>
      <xdr:rowOff>308159</xdr:rowOff>
    </xdr:from>
    <xdr:ext cx="902071" cy="949697"/>
    <xdr:pic>
      <xdr:nvPicPr>
        <xdr:cNvPr id="5" name="Imagem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2424" y="384359"/>
          <a:ext cx="902071" cy="949697"/>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12</xdr:col>
      <xdr:colOff>22411</xdr:colOff>
      <xdr:row>1</xdr:row>
      <xdr:rowOff>78443</xdr:rowOff>
    </xdr:from>
    <xdr:ext cx="7789199" cy="549959"/>
    <xdr:sp macro="" textlink="">
      <xdr:nvSpPr>
        <xdr:cNvPr id="2" name="Retângulo 1">
          <a:extLst>
            <a:ext uri="{FF2B5EF4-FFF2-40B4-BE49-F238E27FC236}">
              <a16:creationId xmlns:a16="http://schemas.microsoft.com/office/drawing/2014/main" id="{00000000-0008-0000-0300-000002000000}"/>
            </a:ext>
          </a:extLst>
        </xdr:cNvPr>
        <xdr:cNvSpPr/>
      </xdr:nvSpPr>
      <xdr:spPr>
        <a:xfrm>
          <a:off x="6051736" y="154643"/>
          <a:ext cx="7789199" cy="549959"/>
        </a:xfrm>
        <a:prstGeom prst="rect">
          <a:avLst/>
        </a:prstGeom>
        <a:noFill/>
      </xdr:spPr>
      <xdr:txBody>
        <a:bodyPr wrap="square" lIns="91440" tIns="45720" rIns="91440" bIns="45720">
          <a:spAutoFit/>
        </a:bodyPr>
        <a:lstStyle/>
        <a:p>
          <a:pPr algn="ctr"/>
          <a:r>
            <a:rPr lang="pt-BR" sz="28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6</a:t>
          </a:r>
          <a:endParaRPr lang="pt-BR" sz="28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14</xdr:col>
      <xdr:colOff>730865</xdr:colOff>
      <xdr:row>2</xdr:row>
      <xdr:rowOff>232668</xdr:rowOff>
    </xdr:from>
    <xdr:ext cx="5807878" cy="419217"/>
    <xdr:sp macro="" textlink="">
      <xdr:nvSpPr>
        <xdr:cNvPr id="3" name="Retângulo 2">
          <a:extLst>
            <a:ext uri="{FF2B5EF4-FFF2-40B4-BE49-F238E27FC236}">
              <a16:creationId xmlns:a16="http://schemas.microsoft.com/office/drawing/2014/main" id="{00000000-0008-0000-0300-000003000000}"/>
            </a:ext>
          </a:extLst>
        </xdr:cNvPr>
        <xdr:cNvSpPr/>
      </xdr:nvSpPr>
      <xdr:spPr>
        <a:xfrm>
          <a:off x="7255490" y="1080393"/>
          <a:ext cx="5807878" cy="419217"/>
        </a:xfrm>
        <a:prstGeom prst="rect">
          <a:avLst/>
        </a:prstGeom>
        <a:noFill/>
      </xdr:spPr>
      <xdr:txBody>
        <a:bodyPr wrap="square" lIns="91440" tIns="45720" rIns="91440" bIns="45720">
          <a:spAutoFit/>
        </a:bodyPr>
        <a:lstStyle/>
        <a:p>
          <a:pPr algn="ctr"/>
          <a:endParaRPr lang="pt-BR" sz="2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latin typeface="Century Gothic" panose="020B0502020202020204" pitchFamily="34" charset="0"/>
          </a:endParaRPr>
        </a:p>
      </xdr:txBody>
    </xdr:sp>
    <xdr:clientData/>
  </xdr:oneCellAnchor>
  <xdr:oneCellAnchor>
    <xdr:from>
      <xdr:col>15</xdr:col>
      <xdr:colOff>180168</xdr:colOff>
      <xdr:row>1</xdr:row>
      <xdr:rowOff>528789</xdr:rowOff>
    </xdr:from>
    <xdr:ext cx="4429418" cy="502152"/>
    <xdr:sp macro="" textlink="">
      <xdr:nvSpPr>
        <xdr:cNvPr id="4" name="Retângulo 3">
          <a:extLst>
            <a:ext uri="{FF2B5EF4-FFF2-40B4-BE49-F238E27FC236}">
              <a16:creationId xmlns:a16="http://schemas.microsoft.com/office/drawing/2014/main" id="{00000000-0008-0000-0300-000004000000}"/>
            </a:ext>
          </a:extLst>
        </xdr:cNvPr>
        <xdr:cNvSpPr/>
      </xdr:nvSpPr>
      <xdr:spPr>
        <a:xfrm>
          <a:off x="7952568" y="604989"/>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10</xdr:col>
      <xdr:colOff>1053353</xdr:colOff>
      <xdr:row>1</xdr:row>
      <xdr:rowOff>155865</xdr:rowOff>
    </xdr:from>
    <xdr:ext cx="1030279" cy="1084674"/>
    <xdr:pic>
      <xdr:nvPicPr>
        <xdr:cNvPr id="5" name="Imagem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01528" y="232065"/>
          <a:ext cx="1030279" cy="1084674"/>
        </a:xfrm>
        <a:prstGeom prst="rect">
          <a:avLst/>
        </a:prstGeom>
        <a:noFill/>
        <a:ln>
          <a:noFill/>
        </a:ln>
      </xdr:spPr>
    </xdr:pic>
    <xdr:clientData/>
  </xdr:oneCellAnchor>
  <xdr:oneCellAnchor>
    <xdr:from>
      <xdr:col>43</xdr:col>
      <xdr:colOff>1037114</xdr:colOff>
      <xdr:row>1</xdr:row>
      <xdr:rowOff>56030</xdr:rowOff>
    </xdr:from>
    <xdr:ext cx="5480796" cy="419217"/>
    <xdr:sp macro="" textlink="">
      <xdr:nvSpPr>
        <xdr:cNvPr id="6" name="Retângulo 5">
          <a:extLst>
            <a:ext uri="{FF2B5EF4-FFF2-40B4-BE49-F238E27FC236}">
              <a16:creationId xmlns:a16="http://schemas.microsoft.com/office/drawing/2014/main" id="{00000000-0008-0000-0300-000006000000}"/>
            </a:ext>
          </a:extLst>
        </xdr:cNvPr>
        <xdr:cNvSpPr/>
      </xdr:nvSpPr>
      <xdr:spPr>
        <a:xfrm>
          <a:off x="23220839" y="132230"/>
          <a:ext cx="5480796" cy="419217"/>
        </a:xfrm>
        <a:prstGeom prst="rect">
          <a:avLst/>
        </a:prstGeom>
        <a:noFill/>
      </xdr:spPr>
      <xdr:txBody>
        <a:bodyPr wrap="square" lIns="91440" tIns="45720" rIns="91440" bIns="45720">
          <a:spAutoFit/>
        </a:bodyPr>
        <a:lstStyle/>
        <a:p>
          <a:pPr algn="ctr"/>
          <a:r>
            <a:rPr lang="pt-BR" sz="20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4</a:t>
          </a:r>
          <a:endParaRPr lang="pt-BR" sz="20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43</xdr:col>
      <xdr:colOff>934155</xdr:colOff>
      <xdr:row>2</xdr:row>
      <xdr:rowOff>143019</xdr:rowOff>
    </xdr:from>
    <xdr:ext cx="5807878" cy="406843"/>
    <xdr:sp macro="" textlink="">
      <xdr:nvSpPr>
        <xdr:cNvPr id="7" name="Retângulo 6">
          <a:extLst>
            <a:ext uri="{FF2B5EF4-FFF2-40B4-BE49-F238E27FC236}">
              <a16:creationId xmlns:a16="http://schemas.microsoft.com/office/drawing/2014/main" id="{00000000-0008-0000-0300-000007000000}"/>
            </a:ext>
          </a:extLst>
        </xdr:cNvPr>
        <xdr:cNvSpPr/>
      </xdr:nvSpPr>
      <xdr:spPr>
        <a:xfrm>
          <a:off x="23117880" y="990744"/>
          <a:ext cx="5807878" cy="406843"/>
        </a:xfrm>
        <a:prstGeom prst="rect">
          <a:avLst/>
        </a:prstGeom>
        <a:noFill/>
      </xdr:spPr>
      <xdr:txBody>
        <a:bodyPr wrap="square" lIns="91440" tIns="45720" rIns="91440" bIns="45720">
          <a:spAutoFit/>
        </a:bodyPr>
        <a:lstStyle/>
        <a:p>
          <a:pPr algn="ctr"/>
          <a:endParaRPr lang="pt-BR" sz="2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latin typeface="Century Gothic" panose="020B0502020202020204" pitchFamily="34" charset="0"/>
          </a:endParaRPr>
        </a:p>
      </xdr:txBody>
    </xdr:sp>
    <xdr:clientData/>
  </xdr:oneCellAnchor>
  <xdr:oneCellAnchor>
    <xdr:from>
      <xdr:col>43</xdr:col>
      <xdr:colOff>1810471</xdr:colOff>
      <xdr:row>1</xdr:row>
      <xdr:rowOff>428493</xdr:rowOff>
    </xdr:from>
    <xdr:ext cx="4429418" cy="502152"/>
    <xdr:sp macro="" textlink="">
      <xdr:nvSpPr>
        <xdr:cNvPr id="8" name="Retângulo 7">
          <a:extLst>
            <a:ext uri="{FF2B5EF4-FFF2-40B4-BE49-F238E27FC236}">
              <a16:creationId xmlns:a16="http://schemas.microsoft.com/office/drawing/2014/main" id="{00000000-0008-0000-0300-000008000000}"/>
            </a:ext>
          </a:extLst>
        </xdr:cNvPr>
        <xdr:cNvSpPr/>
      </xdr:nvSpPr>
      <xdr:spPr>
        <a:xfrm>
          <a:off x="23994196" y="504693"/>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43</xdr:col>
      <xdr:colOff>93575</xdr:colOff>
      <xdr:row>1</xdr:row>
      <xdr:rowOff>248766</xdr:rowOff>
    </xdr:from>
    <xdr:ext cx="902071" cy="949697"/>
    <xdr:pic>
      <xdr:nvPicPr>
        <xdr:cNvPr id="9" name="Imagem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77300" y="324966"/>
          <a:ext cx="902071" cy="949697"/>
        </a:xfrm>
        <a:prstGeom prst="rect">
          <a:avLst/>
        </a:prstGeom>
        <a:noFill/>
        <a:ln>
          <a:noFill/>
        </a:ln>
      </xdr:spPr>
    </xdr:pic>
    <xdr:clientData/>
  </xdr:oneCellAnchor>
  <xdr:oneCellAnchor>
    <xdr:from>
      <xdr:col>24</xdr:col>
      <xdr:colOff>933144</xdr:colOff>
      <xdr:row>1</xdr:row>
      <xdr:rowOff>154845</xdr:rowOff>
    </xdr:from>
    <xdr:ext cx="1030279" cy="1084674"/>
    <xdr:pic>
      <xdr:nvPicPr>
        <xdr:cNvPr id="10" name="Imagem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9469" y="231045"/>
          <a:ext cx="1030279" cy="1084674"/>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2</xdr:col>
      <xdr:colOff>951372</xdr:colOff>
      <xdr:row>1</xdr:row>
      <xdr:rowOff>78443</xdr:rowOff>
    </xdr:from>
    <xdr:ext cx="6724638" cy="549959"/>
    <xdr:sp macro="" textlink="">
      <xdr:nvSpPr>
        <xdr:cNvPr id="6" name="Retângulo 5">
          <a:extLst>
            <a:ext uri="{FF2B5EF4-FFF2-40B4-BE49-F238E27FC236}">
              <a16:creationId xmlns:a16="http://schemas.microsoft.com/office/drawing/2014/main" id="{00000000-0008-0000-0400-000006000000}"/>
            </a:ext>
          </a:extLst>
        </xdr:cNvPr>
        <xdr:cNvSpPr/>
      </xdr:nvSpPr>
      <xdr:spPr>
        <a:xfrm>
          <a:off x="4342272" y="154643"/>
          <a:ext cx="6724638" cy="549959"/>
        </a:xfrm>
        <a:prstGeom prst="rect">
          <a:avLst/>
        </a:prstGeom>
        <a:noFill/>
      </xdr:spPr>
      <xdr:txBody>
        <a:bodyPr wrap="square" lIns="91440" tIns="45720" rIns="91440" bIns="45720">
          <a:spAutoFit/>
        </a:bodyPr>
        <a:lstStyle/>
        <a:p>
          <a:pPr algn="ctr"/>
          <a:r>
            <a:rPr lang="pt-BR" sz="28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6</a:t>
          </a:r>
          <a:endParaRPr lang="pt-BR" sz="28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3</xdr:col>
      <xdr:colOff>23092</xdr:colOff>
      <xdr:row>2</xdr:row>
      <xdr:rowOff>232668</xdr:rowOff>
    </xdr:from>
    <xdr:ext cx="5807878" cy="419217"/>
    <xdr:sp macro="" textlink="">
      <xdr:nvSpPr>
        <xdr:cNvPr id="7" name="Retângulo 6">
          <a:extLst>
            <a:ext uri="{FF2B5EF4-FFF2-40B4-BE49-F238E27FC236}">
              <a16:creationId xmlns:a16="http://schemas.microsoft.com/office/drawing/2014/main" id="{00000000-0008-0000-0400-000007000000}"/>
            </a:ext>
          </a:extLst>
        </xdr:cNvPr>
        <xdr:cNvSpPr/>
      </xdr:nvSpPr>
      <xdr:spPr>
        <a:xfrm>
          <a:off x="4852267" y="1080393"/>
          <a:ext cx="5807878" cy="419217"/>
        </a:xfrm>
        <a:prstGeom prst="rect">
          <a:avLst/>
        </a:prstGeom>
        <a:noFill/>
      </xdr:spPr>
      <xdr:txBody>
        <a:bodyPr wrap="square" lIns="91440" tIns="45720" rIns="91440" bIns="45720">
          <a:spAutoFit/>
        </a:bodyPr>
        <a:lstStyle/>
        <a:p>
          <a:pPr algn="ctr"/>
          <a:endParaRPr lang="pt-BR" sz="2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latin typeface="Century Gothic" panose="020B0502020202020204" pitchFamily="34" charset="0"/>
          </a:endParaRPr>
        </a:p>
      </xdr:txBody>
    </xdr:sp>
    <xdr:clientData/>
  </xdr:oneCellAnchor>
  <xdr:oneCellAnchor>
    <xdr:from>
      <xdr:col>4</xdr:col>
      <xdr:colOff>81945</xdr:colOff>
      <xdr:row>1</xdr:row>
      <xdr:rowOff>528789</xdr:rowOff>
    </xdr:from>
    <xdr:ext cx="4429418" cy="502152"/>
    <xdr:sp macro="" textlink="">
      <xdr:nvSpPr>
        <xdr:cNvPr id="8" name="Retângulo 7">
          <a:extLst>
            <a:ext uri="{FF2B5EF4-FFF2-40B4-BE49-F238E27FC236}">
              <a16:creationId xmlns:a16="http://schemas.microsoft.com/office/drawing/2014/main" id="{00000000-0008-0000-0400-000008000000}"/>
            </a:ext>
          </a:extLst>
        </xdr:cNvPr>
        <xdr:cNvSpPr/>
      </xdr:nvSpPr>
      <xdr:spPr>
        <a:xfrm>
          <a:off x="5444520" y="604989"/>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1</xdr:col>
      <xdr:colOff>2116224</xdr:colOff>
      <xdr:row>1</xdr:row>
      <xdr:rowOff>308159</xdr:rowOff>
    </xdr:from>
    <xdr:ext cx="902071" cy="949697"/>
    <xdr:pic>
      <xdr:nvPicPr>
        <xdr:cNvPr id="9" name="Imagem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2424" y="384359"/>
          <a:ext cx="902071" cy="949697"/>
        </a:xfrm>
        <a:prstGeom prst="rect">
          <a:avLst/>
        </a:prstGeom>
        <a:noFill/>
        <a:ln>
          <a:noFill/>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12</xdr:col>
      <xdr:colOff>22411</xdr:colOff>
      <xdr:row>1</xdr:row>
      <xdr:rowOff>78443</xdr:rowOff>
    </xdr:from>
    <xdr:ext cx="7789199" cy="549959"/>
    <xdr:sp macro="" textlink="">
      <xdr:nvSpPr>
        <xdr:cNvPr id="16" name="Retângulo 15">
          <a:extLst>
            <a:ext uri="{FF2B5EF4-FFF2-40B4-BE49-F238E27FC236}">
              <a16:creationId xmlns:a16="http://schemas.microsoft.com/office/drawing/2014/main" id="{00000000-0008-0000-0500-000010000000}"/>
            </a:ext>
          </a:extLst>
        </xdr:cNvPr>
        <xdr:cNvSpPr/>
      </xdr:nvSpPr>
      <xdr:spPr>
        <a:xfrm>
          <a:off x="6051736" y="154643"/>
          <a:ext cx="7789199" cy="549959"/>
        </a:xfrm>
        <a:prstGeom prst="rect">
          <a:avLst/>
        </a:prstGeom>
        <a:noFill/>
      </xdr:spPr>
      <xdr:txBody>
        <a:bodyPr wrap="square" lIns="91440" tIns="45720" rIns="91440" bIns="45720">
          <a:spAutoFit/>
        </a:bodyPr>
        <a:lstStyle/>
        <a:p>
          <a:pPr algn="ctr"/>
          <a:r>
            <a:rPr lang="pt-BR" sz="28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6</a:t>
          </a:r>
          <a:endParaRPr lang="pt-BR" sz="28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14</xdr:col>
      <xdr:colOff>730865</xdr:colOff>
      <xdr:row>2</xdr:row>
      <xdr:rowOff>232668</xdr:rowOff>
    </xdr:from>
    <xdr:ext cx="5807878" cy="419217"/>
    <xdr:sp macro="" textlink="">
      <xdr:nvSpPr>
        <xdr:cNvPr id="17" name="Retângulo 16">
          <a:extLst>
            <a:ext uri="{FF2B5EF4-FFF2-40B4-BE49-F238E27FC236}">
              <a16:creationId xmlns:a16="http://schemas.microsoft.com/office/drawing/2014/main" id="{00000000-0008-0000-0500-000011000000}"/>
            </a:ext>
          </a:extLst>
        </xdr:cNvPr>
        <xdr:cNvSpPr/>
      </xdr:nvSpPr>
      <xdr:spPr>
        <a:xfrm>
          <a:off x="7255490" y="1080393"/>
          <a:ext cx="5807878" cy="419217"/>
        </a:xfrm>
        <a:prstGeom prst="rect">
          <a:avLst/>
        </a:prstGeom>
        <a:noFill/>
      </xdr:spPr>
      <xdr:txBody>
        <a:bodyPr wrap="square" lIns="91440" tIns="45720" rIns="91440" bIns="45720">
          <a:spAutoFit/>
        </a:bodyPr>
        <a:lstStyle/>
        <a:p>
          <a:pPr algn="ctr"/>
          <a:endParaRPr lang="pt-BR" sz="2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latin typeface="Century Gothic" panose="020B0502020202020204" pitchFamily="34" charset="0"/>
          </a:endParaRPr>
        </a:p>
      </xdr:txBody>
    </xdr:sp>
    <xdr:clientData/>
  </xdr:oneCellAnchor>
  <xdr:oneCellAnchor>
    <xdr:from>
      <xdr:col>15</xdr:col>
      <xdr:colOff>180168</xdr:colOff>
      <xdr:row>1</xdr:row>
      <xdr:rowOff>528789</xdr:rowOff>
    </xdr:from>
    <xdr:ext cx="4429418" cy="502152"/>
    <xdr:sp macro="" textlink="">
      <xdr:nvSpPr>
        <xdr:cNvPr id="18" name="Retângulo 17">
          <a:extLst>
            <a:ext uri="{FF2B5EF4-FFF2-40B4-BE49-F238E27FC236}">
              <a16:creationId xmlns:a16="http://schemas.microsoft.com/office/drawing/2014/main" id="{00000000-0008-0000-0500-000012000000}"/>
            </a:ext>
          </a:extLst>
        </xdr:cNvPr>
        <xdr:cNvSpPr/>
      </xdr:nvSpPr>
      <xdr:spPr>
        <a:xfrm>
          <a:off x="7952568" y="604989"/>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10</xdr:col>
      <xdr:colOff>1053353</xdr:colOff>
      <xdr:row>1</xdr:row>
      <xdr:rowOff>155865</xdr:rowOff>
    </xdr:from>
    <xdr:ext cx="1030279" cy="1084674"/>
    <xdr:pic>
      <xdr:nvPicPr>
        <xdr:cNvPr id="19" name="Imagem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01528" y="232065"/>
          <a:ext cx="1030279" cy="1084674"/>
        </a:xfrm>
        <a:prstGeom prst="rect">
          <a:avLst/>
        </a:prstGeom>
        <a:noFill/>
        <a:ln>
          <a:noFill/>
        </a:ln>
      </xdr:spPr>
    </xdr:pic>
    <xdr:clientData/>
  </xdr:oneCellAnchor>
  <xdr:oneCellAnchor>
    <xdr:from>
      <xdr:col>43</xdr:col>
      <xdr:colOff>1037114</xdr:colOff>
      <xdr:row>1</xdr:row>
      <xdr:rowOff>56030</xdr:rowOff>
    </xdr:from>
    <xdr:ext cx="5480796" cy="419217"/>
    <xdr:sp macro="" textlink="">
      <xdr:nvSpPr>
        <xdr:cNvPr id="20" name="Retângulo 19">
          <a:extLst>
            <a:ext uri="{FF2B5EF4-FFF2-40B4-BE49-F238E27FC236}">
              <a16:creationId xmlns:a16="http://schemas.microsoft.com/office/drawing/2014/main" id="{00000000-0008-0000-0500-000014000000}"/>
            </a:ext>
          </a:extLst>
        </xdr:cNvPr>
        <xdr:cNvSpPr/>
      </xdr:nvSpPr>
      <xdr:spPr>
        <a:xfrm>
          <a:off x="23220839" y="132230"/>
          <a:ext cx="5480796" cy="419217"/>
        </a:xfrm>
        <a:prstGeom prst="rect">
          <a:avLst/>
        </a:prstGeom>
        <a:noFill/>
      </xdr:spPr>
      <xdr:txBody>
        <a:bodyPr wrap="square" lIns="91440" tIns="45720" rIns="91440" bIns="45720">
          <a:spAutoFit/>
        </a:bodyPr>
        <a:lstStyle/>
        <a:p>
          <a:pPr algn="ctr"/>
          <a:r>
            <a:rPr lang="pt-BR" sz="20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4 </a:t>
          </a:r>
          <a:endParaRPr lang="pt-BR" sz="20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43</xdr:col>
      <xdr:colOff>934155</xdr:colOff>
      <xdr:row>2</xdr:row>
      <xdr:rowOff>143019</xdr:rowOff>
    </xdr:from>
    <xdr:ext cx="5807878" cy="406843"/>
    <xdr:sp macro="" textlink="">
      <xdr:nvSpPr>
        <xdr:cNvPr id="21" name="Retângulo 20">
          <a:extLst>
            <a:ext uri="{FF2B5EF4-FFF2-40B4-BE49-F238E27FC236}">
              <a16:creationId xmlns:a16="http://schemas.microsoft.com/office/drawing/2014/main" id="{00000000-0008-0000-0500-000015000000}"/>
            </a:ext>
          </a:extLst>
        </xdr:cNvPr>
        <xdr:cNvSpPr/>
      </xdr:nvSpPr>
      <xdr:spPr>
        <a:xfrm>
          <a:off x="23117880" y="990744"/>
          <a:ext cx="5807878" cy="406843"/>
        </a:xfrm>
        <a:prstGeom prst="rect">
          <a:avLst/>
        </a:prstGeom>
        <a:noFill/>
      </xdr:spPr>
      <xdr:txBody>
        <a:bodyPr wrap="square" lIns="91440" tIns="45720" rIns="91440" bIns="45720">
          <a:spAutoFit/>
        </a:bodyPr>
        <a:lstStyle/>
        <a:p>
          <a:pPr algn="ctr"/>
          <a:endParaRPr lang="pt-BR" sz="2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latin typeface="Century Gothic" panose="020B0502020202020204" pitchFamily="34" charset="0"/>
          </a:endParaRPr>
        </a:p>
      </xdr:txBody>
    </xdr:sp>
    <xdr:clientData/>
  </xdr:oneCellAnchor>
  <xdr:oneCellAnchor>
    <xdr:from>
      <xdr:col>43</xdr:col>
      <xdr:colOff>1810471</xdr:colOff>
      <xdr:row>1</xdr:row>
      <xdr:rowOff>428493</xdr:rowOff>
    </xdr:from>
    <xdr:ext cx="4429418" cy="502152"/>
    <xdr:sp macro="" textlink="">
      <xdr:nvSpPr>
        <xdr:cNvPr id="22" name="Retângulo 21">
          <a:extLst>
            <a:ext uri="{FF2B5EF4-FFF2-40B4-BE49-F238E27FC236}">
              <a16:creationId xmlns:a16="http://schemas.microsoft.com/office/drawing/2014/main" id="{00000000-0008-0000-0500-000016000000}"/>
            </a:ext>
          </a:extLst>
        </xdr:cNvPr>
        <xdr:cNvSpPr/>
      </xdr:nvSpPr>
      <xdr:spPr>
        <a:xfrm>
          <a:off x="23994196" y="504693"/>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43</xdr:col>
      <xdr:colOff>93575</xdr:colOff>
      <xdr:row>1</xdr:row>
      <xdr:rowOff>248766</xdr:rowOff>
    </xdr:from>
    <xdr:ext cx="902071" cy="949697"/>
    <xdr:pic>
      <xdr:nvPicPr>
        <xdr:cNvPr id="23" name="Imagem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77300" y="324966"/>
          <a:ext cx="902071" cy="949697"/>
        </a:xfrm>
        <a:prstGeom prst="rect">
          <a:avLst/>
        </a:prstGeom>
        <a:noFill/>
        <a:ln>
          <a:noFill/>
        </a:ln>
      </xdr:spPr>
    </xdr:pic>
    <xdr:clientData/>
  </xdr:oneCellAnchor>
  <xdr:oneCellAnchor>
    <xdr:from>
      <xdr:col>24</xdr:col>
      <xdr:colOff>933144</xdr:colOff>
      <xdr:row>1</xdr:row>
      <xdr:rowOff>154845</xdr:rowOff>
    </xdr:from>
    <xdr:ext cx="1030279" cy="1084674"/>
    <xdr:pic>
      <xdr:nvPicPr>
        <xdr:cNvPr id="24" name="Imagem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9469" y="231045"/>
          <a:ext cx="1030279" cy="1084674"/>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2</xdr:col>
      <xdr:colOff>951372</xdr:colOff>
      <xdr:row>1</xdr:row>
      <xdr:rowOff>78443</xdr:rowOff>
    </xdr:from>
    <xdr:ext cx="6724638" cy="549959"/>
    <xdr:sp macro="" textlink="">
      <xdr:nvSpPr>
        <xdr:cNvPr id="6" name="Retângulo 5">
          <a:extLst>
            <a:ext uri="{FF2B5EF4-FFF2-40B4-BE49-F238E27FC236}">
              <a16:creationId xmlns:a16="http://schemas.microsoft.com/office/drawing/2014/main" id="{00000000-0008-0000-0600-000006000000}"/>
            </a:ext>
          </a:extLst>
        </xdr:cNvPr>
        <xdr:cNvSpPr/>
      </xdr:nvSpPr>
      <xdr:spPr>
        <a:xfrm>
          <a:off x="4342272" y="154643"/>
          <a:ext cx="6724638" cy="549959"/>
        </a:xfrm>
        <a:prstGeom prst="rect">
          <a:avLst/>
        </a:prstGeom>
        <a:noFill/>
      </xdr:spPr>
      <xdr:txBody>
        <a:bodyPr wrap="square" lIns="91440" tIns="45720" rIns="91440" bIns="45720">
          <a:spAutoFit/>
        </a:bodyPr>
        <a:lstStyle/>
        <a:p>
          <a:pPr algn="ctr"/>
          <a:r>
            <a:rPr lang="pt-BR" sz="28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6</a:t>
          </a:r>
          <a:endParaRPr lang="pt-BR" sz="28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3</xdr:col>
      <xdr:colOff>23092</xdr:colOff>
      <xdr:row>2</xdr:row>
      <xdr:rowOff>232668</xdr:rowOff>
    </xdr:from>
    <xdr:ext cx="5807878" cy="419217"/>
    <xdr:sp macro="" textlink="">
      <xdr:nvSpPr>
        <xdr:cNvPr id="7" name="Retângulo 6">
          <a:extLst>
            <a:ext uri="{FF2B5EF4-FFF2-40B4-BE49-F238E27FC236}">
              <a16:creationId xmlns:a16="http://schemas.microsoft.com/office/drawing/2014/main" id="{00000000-0008-0000-0600-000007000000}"/>
            </a:ext>
          </a:extLst>
        </xdr:cNvPr>
        <xdr:cNvSpPr/>
      </xdr:nvSpPr>
      <xdr:spPr>
        <a:xfrm>
          <a:off x="4852267" y="1080393"/>
          <a:ext cx="5807878" cy="419217"/>
        </a:xfrm>
        <a:prstGeom prst="rect">
          <a:avLst/>
        </a:prstGeom>
        <a:noFill/>
      </xdr:spPr>
      <xdr:txBody>
        <a:bodyPr wrap="square" lIns="91440" tIns="45720" rIns="91440" bIns="45720">
          <a:spAutoFit/>
        </a:bodyPr>
        <a:lstStyle/>
        <a:p>
          <a:pPr algn="ctr"/>
          <a:endParaRPr lang="pt-BR" sz="2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latin typeface="Century Gothic" panose="020B0502020202020204" pitchFamily="34" charset="0"/>
          </a:endParaRPr>
        </a:p>
      </xdr:txBody>
    </xdr:sp>
    <xdr:clientData/>
  </xdr:oneCellAnchor>
  <xdr:oneCellAnchor>
    <xdr:from>
      <xdr:col>4</xdr:col>
      <xdr:colOff>81945</xdr:colOff>
      <xdr:row>1</xdr:row>
      <xdr:rowOff>528789</xdr:rowOff>
    </xdr:from>
    <xdr:ext cx="4429418" cy="502152"/>
    <xdr:sp macro="" textlink="">
      <xdr:nvSpPr>
        <xdr:cNvPr id="8" name="Retângulo 7">
          <a:extLst>
            <a:ext uri="{FF2B5EF4-FFF2-40B4-BE49-F238E27FC236}">
              <a16:creationId xmlns:a16="http://schemas.microsoft.com/office/drawing/2014/main" id="{00000000-0008-0000-0600-000008000000}"/>
            </a:ext>
          </a:extLst>
        </xdr:cNvPr>
        <xdr:cNvSpPr/>
      </xdr:nvSpPr>
      <xdr:spPr>
        <a:xfrm>
          <a:off x="5444520" y="604989"/>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1</xdr:col>
      <xdr:colOff>2116224</xdr:colOff>
      <xdr:row>1</xdr:row>
      <xdr:rowOff>308159</xdr:rowOff>
    </xdr:from>
    <xdr:ext cx="902071" cy="949697"/>
    <xdr:pic>
      <xdr:nvPicPr>
        <xdr:cNvPr id="9" name="Imagem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2424" y="384359"/>
          <a:ext cx="902071" cy="949697"/>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12</xdr:col>
      <xdr:colOff>22411</xdr:colOff>
      <xdr:row>1</xdr:row>
      <xdr:rowOff>78443</xdr:rowOff>
    </xdr:from>
    <xdr:ext cx="7789199" cy="549959"/>
    <xdr:sp macro="" textlink="">
      <xdr:nvSpPr>
        <xdr:cNvPr id="11" name="Retângulo 10">
          <a:extLst>
            <a:ext uri="{FF2B5EF4-FFF2-40B4-BE49-F238E27FC236}">
              <a16:creationId xmlns:a16="http://schemas.microsoft.com/office/drawing/2014/main" id="{00000000-0008-0000-0700-00000B000000}"/>
            </a:ext>
          </a:extLst>
        </xdr:cNvPr>
        <xdr:cNvSpPr/>
      </xdr:nvSpPr>
      <xdr:spPr>
        <a:xfrm>
          <a:off x="6051736" y="154643"/>
          <a:ext cx="7789199" cy="549959"/>
        </a:xfrm>
        <a:prstGeom prst="rect">
          <a:avLst/>
        </a:prstGeom>
        <a:noFill/>
      </xdr:spPr>
      <xdr:txBody>
        <a:bodyPr wrap="square" lIns="91440" tIns="45720" rIns="91440" bIns="45720">
          <a:spAutoFit/>
        </a:bodyPr>
        <a:lstStyle/>
        <a:p>
          <a:pPr algn="ctr"/>
          <a:r>
            <a:rPr lang="pt-BR" sz="28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6</a:t>
          </a:r>
          <a:endParaRPr lang="pt-BR" sz="28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14</xdr:col>
      <xdr:colOff>730865</xdr:colOff>
      <xdr:row>2</xdr:row>
      <xdr:rowOff>232668</xdr:rowOff>
    </xdr:from>
    <xdr:ext cx="5807878" cy="419217"/>
    <xdr:sp macro="" textlink="">
      <xdr:nvSpPr>
        <xdr:cNvPr id="12" name="Retângulo 11">
          <a:extLst>
            <a:ext uri="{FF2B5EF4-FFF2-40B4-BE49-F238E27FC236}">
              <a16:creationId xmlns:a16="http://schemas.microsoft.com/office/drawing/2014/main" id="{00000000-0008-0000-0700-00000C000000}"/>
            </a:ext>
          </a:extLst>
        </xdr:cNvPr>
        <xdr:cNvSpPr/>
      </xdr:nvSpPr>
      <xdr:spPr>
        <a:xfrm>
          <a:off x="7255490" y="1080393"/>
          <a:ext cx="5807878" cy="419217"/>
        </a:xfrm>
        <a:prstGeom prst="rect">
          <a:avLst/>
        </a:prstGeom>
        <a:noFill/>
      </xdr:spPr>
      <xdr:txBody>
        <a:bodyPr wrap="square" lIns="91440" tIns="45720" rIns="91440" bIns="45720">
          <a:spAutoFit/>
        </a:bodyPr>
        <a:lstStyle/>
        <a:p>
          <a:pPr algn="ctr"/>
          <a:endParaRPr lang="pt-BR" sz="2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latin typeface="Century Gothic" panose="020B0502020202020204" pitchFamily="34" charset="0"/>
          </a:endParaRPr>
        </a:p>
      </xdr:txBody>
    </xdr:sp>
    <xdr:clientData/>
  </xdr:oneCellAnchor>
  <xdr:oneCellAnchor>
    <xdr:from>
      <xdr:col>15</xdr:col>
      <xdr:colOff>180168</xdr:colOff>
      <xdr:row>1</xdr:row>
      <xdr:rowOff>528789</xdr:rowOff>
    </xdr:from>
    <xdr:ext cx="4429418" cy="502152"/>
    <xdr:sp macro="" textlink="">
      <xdr:nvSpPr>
        <xdr:cNvPr id="13" name="Retângulo 12">
          <a:extLst>
            <a:ext uri="{FF2B5EF4-FFF2-40B4-BE49-F238E27FC236}">
              <a16:creationId xmlns:a16="http://schemas.microsoft.com/office/drawing/2014/main" id="{00000000-0008-0000-0700-00000D000000}"/>
            </a:ext>
          </a:extLst>
        </xdr:cNvPr>
        <xdr:cNvSpPr/>
      </xdr:nvSpPr>
      <xdr:spPr>
        <a:xfrm>
          <a:off x="7952568" y="604989"/>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10</xdr:col>
      <xdr:colOff>1053353</xdr:colOff>
      <xdr:row>1</xdr:row>
      <xdr:rowOff>155865</xdr:rowOff>
    </xdr:from>
    <xdr:ext cx="1030279" cy="1084674"/>
    <xdr:pic>
      <xdr:nvPicPr>
        <xdr:cNvPr id="14" name="Imagem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01528" y="232065"/>
          <a:ext cx="1030279" cy="1084674"/>
        </a:xfrm>
        <a:prstGeom prst="rect">
          <a:avLst/>
        </a:prstGeom>
        <a:noFill/>
        <a:ln>
          <a:noFill/>
        </a:ln>
      </xdr:spPr>
    </xdr:pic>
    <xdr:clientData/>
  </xdr:oneCellAnchor>
  <xdr:oneCellAnchor>
    <xdr:from>
      <xdr:col>43</xdr:col>
      <xdr:colOff>1037114</xdr:colOff>
      <xdr:row>1</xdr:row>
      <xdr:rowOff>56030</xdr:rowOff>
    </xdr:from>
    <xdr:ext cx="5480796" cy="419217"/>
    <xdr:sp macro="" textlink="">
      <xdr:nvSpPr>
        <xdr:cNvPr id="15" name="Retângulo 14">
          <a:extLst>
            <a:ext uri="{FF2B5EF4-FFF2-40B4-BE49-F238E27FC236}">
              <a16:creationId xmlns:a16="http://schemas.microsoft.com/office/drawing/2014/main" id="{00000000-0008-0000-0700-00000F000000}"/>
            </a:ext>
          </a:extLst>
        </xdr:cNvPr>
        <xdr:cNvSpPr/>
      </xdr:nvSpPr>
      <xdr:spPr>
        <a:xfrm>
          <a:off x="23220839" y="132230"/>
          <a:ext cx="5480796" cy="419217"/>
        </a:xfrm>
        <a:prstGeom prst="rect">
          <a:avLst/>
        </a:prstGeom>
        <a:noFill/>
      </xdr:spPr>
      <xdr:txBody>
        <a:bodyPr wrap="square" lIns="91440" tIns="45720" rIns="91440" bIns="45720">
          <a:spAutoFit/>
        </a:bodyPr>
        <a:lstStyle/>
        <a:p>
          <a:pPr algn="ctr"/>
          <a:r>
            <a:rPr lang="pt-BR" sz="20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4</a:t>
          </a:r>
          <a:endParaRPr lang="pt-BR" sz="20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43</xdr:col>
      <xdr:colOff>934155</xdr:colOff>
      <xdr:row>2</xdr:row>
      <xdr:rowOff>143019</xdr:rowOff>
    </xdr:from>
    <xdr:ext cx="5807878" cy="406843"/>
    <xdr:sp macro="" textlink="">
      <xdr:nvSpPr>
        <xdr:cNvPr id="16" name="Retângulo 15">
          <a:extLst>
            <a:ext uri="{FF2B5EF4-FFF2-40B4-BE49-F238E27FC236}">
              <a16:creationId xmlns:a16="http://schemas.microsoft.com/office/drawing/2014/main" id="{00000000-0008-0000-0700-000010000000}"/>
            </a:ext>
          </a:extLst>
        </xdr:cNvPr>
        <xdr:cNvSpPr/>
      </xdr:nvSpPr>
      <xdr:spPr>
        <a:xfrm>
          <a:off x="23117880" y="990744"/>
          <a:ext cx="5807878" cy="406843"/>
        </a:xfrm>
        <a:prstGeom prst="rect">
          <a:avLst/>
        </a:prstGeom>
        <a:noFill/>
      </xdr:spPr>
      <xdr:txBody>
        <a:bodyPr wrap="square" lIns="91440" tIns="45720" rIns="91440" bIns="45720">
          <a:spAutoFit/>
        </a:bodyPr>
        <a:lstStyle/>
        <a:p>
          <a:pPr algn="ctr"/>
          <a:endParaRPr lang="pt-BR" sz="2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latin typeface="Century Gothic" panose="020B0502020202020204" pitchFamily="34" charset="0"/>
          </a:endParaRPr>
        </a:p>
      </xdr:txBody>
    </xdr:sp>
    <xdr:clientData/>
  </xdr:oneCellAnchor>
  <xdr:oneCellAnchor>
    <xdr:from>
      <xdr:col>43</xdr:col>
      <xdr:colOff>1810471</xdr:colOff>
      <xdr:row>1</xdr:row>
      <xdr:rowOff>428493</xdr:rowOff>
    </xdr:from>
    <xdr:ext cx="4429418" cy="502152"/>
    <xdr:sp macro="" textlink="">
      <xdr:nvSpPr>
        <xdr:cNvPr id="17" name="Retângulo 16">
          <a:extLst>
            <a:ext uri="{FF2B5EF4-FFF2-40B4-BE49-F238E27FC236}">
              <a16:creationId xmlns:a16="http://schemas.microsoft.com/office/drawing/2014/main" id="{00000000-0008-0000-0700-000011000000}"/>
            </a:ext>
          </a:extLst>
        </xdr:cNvPr>
        <xdr:cNvSpPr/>
      </xdr:nvSpPr>
      <xdr:spPr>
        <a:xfrm>
          <a:off x="23994196" y="504693"/>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43</xdr:col>
      <xdr:colOff>93575</xdr:colOff>
      <xdr:row>1</xdr:row>
      <xdr:rowOff>248766</xdr:rowOff>
    </xdr:from>
    <xdr:ext cx="902071" cy="949697"/>
    <xdr:pic>
      <xdr:nvPicPr>
        <xdr:cNvPr id="18" name="Imagem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77300" y="324966"/>
          <a:ext cx="902071" cy="949697"/>
        </a:xfrm>
        <a:prstGeom prst="rect">
          <a:avLst/>
        </a:prstGeom>
        <a:noFill/>
        <a:ln>
          <a:noFill/>
        </a:ln>
      </xdr:spPr>
    </xdr:pic>
    <xdr:clientData/>
  </xdr:oneCellAnchor>
  <xdr:oneCellAnchor>
    <xdr:from>
      <xdr:col>24</xdr:col>
      <xdr:colOff>933144</xdr:colOff>
      <xdr:row>1</xdr:row>
      <xdr:rowOff>154845</xdr:rowOff>
    </xdr:from>
    <xdr:ext cx="1030279" cy="1084674"/>
    <xdr:pic>
      <xdr:nvPicPr>
        <xdr:cNvPr id="19" name="Imagem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9469" y="231045"/>
          <a:ext cx="1030279" cy="1084674"/>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2</xdr:col>
      <xdr:colOff>951372</xdr:colOff>
      <xdr:row>1</xdr:row>
      <xdr:rowOff>78443</xdr:rowOff>
    </xdr:from>
    <xdr:ext cx="6724638" cy="549959"/>
    <xdr:sp macro="" textlink="">
      <xdr:nvSpPr>
        <xdr:cNvPr id="6" name="Retângulo 5">
          <a:extLst>
            <a:ext uri="{FF2B5EF4-FFF2-40B4-BE49-F238E27FC236}">
              <a16:creationId xmlns:a16="http://schemas.microsoft.com/office/drawing/2014/main" id="{00000000-0008-0000-0800-000006000000}"/>
            </a:ext>
          </a:extLst>
        </xdr:cNvPr>
        <xdr:cNvSpPr/>
      </xdr:nvSpPr>
      <xdr:spPr>
        <a:xfrm>
          <a:off x="4342272" y="154643"/>
          <a:ext cx="6724638" cy="549959"/>
        </a:xfrm>
        <a:prstGeom prst="rect">
          <a:avLst/>
        </a:prstGeom>
        <a:noFill/>
      </xdr:spPr>
      <xdr:txBody>
        <a:bodyPr wrap="square" lIns="91440" tIns="45720" rIns="91440" bIns="45720">
          <a:spAutoFit/>
        </a:bodyPr>
        <a:lstStyle/>
        <a:p>
          <a:pPr algn="ctr"/>
          <a:r>
            <a:rPr lang="pt-BR" sz="2800" b="1" cap="none" spc="50" baseline="0">
              <a:ln w="9525" cmpd="sng">
                <a:solidFill>
                  <a:schemeClr val="accent1"/>
                </a:solidFill>
                <a:prstDash val="solid"/>
              </a:ln>
              <a:solidFill>
                <a:srgbClr val="70AD47">
                  <a:tint val="1000"/>
                </a:srgbClr>
              </a:solidFill>
              <a:effectLst>
                <a:glow rad="38100">
                  <a:schemeClr val="accent1">
                    <a:alpha val="40000"/>
                  </a:schemeClr>
                </a:glow>
              </a:effectLst>
              <a:latin typeface="Century Gothic" panose="020B0502020202020204" pitchFamily="34" charset="0"/>
            </a:rPr>
            <a:t>C I R C U I T O   E S C O L A R   2 0 2 6</a:t>
          </a:r>
          <a:endParaRPr lang="pt-BR" sz="28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4</xdr:col>
      <xdr:colOff>81945</xdr:colOff>
      <xdr:row>1</xdr:row>
      <xdr:rowOff>528789</xdr:rowOff>
    </xdr:from>
    <xdr:ext cx="4429418" cy="502152"/>
    <xdr:sp macro="" textlink="">
      <xdr:nvSpPr>
        <xdr:cNvPr id="8" name="Retângulo 7">
          <a:extLst>
            <a:ext uri="{FF2B5EF4-FFF2-40B4-BE49-F238E27FC236}">
              <a16:creationId xmlns:a16="http://schemas.microsoft.com/office/drawing/2014/main" id="{00000000-0008-0000-0800-000008000000}"/>
            </a:ext>
          </a:extLst>
        </xdr:cNvPr>
        <xdr:cNvSpPr/>
      </xdr:nvSpPr>
      <xdr:spPr>
        <a:xfrm>
          <a:off x="5444520" y="604989"/>
          <a:ext cx="4429418" cy="502152"/>
        </a:xfrm>
        <a:prstGeom prst="rect">
          <a:avLst/>
        </a:prstGeom>
        <a:noFill/>
      </xdr:spPr>
      <xdr:txBody>
        <a:bodyPr wrap="none" lIns="91440" tIns="45720" rIns="91440" bIns="45720">
          <a:noAutofit/>
        </a:bodyPr>
        <a:lstStyle/>
        <a:p>
          <a:pPr algn="ctr"/>
          <a:r>
            <a:rPr lang="pt-BR" sz="28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TÊNIS DE MESA</a:t>
          </a:r>
        </a:p>
      </xdr:txBody>
    </xdr:sp>
    <xdr:clientData/>
  </xdr:oneCellAnchor>
  <xdr:oneCellAnchor>
    <xdr:from>
      <xdr:col>1</xdr:col>
      <xdr:colOff>2116224</xdr:colOff>
      <xdr:row>1</xdr:row>
      <xdr:rowOff>308159</xdr:rowOff>
    </xdr:from>
    <xdr:ext cx="902071" cy="949697"/>
    <xdr:pic>
      <xdr:nvPicPr>
        <xdr:cNvPr id="9" name="Imagem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2424" y="384359"/>
          <a:ext cx="902071" cy="949697"/>
        </a:xfrm>
        <a:prstGeom prst="rect">
          <a:avLst/>
        </a:prstGeom>
        <a:noFill/>
        <a:ln>
          <a:noFill/>
        </a:ln>
      </xdr:spPr>
    </xdr:pic>
    <xdr:clientData/>
  </xdr:one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rgb="FFFF66FF"/>
  </sheetPr>
  <dimension ref="B1:Q432"/>
  <sheetViews>
    <sheetView showGridLines="0" topLeftCell="B1" zoomScale="70" zoomScaleNormal="70" workbookViewId="0">
      <selection activeCell="H82" sqref="H82"/>
    </sheetView>
  </sheetViews>
  <sheetFormatPr defaultColWidth="25.28515625" defaultRowHeight="16.5" x14ac:dyDescent="0.25"/>
  <cols>
    <col min="1" max="1" width="1.140625" style="1" customWidth="1"/>
    <col min="2" max="2" width="55.85546875" style="1" bestFit="1" customWidth="1"/>
    <col min="3" max="3" width="49.28515625" style="2" bestFit="1" customWidth="1"/>
    <col min="4" max="8" width="8" style="1" customWidth="1"/>
    <col min="9" max="9" width="8.140625" style="1" customWidth="1"/>
    <col min="10" max="10" width="49.85546875" style="1" customWidth="1"/>
    <col min="11" max="11" width="50" style="1" bestFit="1" customWidth="1"/>
    <col min="12" max="12" width="14.42578125" style="1" customWidth="1"/>
    <col min="13" max="13" width="7" style="20" bestFit="1" customWidth="1"/>
    <col min="14" max="14" width="10.42578125" style="20" bestFit="1" customWidth="1"/>
    <col min="15" max="15" width="8.42578125" style="20" bestFit="1" customWidth="1"/>
    <col min="16" max="16" width="10.42578125" style="20" bestFit="1" customWidth="1"/>
    <col min="17" max="17" width="25.28515625" style="20"/>
    <col min="18" max="16384" width="25.28515625" style="1"/>
  </cols>
  <sheetData>
    <row r="1" spans="2:17" ht="6" customHeight="1" x14ac:dyDescent="0.25"/>
    <row r="2" spans="2:17" s="3" customFormat="1" ht="60.75" customHeight="1" x14ac:dyDescent="0.25">
      <c r="B2" s="233"/>
      <c r="C2" s="233"/>
      <c r="D2" s="233"/>
      <c r="E2" s="233"/>
      <c r="F2" s="233"/>
      <c r="G2" s="233"/>
      <c r="H2" s="233"/>
      <c r="I2" s="233"/>
      <c r="J2" s="233"/>
      <c r="K2" s="233"/>
      <c r="L2" s="233"/>
      <c r="M2" s="25"/>
      <c r="N2" s="25"/>
      <c r="O2" s="25"/>
      <c r="P2" s="25"/>
      <c r="Q2" s="25"/>
    </row>
    <row r="3" spans="2:17" s="3" customFormat="1" ht="60.75" customHeight="1" x14ac:dyDescent="0.25">
      <c r="B3" s="233"/>
      <c r="C3" s="233"/>
      <c r="D3" s="233"/>
      <c r="E3" s="233"/>
      <c r="F3" s="233"/>
      <c r="G3" s="233"/>
      <c r="H3" s="233"/>
      <c r="I3" s="233"/>
      <c r="J3" s="233"/>
      <c r="K3" s="233"/>
      <c r="L3" s="233"/>
      <c r="M3" s="25"/>
      <c r="N3" s="25"/>
      <c r="O3" s="25"/>
      <c r="P3" s="25"/>
      <c r="Q3" s="25"/>
    </row>
    <row r="4" spans="2:17" s="3" customFormat="1" ht="13.5" customHeight="1" x14ac:dyDescent="0.25">
      <c r="B4" s="233"/>
      <c r="C4" s="233"/>
      <c r="D4" s="233"/>
      <c r="E4" s="233"/>
      <c r="F4" s="233"/>
      <c r="G4" s="233"/>
      <c r="H4" s="233"/>
      <c r="I4" s="233"/>
      <c r="J4" s="233"/>
      <c r="K4" s="233"/>
      <c r="L4" s="233"/>
      <c r="M4" s="25"/>
      <c r="N4" s="25"/>
      <c r="O4" s="25"/>
      <c r="P4" s="25"/>
      <c r="Q4" s="25"/>
    </row>
    <row r="5" spans="2:17" s="3" customFormat="1" ht="30" customHeight="1" x14ac:dyDescent="0.25">
      <c r="B5" s="58" t="s">
        <v>19</v>
      </c>
      <c r="C5" s="221" t="s">
        <v>82</v>
      </c>
      <c r="D5" s="222"/>
      <c r="E5" s="222"/>
      <c r="F5" s="222"/>
      <c r="G5" s="120">
        <v>5</v>
      </c>
      <c r="H5" s="153"/>
      <c r="I5" s="4"/>
      <c r="J5" s="4"/>
      <c r="M5" s="25"/>
      <c r="N5" s="25"/>
      <c r="O5" s="25"/>
      <c r="P5" s="25"/>
      <c r="Q5" s="25"/>
    </row>
    <row r="6" spans="2:17" ht="30" customHeight="1" x14ac:dyDescent="0.25">
      <c r="B6" s="161" t="s">
        <v>39</v>
      </c>
      <c r="C6" s="79"/>
      <c r="D6" s="225" t="s">
        <v>42</v>
      </c>
      <c r="E6" s="226"/>
      <c r="F6" s="226"/>
      <c r="G6" s="227"/>
      <c r="H6" s="154"/>
      <c r="I6" s="225" t="s">
        <v>3</v>
      </c>
      <c r="J6" s="226"/>
      <c r="K6" s="226"/>
      <c r="L6" s="226"/>
    </row>
    <row r="7" spans="2:17" ht="18" customHeight="1" x14ac:dyDescent="0.25">
      <c r="B7" s="9" t="s">
        <v>15</v>
      </c>
      <c r="C7" s="9" t="s">
        <v>0</v>
      </c>
      <c r="D7" s="9" t="s">
        <v>43</v>
      </c>
      <c r="E7" s="9" t="s">
        <v>44</v>
      </c>
      <c r="F7" s="9" t="s">
        <v>77</v>
      </c>
      <c r="G7" s="9" t="s">
        <v>78</v>
      </c>
      <c r="H7" s="155"/>
      <c r="I7" s="9" t="s">
        <v>18</v>
      </c>
      <c r="J7" s="9" t="s">
        <v>15</v>
      </c>
      <c r="K7" s="9" t="s">
        <v>0</v>
      </c>
      <c r="L7" s="9" t="s">
        <v>45</v>
      </c>
    </row>
    <row r="8" spans="2:17" ht="18" customHeight="1" x14ac:dyDescent="0.25">
      <c r="B8" s="15" t="s">
        <v>164</v>
      </c>
      <c r="C8" s="15" t="str">
        <f>IFERROR(IF(B8="","",VLOOKUP(B8,LISTAS!$F$5:$G$1004,2,0)),"0")</f>
        <v>LICEU JARDIM</v>
      </c>
      <c r="D8" s="15" t="str">
        <f>IF(H8&lt;3,"",IF(H8=3,IF(D16&lt;&gt;"",IF(H16&lt;&gt;"",IF(D16&lt;&gt;H16,IF(D16&gt;H16,"V","D"),""),""),""),IF(H8=4,IF(D16&lt;&gt;"",IF(H16&lt;&gt;"",IF(D16&lt;&gt;H16,IF(D16&gt;H16,"V","D"),""),""),""),IF(H8=5,IF(D16&lt;&gt;"",IF(H16&lt;&gt;"",IF(D16&lt;&gt;H16,IF(D16&gt;H16,"V","D"),""),""),"")))))</f>
        <v>V</v>
      </c>
      <c r="E8" s="15" t="str">
        <f>IF(H8&lt;3,"",IF(H8=3,IF(D18&lt;&gt;"",IF(H18&lt;&gt;"",IF(D18&lt;&gt;H18,IF(D18&gt;H18,"V","D"),""),""),""),IF(H8=4,IF(D18&lt;&gt;"",IF(H18&lt;&gt;"",IF(D18&lt;&gt;H18,IF(D18&gt;H18,"V","D"),""),""),""),IF(H8=5,IF(D20&lt;&gt;"",IF(H20&lt;&gt;"",IF(D20&lt;&gt;H20,IF(D18&gt;H18,"D","V"),""),""),"")))))</f>
        <v>V</v>
      </c>
      <c r="F8" s="15" t="str">
        <f>IF(H8&lt;4,"-",IF(H8=3,"",IF(H8=4,IF(D21&lt;&gt;"",IF(H21&lt;&gt;"",IF(D21&lt;&gt;H21,IF(D21&gt;H21,"V","D"),""),""),""),IF(H8=5,IF(D23&lt;&gt;"",IF(H23&lt;&gt;"",IF(D23&lt;&gt;H23,IF(D23&gt;H23,"D","V"),""),""),"")))))</f>
        <v>-</v>
      </c>
      <c r="G8" s="15" t="str">
        <f>IF(H8&lt;5,"-",IF(H8=3,"",IF(H8=4,"",IF(H8=5,IF(D25&lt;&gt;"",IF(H25&lt;&gt;"",IF(D25&lt;&gt;H25,IF(D25&gt;H25,"D","V"),""),""),"")))))</f>
        <v>-</v>
      </c>
      <c r="H8" s="117">
        <f>COUNTA(B8:B12)</f>
        <v>3</v>
      </c>
      <c r="I8" s="15">
        <f>IF(B8&lt;&gt;"",1,"")</f>
        <v>1</v>
      </c>
      <c r="J8" s="15" t="str">
        <f>IF(I8&lt;&gt;"",P8,"")</f>
        <v>LAURA PAIVA BRANCALHÃO</v>
      </c>
      <c r="K8" s="15" t="str">
        <f>IFERROR(IF(J8="","",VLOOKUP(J8,LISTAS!$F$5:$G$1004,2,0)),"0")</f>
        <v>LICEU JARDIM</v>
      </c>
      <c r="L8" s="119" t="str">
        <f>IF(B8&lt;&gt;"",IF(G5=1,"OURO",IF(G5=2,IF(H8&lt;3,"",IF(H8&gt;4,"",IF(H8=3,"OURO",IF(H8=4,"OURO")))),IF(G5&gt;=3,"OURO",""))),"")</f>
        <v>OURO</v>
      </c>
      <c r="M8" s="20">
        <f>IF(B8&lt;&gt;"",COUNTIF(D8:G8,"V")+(SUMIF(B16:B25,B8,D16:E25)/1000)+(SUMIF(J16:J25,B8,H16:I25)/1000)-(SUMIF(B16:B25,B8,H16:I25)/1000)-(SUMIF(J16:J25,B8,D16:E25)/1000)+0.005,"")</f>
        <v>2.0089999999999999</v>
      </c>
      <c r="N8" s="20" t="str">
        <f>IF(B8="","",B8)</f>
        <v>LAURA PAIVA BRANCALHÃO</v>
      </c>
      <c r="O8" s="20">
        <f>IF(B8&lt;&gt;"",LARGE(M8:M12,1),"")</f>
        <v>2.0089999999999999</v>
      </c>
      <c r="P8" s="20" t="str">
        <f>VLOOKUP(O8,M8:N12,2,0)</f>
        <v>LAURA PAIVA BRANCALHÃO</v>
      </c>
    </row>
    <row r="9" spans="2:17" ht="18" customHeight="1" x14ac:dyDescent="0.25">
      <c r="B9" s="15" t="s">
        <v>109</v>
      </c>
      <c r="C9" s="15" t="str">
        <f>IFERROR(IF(B9="","",VLOOKUP(B9,LISTAS!$F$5:$G$1004,2,0)),"0")</f>
        <v>COLÉGIO ENGENHEIRO SALVADOR ARENA</v>
      </c>
      <c r="D9" s="15" t="str">
        <f>IF(H8&lt;3,"",IF(H8=3,IF(D17&lt;&gt;"",IF(H17&lt;&gt;"",IF(D17&lt;&gt;H17,IF(D17&gt;H17,"V","D"),""),""),""),IF(H8=4,IF(D17&lt;&gt;"",IF(H17&lt;&gt;"",IF(D17&lt;&gt;H17,IF(D17&gt;H17,"V","D"),""),""),""),IF(H8=5,IF(D17&lt;&gt;"",IF(H17&lt;&gt;"",IF(D17&lt;&gt;H17,IF(D17&gt;H17,"V","D"),""),""),"")))))</f>
        <v>V</v>
      </c>
      <c r="E9" s="15" t="str">
        <f>IF(H8&lt;3,"",IF(H8=3,IF(D18&lt;&gt;"",IF(H18&lt;&gt;"",IF(D18&lt;&gt;H18,IF(D18&gt;H18,"D","V"),""),""),""),IF(H8=4,IF(D19&lt;&gt;"",IF(H19&lt;&gt;"",IF(D19&lt;&gt;H19,IF(D19&gt;H19,"V","D"),""),""),""),IF(H8=5,IF(D18&lt;&gt;"",IF(H18&lt;&gt;"",IF(D18&lt;&gt;H18,IF(D18&gt;H18,"V","D"),""),""),"")))))</f>
        <v>D</v>
      </c>
      <c r="F9" s="15" t="str">
        <f>IF(H8&lt;4,"-",IF(H8=3,"",IF(H8=4,IF(D21&lt;&gt;"",IF(H21&lt;&gt;"",IF(D21&lt;&gt;H21,IF(D21&gt;H21,"D","V"),""),""),""),IF(H8=5,IF(D22&lt;&gt;"",IF(H22&lt;&gt;"",IF(D22&lt;&gt;H22,IF(D22&gt;H22,"D","V"),""),""),"")))))</f>
        <v>-</v>
      </c>
      <c r="G9" s="15" t="str">
        <f>IF(H8&lt;5,"-",IF(H8=3,"",IF(H8=4,"",IF(H8=5,IF(D25&lt;&gt;"",IF(H25&lt;&gt;"",IF(D25&lt;&gt;H25,IF(D25&gt;H25,"V","D"),""),""),"")))))</f>
        <v>-</v>
      </c>
      <c r="H9" s="156"/>
      <c r="I9" s="15">
        <f>IF(B9&lt;&gt;"",2,"")</f>
        <v>2</v>
      </c>
      <c r="J9" s="15" t="str">
        <f>IF(I9&lt;&gt;"",P9,"")</f>
        <v>ANA JÚLIA RIBEIRO DE LIMA BARRETO SANTOS</v>
      </c>
      <c r="K9" s="15" t="str">
        <f>IFERROR(IF(J9="","",VLOOKUP(J9,LISTAS!$F$5:$G$1004,2,0)),"0")</f>
        <v>COLÉGIO ENGENHEIRO SALVADOR ARENA</v>
      </c>
      <c r="L9" s="119" t="str">
        <f>IF(B9&lt;&gt;"",IF(G5=1,"OURO",IF(G5=2,IF(H8&lt;3,"",IF(H8&gt;4,"",IF(H8=3,"PRATA",IF(H8=4,"OURO")))),IF(G5&gt;=3,"PRATA",""))),"")</f>
        <v>PRATA</v>
      </c>
      <c r="M9" s="118">
        <f>IF(B9&lt;&gt;"",COUNTIF(D9:G9,"V")+(SUMIF(B16:B25,B9,D16:E25)/1000)+(SUMIF(J16:J25,B9,H16:I25)/1000)-(SUMIF(B16:B25,B9,H16:I25)/1000)-(SUMIF(J16:J25,B9,D16:E25)/1000)+0.004,"")</f>
        <v>1.004</v>
      </c>
      <c r="N9" s="20" t="str">
        <f t="shared" ref="N9" si="0">IF(B9="","",B9)</f>
        <v>ANA JÚLIA RIBEIRO DE LIMA BARRETO SANTOS</v>
      </c>
      <c r="O9" s="20">
        <f>IF(B9&lt;&gt;"",LARGE(M8:M12,2),"")</f>
        <v>1.004</v>
      </c>
      <c r="P9" s="20" t="str">
        <f>VLOOKUP(O9,M8:N12,2,0)</f>
        <v>ANA JÚLIA RIBEIRO DE LIMA BARRETO SANTOS</v>
      </c>
    </row>
    <row r="10" spans="2:17" ht="18" customHeight="1" x14ac:dyDescent="0.25">
      <c r="B10" s="15" t="s">
        <v>601</v>
      </c>
      <c r="C10" s="15" t="str">
        <f>IFERROR(IF(B10="","",VLOOKUP(B10,LISTAS!$F$5:$G$1004,2,0)),"0")</f>
        <v>BYE</v>
      </c>
      <c r="D10" s="15" t="str">
        <f>IF(H8&lt;3,"",IF(H8=3,IF(D16&lt;&gt;"",IF(H16&lt;&gt;"",IF(D16&lt;&gt;H16,IF(D16&gt;H16,"D","V"),""),""),""),IF(H8=4,IF(D17&lt;&gt;"",IF(H17&lt;&gt;"",IF(D17&lt;&gt;H17,IF(D17&gt;H17,"D","V"),""),""),""),IF(H8=5,IF(D18&lt;&gt;"",IF(H18&lt;&gt;"",IF(D18&lt;&gt;H18,IF(D18&gt;H18,"D","V"),""),""),"")))))</f>
        <v>D</v>
      </c>
      <c r="E10" s="15" t="str">
        <f>IF(H8&lt;3,"",IF(H8=3,IF(D17&lt;&gt;"",IF(H17&lt;&gt;"",IF(D17&lt;&gt;H17,IF(D17&gt;H17,"D","V"),""),""),""),IF(H8=4,IF(D18&lt;&gt;"",IF(H18&lt;&gt;"",IF(D18&lt;&gt;H18,IF(D18&gt;H18,"D","V"),""),""),""),IF(H8=5,IF(D21&lt;&gt;"",IF(H21&lt;&gt;"",IF(D21&lt;&gt;H21,IF(D21&gt;H21,"D","V"),""),""),"")))))</f>
        <v>D</v>
      </c>
      <c r="F10" s="15" t="str">
        <f>IF(H8&lt;4,"-",IF(H8=3,"",IF(H8=4,IF(D20&lt;&gt;"",IF(H20&lt;&gt;"",IF(D20&lt;&gt;H20,IF(D20&gt;H20,"V","D"),""),""),""),IF(H8=5,IF(D23&lt;&gt;"",IF(H23&lt;&gt;"",IF(D23&lt;&gt;H23,IF(D23&gt;H23,"V","D"),""),""),"")))))</f>
        <v>-</v>
      </c>
      <c r="G10" s="15" t="str">
        <f>IF(H8&lt;5,"-",IF(H8=3,"",IF(H8=4,"",IF(H8=5,IF(D24&lt;&gt;"",IF(H24&lt;&gt;"",IF(D24&lt;&gt;H24,IF(D24&gt;H24,"V","D"),""),""),"")))))</f>
        <v>-</v>
      </c>
      <c r="H10" s="156"/>
      <c r="I10" s="15">
        <f>IF(B10&lt;&gt;"",3,"")</f>
        <v>3</v>
      </c>
      <c r="J10" s="15" t="str">
        <f>IF(I10&lt;&gt;"",P10,"")</f>
        <v>BYE</v>
      </c>
      <c r="K10" s="15" t="str">
        <f>IFERROR(IF(J10="","",VLOOKUP(J10,LISTAS!$F$5:$G$1004,2,0)),"0")</f>
        <v>BYE</v>
      </c>
      <c r="L10" s="119" t="str">
        <f>IF(B10&lt;&gt;"",IF(G5=1,"OURO",IF(G5=2,IF(H8&lt;3,"",IF(H8&gt;4,"",IF(H8=3,"BRONZE",IF(H8=4,"PRATA")))),IF(G5&gt;=3,"BRONZE",""))),"")</f>
        <v>BRONZE</v>
      </c>
      <c r="M10" s="118">
        <f>IF(B10&lt;&gt;"",COUNTIF(D10:G10,"V")+(SUMIF(B16:B25,B10,D16:E25)/1000)+(SUMIF(J16:J25,B10,H16:I25)/1000)-(SUMIF(B16:B25,B10,H16:I25)/1000)-(SUMIF(J16:J25,B10,D16:E25)/1000)+0.003,"")</f>
        <v>-1E-3</v>
      </c>
      <c r="N10" s="20" t="str">
        <f>IF(B10="","",B10)</f>
        <v>BYE</v>
      </c>
      <c r="O10" s="20">
        <f>IF(B10&lt;&gt;"",LARGE(M8:M12,3),"")</f>
        <v>-1E-3</v>
      </c>
      <c r="P10" s="20" t="str">
        <f>VLOOKUP(O10,M8:N12,2,0)</f>
        <v>BYE</v>
      </c>
    </row>
    <row r="11" spans="2:17" ht="18" customHeight="1" x14ac:dyDescent="0.25">
      <c r="B11" s="83"/>
      <c r="C11" s="15" t="str">
        <f>IFERROR(IF(B11="","",VLOOKUP(B11,LISTAS!$F$5:$G$1004,2,0)),"0")</f>
        <v/>
      </c>
      <c r="D11" s="15" t="str">
        <f>IF(H8&lt;3,"",IF(H8=3,"",IF(H8=4,IF(D16&lt;&gt;"",IF(H16&lt;&gt;"",IF(D16&lt;&gt;H16,IF(D16&gt;H16,"D","V"),""),""),""),IF(H8=5,IF(D17&lt;&gt;"",IF(H17&lt;&gt;"",IF(D17&lt;&gt;H17,IF(D17&gt;H17,"D","V"),""),""),"")))))</f>
        <v/>
      </c>
      <c r="E11" s="15" t="str">
        <f>IF(H8&lt;3,"",IF(H8=3,"",IF(H8=4,IF(D19&lt;&gt;"",IF(H19&lt;&gt;"",IF(D19&lt;&gt;H19,IF(D19&gt;H19,"D","V"),""),""),""),IF(H8=5,IF(D19&lt;&gt;"",IF(H19&lt;&gt;"",IF(D19&lt;&gt;H19,IF(D19&gt;H19,"V","D"),""),""),"")))))</f>
        <v/>
      </c>
      <c r="F11" s="15" t="str">
        <f>IF(H8&lt;4,"-",IF(H8=3,"",IF(H8=4,IF(D20&lt;&gt;"",IF(H20&lt;&gt;"",IF(D20&lt;&gt;H20,IF(D20&gt;H20,"D","V"),""),""),""),IF(H8=5,IF(D20&lt;&gt;"",IF(H20&lt;&gt;"",IF(D20&lt;&gt;H20,IF(D20&gt;H20,"V","D"),""),""),"")))))</f>
        <v>-</v>
      </c>
      <c r="G11" s="15" t="str">
        <f>IF(H8&lt;5,"-",IF(H8=3,"",IF(H8=4,"",IF(H8=5,IF(D24&lt;&gt;"",IF(H24&lt;&gt;"",IF(D24&lt;&gt;H24,IF(D24&gt;H24,"D","V"),""),""),"")))))</f>
        <v>-</v>
      </c>
      <c r="H11" s="156"/>
      <c r="I11" s="15" t="str">
        <f>IF(B11&lt;&gt;"",4,"")</f>
        <v/>
      </c>
      <c r="J11" s="15" t="str">
        <f>IF(I11&lt;&gt;"",P11,"")</f>
        <v/>
      </c>
      <c r="K11" s="15" t="str">
        <f>IFERROR(IF(J11="","",VLOOKUP(J11,LISTAS!$F$5:$G$1004,2,0)),"0")</f>
        <v/>
      </c>
      <c r="L11" s="119" t="str">
        <f>IF(B11&lt;&gt;"",IF(G5=1,"OURO",IF(G5=2,IF(H8&lt;3,"",IF(H8&gt;4,"",IF(H8=3,"",IF(H8=4,"PRATA")))),IF(G5&gt;=3,"",""))),"")</f>
        <v/>
      </c>
      <c r="M11" s="20" t="str">
        <f>IF(B11&lt;&gt;"",COUNTIF(D11:G11,"V")+(SUMIF(B16:B25,B11,D16:E25)/1000)+(SUMIF(J16:J25,B11,H16:I25)/1000)-(SUMIF(B16:B25,B11,H16:I25)/1000)-(SUMIF(J16:J25,B11,D16:E25)/1000)+0.002,"")</f>
        <v/>
      </c>
      <c r="N11" s="20" t="str">
        <f>IF(B11="","",B11)</f>
        <v/>
      </c>
      <c r="O11" s="20" t="str">
        <f>IF(B11&lt;&gt;"",LARGE(M8:M12,4),"")</f>
        <v/>
      </c>
      <c r="P11" s="20" t="str">
        <f>VLOOKUP(O11,M8:N12,2,0)</f>
        <v/>
      </c>
    </row>
    <row r="12" spans="2:17" ht="18" customHeight="1" x14ac:dyDescent="0.25">
      <c r="B12" s="83"/>
      <c r="C12" s="15" t="str">
        <f>IFERROR(IF(B12="","",VLOOKUP(B12,LISTAS!$F$5:$G$1004,2,0)),"0")</f>
        <v/>
      </c>
      <c r="D12" s="15" t="str">
        <f>IF(H8&lt;3,"",IF(H8=3,"",IF(H8=4,"",IF(H8=5,IF(D16&lt;&gt;"",IF(H16&lt;&gt;"",IF(D16&lt;&gt;H16,IF(D16&gt;H16,"D","V"),""),""),"")))))</f>
        <v/>
      </c>
      <c r="E12" s="15" t="str">
        <f>IF(H8&lt;3,"",IF(H8=3,"",IF(H8=4,"",IF(H8=5,IF(D19&lt;&gt;"",IF(H19&lt;&gt;"",IF(D19&lt;&gt;H19,IF(D19&gt;H19,"D","V"),""),""),"")))))</f>
        <v/>
      </c>
      <c r="F12" s="15" t="str">
        <f>IF(H8&lt;4,"-",IF(H8=3,"",IF(H8=4,"",IF(H8=5,IF(D21&lt;&gt;"",IF(H21&lt;&gt;"",IF(D21&lt;&gt;H21,IF(D21&gt;H21,"V","D"),""),""),"")))))</f>
        <v>-</v>
      </c>
      <c r="G12" s="15" t="str">
        <f>IF(H8&lt;5,"-",IF(H8=3,"",IF(H8=4,"",IF(H8=5,IF(D22&lt;&gt;"",IF(H22&lt;&gt;"",IF(D22&lt;&gt;H22,IF(D22&gt;H22,"V","D"),""),""),"")))))</f>
        <v>-</v>
      </c>
      <c r="H12" s="157"/>
      <c r="I12" s="15" t="str">
        <f>IF(B12&lt;&gt;"",5,"")</f>
        <v/>
      </c>
      <c r="J12" s="15" t="str">
        <f>IF(I12&lt;&gt;"",P12,"")</f>
        <v/>
      </c>
      <c r="K12" s="15" t="str">
        <f>IFERROR(IF(J12="","",VLOOKUP(J12,LISTAS!$F$5:$G$1004,2,0)),"0")</f>
        <v/>
      </c>
      <c r="L12" s="119" t="str">
        <f>IF(B12&lt;&gt;"",IF(G5=1,"OURO",IF(G5=2,IF(H8&lt;3,"",IF(H8&gt;4,"",IF(H8=3,"",IF(H8=4,"")))),IF(G5&gt;=3,"",""))),"")</f>
        <v/>
      </c>
      <c r="M12" s="20" t="str">
        <f>IF(B12&lt;&gt;"",COUNTIF(D12:G12,"V")+(SUMIF(B16:B25,B12,D16:E25)/1000)+(SUMIF(J16:J25,B12,H16:I25)/1000)-(SUMIF(B16:B25,B12,H16:I25)/1000)-(SUMIF(J16:J25,B12,D16:E25)/1000)+0.001,"")</f>
        <v/>
      </c>
      <c r="N12" s="20" t="str">
        <f>IF(B12="","",B12)</f>
        <v/>
      </c>
      <c r="O12" s="20" t="str">
        <f>IF(B12&lt;&gt;"",LARGE(M8:M12,5),"")</f>
        <v/>
      </c>
      <c r="P12" s="20" t="str">
        <f>VLOOKUP(O12,M8:N12,2,0)</f>
        <v/>
      </c>
    </row>
    <row r="13" spans="2:17" ht="18" customHeight="1" x14ac:dyDescent="0.25">
      <c r="B13" s="79"/>
      <c r="C13" s="79"/>
      <c r="D13" s="79"/>
      <c r="E13" s="79"/>
      <c r="F13" s="79"/>
      <c r="G13" s="79"/>
      <c r="H13" s="158"/>
      <c r="I13" s="80"/>
      <c r="J13" s="79"/>
      <c r="K13" s="81"/>
      <c r="L13" s="81"/>
    </row>
    <row r="14" spans="2:17" ht="23.25" customHeight="1" x14ac:dyDescent="0.25">
      <c r="B14" s="82" t="s">
        <v>40</v>
      </c>
      <c r="C14" s="79"/>
      <c r="D14" s="79"/>
      <c r="E14" s="79"/>
      <c r="F14" s="79"/>
      <c r="G14" s="79"/>
      <c r="H14" s="79"/>
      <c r="I14" s="79"/>
      <c r="J14" s="79"/>
      <c r="K14" s="79"/>
      <c r="L14" s="79"/>
    </row>
    <row r="15" spans="2:17" ht="18" customHeight="1" x14ac:dyDescent="0.25">
      <c r="B15" s="9" t="s">
        <v>15</v>
      </c>
      <c r="C15" s="9" t="s">
        <v>0</v>
      </c>
      <c r="D15" s="228" t="s">
        <v>41</v>
      </c>
      <c r="E15" s="229"/>
      <c r="F15" s="229"/>
      <c r="G15" s="229"/>
      <c r="H15" s="229"/>
      <c r="I15" s="230"/>
      <c r="J15" s="9" t="s">
        <v>15</v>
      </c>
      <c r="K15" s="9" t="s">
        <v>0</v>
      </c>
      <c r="L15" s="79"/>
    </row>
    <row r="16" spans="2:17" ht="18" customHeight="1" x14ac:dyDescent="0.25">
      <c r="B16" s="15" t="str">
        <f>IF(H8=3,B8,IF(H8=4,B8,IF(H8=5,B8,"")))</f>
        <v>LAURA PAIVA BRANCALHÃO</v>
      </c>
      <c r="C16" s="15" t="str">
        <f>IFERROR(IF(B16="","",VLOOKUP(B16,LISTAS!$F$5:$G$1004,2,0)),"0")</f>
        <v>LICEU JARDIM</v>
      </c>
      <c r="D16" s="223">
        <v>2</v>
      </c>
      <c r="E16" s="224"/>
      <c r="F16" s="223" t="s">
        <v>38</v>
      </c>
      <c r="G16" s="224"/>
      <c r="H16" s="223">
        <v>0</v>
      </c>
      <c r="I16" s="224"/>
      <c r="J16" s="21" t="str">
        <f>IF(H8=3,B10,IF(H8=4,B11,IF(H8=5,B12,"")))</f>
        <v>BYE</v>
      </c>
      <c r="K16" s="15" t="str">
        <f>IFERROR(IF(J16="","",VLOOKUP(J16,LISTAS!$F$5:$G$1004,2,0)),"0")</f>
        <v>BYE</v>
      </c>
      <c r="L16" s="81"/>
    </row>
    <row r="17" spans="2:16" ht="18" customHeight="1" x14ac:dyDescent="0.25">
      <c r="B17" s="15" t="str">
        <f>IF(H8=3,B9,IF(H8=4,B9,IF(H8=5,B9,"")))</f>
        <v>ANA JÚLIA RIBEIRO DE LIMA BARRETO SANTOS</v>
      </c>
      <c r="C17" s="15" t="str">
        <f>IFERROR(IF(B17="","",VLOOKUP(B17,LISTAS!$F$5:$G$1004,2,0)),"0")</f>
        <v>COLÉGIO ENGENHEIRO SALVADOR ARENA</v>
      </c>
      <c r="D17" s="223">
        <v>2</v>
      </c>
      <c r="E17" s="224"/>
      <c r="F17" s="223" t="s">
        <v>38</v>
      </c>
      <c r="G17" s="224"/>
      <c r="H17" s="223">
        <v>0</v>
      </c>
      <c r="I17" s="224"/>
      <c r="J17" s="21" t="str">
        <f>IF(H8=3,B10,IF(H8=4,B10,IF(H8=5,B11,"")))</f>
        <v>BYE</v>
      </c>
      <c r="K17" s="15" t="str">
        <f>IFERROR(IF(J17="","",VLOOKUP(J17,LISTAS!$F$5:$G$1004,2,0)),"0")</f>
        <v>BYE</v>
      </c>
      <c r="L17" s="79"/>
    </row>
    <row r="18" spans="2:16" ht="18" customHeight="1" x14ac:dyDescent="0.25">
      <c r="B18" s="15" t="str">
        <f>IF(H8=3,B8,IF(H8=4,B8,IF(H8=5,B9,"")))</f>
        <v>LAURA PAIVA BRANCALHÃO</v>
      </c>
      <c r="C18" s="15" t="str">
        <f>IFERROR(IF(B18="","",VLOOKUP(B18,LISTAS!$F$5:$G$1004,2,0)),"0")</f>
        <v>LICEU JARDIM</v>
      </c>
      <c r="D18" s="223">
        <v>2</v>
      </c>
      <c r="E18" s="224"/>
      <c r="F18" s="223" t="s">
        <v>38</v>
      </c>
      <c r="G18" s="224"/>
      <c r="H18" s="223">
        <v>0</v>
      </c>
      <c r="I18" s="224"/>
      <c r="J18" s="21" t="str">
        <f>IF(H8=3,B9,IF(H8=4,B10,IF(H8=5,B10,"")))</f>
        <v>ANA JÚLIA RIBEIRO DE LIMA BARRETO SANTOS</v>
      </c>
      <c r="K18" s="15" t="str">
        <f>IFERROR(IF(J18="","",VLOOKUP(J18,LISTAS!$F$5:$G$1004,2,0)),"0")</f>
        <v>COLÉGIO ENGENHEIRO SALVADOR ARENA</v>
      </c>
      <c r="L18" s="81"/>
    </row>
    <row r="19" spans="2:16" ht="18" customHeight="1" x14ac:dyDescent="0.25">
      <c r="B19" s="15" t="str">
        <f>IF(H8=3,"",IF(H8=4,B9,IF(H8=5,B11,"")))</f>
        <v/>
      </c>
      <c r="C19" s="15" t="str">
        <f>IFERROR(IF(B19="","",VLOOKUP(B19,LISTAS!$F$5:$G$1004,2,0)),"0")</f>
        <v/>
      </c>
      <c r="D19" s="223"/>
      <c r="E19" s="224"/>
      <c r="F19" s="223" t="s">
        <v>38</v>
      </c>
      <c r="G19" s="224"/>
      <c r="H19" s="223"/>
      <c r="I19" s="224"/>
      <c r="J19" s="21" t="str">
        <f>IF(H8=3,"",IF(H8=4,B11,IF(H8=5,B12,"")))</f>
        <v/>
      </c>
      <c r="K19" s="15" t="str">
        <f>IFERROR(IF(J19="","",VLOOKUP(J19,LISTAS!$F$5:$G$1004,2,0)),"0")</f>
        <v/>
      </c>
      <c r="L19" s="81"/>
    </row>
    <row r="20" spans="2:16" ht="18" customHeight="1" x14ac:dyDescent="0.25">
      <c r="B20" s="15" t="str">
        <f>IF(H8=3,"",IF(H8=4,B10,IF(H8=5,B11,"")))</f>
        <v/>
      </c>
      <c r="C20" s="15" t="str">
        <f>IFERROR(IF(B20="","",VLOOKUP(B20,LISTAS!$F$5:$G$1004,2,0)),"0")</f>
        <v/>
      </c>
      <c r="D20" s="223"/>
      <c r="E20" s="224"/>
      <c r="F20" s="223" t="s">
        <v>38</v>
      </c>
      <c r="G20" s="224"/>
      <c r="H20" s="223"/>
      <c r="I20" s="224"/>
      <c r="J20" s="21" t="str">
        <f>IF(H8=3,"",IF(H8=4,B11,IF(H8=5,B8,"")))</f>
        <v/>
      </c>
      <c r="K20" s="15" t="str">
        <f>IFERROR(IF(J20="","",VLOOKUP(J20,LISTAS!$F$5:$G$1004,2,0)),"0")</f>
        <v/>
      </c>
      <c r="L20" s="81"/>
    </row>
    <row r="21" spans="2:16" ht="18" customHeight="1" x14ac:dyDescent="0.25">
      <c r="B21" s="15" t="str">
        <f>IF(H8=3,"",IF(H8=4,B8,IF(H8=5,B12,"")))</f>
        <v/>
      </c>
      <c r="C21" s="15" t="str">
        <f>IFERROR(IF(B21="","",VLOOKUP(B21,LISTAS!$F$5:$G$1004,2,0)),"0")</f>
        <v/>
      </c>
      <c r="D21" s="223"/>
      <c r="E21" s="224"/>
      <c r="F21" s="223" t="s">
        <v>38</v>
      </c>
      <c r="G21" s="224"/>
      <c r="H21" s="223"/>
      <c r="I21" s="224"/>
      <c r="J21" s="21" t="str">
        <f>IF(H8=3,"",IF(H8=4,B9,IF(H8=5,B10,"")))</f>
        <v/>
      </c>
      <c r="K21" s="15" t="str">
        <f>IFERROR(IF(J21="","",VLOOKUP(J21,LISTAS!$F$5:$G$1004,2,0)),"0")</f>
        <v/>
      </c>
      <c r="L21" s="81"/>
    </row>
    <row r="22" spans="2:16" ht="18" customHeight="1" x14ac:dyDescent="0.25">
      <c r="B22" s="15" t="str">
        <f>IF(H8=3,"",IF(H8=4,"",IF(H8=5,B12,"")))</f>
        <v/>
      </c>
      <c r="C22" s="15" t="str">
        <f>IFERROR(IF(B22="","",VLOOKUP(B22,LISTAS!$F$5:$G$1004,2,0)),"0")</f>
        <v/>
      </c>
      <c r="D22" s="223"/>
      <c r="E22" s="224"/>
      <c r="F22" s="223" t="s">
        <v>38</v>
      </c>
      <c r="G22" s="224"/>
      <c r="H22" s="223"/>
      <c r="I22" s="224"/>
      <c r="J22" s="21" t="str">
        <f>IF(H8=3,"",IF(H8=4,"",IF(H8=5,B9,"")))</f>
        <v/>
      </c>
      <c r="K22" s="15" t="str">
        <f>IFERROR(IF(J22="","",VLOOKUP(J22,LISTAS!$F$5:$G$1004,2,0)),"0")</f>
        <v/>
      </c>
      <c r="L22" s="81"/>
    </row>
    <row r="23" spans="2:16" ht="18" customHeight="1" x14ac:dyDescent="0.25">
      <c r="B23" s="63" t="str">
        <f>IF(H8=3,"",IF(H8=4,"",IF(H8=5,B10,"")))</f>
        <v/>
      </c>
      <c r="C23" s="15" t="str">
        <f>IFERROR(IF(B23="","",VLOOKUP(B23,LISTAS!$F$5:$G$1004,2,0)),"0")</f>
        <v/>
      </c>
      <c r="D23" s="223"/>
      <c r="E23" s="224"/>
      <c r="F23" s="223" t="s">
        <v>38</v>
      </c>
      <c r="G23" s="224"/>
      <c r="H23" s="223"/>
      <c r="I23" s="224"/>
      <c r="J23" s="21" t="str">
        <f>IF(H8=3,"",IF(H8=4,"",IF(H8=5,B8,"")))</f>
        <v/>
      </c>
      <c r="K23" s="15" t="str">
        <f>IFERROR(IF(J23="","",VLOOKUP(J23,LISTAS!$F$5:$G$1004,2,0)),"0")</f>
        <v/>
      </c>
      <c r="L23" s="81"/>
    </row>
    <row r="24" spans="2:16" ht="18" customHeight="1" x14ac:dyDescent="0.25">
      <c r="B24" s="15" t="str">
        <f>IF(H8=3,"",IF(H8=4,"",IF(H8=5,B10,"")))</f>
        <v/>
      </c>
      <c r="C24" s="15" t="str">
        <f>IFERROR(IF(B24="","",VLOOKUP(B24,LISTAS!$F$5:$G$1004,2,0)),"0")</f>
        <v/>
      </c>
      <c r="D24" s="223"/>
      <c r="E24" s="224"/>
      <c r="F24" s="223" t="s">
        <v>38</v>
      </c>
      <c r="G24" s="224"/>
      <c r="H24" s="223"/>
      <c r="I24" s="224"/>
      <c r="J24" s="21" t="str">
        <f>IF(H8=3,"",IF(H8=4,"",IF(H8=5,B11,"")))</f>
        <v/>
      </c>
      <c r="K24" s="15" t="str">
        <f>IFERROR(IF(J24="","",VLOOKUP(J24,LISTAS!$F$5:$G$1004,2,0)),"0")</f>
        <v/>
      </c>
      <c r="L24" s="81"/>
    </row>
    <row r="25" spans="2:16" ht="18" customHeight="1" x14ac:dyDescent="0.25">
      <c r="B25" s="63" t="str">
        <f>IF(H8=3,"",IF(H8=4,"",IF(H8=5,B9,"")))</f>
        <v/>
      </c>
      <c r="C25" s="15" t="str">
        <f>IFERROR(IF(B25="","",VLOOKUP(B25,LISTAS!$F$5:$G$1004,2,0)),"0")</f>
        <v/>
      </c>
      <c r="D25" s="223"/>
      <c r="E25" s="224"/>
      <c r="F25" s="231" t="s">
        <v>38</v>
      </c>
      <c r="G25" s="232"/>
      <c r="H25" s="223"/>
      <c r="I25" s="224"/>
      <c r="J25" s="21" t="str">
        <f>IF(H8=3,"",IF(H8=4,"",IF(H8=5,B8,"")))</f>
        <v/>
      </c>
      <c r="K25" s="15" t="str">
        <f>IFERROR(IF(J25="","",VLOOKUP(J25,LISTAS!$F$5:$G$1004,2,0)),"0")</f>
        <v/>
      </c>
      <c r="L25" s="81"/>
    </row>
    <row r="28" spans="2:16" ht="30" customHeight="1" x14ac:dyDescent="0.25">
      <c r="B28" s="161" t="s">
        <v>46</v>
      </c>
      <c r="C28" s="79"/>
      <c r="D28" s="225" t="s">
        <v>42</v>
      </c>
      <c r="E28" s="226"/>
      <c r="F28" s="226"/>
      <c r="G28" s="227"/>
      <c r="H28" s="113"/>
      <c r="I28" s="225" t="s">
        <v>3</v>
      </c>
      <c r="J28" s="226"/>
      <c r="K28" s="226"/>
      <c r="L28" s="226"/>
    </row>
    <row r="29" spans="2:16" ht="18" customHeight="1" x14ac:dyDescent="0.25">
      <c r="B29" s="9" t="s">
        <v>15</v>
      </c>
      <c r="C29" s="9" t="s">
        <v>0</v>
      </c>
      <c r="D29" s="9" t="s">
        <v>43</v>
      </c>
      <c r="E29" s="9" t="s">
        <v>44</v>
      </c>
      <c r="F29" s="9" t="s">
        <v>77</v>
      </c>
      <c r="G29" s="9" t="s">
        <v>78</v>
      </c>
      <c r="H29" s="114"/>
      <c r="I29" s="9" t="s">
        <v>18</v>
      </c>
      <c r="J29" s="9" t="s">
        <v>15</v>
      </c>
      <c r="K29" s="9" t="s">
        <v>0</v>
      </c>
      <c r="L29" s="9" t="s">
        <v>45</v>
      </c>
    </row>
    <row r="30" spans="2:16" ht="18" customHeight="1" x14ac:dyDescent="0.25">
      <c r="B30" s="15" t="s">
        <v>163</v>
      </c>
      <c r="C30" s="15" t="str">
        <f>IFERROR(IF(B30="","",VLOOKUP(B30,LISTAS!$F$5:$G$1004,2,0)),"0")</f>
        <v>COLÉGIO ARBOS - UNIDADE SANTO ANDRÉ</v>
      </c>
      <c r="D30" s="15" t="str">
        <f>IF(H30&lt;3,"",IF(H30=3,IF(D37&lt;&gt;"",IF(H37&lt;&gt;"",IF(D37&lt;&gt;H37,IF(D37&gt;H37,"V","D"),""),""),""),IF(H30=4,IF(D37&lt;&gt;"",IF(H37&lt;&gt;"",IF(D37&lt;&gt;H37,IF(D37&gt;H37,"V","D"),""),""),""))))</f>
        <v>V</v>
      </c>
      <c r="E30" s="15" t="str">
        <f>IF(H30&lt;3,"",IF(H30=3,IF(D39&lt;&gt;"",IF(H39&lt;&gt;"",IF(D39&lt;&gt;H39,IF(D39&gt;H39,"V","D"),""),""),""),IF(H30=4,IF(D39&lt;&gt;"",IF(H39&lt;&gt;"",IF(D39&lt;&gt;H39,IF(D39&gt;H39,"V","D"),""),""),""))))</f>
        <v>V</v>
      </c>
      <c r="F30" s="15" t="str">
        <f>IF(H30&lt;4,"-",IF(H30=3,"",IF(H30=4,IF(D42&lt;&gt;"",IF(H42&lt;&gt;"",IF(D42&lt;&gt;H42,IF(D42&gt;H42,"V","D"),""),""),""))))</f>
        <v>-</v>
      </c>
      <c r="G30" s="15" t="s">
        <v>81</v>
      </c>
      <c r="H30" s="117">
        <f>COUNTA(B30:B33)</f>
        <v>3</v>
      </c>
      <c r="I30" s="15">
        <f>IF(B30&lt;&gt;"",1,"")</f>
        <v>1</v>
      </c>
      <c r="J30" s="15" t="str">
        <f>IF(I30&lt;&gt;"",P30,"")</f>
        <v>LAIS FRANCELINO RODRIGUES</v>
      </c>
      <c r="K30" s="15" t="str">
        <f>IFERROR(IF(J30="","",VLOOKUP(J30,LISTAS!$F$5:$G$1004,2,0)),"0")</f>
        <v>COLÉGIO ARBOS - UNIDADE SANTO ANDRÉ</v>
      </c>
      <c r="L30" s="119" t="str">
        <f>IF(B30&lt;&gt;"",IF(G5=1,"OURO",IF(G5=2,IF(H8&lt;3,"",IF(H8=3,"OURO",IF(H8=4,"OURO"))),IF(G5&gt;=3,"OURO",""))),"")</f>
        <v>OURO</v>
      </c>
      <c r="M30" s="20">
        <f>IF(B30&lt;&gt;"",COUNTIF(D30:G30,"V")+(SUMIF(B37:B42,B30,D37:E42)/1000)+(SUMIF(J37:J42,B30,H37:I42)/1000)-(SUMIF(B37:B42,B30,H37:I42)/1000)-(SUMIF(J37:J42,B30,D37:E42)/1000)+0.005,"")</f>
        <v>2.0089999999999999</v>
      </c>
      <c r="N30" s="20" t="str">
        <f>IF(B30="","",B30)</f>
        <v>LAIS FRANCELINO RODRIGUES</v>
      </c>
      <c r="O30" s="20">
        <f>IF(B30&lt;&gt;"",LARGE(M30:M33,1),"")</f>
        <v>2.0089999999999999</v>
      </c>
      <c r="P30" s="20" t="str">
        <f>VLOOKUP(O30,M30:N33,2,0)</f>
        <v>LAIS FRANCELINO RODRIGUES</v>
      </c>
    </row>
    <row r="31" spans="2:16" ht="18" customHeight="1" x14ac:dyDescent="0.25">
      <c r="B31" s="15" t="s">
        <v>174</v>
      </c>
      <c r="C31" s="15" t="str">
        <f>IFERROR(IF(B31="","",VLOOKUP(B31,LISTAS!$F$5:$G$1004,2,0)),"0")</f>
        <v>COLÉGIO ENGENHEIRO SALVADOR ARENA</v>
      </c>
      <c r="D31" s="15" t="str">
        <f>IF(H30&lt;3,"",IF(H30=3,IF(D38&lt;&gt;"",IF(H38&lt;&gt;"",IF(D38&lt;&gt;H38,IF(D38&gt;H38,"V","D"),""),""),""),IF(H30=4,IF(D38&lt;&gt;"",IF(H38&lt;&gt;"",IF(D38&lt;&gt;H38,IF(D38&gt;H38,"V","D"),""),""),""))))</f>
        <v>V</v>
      </c>
      <c r="E31" s="15" t="str">
        <f>IF(H30&lt;3,"",IF(H30=3,IF(D39&lt;&gt;"",IF(H39&lt;&gt;"",IF(D39&lt;&gt;H39,IF(D39&gt;H39,"D","V"),""),""),""),IF(H30=4,IF(D40&lt;&gt;"",IF(H40&lt;&gt;"",IF(D40&lt;&gt;H40,IF(D40&gt;H40,"V","D"),""),""),""))))</f>
        <v>D</v>
      </c>
      <c r="F31" s="15" t="str">
        <f>IF(H30&lt;4,"-",IF(H30=3,"",IF(H30=4,IF(D42&lt;&gt;"",IF(H42&lt;&gt;"",IF(D42&lt;&gt;H42,IF(D42&gt;H42,"D","V"),""),""),""))))</f>
        <v>-</v>
      </c>
      <c r="G31" s="15" t="s">
        <v>81</v>
      </c>
      <c r="H31" s="159"/>
      <c r="I31" s="15">
        <f>IF(B31&lt;&gt;"",2,"")</f>
        <v>2</v>
      </c>
      <c r="J31" s="15" t="str">
        <f>IF(I31&lt;&gt;"",P31,"")</f>
        <v>MANUELLA PIRES DE FARIAS</v>
      </c>
      <c r="K31" s="15" t="str">
        <f>IFERROR(IF(J31="","",VLOOKUP(J31,LISTAS!$F$5:$G$1004,2,0)),"0")</f>
        <v>COLÉGIO ENGENHEIRO SALVADOR ARENA</v>
      </c>
      <c r="L31" s="119" t="str">
        <f>IF(B31&lt;&gt;"",IF(G5=1,"OURO",IF(G5=2,IF(H8&lt;3,"",IF(H8=3,"PRATA",IF(H8=4,"OURO"))),IF(G5&gt;=3,"PRATA",""))),"")</f>
        <v>PRATA</v>
      </c>
      <c r="M31" s="118">
        <f>IF(B31&lt;&gt;"",COUNTIF(D31:G31,"V")+(SUMIF(B37:B42,B31,D37:E42)/1000)+(SUMIF(J37:J42,B31,H37:I42)/1000)-(SUMIF(B37:B42,B31,H37:I42)/1000)-(SUMIF(J37:J42,B31,D37:E42)/1000)+0.004,"")</f>
        <v>1.004</v>
      </c>
      <c r="N31" s="20" t="str">
        <f t="shared" ref="N31" si="1">IF(B31="","",B31)</f>
        <v>MANUELLA PIRES DE FARIAS</v>
      </c>
      <c r="O31" s="20">
        <f>IF(B31&lt;&gt;"",LARGE(M30:M33,2),"")</f>
        <v>1.004</v>
      </c>
      <c r="P31" s="20" t="str">
        <f>VLOOKUP(O31,M30:N33,2,0)</f>
        <v>MANUELLA PIRES DE FARIAS</v>
      </c>
    </row>
    <row r="32" spans="2:16" ht="18" customHeight="1" x14ac:dyDescent="0.25">
      <c r="B32" s="15" t="s">
        <v>601</v>
      </c>
      <c r="C32" s="15" t="str">
        <f>IFERROR(IF(B32="","",VLOOKUP(B32,LISTAS!$F$5:$G$1004,2,0)),"0")</f>
        <v>BYE</v>
      </c>
      <c r="D32" s="15" t="str">
        <f>IF(H30&lt;3,"",IF(H30=3,IF(D37&lt;&gt;"",IF(H37&lt;&gt;"",IF(D37&lt;&gt;H37,IF(D37&gt;H37,"D","V"),""),""),""),IF(H30=4,IF(D38&lt;&gt;"",IF(H38&lt;&gt;"",IF(D38&lt;&gt;H38,IF(D38&gt;H38,"D","V"),""),""),""))))</f>
        <v>D</v>
      </c>
      <c r="E32" s="15" t="str">
        <f>IF(H30&lt;3,"",IF(H30=3,IF(D38&lt;&gt;"",IF(H38&lt;&gt;"",IF(D38&lt;&gt;H38,IF(D38&gt;H38,"D","V"),""),""),""),IF(H30=4,IF(D39&lt;&gt;"",IF(H39&lt;&gt;"",IF(D39&lt;&gt;H39,IF(D39&gt;H39,"D","V"),""),""),""))))</f>
        <v>D</v>
      </c>
      <c r="F32" s="15" t="str">
        <f>IF(H30&lt;4,"-",IF(H30=3,"-",IF(H30=4,IF(D41&lt;&gt;"",IF(H41&lt;&gt;"",IF(D41&lt;&gt;H41,IF(D41&gt;H41,"V","D"),""),""),""))))</f>
        <v>-</v>
      </c>
      <c r="G32" s="15" t="s">
        <v>81</v>
      </c>
      <c r="H32" s="159"/>
      <c r="I32" s="15">
        <f>IF(B32&lt;&gt;"",3,"")</f>
        <v>3</v>
      </c>
      <c r="J32" s="15" t="str">
        <f>IF(I32&lt;&gt;"",P32,"")</f>
        <v>BYE</v>
      </c>
      <c r="K32" s="15" t="str">
        <f>IFERROR(IF(J32="","",VLOOKUP(J32,LISTAS!$F$5:$G$1004,2,0)),"0")</f>
        <v>BYE</v>
      </c>
      <c r="L32" s="119" t="str">
        <f>IF(B32&lt;&gt;"",IF(G5=1,"OURO",IF(G5=2,IF(H8&lt;3,"",IF(H8=3,"BRONZE",IF(H8=4,"PRATA"))),IF(G5&gt;=3,"BRONZE",""))),"")</f>
        <v>BRONZE</v>
      </c>
      <c r="M32" s="118">
        <f>IF(B32&lt;&gt;"",COUNTIF(D32:G32,"V")+(SUMIF(B37:B42,B32,D37:E42)/1000)+(SUMIF(J37:J42,B32,H37:I42)/1000)-(SUMIF(B37:B42,B32,H37:I42)/1000)-(SUMIF(J37:J42,B32,D37:E42)/1000)+0.003,"")</f>
        <v>-1E-3</v>
      </c>
      <c r="N32" s="20" t="str">
        <f>IF(B32="","",B32)</f>
        <v>BYE</v>
      </c>
      <c r="O32" s="20">
        <f>IF(B32&lt;&gt;"",LARGE(M30:M33,3),"")</f>
        <v>-1E-3</v>
      </c>
      <c r="P32" s="20" t="str">
        <f>VLOOKUP(O32,M30:N33,2,0)</f>
        <v>BYE</v>
      </c>
    </row>
    <row r="33" spans="2:16" ht="18" customHeight="1" x14ac:dyDescent="0.25">
      <c r="B33" s="83"/>
      <c r="C33" s="15" t="str">
        <f>IFERROR(IF(B33="","",VLOOKUP(B33,LISTAS!$F$5:$G$1004,2,0)),"0")</f>
        <v/>
      </c>
      <c r="D33" s="15" t="str">
        <f>IF(H30&lt;3,"",IF(H30=3,"",IF(H30=4,IF(D37&lt;&gt;"",IF(H37&lt;&gt;"",IF(D37&lt;&gt;H37,IF(D37&gt;H37,"D","V"),""),""),""))))</f>
        <v/>
      </c>
      <c r="E33" s="15" t="str">
        <f>IF(H30&lt;3,"",IF(H30=3,"",IF(H30=4,IF(D40&lt;&gt;"",IF(H40&lt;&gt;"",IF(D40&lt;&gt;H40,IF(D40&gt;H40,"D","V"),""),""),""))))</f>
        <v/>
      </c>
      <c r="F33" s="15" t="str">
        <f>IF(H30&lt;4,"-",IF(H30=3,"",IF(H30=4,IF(D41&lt;&gt;"",IF(H41&lt;&gt;"",IF(D41&lt;&gt;H41,IF(D41&gt;H41,"D","V"),""),""),""))))</f>
        <v>-</v>
      </c>
      <c r="G33" s="15" t="s">
        <v>81</v>
      </c>
      <c r="H33" s="159"/>
      <c r="I33" s="15" t="str">
        <f>IF(B33&lt;&gt;"",4,"")</f>
        <v/>
      </c>
      <c r="J33" s="15" t="str">
        <f>IF(I33&lt;&gt;"",P33,"")</f>
        <v/>
      </c>
      <c r="K33" s="15" t="str">
        <f>IFERROR(IF(J33="","",VLOOKUP(J33,LISTAS!$F$5:$G$1004,2,0)),"0")</f>
        <v/>
      </c>
      <c r="L33" s="119" t="str">
        <f>IF(B33&lt;&gt;"",IF(G5=1,"OURO",IF(G5=2,IF(H8&lt;3,"",IF(H8=3,"",IF(H8=4,"PRATA"))),IF(G5&gt;=3,"",""))),"")</f>
        <v/>
      </c>
      <c r="M33" s="20" t="str">
        <f>IF(B33&lt;&gt;"",COUNTIF(D33:G33,"V")+(SUMIF(B37:B42,B33,D37:E42)/1000)+(SUMIF(J37:J42,B33,H37:I42)/1000)-(SUMIF(B37:B42,B33,H37:I42)/1000)-(SUMIF(J37:J42,B33,D37:E42)/1000)+0.002,"")</f>
        <v/>
      </c>
      <c r="N33" s="20" t="str">
        <f>IF(B33="","",B33)</f>
        <v/>
      </c>
      <c r="O33" s="20" t="str">
        <f>IF(B33&lt;&gt;"",LARGE(M30:M33,4),"")</f>
        <v/>
      </c>
      <c r="P33" s="20" t="str">
        <f>VLOOKUP(O33,M30:N33,2,0)</f>
        <v/>
      </c>
    </row>
    <row r="34" spans="2:16" ht="18" customHeight="1" x14ac:dyDescent="0.25">
      <c r="B34" s="79"/>
      <c r="C34" s="79"/>
      <c r="D34" s="79"/>
      <c r="E34" s="79"/>
      <c r="F34" s="79"/>
      <c r="G34" s="79"/>
      <c r="I34" s="80"/>
      <c r="J34" s="79"/>
      <c r="K34" s="81"/>
      <c r="L34" s="81"/>
    </row>
    <row r="35" spans="2:16" ht="23.25" customHeight="1" x14ac:dyDescent="0.25">
      <c r="B35" s="82" t="s">
        <v>40</v>
      </c>
      <c r="C35" s="79"/>
      <c r="D35" s="79"/>
      <c r="E35" s="79"/>
      <c r="F35" s="79"/>
      <c r="G35" s="79"/>
      <c r="H35" s="79"/>
      <c r="I35" s="79"/>
      <c r="J35" s="79"/>
      <c r="K35" s="79"/>
      <c r="L35" s="79"/>
    </row>
    <row r="36" spans="2:16" ht="18" customHeight="1" x14ac:dyDescent="0.25">
      <c r="B36" s="9" t="s">
        <v>15</v>
      </c>
      <c r="C36" s="9" t="s">
        <v>0</v>
      </c>
      <c r="D36" s="228" t="s">
        <v>41</v>
      </c>
      <c r="E36" s="229"/>
      <c r="F36" s="229"/>
      <c r="G36" s="229"/>
      <c r="H36" s="229"/>
      <c r="I36" s="230"/>
      <c r="J36" s="9" t="s">
        <v>15</v>
      </c>
      <c r="K36" s="9" t="s">
        <v>0</v>
      </c>
      <c r="L36" s="79"/>
    </row>
    <row r="37" spans="2:16" ht="18" customHeight="1" x14ac:dyDescent="0.25">
      <c r="B37" s="15" t="str">
        <f>IF(H30=3,B30,IF(H30=4,B30,""))</f>
        <v>LAIS FRANCELINO RODRIGUES</v>
      </c>
      <c r="C37" s="15" t="str">
        <f>IFERROR(IF(B37="","",VLOOKUP(B37,LISTAS!$F$5:$G$1004,2,0)),"0")</f>
        <v>COLÉGIO ARBOS - UNIDADE SANTO ANDRÉ</v>
      </c>
      <c r="D37" s="223">
        <v>2</v>
      </c>
      <c r="E37" s="224"/>
      <c r="F37" s="223" t="s">
        <v>38</v>
      </c>
      <c r="G37" s="224"/>
      <c r="H37" s="223">
        <v>0</v>
      </c>
      <c r="I37" s="224"/>
      <c r="J37" s="21" t="str">
        <f>IF(H30=3,B32,IF(H30=4,B33,""))</f>
        <v>BYE</v>
      </c>
      <c r="K37" s="15" t="str">
        <f>IFERROR(IF(J37="","",VLOOKUP(J37,LISTAS!$F$5:$G$1004,2,0)),"0")</f>
        <v>BYE</v>
      </c>
      <c r="L37" s="81"/>
    </row>
    <row r="38" spans="2:16" ht="18" customHeight="1" x14ac:dyDescent="0.25">
      <c r="B38" s="15" t="str">
        <f>IF(H30=3,B31,IF(H30=4,B31,""))</f>
        <v>MANUELLA PIRES DE FARIAS</v>
      </c>
      <c r="C38" s="15" t="str">
        <f>IFERROR(IF(B38="","",VLOOKUP(B38,LISTAS!$F$5:$G$1004,2,0)),"0")</f>
        <v>COLÉGIO ENGENHEIRO SALVADOR ARENA</v>
      </c>
      <c r="D38" s="223">
        <v>2</v>
      </c>
      <c r="E38" s="224"/>
      <c r="F38" s="223" t="s">
        <v>38</v>
      </c>
      <c r="G38" s="224"/>
      <c r="H38" s="223">
        <v>0</v>
      </c>
      <c r="I38" s="224"/>
      <c r="J38" s="21" t="str">
        <f>IF(H30=3,B32,IF(H30=4,B32,""))</f>
        <v>BYE</v>
      </c>
      <c r="K38" s="15" t="str">
        <f>IFERROR(IF(J38="","",VLOOKUP(J38,LISTAS!$F$5:$G$1004,2,0)),"0")</f>
        <v>BYE</v>
      </c>
      <c r="L38" s="79"/>
    </row>
    <row r="39" spans="2:16" ht="18" customHeight="1" x14ac:dyDescent="0.25">
      <c r="B39" s="15" t="str">
        <f>IF(H30=3,B30,IF(H30=4,B30,""))</f>
        <v>LAIS FRANCELINO RODRIGUES</v>
      </c>
      <c r="C39" s="15" t="str">
        <f>IFERROR(IF(B39="","",VLOOKUP(B39,LISTAS!$F$5:$G$1004,2,0)),"0")</f>
        <v>COLÉGIO ARBOS - UNIDADE SANTO ANDRÉ</v>
      </c>
      <c r="D39" s="223">
        <v>2</v>
      </c>
      <c r="E39" s="224"/>
      <c r="F39" s="223" t="s">
        <v>38</v>
      </c>
      <c r="G39" s="224"/>
      <c r="H39" s="223">
        <v>0</v>
      </c>
      <c r="I39" s="224"/>
      <c r="J39" s="21" t="str">
        <f>IF(H30=3,B31,IF(H30=4,B32,""))</f>
        <v>MANUELLA PIRES DE FARIAS</v>
      </c>
      <c r="K39" s="15" t="str">
        <f>IFERROR(IF(J39="","",VLOOKUP(J39,LISTAS!$F$5:$G$1004,2,0)),"0")</f>
        <v>COLÉGIO ENGENHEIRO SALVADOR ARENA</v>
      </c>
      <c r="L39" s="81"/>
    </row>
    <row r="40" spans="2:16" ht="18" customHeight="1" x14ac:dyDescent="0.25">
      <c r="B40" s="15" t="str">
        <f>IF(H30=3,"",IF(H30=4,B31,""))</f>
        <v/>
      </c>
      <c r="C40" s="15" t="str">
        <f>IFERROR(IF(B40="","",VLOOKUP(B40,LISTAS!$F$5:$G$1004,2,0)),"0")</f>
        <v/>
      </c>
      <c r="D40" s="223"/>
      <c r="E40" s="224"/>
      <c r="F40" s="223" t="s">
        <v>38</v>
      </c>
      <c r="G40" s="224"/>
      <c r="H40" s="223"/>
      <c r="I40" s="224"/>
      <c r="J40" s="21" t="str">
        <f>IF(H30=3,"",IF(H30=4,B33,""))</f>
        <v/>
      </c>
      <c r="K40" s="15" t="str">
        <f>IFERROR(IF(J40="","",VLOOKUP(J40,LISTAS!$F$5:$G$1004,2,0)),"0")</f>
        <v/>
      </c>
      <c r="L40" s="81"/>
    </row>
    <row r="41" spans="2:16" ht="18" customHeight="1" x14ac:dyDescent="0.25">
      <c r="B41" s="15" t="str">
        <f>IF(H30=3,"",IF(H30=4,B32,""))</f>
        <v/>
      </c>
      <c r="C41" s="15" t="str">
        <f>IFERROR(IF(B41="","",VLOOKUP(B41,LISTAS!$F$5:$G$1004,2,0)),"0")</f>
        <v/>
      </c>
      <c r="D41" s="223"/>
      <c r="E41" s="224"/>
      <c r="F41" s="223" t="s">
        <v>38</v>
      </c>
      <c r="G41" s="224"/>
      <c r="H41" s="223"/>
      <c r="I41" s="224"/>
      <c r="J41" s="21" t="str">
        <f>IF(H30=3,"",IF(H30=4,B33,""))</f>
        <v/>
      </c>
      <c r="K41" s="15" t="str">
        <f>IFERROR(IF(J41="","",VLOOKUP(J41,LISTAS!$F$5:$G$1004,2,0)),"0")</f>
        <v/>
      </c>
      <c r="L41" s="81"/>
    </row>
    <row r="42" spans="2:16" ht="18" customHeight="1" x14ac:dyDescent="0.25">
      <c r="B42" s="15" t="str">
        <f>IF(H30=3,"",IF(H30=4,B30,""))</f>
        <v/>
      </c>
      <c r="C42" s="15" t="str">
        <f>IFERROR(IF(B42="","",VLOOKUP(B42,LISTAS!$F$5:$G$1004,2,0)),"0")</f>
        <v/>
      </c>
      <c r="D42" s="223"/>
      <c r="E42" s="224"/>
      <c r="F42" s="223" t="s">
        <v>38</v>
      </c>
      <c r="G42" s="224"/>
      <c r="H42" s="223"/>
      <c r="I42" s="224"/>
      <c r="J42" s="21" t="str">
        <f>IF(H30=3,"",IF(H30=4,B31,""))</f>
        <v/>
      </c>
      <c r="K42" s="15" t="str">
        <f>IFERROR(IF(J42="","",VLOOKUP(J42,LISTAS!$F$5:$G$1004,2,0)),"0")</f>
        <v/>
      </c>
      <c r="L42" s="81"/>
    </row>
    <row r="45" spans="2:16" ht="30" customHeight="1" x14ac:dyDescent="0.25">
      <c r="B45" s="161" t="s">
        <v>47</v>
      </c>
      <c r="C45" s="79"/>
      <c r="D45" s="225" t="s">
        <v>42</v>
      </c>
      <c r="E45" s="226"/>
      <c r="F45" s="226"/>
      <c r="G45" s="227"/>
      <c r="H45" s="113"/>
      <c r="I45" s="225" t="s">
        <v>3</v>
      </c>
      <c r="J45" s="226"/>
      <c r="K45" s="226"/>
      <c r="L45" s="226"/>
    </row>
    <row r="46" spans="2:16" ht="18" customHeight="1" x14ac:dyDescent="0.25">
      <c r="B46" s="9" t="s">
        <v>15</v>
      </c>
      <c r="C46" s="9" t="s">
        <v>0</v>
      </c>
      <c r="D46" s="9" t="s">
        <v>43</v>
      </c>
      <c r="E46" s="9" t="s">
        <v>44</v>
      </c>
      <c r="F46" s="9" t="s">
        <v>77</v>
      </c>
      <c r="G46" s="9" t="s">
        <v>78</v>
      </c>
      <c r="H46" s="114"/>
      <c r="I46" s="9" t="s">
        <v>18</v>
      </c>
      <c r="J46" s="9" t="s">
        <v>15</v>
      </c>
      <c r="K46" s="9" t="s">
        <v>0</v>
      </c>
      <c r="L46" s="9" t="s">
        <v>45</v>
      </c>
    </row>
    <row r="47" spans="2:16" ht="18" customHeight="1" x14ac:dyDescent="0.25">
      <c r="B47" s="15" t="s">
        <v>601</v>
      </c>
      <c r="C47" s="15" t="str">
        <f>IFERROR(IF(B47="","",VLOOKUP(B47,LISTAS!$F$5:$G$1004,2,0)),"0")</f>
        <v>BYE</v>
      </c>
      <c r="D47" s="15" t="str">
        <f>IF(H47&lt;3,"",IF(H47=3,IF(D53&lt;&gt;"",IF(H53&lt;&gt;"",IF(D53&lt;&gt;H53,IF(D53&gt;H53,"V","D"),""),""),"")))</f>
        <v>D</v>
      </c>
      <c r="E47" s="15" t="str">
        <f>IF(H47&lt;3,"",IF(H47=3,IF(D55&lt;&gt;"",IF(H55&lt;&gt;"",IF(D55&lt;&gt;H55,IF(D55&gt;H55,"V","D"),""),""),"")))</f>
        <v>D</v>
      </c>
      <c r="F47" s="15" t="s">
        <v>81</v>
      </c>
      <c r="G47" s="15" t="s">
        <v>81</v>
      </c>
      <c r="H47" s="117">
        <f>COUNTA(B47:B49)</f>
        <v>3</v>
      </c>
      <c r="I47" s="15">
        <f>IF(B47&lt;&gt;"",1,"")</f>
        <v>1</v>
      </c>
      <c r="J47" s="15" t="str">
        <f>IF(I47&lt;&gt;"",P47,"")</f>
        <v>MARIA DOMENICA FURUKAVA MONTEIRO</v>
      </c>
      <c r="K47" s="15" t="str">
        <f>IFERROR(IF(J47="","",VLOOKUP(J47,LISTAS!$F$5:$G$1004,2,0)),"0")</f>
        <v>COLÉGIO SÃO MAURO</v>
      </c>
      <c r="L47" s="119" t="str">
        <f>IF(H47=3,"OURO",IF(H47=4,"OURO",IF(H47=5,"OURO","")))</f>
        <v>OURO</v>
      </c>
      <c r="M47" s="20">
        <f>IF(B47&lt;&gt;"",COUNTIF(D47:G47,"V")+(SUMIF(B53:B55,B47,D53:E55)/1000)+(SUMIF(J53:J55,B47,H53:I55)/1000)-(SUMIF(B53:B55,B47,H53:I55)/1000)-(SUMIF(J53:J55,B47,D53:E55)/1000)+0.003,"")</f>
        <v>-1E-3</v>
      </c>
      <c r="N47" s="20" t="str">
        <f>IF(B47="","",B47)</f>
        <v>BYE</v>
      </c>
      <c r="O47" s="20">
        <f>IF(B47&lt;&gt;"",LARGE(M47:M49,1),"")</f>
        <v>2.004</v>
      </c>
      <c r="P47" s="20" t="str">
        <f>VLOOKUP(O47,M47:N49,2,0)</f>
        <v>MARIA DOMENICA FURUKAVA MONTEIRO</v>
      </c>
    </row>
    <row r="48" spans="2:16" ht="18" customHeight="1" x14ac:dyDescent="0.25">
      <c r="B48" s="15" t="s">
        <v>192</v>
      </c>
      <c r="C48" s="15" t="str">
        <f>IFERROR(IF(B48="","",VLOOKUP(B48,LISTAS!$F$5:$G$1004,2,0)),"0")</f>
        <v>COLÉGIO ENGENHEIRO SALVADOR ARENA</v>
      </c>
      <c r="D48" s="15" t="str">
        <f>IF(H47&lt;3,"",IF(H47=3,IF(D54&lt;&gt;"",IF(H54&lt;&gt;"",IF(D54&lt;&gt;H54,IF(D54&gt;H54,"V","D"),""),""),"")))</f>
        <v>D</v>
      </c>
      <c r="E48" s="15" t="str">
        <f>IF(H47&lt;3,"",IF(H47=3,IF(D55&lt;&gt;"",IF(H55&lt;&gt;"",IF(D55&lt;&gt;H55,IF(D55&gt;H55,"D","V"),""),""),"")))</f>
        <v>V</v>
      </c>
      <c r="F48" s="15" t="s">
        <v>81</v>
      </c>
      <c r="G48" s="15" t="s">
        <v>81</v>
      </c>
      <c r="H48" s="115"/>
      <c r="I48" s="15">
        <f>IF(B48&lt;&gt;"",2,"")</f>
        <v>2</v>
      </c>
      <c r="J48" s="15" t="str">
        <f>IF(I48&lt;&gt;"",P48,"")</f>
        <v>OLGA OLIVEIRA WELSCH</v>
      </c>
      <c r="K48" s="15" t="str">
        <f>IFERROR(IF(J48="","",VLOOKUP(J48,LISTAS!$F$5:$G$1004,2,0)),"0")</f>
        <v>COLÉGIO ENGENHEIRO SALVADOR ARENA</v>
      </c>
      <c r="L48" s="119" t="str">
        <f>IF(H47=3,"PRATA",IF(H47=4,"OURO",IF(H47=5,"OURO","")))</f>
        <v>PRATA</v>
      </c>
      <c r="M48" s="20">
        <f>IF(B48&lt;&gt;"",COUNTIF(D48:G48,"V")+(SUMIF(B53:B55,B48,D53:E55)/1000)+(SUMIF(J53:J55,B48,H53:I55)/1000)-(SUMIF(B53:B55,B48,H53:I55)/1000)-(SUMIF(J53:J55,B48,D53:E55)/1000)+0.002,"")</f>
        <v>1.0029999999999999</v>
      </c>
      <c r="N48" s="20" t="str">
        <f t="shared" ref="N48" si="2">IF(B48="","",B48)</f>
        <v>OLGA OLIVEIRA WELSCH</v>
      </c>
      <c r="O48" s="20">
        <f>IF(B48&lt;&gt;"",LARGE(M47:M49,2),"")</f>
        <v>1.0029999999999999</v>
      </c>
      <c r="P48" s="20" t="str">
        <f>VLOOKUP(O48,M47:N49,2,0)</f>
        <v>OLGA OLIVEIRA WELSCH</v>
      </c>
    </row>
    <row r="49" spans="2:16" ht="18" customHeight="1" x14ac:dyDescent="0.25">
      <c r="B49" s="15" t="s">
        <v>175</v>
      </c>
      <c r="C49" s="15" t="str">
        <f>IFERROR(IF(B49="","",VLOOKUP(B49,LISTAS!$F$5:$G$1004,2,0)),"0")</f>
        <v>COLÉGIO SÃO MAURO</v>
      </c>
      <c r="D49" s="15" t="str">
        <f>IF(H47&lt;3,"",IF(H47=3,IF(D53&lt;&gt;"",IF(H53&lt;&gt;"",IF(D53&lt;&gt;H53,IF(D53&gt;H53,"D","V"),""),""),"")))</f>
        <v>V</v>
      </c>
      <c r="E49" s="15" t="str">
        <f>IF(H47&lt;3,"",IF(H47=3,IF(D54&lt;&gt;"",IF(H54&lt;&gt;"",IF(D54&lt;&gt;H54,IF(D54&gt;H54,"D","V"),""),""),"")))</f>
        <v>V</v>
      </c>
      <c r="F49" s="15" t="s">
        <v>81</v>
      </c>
      <c r="G49" s="15" t="s">
        <v>81</v>
      </c>
      <c r="H49" s="115"/>
      <c r="I49" s="15">
        <f>IF(B49&lt;&gt;"",3,"")</f>
        <v>3</v>
      </c>
      <c r="J49" s="15" t="str">
        <f>IF(I49&lt;&gt;"",P49,"")</f>
        <v>BYE</v>
      </c>
      <c r="K49" s="15" t="str">
        <f>IFERROR(IF(J49="","",VLOOKUP(J49,LISTAS!$F$5:$G$1004,2,0)),"0")</f>
        <v>BYE</v>
      </c>
      <c r="L49" s="119" t="str">
        <f>IF(H47=3,"BRONZE",IF(H47=4,"PRATA",IF(H47=5,"OURO","")))</f>
        <v>BRONZE</v>
      </c>
      <c r="M49" s="20">
        <f>IF(B49&lt;&gt;"",COUNTIF(D49:G49,"V")+(SUMIF(B53:B55,B49,D53:E55)/1000)+(SUMIF(J53:J55,B49,H53:I55)/1000)-(SUMIF(B53:B55,B49,H53:I55)/1000)-(SUMIF(J53:J55,B49,D53:E55)/1000)+0.001,"")</f>
        <v>2.004</v>
      </c>
      <c r="N49" s="20" t="str">
        <f>IF(B49="","",B49)</f>
        <v>MARIA DOMENICA FURUKAVA MONTEIRO</v>
      </c>
      <c r="O49" s="20">
        <f>IF(B49&lt;&gt;"",LARGE(M47:M49,3),"")</f>
        <v>-1E-3</v>
      </c>
      <c r="P49" s="20" t="str">
        <f>VLOOKUP(O49,M47:N49,2,0)</f>
        <v>BYE</v>
      </c>
    </row>
    <row r="50" spans="2:16" ht="18" customHeight="1" x14ac:dyDescent="0.25">
      <c r="B50" s="79"/>
      <c r="C50" s="79"/>
      <c r="D50" s="79"/>
      <c r="E50" s="79"/>
      <c r="F50" s="79"/>
      <c r="G50" s="79"/>
      <c r="I50" s="80"/>
      <c r="J50" s="79"/>
      <c r="K50" s="81"/>
      <c r="L50" s="81"/>
    </row>
    <row r="51" spans="2:16" ht="23.25" customHeight="1" x14ac:dyDescent="0.25">
      <c r="B51" s="82" t="s">
        <v>40</v>
      </c>
      <c r="C51" s="79"/>
      <c r="D51" s="79"/>
      <c r="E51" s="79"/>
      <c r="F51" s="79"/>
      <c r="G51" s="79"/>
      <c r="H51" s="79"/>
      <c r="I51" s="79"/>
      <c r="J51" s="79"/>
      <c r="K51" s="79"/>
      <c r="L51" s="79"/>
    </row>
    <row r="52" spans="2:16" ht="18" customHeight="1" x14ac:dyDescent="0.25">
      <c r="B52" s="9" t="s">
        <v>15</v>
      </c>
      <c r="C52" s="9" t="s">
        <v>0</v>
      </c>
      <c r="D52" s="228" t="s">
        <v>41</v>
      </c>
      <c r="E52" s="229"/>
      <c r="F52" s="229"/>
      <c r="G52" s="229"/>
      <c r="H52" s="229"/>
      <c r="I52" s="230"/>
      <c r="J52" s="9" t="s">
        <v>15</v>
      </c>
      <c r="K52" s="9" t="s">
        <v>0</v>
      </c>
      <c r="L52" s="79"/>
    </row>
    <row r="53" spans="2:16" ht="18" customHeight="1" x14ac:dyDescent="0.25">
      <c r="B53" s="15" t="str">
        <f>IF(H47=3,B47,"")</f>
        <v>BYE</v>
      </c>
      <c r="C53" s="15" t="str">
        <f>IFERROR(IF(B53="","",VLOOKUP(B53,LISTAS!$F$5:$G$1004,2,0)),"0")</f>
        <v>BYE</v>
      </c>
      <c r="D53" s="223">
        <v>0</v>
      </c>
      <c r="E53" s="224"/>
      <c r="F53" s="223" t="s">
        <v>38</v>
      </c>
      <c r="G53" s="224"/>
      <c r="H53" s="223">
        <v>2</v>
      </c>
      <c r="I53" s="224"/>
      <c r="J53" s="21" t="str">
        <f>IF(H47=3,B49,"")</f>
        <v>MARIA DOMENICA FURUKAVA MONTEIRO</v>
      </c>
      <c r="K53" s="15" t="str">
        <f>IFERROR(IF(J53="","",VLOOKUP(J53,LISTAS!$F$5:$G$1004,2,0)),"0")</f>
        <v>COLÉGIO SÃO MAURO</v>
      </c>
      <c r="L53" s="81"/>
    </row>
    <row r="54" spans="2:16" ht="18" customHeight="1" x14ac:dyDescent="0.25">
      <c r="B54" s="15" t="str">
        <f>IF(H47=3,B48,"")</f>
        <v>OLGA OLIVEIRA WELSCH</v>
      </c>
      <c r="C54" s="15" t="str">
        <f>IFERROR(IF(B54="","",VLOOKUP(B54,LISTAS!$F$5:$G$1004,2,0)),"0")</f>
        <v>COLÉGIO ENGENHEIRO SALVADOR ARENA</v>
      </c>
      <c r="D54" s="223">
        <v>1</v>
      </c>
      <c r="E54" s="224"/>
      <c r="F54" s="223" t="s">
        <v>38</v>
      </c>
      <c r="G54" s="224"/>
      <c r="H54" s="223">
        <v>2</v>
      </c>
      <c r="I54" s="224"/>
      <c r="J54" s="21" t="str">
        <f>IF(H47=3,B49,"")</f>
        <v>MARIA DOMENICA FURUKAVA MONTEIRO</v>
      </c>
      <c r="K54" s="15" t="str">
        <f>IFERROR(IF(J54="","",VLOOKUP(J54,LISTAS!$F$5:$G$1004,2,0)),"0")</f>
        <v>COLÉGIO SÃO MAURO</v>
      </c>
      <c r="L54" s="79"/>
    </row>
    <row r="55" spans="2:16" ht="18" customHeight="1" x14ac:dyDescent="0.25">
      <c r="B55" s="15" t="str">
        <f>IF(H47=3,B47,"")</f>
        <v>BYE</v>
      </c>
      <c r="C55" s="15" t="str">
        <f>IFERROR(IF(B55="","",VLOOKUP(B55,LISTAS!$F$5:$G$1004,2,0)),"0")</f>
        <v>BYE</v>
      </c>
      <c r="D55" s="223">
        <v>0</v>
      </c>
      <c r="E55" s="224"/>
      <c r="F55" s="223" t="s">
        <v>38</v>
      </c>
      <c r="G55" s="224"/>
      <c r="H55" s="223">
        <v>2</v>
      </c>
      <c r="I55" s="224"/>
      <c r="J55" s="21" t="str">
        <f>IF(H47=3,B48,"")</f>
        <v>OLGA OLIVEIRA WELSCH</v>
      </c>
      <c r="K55" s="15" t="str">
        <f>IFERROR(IF(J55="","",VLOOKUP(J55,LISTAS!$F$5:$G$1004,2,0)),"0")</f>
        <v>COLÉGIO ENGENHEIRO SALVADOR ARENA</v>
      </c>
      <c r="L55" s="81"/>
    </row>
    <row r="58" spans="2:16" ht="30" customHeight="1" x14ac:dyDescent="0.25">
      <c r="B58" s="161" t="s">
        <v>48</v>
      </c>
      <c r="C58" s="79"/>
      <c r="D58" s="225" t="s">
        <v>42</v>
      </c>
      <c r="E58" s="226"/>
      <c r="F58" s="226"/>
      <c r="G58" s="227"/>
      <c r="H58" s="113"/>
      <c r="I58" s="225" t="s">
        <v>3</v>
      </c>
      <c r="J58" s="226"/>
      <c r="K58" s="226"/>
      <c r="L58" s="226"/>
    </row>
    <row r="59" spans="2:16" ht="18" customHeight="1" x14ac:dyDescent="0.25">
      <c r="B59" s="9" t="s">
        <v>15</v>
      </c>
      <c r="C59" s="9" t="s">
        <v>0</v>
      </c>
      <c r="D59" s="9" t="s">
        <v>43</v>
      </c>
      <c r="E59" s="9" t="s">
        <v>44</v>
      </c>
      <c r="F59" s="9" t="s">
        <v>77</v>
      </c>
      <c r="G59" s="9" t="s">
        <v>78</v>
      </c>
      <c r="H59" s="114"/>
      <c r="I59" s="9" t="s">
        <v>18</v>
      </c>
      <c r="J59" s="9" t="s">
        <v>15</v>
      </c>
      <c r="K59" s="9" t="s">
        <v>0</v>
      </c>
      <c r="L59" s="9" t="s">
        <v>45</v>
      </c>
    </row>
    <row r="60" spans="2:16" ht="18" customHeight="1" x14ac:dyDescent="0.25">
      <c r="B60" s="15" t="s">
        <v>201</v>
      </c>
      <c r="C60" s="15" t="str">
        <f>IFERROR(IF(B60="","",VLOOKUP(B60,LISTAS!$F$5:$G$1004,2,0)),"0")</f>
        <v>COLÉGIO ARBOS - UNIDADE SANTO ANDRÉ</v>
      </c>
      <c r="D60" s="15" t="str">
        <f>IF(H60&lt;3,"",IF(H60=3,IF(D66&lt;&gt;"",IF(H66&lt;&gt;"",IF(D66&lt;&gt;H66,IF(D66&gt;H66,"V","D"),""),""),"")))</f>
        <v>D</v>
      </c>
      <c r="E60" s="15" t="str">
        <f>IF(H60&lt;3,"",IF(H60=3,IF(D68&lt;&gt;"",IF(H68&lt;&gt;"",IF(D68&lt;&gt;H68,IF(D68&gt;H68,"V","D"),""),""),"")))</f>
        <v>V</v>
      </c>
      <c r="F60" s="15" t="s">
        <v>81</v>
      </c>
      <c r="G60" s="15" t="s">
        <v>81</v>
      </c>
      <c r="H60" s="117">
        <f>COUNTA(B60:B62)</f>
        <v>3</v>
      </c>
      <c r="I60" s="15">
        <f>IF(B60&lt;&gt;"",1,"")</f>
        <v>1</v>
      </c>
      <c r="J60" s="15" t="str">
        <f>IF(I60&lt;&gt;"",P60,"")</f>
        <v>CLARA ANTONITSCH VIDO</v>
      </c>
      <c r="K60" s="15" t="str">
        <f>IFERROR(IF(J60="","",VLOOKUP(J60,LISTAS!$F$5:$G$1004,2,0)),"0")</f>
        <v>LICEU JARDIM</v>
      </c>
      <c r="L60" s="119" t="str">
        <f>IF(H60=3,"OURO",IF(H60=4,"OURO",IF(H60=5,"OURO","")))</f>
        <v>OURO</v>
      </c>
      <c r="M60" s="20">
        <f>IF(B60&lt;&gt;"",COUNTIF(D60:G60,"V")+(SUMIF(B66:B68,B60,D66:E68)/1000)+(SUMIF(J66:J68,B60,H66:I68)/1000)-(SUMIF(B66:B68,B60,H66:I68)/1000)-(SUMIF(J66:J68,B60,D66:E68)/1000)+0.003,"")</f>
        <v>1.0029999999999999</v>
      </c>
      <c r="N60" s="20" t="str">
        <f>IF(B60="","",B60)</f>
        <v>SOPHIA MENDES DA SILVA</v>
      </c>
      <c r="O60" s="20">
        <f>IF(B60&lt;&gt;"",LARGE(M60:M62,1),"")</f>
        <v>2.0049999999999999</v>
      </c>
      <c r="P60" s="20" t="str">
        <f>VLOOKUP(O60,M60:N62,2,0)</f>
        <v>CLARA ANTONITSCH VIDO</v>
      </c>
    </row>
    <row r="61" spans="2:16" ht="18" customHeight="1" x14ac:dyDescent="0.25">
      <c r="B61" s="15" t="s">
        <v>601</v>
      </c>
      <c r="C61" s="15" t="str">
        <f>IFERROR(IF(B61="","",VLOOKUP(B61,LISTAS!$F$5:$G$1004,2,0)),"0")</f>
        <v>BYE</v>
      </c>
      <c r="D61" s="15" t="str">
        <f>IF(H60&lt;3,"",IF(H60=3,IF(D67&lt;&gt;"",IF(H67&lt;&gt;"",IF(D67&lt;&gt;H67,IF(D67&gt;H67,"V","D"),""),""),"")))</f>
        <v>D</v>
      </c>
      <c r="E61" s="15" t="str">
        <f>IF(H60&lt;3,"",IF(H60=3,IF(D68&lt;&gt;"",IF(H68&lt;&gt;"",IF(D68&lt;&gt;H68,IF(D68&gt;H68,"D","V"),""),""),"")))</f>
        <v>D</v>
      </c>
      <c r="F61" s="15" t="s">
        <v>81</v>
      </c>
      <c r="G61" s="15" t="s">
        <v>81</v>
      </c>
      <c r="H61" s="115"/>
      <c r="I61" s="15">
        <f>IF(B61&lt;&gt;"",2,"")</f>
        <v>2</v>
      </c>
      <c r="J61" s="15" t="str">
        <f>IF(I61&lt;&gt;"",P61,"")</f>
        <v>SOPHIA MENDES DA SILVA</v>
      </c>
      <c r="K61" s="15" t="str">
        <f>IFERROR(IF(J61="","",VLOOKUP(J61,LISTAS!$F$5:$G$1004,2,0)),"0")</f>
        <v>COLÉGIO ARBOS - UNIDADE SANTO ANDRÉ</v>
      </c>
      <c r="L61" s="119" t="str">
        <f>IF(H60=3,"PRATA",IF(H60=4,"OURO",IF(H60=5,"OURO","")))</f>
        <v>PRATA</v>
      </c>
      <c r="M61" s="20">
        <f>IF(B61&lt;&gt;"",COUNTIF(D61:G61,"V")+(SUMIF(B66:B68,B61,D66:E68)/1000)+(SUMIF(J66:J68,B61,H66:I68)/1000)-(SUMIF(B66:B68,B61,H66:I68)/1000)-(SUMIF(J66:J68,B61,D66:E68)/1000)+0.002,"")</f>
        <v>-2E-3</v>
      </c>
      <c r="N61" s="20" t="str">
        <f t="shared" ref="N61" si="3">IF(B61="","",B61)</f>
        <v>BYE</v>
      </c>
      <c r="O61" s="20">
        <f>IF(B61&lt;&gt;"",LARGE(M60:M62,2),"")</f>
        <v>1.0029999999999999</v>
      </c>
      <c r="P61" s="20" t="str">
        <f>VLOOKUP(O61,M60:N62,2,0)</f>
        <v>SOPHIA MENDES DA SILVA</v>
      </c>
    </row>
    <row r="62" spans="2:16" ht="18" customHeight="1" x14ac:dyDescent="0.25">
      <c r="B62" s="15" t="s">
        <v>131</v>
      </c>
      <c r="C62" s="15" t="str">
        <f>IFERROR(IF(B62="","",VLOOKUP(B62,LISTAS!$F$5:$G$1004,2,0)),"0")</f>
        <v>LICEU JARDIM</v>
      </c>
      <c r="D62" s="15" t="str">
        <f>IF(H60&lt;3,"",IF(H60=3,IF(D66&lt;&gt;"",IF(H66&lt;&gt;"",IF(D66&lt;&gt;H66,IF(D66&gt;H66,"D","V"),""),""),"")))</f>
        <v>V</v>
      </c>
      <c r="E62" s="15" t="str">
        <f>IF(H60&lt;3,"",IF(H60=3,IF(D67&lt;&gt;"",IF(H67&lt;&gt;"",IF(D67&lt;&gt;H67,IF(D67&gt;H67,"D","V"),""),""),"")))</f>
        <v>V</v>
      </c>
      <c r="F62" s="15" t="s">
        <v>81</v>
      </c>
      <c r="G62" s="15" t="s">
        <v>81</v>
      </c>
      <c r="H62" s="115"/>
      <c r="I62" s="15">
        <f>IF(B62&lt;&gt;"",3,"")</f>
        <v>3</v>
      </c>
      <c r="J62" s="15" t="str">
        <f>IF(I62&lt;&gt;"",P62,"")</f>
        <v>BYE</v>
      </c>
      <c r="K62" s="15" t="str">
        <f>IFERROR(IF(J62="","",VLOOKUP(J62,LISTAS!$F$5:$G$1004,2,0)),"0")</f>
        <v>BYE</v>
      </c>
      <c r="L62" s="119" t="str">
        <f>IF(H60=3,"BRONZE",IF(H60=4,"PRATA",IF(H60=5,"OURO","")))</f>
        <v>BRONZE</v>
      </c>
      <c r="M62" s="20">
        <f>IF(B62&lt;&gt;"",COUNTIF(D62:G62,"V")+(SUMIF(B66:B68,B62,D66:E68)/1000)+(SUMIF(J66:J68,B62,H66:I68)/1000)-(SUMIF(B66:B68,B62,H66:I68)/1000)-(SUMIF(J66:J68,B62,D66:E68)/1000)+0.001,"")</f>
        <v>2.0049999999999999</v>
      </c>
      <c r="N62" s="20" t="str">
        <f>IF(B62="","",B62)</f>
        <v>CLARA ANTONITSCH VIDO</v>
      </c>
      <c r="O62" s="20">
        <f>IF(B62&lt;&gt;"",LARGE(M60:M62,3),"")</f>
        <v>-2E-3</v>
      </c>
      <c r="P62" s="20" t="str">
        <f>VLOOKUP(O62,M60:N62,2,0)</f>
        <v>BYE</v>
      </c>
    </row>
    <row r="63" spans="2:16" ht="18" customHeight="1" x14ac:dyDescent="0.25">
      <c r="B63" s="79"/>
      <c r="C63" s="79"/>
      <c r="D63" s="79"/>
      <c r="E63" s="79"/>
      <c r="F63" s="79"/>
      <c r="G63" s="79"/>
      <c r="I63" s="80"/>
      <c r="J63" s="79"/>
      <c r="K63" s="81"/>
      <c r="L63" s="81"/>
    </row>
    <row r="64" spans="2:16" ht="23.25" customHeight="1" x14ac:dyDescent="0.25">
      <c r="B64" s="82" t="s">
        <v>40</v>
      </c>
      <c r="C64" s="79"/>
      <c r="D64" s="79"/>
      <c r="E64" s="79"/>
      <c r="F64" s="79"/>
      <c r="G64" s="79"/>
      <c r="H64" s="79"/>
      <c r="I64" s="79"/>
      <c r="J64" s="79"/>
      <c r="K64" s="79"/>
      <c r="L64" s="79"/>
    </row>
    <row r="65" spans="2:16" ht="18" customHeight="1" x14ac:dyDescent="0.25">
      <c r="B65" s="9" t="s">
        <v>15</v>
      </c>
      <c r="C65" s="9" t="s">
        <v>0</v>
      </c>
      <c r="D65" s="228" t="s">
        <v>41</v>
      </c>
      <c r="E65" s="229"/>
      <c r="F65" s="229"/>
      <c r="G65" s="229"/>
      <c r="H65" s="229"/>
      <c r="I65" s="230"/>
      <c r="J65" s="9" t="s">
        <v>15</v>
      </c>
      <c r="K65" s="9" t="s">
        <v>0</v>
      </c>
      <c r="L65" s="79"/>
    </row>
    <row r="66" spans="2:16" ht="18" customHeight="1" x14ac:dyDescent="0.25">
      <c r="B66" s="15" t="str">
        <f>IF(H60=3,B60,"")</f>
        <v>SOPHIA MENDES DA SILVA</v>
      </c>
      <c r="C66" s="15" t="str">
        <f>IFERROR(IF(B66="","",VLOOKUP(B66,LISTAS!$F$5:$G$1004,2,0)),"0")</f>
        <v>COLÉGIO ARBOS - UNIDADE SANTO ANDRÉ</v>
      </c>
      <c r="D66" s="223">
        <v>0</v>
      </c>
      <c r="E66" s="224"/>
      <c r="F66" s="223" t="s">
        <v>38</v>
      </c>
      <c r="G66" s="224"/>
      <c r="H66" s="223">
        <v>2</v>
      </c>
      <c r="I66" s="224"/>
      <c r="J66" s="21" t="str">
        <f>IF(H60=3,B62,"")</f>
        <v>CLARA ANTONITSCH VIDO</v>
      </c>
      <c r="K66" s="15" t="str">
        <f>IFERROR(IF(J66="","",VLOOKUP(J66,LISTAS!$F$5:$G$1004,2,0)),"0")</f>
        <v>LICEU JARDIM</v>
      </c>
      <c r="L66" s="81"/>
    </row>
    <row r="67" spans="2:16" ht="18" customHeight="1" x14ac:dyDescent="0.25">
      <c r="B67" s="15" t="str">
        <f>IF(H60=3,B61,"")</f>
        <v>BYE</v>
      </c>
      <c r="C67" s="15" t="str">
        <f>IFERROR(IF(B67="","",VLOOKUP(B67,LISTAS!$F$5:$G$1004,2,0)),"0")</f>
        <v>BYE</v>
      </c>
      <c r="D67" s="223">
        <v>0</v>
      </c>
      <c r="E67" s="224"/>
      <c r="F67" s="223" t="s">
        <v>38</v>
      </c>
      <c r="G67" s="224"/>
      <c r="H67" s="223">
        <v>2</v>
      </c>
      <c r="I67" s="224"/>
      <c r="J67" s="21" t="str">
        <f>IF(H60=3,B62,"")</f>
        <v>CLARA ANTONITSCH VIDO</v>
      </c>
      <c r="K67" s="15" t="str">
        <f>IFERROR(IF(J67="","",VLOOKUP(J67,LISTAS!$F$5:$G$1004,2,0)),"0")</f>
        <v>LICEU JARDIM</v>
      </c>
      <c r="L67" s="79"/>
    </row>
    <row r="68" spans="2:16" ht="18" customHeight="1" x14ac:dyDescent="0.25">
      <c r="B68" s="15" t="str">
        <f>IF(H60=3,B60,"")</f>
        <v>SOPHIA MENDES DA SILVA</v>
      </c>
      <c r="C68" s="15" t="str">
        <f>IFERROR(IF(B68="","",VLOOKUP(B68,LISTAS!$F$5:$G$1004,2,0)),"0")</f>
        <v>COLÉGIO ARBOS - UNIDADE SANTO ANDRÉ</v>
      </c>
      <c r="D68" s="223">
        <v>2</v>
      </c>
      <c r="E68" s="224"/>
      <c r="F68" s="223" t="s">
        <v>38</v>
      </c>
      <c r="G68" s="224"/>
      <c r="H68" s="223">
        <v>0</v>
      </c>
      <c r="I68" s="224"/>
      <c r="J68" s="21" t="str">
        <f>IF(H60=3,B61,"")</f>
        <v>BYE</v>
      </c>
      <c r="K68" s="15" t="str">
        <f>IFERROR(IF(J68="","",VLOOKUP(J68,LISTAS!$F$5:$G$1004,2,0)),"0")</f>
        <v>BYE</v>
      </c>
      <c r="L68" s="81"/>
    </row>
    <row r="71" spans="2:16" ht="30" customHeight="1" x14ac:dyDescent="0.25">
      <c r="B71" s="161" t="s">
        <v>49</v>
      </c>
      <c r="C71" s="79"/>
      <c r="D71" s="225" t="s">
        <v>42</v>
      </c>
      <c r="E71" s="226"/>
      <c r="F71" s="226"/>
      <c r="G71" s="227"/>
      <c r="H71" s="113"/>
      <c r="I71" s="225" t="s">
        <v>3</v>
      </c>
      <c r="J71" s="226"/>
      <c r="K71" s="226"/>
      <c r="L71" s="226"/>
    </row>
    <row r="72" spans="2:16" ht="18" customHeight="1" x14ac:dyDescent="0.25">
      <c r="B72" s="9" t="s">
        <v>15</v>
      </c>
      <c r="C72" s="9" t="s">
        <v>0</v>
      </c>
      <c r="D72" s="9" t="s">
        <v>43</v>
      </c>
      <c r="E72" s="9" t="s">
        <v>44</v>
      </c>
      <c r="F72" s="9" t="s">
        <v>77</v>
      </c>
      <c r="G72" s="9" t="s">
        <v>78</v>
      </c>
      <c r="H72" s="114"/>
      <c r="I72" s="9" t="s">
        <v>18</v>
      </c>
      <c r="J72" s="9" t="s">
        <v>15</v>
      </c>
      <c r="K72" s="9" t="s">
        <v>0</v>
      </c>
      <c r="L72" s="9" t="s">
        <v>45</v>
      </c>
    </row>
    <row r="73" spans="2:16" ht="18" customHeight="1" x14ac:dyDescent="0.25">
      <c r="B73" s="15" t="s">
        <v>196</v>
      </c>
      <c r="C73" s="15" t="str">
        <f>IFERROR(IF(B73="","",VLOOKUP(B73,LISTAS!$F$5:$G$1004,2,0)),"0")</f>
        <v>PEN LIFE</v>
      </c>
      <c r="D73" s="15" t="str">
        <f>IF(H73&lt;3,"",IF(H73=3,IF(D79&lt;&gt;"",IF(H79&lt;&gt;"",IF(D79&lt;&gt;H79,IF(D79&gt;H79,"V","D"),""),""),"")))</f>
        <v>D</v>
      </c>
      <c r="E73" s="15" t="str">
        <f>IF(H73&lt;3,"",IF(H73=3,IF(D81&lt;&gt;"",IF(H81&lt;&gt;"",IF(D81&lt;&gt;H81,IF(D81&gt;H81,"V","D"),""),""),"")))</f>
        <v>D</v>
      </c>
      <c r="F73" s="15" t="s">
        <v>81</v>
      </c>
      <c r="G73" s="15" t="s">
        <v>81</v>
      </c>
      <c r="H73" s="117">
        <f>COUNTA(B73:B75)</f>
        <v>3</v>
      </c>
      <c r="I73" s="15">
        <f>IF(B73&lt;&gt;"",1,"")</f>
        <v>1</v>
      </c>
      <c r="J73" s="15" t="str">
        <f>IF(I73&lt;&gt;"",P73,"")</f>
        <v>YASMIN HARUMI SERIKAWA MORI</v>
      </c>
      <c r="K73" s="15" t="str">
        <f>IFERROR(IF(J73="","",VLOOKUP(J73,LISTAS!$F$5:$G$1004,2,0)),"0")</f>
        <v>COLÉGIO ARBOS SÃO CAETANO DO SUL</v>
      </c>
      <c r="L73" s="119" t="str">
        <f>IF(H73=3,"OURO",IF(H73=4,"OURO",IF(H73=5,"OURO","")))</f>
        <v>OURO</v>
      </c>
      <c r="M73" s="20">
        <f>IF(B73&lt;&gt;"",COUNTIF(D73:G73,"V")+(SUMIF(B79:B81,B73,D79:E81)/1000)+(SUMIF(J79:J81,B73,H79:I81)/1000)-(SUMIF(B79:B81,B73,H79:I81)/1000)-(SUMIF(J79:J81,B73,D79:E81)/1000)+0.003,"")</f>
        <v>-1E-3</v>
      </c>
      <c r="N73" s="20" t="str">
        <f>IF(B73="","",B73)</f>
        <v>PIETRA SALAZAR MASSUCATO</v>
      </c>
      <c r="O73" s="20">
        <f>IF(B73&lt;&gt;"",LARGE(M73:M75,1),"")</f>
        <v>2.004</v>
      </c>
      <c r="P73" s="20" t="str">
        <f>VLOOKUP(O73,M73:N75,2,0)</f>
        <v>YASMIN HARUMI SERIKAWA MORI</v>
      </c>
    </row>
    <row r="74" spans="2:16" ht="18" customHeight="1" x14ac:dyDescent="0.25">
      <c r="B74" s="15" t="s">
        <v>155</v>
      </c>
      <c r="C74" s="15" t="str">
        <f>IFERROR(IF(B74="","",VLOOKUP(B74,LISTAS!$F$5:$G$1004,2,0)),"0")</f>
        <v>EXTERNATO SANTO ANTONIO</v>
      </c>
      <c r="D74" s="15" t="str">
        <f>IF(H73&lt;3,"",IF(H73=3,IF(D80&lt;&gt;"",IF(H80&lt;&gt;"",IF(D80&lt;&gt;H80,IF(D80&gt;H80,"V","D"),""),""),"")))</f>
        <v>D</v>
      </c>
      <c r="E74" s="15" t="str">
        <f>IF(H73&lt;3,"",IF(H73=3,IF(D81&lt;&gt;"",IF(H81&lt;&gt;"",IF(D81&lt;&gt;H81,IF(D81&gt;H81,"D","V"),""),""),"")))</f>
        <v>V</v>
      </c>
      <c r="F74" s="15" t="s">
        <v>81</v>
      </c>
      <c r="G74" s="15" t="s">
        <v>81</v>
      </c>
      <c r="H74" s="115"/>
      <c r="I74" s="15">
        <f>IF(B74&lt;&gt;"",2,"")</f>
        <v>2</v>
      </c>
      <c r="J74" s="15" t="str">
        <f>IF(I74&lt;&gt;"",P74,"")</f>
        <v>HELOISA NEGRÃO DE OLIVEIRA</v>
      </c>
      <c r="K74" s="15" t="str">
        <f>IFERROR(IF(J74="","",VLOOKUP(J74,LISTAS!$F$5:$G$1004,2,0)),"0")</f>
        <v>EXTERNATO SANTO ANTONIO</v>
      </c>
      <c r="L74" s="119" t="str">
        <f>IF(H73=3,"PRATA",IF(H73=4,"OURO",IF(H73=5,"OURO","")))</f>
        <v>PRATA</v>
      </c>
      <c r="M74" s="20">
        <f>IF(B74&lt;&gt;"",COUNTIF(D74:G74,"V")+(SUMIF(B79:B81,B74,D79:E81)/1000)+(SUMIF(J79:J81,B74,H79:I81)/1000)-(SUMIF(B79:B81,B74,H79:I81)/1000)-(SUMIF(J79:J81,B74,D79:E81)/1000)+0.002,"")</f>
        <v>1.0029999999999999</v>
      </c>
      <c r="N74" s="20" t="str">
        <f t="shared" ref="N74" si="4">IF(B74="","",B74)</f>
        <v>HELOISA NEGRÃO DE OLIVEIRA</v>
      </c>
      <c r="O74" s="20">
        <f>IF(B74&lt;&gt;"",LARGE(M73:M75,2),"")</f>
        <v>1.0029999999999999</v>
      </c>
      <c r="P74" s="20" t="str">
        <f>VLOOKUP(O74,M73:N75,2,0)</f>
        <v>HELOISA NEGRÃO DE OLIVEIRA</v>
      </c>
    </row>
    <row r="75" spans="2:16" ht="18" customHeight="1" x14ac:dyDescent="0.25">
      <c r="B75" s="15" t="s">
        <v>208</v>
      </c>
      <c r="C75" s="15" t="str">
        <f>IFERROR(IF(B75="","",VLOOKUP(B75,LISTAS!$F$5:$G$1004,2,0)),"0")</f>
        <v>COLÉGIO ARBOS SÃO CAETANO DO SUL</v>
      </c>
      <c r="D75" s="15" t="str">
        <f>IF(H73&lt;3,"",IF(H73=3,IF(D79&lt;&gt;"",IF(H79&lt;&gt;"",IF(D79&lt;&gt;H79,IF(D79&gt;H79,"D","V"),""),""),"")))</f>
        <v>V</v>
      </c>
      <c r="E75" s="15" t="str">
        <f>IF(H73&lt;3,"",IF(H73=3,IF(D80&lt;&gt;"",IF(H80&lt;&gt;"",IF(D80&lt;&gt;H80,IF(D80&gt;H80,"D","V"),""),""),"")))</f>
        <v>V</v>
      </c>
      <c r="F75" s="15" t="s">
        <v>81</v>
      </c>
      <c r="G75" s="15" t="s">
        <v>81</v>
      </c>
      <c r="H75" s="115"/>
      <c r="I75" s="15">
        <f>IF(B75&lt;&gt;"",3,"")</f>
        <v>3</v>
      </c>
      <c r="J75" s="15" t="str">
        <f>IF(I75&lt;&gt;"",P75,"")</f>
        <v>PIETRA SALAZAR MASSUCATO</v>
      </c>
      <c r="K75" s="15" t="str">
        <f>IFERROR(IF(J75="","",VLOOKUP(J75,LISTAS!$F$5:$G$1004,2,0)),"0")</f>
        <v>PEN LIFE</v>
      </c>
      <c r="L75" s="119" t="str">
        <f>IF(H73=3,"BRONZE",IF(H73=4,"PRATA",IF(H73=5,"OURO","")))</f>
        <v>BRONZE</v>
      </c>
      <c r="M75" s="20">
        <f>IF(B75&lt;&gt;"",COUNTIF(D75:G75,"V")+(SUMIF(B79:B81,B75,D79:E81)/1000)+(SUMIF(J79:J81,B75,H79:I81)/1000)-(SUMIF(B79:B81,B75,H79:I81)/1000)-(SUMIF(J79:J81,B75,D79:E81)/1000)+0.001,"")</f>
        <v>2.004</v>
      </c>
      <c r="N75" s="20" t="str">
        <f>IF(B75="","",B75)</f>
        <v>YASMIN HARUMI SERIKAWA MORI</v>
      </c>
      <c r="O75" s="20">
        <f>IF(B75&lt;&gt;"",LARGE(M73:M75,3),"")</f>
        <v>-1E-3</v>
      </c>
      <c r="P75" s="20" t="str">
        <f>VLOOKUP(O75,M73:N75,2,0)</f>
        <v>PIETRA SALAZAR MASSUCATO</v>
      </c>
    </row>
    <row r="76" spans="2:16" ht="18" customHeight="1" x14ac:dyDescent="0.25">
      <c r="B76" s="79"/>
      <c r="C76" s="79"/>
      <c r="D76" s="79"/>
      <c r="E76" s="79"/>
      <c r="F76" s="79"/>
      <c r="G76" s="79"/>
      <c r="I76" s="80"/>
      <c r="J76" s="79"/>
      <c r="K76" s="81"/>
      <c r="L76" s="81"/>
    </row>
    <row r="77" spans="2:16" ht="23.25" customHeight="1" x14ac:dyDescent="0.25">
      <c r="B77" s="82" t="s">
        <v>40</v>
      </c>
      <c r="C77" s="79"/>
      <c r="D77" s="79"/>
      <c r="E77" s="79"/>
      <c r="F77" s="79"/>
      <c r="G77" s="79"/>
      <c r="H77" s="79"/>
      <c r="I77" s="79"/>
      <c r="J77" s="79"/>
      <c r="K77" s="79"/>
      <c r="L77" s="79"/>
    </row>
    <row r="78" spans="2:16" ht="18" customHeight="1" x14ac:dyDescent="0.25">
      <c r="B78" s="9" t="s">
        <v>15</v>
      </c>
      <c r="C78" s="9" t="s">
        <v>0</v>
      </c>
      <c r="D78" s="228" t="s">
        <v>41</v>
      </c>
      <c r="E78" s="229"/>
      <c r="F78" s="229"/>
      <c r="G78" s="229"/>
      <c r="H78" s="229"/>
      <c r="I78" s="230"/>
      <c r="J78" s="9" t="s">
        <v>15</v>
      </c>
      <c r="K78" s="9" t="s">
        <v>0</v>
      </c>
      <c r="L78" s="79"/>
    </row>
    <row r="79" spans="2:16" ht="18" customHeight="1" x14ac:dyDescent="0.25">
      <c r="B79" s="15" t="str">
        <f>IF(H73=3,B73,"")</f>
        <v>PIETRA SALAZAR MASSUCATO</v>
      </c>
      <c r="C79" s="15" t="str">
        <f>IFERROR(IF(B79="","",VLOOKUP(B79,LISTAS!$F$5:$G$1004,2,0)),"0")</f>
        <v>PEN LIFE</v>
      </c>
      <c r="D79" s="223">
        <v>0</v>
      </c>
      <c r="E79" s="224"/>
      <c r="F79" s="223" t="s">
        <v>38</v>
      </c>
      <c r="G79" s="224"/>
      <c r="H79" s="223">
        <v>2</v>
      </c>
      <c r="I79" s="224"/>
      <c r="J79" s="21" t="str">
        <f>IF(H73=3,B75,"")</f>
        <v>YASMIN HARUMI SERIKAWA MORI</v>
      </c>
      <c r="K79" s="15" t="str">
        <f>IFERROR(IF(J79="","",VLOOKUP(J79,LISTAS!$F$5:$G$1004,2,0)),"0")</f>
        <v>COLÉGIO ARBOS SÃO CAETANO DO SUL</v>
      </c>
      <c r="L79" s="81"/>
    </row>
    <row r="80" spans="2:16" ht="18" customHeight="1" x14ac:dyDescent="0.25">
      <c r="B80" s="15" t="str">
        <f>IF(H73=3,B74,"")</f>
        <v>HELOISA NEGRÃO DE OLIVEIRA</v>
      </c>
      <c r="C80" s="15" t="str">
        <f>IFERROR(IF(B80="","",VLOOKUP(B80,LISTAS!$F$5:$G$1004,2,0)),"0")</f>
        <v>EXTERNATO SANTO ANTONIO</v>
      </c>
      <c r="D80" s="223">
        <v>1</v>
      </c>
      <c r="E80" s="224"/>
      <c r="F80" s="223" t="s">
        <v>38</v>
      </c>
      <c r="G80" s="224"/>
      <c r="H80" s="223">
        <v>2</v>
      </c>
      <c r="I80" s="224"/>
      <c r="J80" s="21" t="str">
        <f>IF(H73=3,B75,"")</f>
        <v>YASMIN HARUMI SERIKAWA MORI</v>
      </c>
      <c r="K80" s="15" t="str">
        <f>IFERROR(IF(J80="","",VLOOKUP(J80,LISTAS!$F$5:$G$1004,2,0)),"0")</f>
        <v>COLÉGIO ARBOS SÃO CAETANO DO SUL</v>
      </c>
      <c r="L80" s="79"/>
    </row>
    <row r="81" spans="2:16" ht="18" customHeight="1" x14ac:dyDescent="0.25">
      <c r="B81" s="15" t="str">
        <f>IF(H73=3,B73,"")</f>
        <v>PIETRA SALAZAR MASSUCATO</v>
      </c>
      <c r="C81" s="15" t="str">
        <f>IFERROR(IF(B81="","",VLOOKUP(B81,LISTAS!$F$5:$G$1004,2,0)),"0")</f>
        <v>PEN LIFE</v>
      </c>
      <c r="D81" s="223">
        <v>0</v>
      </c>
      <c r="E81" s="224"/>
      <c r="F81" s="223" t="s">
        <v>38</v>
      </c>
      <c r="G81" s="224"/>
      <c r="H81" s="223">
        <v>2</v>
      </c>
      <c r="I81" s="224"/>
      <c r="J81" s="21" t="str">
        <f>IF(H73=3,B74,"")</f>
        <v>HELOISA NEGRÃO DE OLIVEIRA</v>
      </c>
      <c r="K81" s="15" t="str">
        <f>IFERROR(IF(J81="","",VLOOKUP(J81,LISTAS!$F$5:$G$1004,2,0)),"0")</f>
        <v>EXTERNATO SANTO ANTONIO</v>
      </c>
      <c r="L81" s="81"/>
    </row>
    <row r="84" spans="2:16" ht="30" customHeight="1" x14ac:dyDescent="0.25">
      <c r="B84" s="161" t="s">
        <v>50</v>
      </c>
      <c r="C84" s="79"/>
      <c r="D84" s="225" t="s">
        <v>42</v>
      </c>
      <c r="E84" s="226"/>
      <c r="F84" s="226"/>
      <c r="G84" s="227"/>
      <c r="H84" s="113"/>
      <c r="I84" s="225" t="s">
        <v>3</v>
      </c>
      <c r="J84" s="226"/>
      <c r="K84" s="226"/>
      <c r="L84" s="226"/>
    </row>
    <row r="85" spans="2:16" ht="18" customHeight="1" x14ac:dyDescent="0.25">
      <c r="B85" s="9" t="s">
        <v>15</v>
      </c>
      <c r="C85" s="9" t="s">
        <v>0</v>
      </c>
      <c r="D85" s="9" t="s">
        <v>43</v>
      </c>
      <c r="E85" s="9" t="s">
        <v>44</v>
      </c>
      <c r="F85" s="9" t="s">
        <v>77</v>
      </c>
      <c r="G85" s="9" t="s">
        <v>78</v>
      </c>
      <c r="H85" s="114"/>
      <c r="I85" s="9" t="s">
        <v>18</v>
      </c>
      <c r="J85" s="9" t="s">
        <v>15</v>
      </c>
      <c r="K85" s="9" t="s">
        <v>0</v>
      </c>
      <c r="L85" s="9" t="s">
        <v>45</v>
      </c>
    </row>
    <row r="86" spans="2:16" ht="18" customHeight="1" x14ac:dyDescent="0.25">
      <c r="B86" s="15"/>
      <c r="C86" s="15" t="str">
        <f>IFERROR(IF(B86="","",VLOOKUP(B86,LISTAS!$F$5:$G$1004,2,0)),"0")</f>
        <v/>
      </c>
      <c r="D86" s="15" t="str">
        <f>IF(H86&lt;3,"",IF(H86=3,IF(D92&lt;&gt;"",IF(H92&lt;&gt;"",IF(D92&lt;&gt;H92,IF(D92&gt;H92,"V","D"),""),""),"")))</f>
        <v/>
      </c>
      <c r="E86" s="15" t="str">
        <f>IF(H86&lt;3,"",IF(H86=3,IF(D94&lt;&gt;"",IF(H94&lt;&gt;"",IF(D94&lt;&gt;H94,IF(D94&gt;H94,"V","D"),""),""),"")))</f>
        <v/>
      </c>
      <c r="F86" s="15" t="s">
        <v>81</v>
      </c>
      <c r="G86" s="15" t="s">
        <v>81</v>
      </c>
      <c r="H86" s="117">
        <f>COUNTA(B86:B88)</f>
        <v>0</v>
      </c>
      <c r="I86" s="15" t="str">
        <f>IF(B86&lt;&gt;"",1,"")</f>
        <v/>
      </c>
      <c r="J86" s="15" t="str">
        <f>IF(I86&lt;&gt;"",P86,"")</f>
        <v/>
      </c>
      <c r="K86" s="15" t="str">
        <f>IFERROR(IF(J86="","",VLOOKUP(J86,LISTAS!$F$5:$G$1004,2,0)),"0")</f>
        <v/>
      </c>
      <c r="L86" s="119" t="str">
        <f>IF(H86=3,"OURO",IF(H86=4,"OURO",IF(H86=5,"OURO","")))</f>
        <v/>
      </c>
      <c r="M86" s="20" t="str">
        <f>IF(B86&lt;&gt;"",COUNTIF(D86:G86,"V")+(SUMIF(B92:B94,B86,D92:E94)/1000)+(SUMIF(J92:J94,B86,H92:I94)/1000)-(SUMIF(B92:B94,B86,H92:I94)/1000)-(SUMIF(J92:J94,B86,D92:E94)/1000)+0.003,"")</f>
        <v/>
      </c>
      <c r="N86" s="20" t="str">
        <f>IF(B86="","",B86)</f>
        <v/>
      </c>
      <c r="O86" s="20" t="str">
        <f>IF(B86&lt;&gt;"",LARGE(M86:M88,1),"")</f>
        <v/>
      </c>
      <c r="P86" s="20" t="str">
        <f>VLOOKUP(O86,M86:N88,2,0)</f>
        <v/>
      </c>
    </row>
    <row r="87" spans="2:16" ht="18" customHeight="1" x14ac:dyDescent="0.25">
      <c r="B87" s="15"/>
      <c r="C87" s="15" t="str">
        <f>IFERROR(IF(B87="","",VLOOKUP(B87,LISTAS!$F$5:$G$1004,2,0)),"0")</f>
        <v/>
      </c>
      <c r="D87" s="15" t="str">
        <f>IF(H86&lt;3,"",IF(H86=3,IF(D93&lt;&gt;"",IF(H93&lt;&gt;"",IF(D93&lt;&gt;H93,IF(D93&gt;H93,"V","D"),""),""),"")))</f>
        <v/>
      </c>
      <c r="E87" s="15" t="str">
        <f>IF(H86&lt;3,"",IF(H86=3,IF(D94&lt;&gt;"",IF(H94&lt;&gt;"",IF(D94&lt;&gt;H94,IF(D94&gt;H94,"D","V"),""),""),"")))</f>
        <v/>
      </c>
      <c r="F87" s="15" t="s">
        <v>81</v>
      </c>
      <c r="G87" s="15" t="s">
        <v>81</v>
      </c>
      <c r="H87" s="115"/>
      <c r="I87" s="15" t="str">
        <f>IF(B87&lt;&gt;"",2,"")</f>
        <v/>
      </c>
      <c r="J87" s="15" t="str">
        <f>IF(I87&lt;&gt;"",P87,"")</f>
        <v/>
      </c>
      <c r="K87" s="15" t="str">
        <f>IFERROR(IF(J87="","",VLOOKUP(J87,LISTAS!$F$5:$G$1004,2,0)),"0")</f>
        <v/>
      </c>
      <c r="L87" s="119" t="str">
        <f>IF(H86=3,"PRATA",IF(H86=4,"OURO",IF(H86=5,"OURO","")))</f>
        <v/>
      </c>
      <c r="M87" s="20" t="str">
        <f>IF(B87&lt;&gt;"",COUNTIF(D87:G87,"V")+(SUMIF(B92:B94,B87,D92:E94)/1000)+(SUMIF(J92:J94,B87,H92:I94)/1000)-(SUMIF(B92:B94,B87,H92:I94)/1000)-(SUMIF(J92:J94,B87,D92:E94)/1000)+0.002,"")</f>
        <v/>
      </c>
      <c r="N87" s="20" t="str">
        <f t="shared" ref="N87" si="5">IF(B87="","",B87)</f>
        <v/>
      </c>
      <c r="O87" s="20" t="str">
        <f>IF(B87&lt;&gt;"",LARGE(M86:M88,2),"")</f>
        <v/>
      </c>
      <c r="P87" s="20" t="str">
        <f>VLOOKUP(O87,M86:N88,2,0)</f>
        <v/>
      </c>
    </row>
    <row r="88" spans="2:16" ht="18" customHeight="1" x14ac:dyDescent="0.25">
      <c r="B88" s="15"/>
      <c r="C88" s="15" t="str">
        <f>IFERROR(IF(B88="","",VLOOKUP(B88,LISTAS!$F$5:$G$1004,2,0)),"0")</f>
        <v/>
      </c>
      <c r="D88" s="15" t="str">
        <f>IF(H86&lt;3,"",IF(H86=3,IF(D92&lt;&gt;"",IF(H92&lt;&gt;"",IF(D92&lt;&gt;H92,IF(D92&gt;H92,"D","V"),""),""),"")))</f>
        <v/>
      </c>
      <c r="E88" s="15" t="str">
        <f>IF(H86&lt;3,"",IF(H86=3,IF(D93&lt;&gt;"",IF(H93&lt;&gt;"",IF(D93&lt;&gt;H93,IF(D93&gt;H93,"D","V"),""),""),"")))</f>
        <v/>
      </c>
      <c r="F88" s="15" t="s">
        <v>81</v>
      </c>
      <c r="G88" s="15" t="s">
        <v>81</v>
      </c>
      <c r="H88" s="115"/>
      <c r="I88" s="15" t="str">
        <f>IF(B88&lt;&gt;"",3,"")</f>
        <v/>
      </c>
      <c r="J88" s="15" t="str">
        <f>IF(I88&lt;&gt;"",P88,"")</f>
        <v/>
      </c>
      <c r="K88" s="15" t="str">
        <f>IFERROR(IF(J88="","",VLOOKUP(J88,LISTAS!$F$5:$G$1004,2,0)),"0")</f>
        <v/>
      </c>
      <c r="L88" s="119" t="str">
        <f>IF(H86=3,"BRONZE",IF(H86=4,"PRATA",IF(H86=5,"OURO","")))</f>
        <v/>
      </c>
      <c r="M88" s="20" t="str">
        <f>IF(B88&lt;&gt;"",COUNTIF(D88:G88,"V")+(SUMIF(B92:B94,B88,D92:E94)/1000)+(SUMIF(J92:J94,B88,H92:I94)/1000)-(SUMIF(B92:B94,B88,H92:I94)/1000)-(SUMIF(J92:J94,B88,D92:E94)/1000)+0.001,"")</f>
        <v/>
      </c>
      <c r="N88" s="20" t="str">
        <f>IF(B88="","",B88)</f>
        <v/>
      </c>
      <c r="O88" s="20" t="str">
        <f>IF(B88&lt;&gt;"",LARGE(M86:M88,3),"")</f>
        <v/>
      </c>
      <c r="P88" s="20" t="str">
        <f>VLOOKUP(O88,M86:N88,2,0)</f>
        <v/>
      </c>
    </row>
    <row r="89" spans="2:16" ht="18" customHeight="1" x14ac:dyDescent="0.25">
      <c r="B89" s="79"/>
      <c r="C89" s="79"/>
      <c r="D89" s="79"/>
      <c r="E89" s="79"/>
      <c r="F89" s="79"/>
      <c r="G89" s="79"/>
      <c r="I89" s="80"/>
      <c r="J89" s="79"/>
      <c r="K89" s="81"/>
      <c r="L89" s="81"/>
    </row>
    <row r="90" spans="2:16" ht="23.25" customHeight="1" x14ac:dyDescent="0.25">
      <c r="B90" s="82" t="s">
        <v>40</v>
      </c>
      <c r="C90" s="79"/>
      <c r="D90" s="79"/>
      <c r="E90" s="79"/>
      <c r="F90" s="79"/>
      <c r="G90" s="79"/>
      <c r="H90" s="79"/>
      <c r="I90" s="79"/>
      <c r="J90" s="79"/>
      <c r="K90" s="79"/>
      <c r="L90" s="79"/>
    </row>
    <row r="91" spans="2:16" ht="18" customHeight="1" x14ac:dyDescent="0.25">
      <c r="B91" s="9" t="s">
        <v>15</v>
      </c>
      <c r="C91" s="9" t="s">
        <v>0</v>
      </c>
      <c r="D91" s="228" t="s">
        <v>41</v>
      </c>
      <c r="E91" s="229"/>
      <c r="F91" s="229"/>
      <c r="G91" s="229"/>
      <c r="H91" s="229"/>
      <c r="I91" s="230"/>
      <c r="J91" s="9" t="s">
        <v>15</v>
      </c>
      <c r="K91" s="9" t="s">
        <v>0</v>
      </c>
      <c r="L91" s="79"/>
    </row>
    <row r="92" spans="2:16" ht="18" customHeight="1" x14ac:dyDescent="0.25">
      <c r="B92" s="15" t="str">
        <f>IF(H86=3,B86,"")</f>
        <v/>
      </c>
      <c r="C92" s="15" t="str">
        <f>IFERROR(IF(B92="","",VLOOKUP(B92,LISTAS!$F$5:$G$1004,2,0)),"0")</f>
        <v/>
      </c>
      <c r="D92" s="223"/>
      <c r="E92" s="224"/>
      <c r="F92" s="223" t="s">
        <v>38</v>
      </c>
      <c r="G92" s="224"/>
      <c r="H92" s="223"/>
      <c r="I92" s="224"/>
      <c r="J92" s="21" t="str">
        <f>IF(H86=3,B88,"")</f>
        <v/>
      </c>
      <c r="K92" s="15" t="str">
        <f>IFERROR(IF(J92="","",VLOOKUP(J92,LISTAS!$F$5:$G$1004,2,0)),"0")</f>
        <v/>
      </c>
      <c r="L92" s="81"/>
    </row>
    <row r="93" spans="2:16" ht="18" customHeight="1" x14ac:dyDescent="0.25">
      <c r="B93" s="15" t="str">
        <f>IF(H86=3,B87,"")</f>
        <v/>
      </c>
      <c r="C93" s="15" t="str">
        <f>IFERROR(IF(B93="","",VLOOKUP(B93,LISTAS!$F$5:$G$1004,2,0)),"0")</f>
        <v/>
      </c>
      <c r="D93" s="223"/>
      <c r="E93" s="224"/>
      <c r="F93" s="223" t="s">
        <v>38</v>
      </c>
      <c r="G93" s="224"/>
      <c r="H93" s="223"/>
      <c r="I93" s="224"/>
      <c r="J93" s="21" t="str">
        <f>IF(H86=3,B88,"")</f>
        <v/>
      </c>
      <c r="K93" s="15" t="str">
        <f>IFERROR(IF(J93="","",VLOOKUP(J93,LISTAS!$F$5:$G$1004,2,0)),"0")</f>
        <v/>
      </c>
      <c r="L93" s="79"/>
    </row>
    <row r="94" spans="2:16" ht="18" customHeight="1" x14ac:dyDescent="0.25">
      <c r="B94" s="15" t="str">
        <f>IF(H86=3,B86,"")</f>
        <v/>
      </c>
      <c r="C94" s="15" t="str">
        <f>IFERROR(IF(B94="","",VLOOKUP(B94,LISTAS!$F$5:$G$1004,2,0)),"0")</f>
        <v/>
      </c>
      <c r="D94" s="223"/>
      <c r="E94" s="224"/>
      <c r="F94" s="223" t="s">
        <v>38</v>
      </c>
      <c r="G94" s="224"/>
      <c r="H94" s="223"/>
      <c r="I94" s="224"/>
      <c r="J94" s="21" t="str">
        <f>IF(H86=3,B87,"")</f>
        <v/>
      </c>
      <c r="K94" s="15" t="str">
        <f>IFERROR(IF(J94="","",VLOOKUP(J94,LISTAS!$F$5:$G$1004,2,0)),"0")</f>
        <v/>
      </c>
      <c r="L94" s="81"/>
    </row>
    <row r="97" spans="2:16" ht="30" customHeight="1" x14ac:dyDescent="0.25">
      <c r="B97" s="161" t="s">
        <v>51</v>
      </c>
      <c r="C97" s="79"/>
      <c r="D97" s="225" t="s">
        <v>42</v>
      </c>
      <c r="E97" s="226"/>
      <c r="F97" s="226"/>
      <c r="G97" s="227"/>
      <c r="H97" s="113"/>
      <c r="I97" s="225" t="s">
        <v>3</v>
      </c>
      <c r="J97" s="226"/>
      <c r="K97" s="226"/>
      <c r="L97" s="226"/>
    </row>
    <row r="98" spans="2:16" ht="18" customHeight="1" x14ac:dyDescent="0.25">
      <c r="B98" s="9" t="s">
        <v>15</v>
      </c>
      <c r="C98" s="9" t="s">
        <v>0</v>
      </c>
      <c r="D98" s="9" t="s">
        <v>43</v>
      </c>
      <c r="E98" s="9" t="s">
        <v>44</v>
      </c>
      <c r="F98" s="9" t="s">
        <v>77</v>
      </c>
      <c r="G98" s="9" t="s">
        <v>78</v>
      </c>
      <c r="H98" s="114"/>
      <c r="I98" s="9" t="s">
        <v>18</v>
      </c>
      <c r="J98" s="9" t="s">
        <v>15</v>
      </c>
      <c r="K98" s="9" t="s">
        <v>0</v>
      </c>
      <c r="L98" s="9" t="s">
        <v>45</v>
      </c>
    </row>
    <row r="99" spans="2:16" ht="18" customHeight="1" x14ac:dyDescent="0.25">
      <c r="B99" s="15"/>
      <c r="C99" s="15" t="str">
        <f>IFERROR(IF(B99="","",VLOOKUP(B99,LISTAS!$F$5:$G$1004,2,0)),"0")</f>
        <v/>
      </c>
      <c r="D99" s="15" t="str">
        <f>IF(H99&lt;3,"",IF(H99=3,IF(D105&lt;&gt;"",IF(H105&lt;&gt;"",IF(D105&lt;&gt;H105,IF(D105&gt;H105,"V","D"),""),""),"")))</f>
        <v/>
      </c>
      <c r="E99" s="15" t="str">
        <f>IF(H99&lt;3,"",IF(H99=3,IF(D107&lt;&gt;"",IF(H107&lt;&gt;"",IF(D107&lt;&gt;H107,IF(D107&gt;H107,"V","D"),""),""),"")))</f>
        <v/>
      </c>
      <c r="F99" s="15" t="s">
        <v>81</v>
      </c>
      <c r="G99" s="15" t="s">
        <v>81</v>
      </c>
      <c r="H99" s="117">
        <f>COUNTA(B99:B101)</f>
        <v>0</v>
      </c>
      <c r="I99" s="15" t="str">
        <f>IF(B99&lt;&gt;"",1,"")</f>
        <v/>
      </c>
      <c r="J99" s="15" t="str">
        <f>IF(I99&lt;&gt;"",P99,"")</f>
        <v/>
      </c>
      <c r="K99" s="15" t="str">
        <f>IFERROR(IF(J99="","",VLOOKUP(J99,LISTAS!$F$5:$G$1004,2,0)),"0")</f>
        <v/>
      </c>
      <c r="L99" s="119" t="str">
        <f>IF(H99=3,"OURO",IF(H99=4,"OURO",IF(H99=5,"OURO","")))</f>
        <v/>
      </c>
      <c r="M99" s="20" t="str">
        <f>IF(B99&lt;&gt;"",COUNTIF(D99:G99,"V")+(SUMIF(B105:B107,B99,D105:E107)/1000)+(SUMIF(J105:J107,B99,H105:I107)/1000)-(SUMIF(B105:B107,B99,H105:I107)/1000)-(SUMIF(J105:J107,B99,D105:E107)/1000)+0.003,"")</f>
        <v/>
      </c>
      <c r="N99" s="20" t="str">
        <f>IF(B99="","",B99)</f>
        <v/>
      </c>
      <c r="O99" s="20" t="str">
        <f>IF(B99&lt;&gt;"",LARGE(M99:M101,1),"")</f>
        <v/>
      </c>
      <c r="P99" s="20" t="str">
        <f>VLOOKUP(O99,M99:N101,2,0)</f>
        <v/>
      </c>
    </row>
    <row r="100" spans="2:16" ht="18" customHeight="1" x14ac:dyDescent="0.25">
      <c r="B100" s="15"/>
      <c r="C100" s="15" t="str">
        <f>IFERROR(IF(B100="","",VLOOKUP(B100,LISTAS!$F$5:$G$1004,2,0)),"0")</f>
        <v/>
      </c>
      <c r="D100" s="15" t="str">
        <f>IF(H99&lt;3,"",IF(H99=3,IF(D106&lt;&gt;"",IF(H106&lt;&gt;"",IF(D106&lt;&gt;H106,IF(D106&gt;H106,"V","D"),""),""),"")))</f>
        <v/>
      </c>
      <c r="E100" s="15" t="str">
        <f>IF(H99&lt;3,"",IF(H99=3,IF(D107&lt;&gt;"",IF(H107&lt;&gt;"",IF(D107&lt;&gt;H107,IF(D107&gt;H107,"D","V"),""),""),"")))</f>
        <v/>
      </c>
      <c r="F100" s="15" t="s">
        <v>81</v>
      </c>
      <c r="G100" s="15" t="s">
        <v>81</v>
      </c>
      <c r="H100" s="115"/>
      <c r="I100" s="15" t="str">
        <f>IF(B100&lt;&gt;"",2,"")</f>
        <v/>
      </c>
      <c r="J100" s="15" t="str">
        <f>IF(I100&lt;&gt;"",P100,"")</f>
        <v/>
      </c>
      <c r="K100" s="15" t="str">
        <f>IFERROR(IF(J100="","",VLOOKUP(J100,LISTAS!$F$5:$G$1004,2,0)),"0")</f>
        <v/>
      </c>
      <c r="L100" s="119" t="str">
        <f>IF(H99=3,"PRATA",IF(H99=4,"OURO",IF(H99=5,"OURO","")))</f>
        <v/>
      </c>
      <c r="M100" s="20" t="str">
        <f>IF(B100&lt;&gt;"",COUNTIF(D100:G100,"V")+(SUMIF(B105:B107,B100,D105:E107)/1000)+(SUMIF(J105:J107,B100,H105:I107)/1000)-(SUMIF(B105:B107,B100,H105:I107)/1000)-(SUMIF(J105:J107,B100,D105:E107)/1000)+0.002,"")</f>
        <v/>
      </c>
      <c r="N100" s="20" t="str">
        <f t="shared" ref="N100" si="6">IF(B100="","",B100)</f>
        <v/>
      </c>
      <c r="O100" s="20" t="str">
        <f>IF(B100&lt;&gt;"",LARGE(M99:M101,2),"")</f>
        <v/>
      </c>
      <c r="P100" s="20" t="str">
        <f>VLOOKUP(O100,M99:N101,2,0)</f>
        <v/>
      </c>
    </row>
    <row r="101" spans="2:16" ht="18" customHeight="1" x14ac:dyDescent="0.25">
      <c r="B101" s="15"/>
      <c r="C101" s="15" t="str">
        <f>IFERROR(IF(B101="","",VLOOKUP(B101,LISTAS!$F$5:$G$1004,2,0)),"0")</f>
        <v/>
      </c>
      <c r="D101" s="15" t="str">
        <f>IF(H99&lt;3,"",IF(H99=3,IF(D105&lt;&gt;"",IF(H105&lt;&gt;"",IF(D105&lt;&gt;H105,IF(D105&gt;H105,"D","V"),""),""),"")))</f>
        <v/>
      </c>
      <c r="E101" s="15" t="str">
        <f>IF(H99&lt;3,"",IF(H99=3,IF(D106&lt;&gt;"",IF(H106&lt;&gt;"",IF(D106&lt;&gt;H106,IF(D106&gt;H106,"D","V"),""),""),"")))</f>
        <v/>
      </c>
      <c r="F101" s="15" t="s">
        <v>81</v>
      </c>
      <c r="G101" s="15" t="s">
        <v>81</v>
      </c>
      <c r="H101" s="115"/>
      <c r="I101" s="15" t="str">
        <f>IF(B101&lt;&gt;"",3,"")</f>
        <v/>
      </c>
      <c r="J101" s="15" t="str">
        <f>IF(I101&lt;&gt;"",P101,"")</f>
        <v/>
      </c>
      <c r="K101" s="15" t="str">
        <f>IFERROR(IF(J101="","",VLOOKUP(J101,LISTAS!$F$5:$G$1004,2,0)),"0")</f>
        <v/>
      </c>
      <c r="L101" s="119" t="str">
        <f>IF(H99=3,"BRONZE",IF(H99=4,"PRATA",IF(H99=5,"OURO","")))</f>
        <v/>
      </c>
      <c r="M101" s="20" t="str">
        <f>IF(B101&lt;&gt;"",COUNTIF(D101:G101,"V")+(SUMIF(B105:B107,B101,D105:E107)/1000)+(SUMIF(J105:J107,B101,H105:I107)/1000)-(SUMIF(B105:B107,B101,H105:I107)/1000)-(SUMIF(J105:J107,B101,D105:E107)/1000)+0.001,"")</f>
        <v/>
      </c>
      <c r="N101" s="20" t="str">
        <f>IF(B101="","",B101)</f>
        <v/>
      </c>
      <c r="O101" s="20" t="str">
        <f>IF(B101&lt;&gt;"",LARGE(M99:M101,3),"")</f>
        <v/>
      </c>
      <c r="P101" s="20" t="str">
        <f>VLOOKUP(O101,M99:N101,2,0)</f>
        <v/>
      </c>
    </row>
    <row r="102" spans="2:16" ht="18" customHeight="1" x14ac:dyDescent="0.25">
      <c r="B102" s="79"/>
      <c r="C102" s="79"/>
      <c r="D102" s="79"/>
      <c r="E102" s="79"/>
      <c r="F102" s="79"/>
      <c r="G102" s="79"/>
      <c r="I102" s="80"/>
      <c r="J102" s="79"/>
      <c r="K102" s="81"/>
      <c r="L102" s="81"/>
    </row>
    <row r="103" spans="2:16" ht="23.25" customHeight="1" x14ac:dyDescent="0.25">
      <c r="B103" s="82" t="s">
        <v>40</v>
      </c>
      <c r="C103" s="79"/>
      <c r="D103" s="79"/>
      <c r="E103" s="79"/>
      <c r="F103" s="79"/>
      <c r="G103" s="79"/>
      <c r="H103" s="79"/>
      <c r="I103" s="79"/>
      <c r="J103" s="79"/>
      <c r="K103" s="79"/>
      <c r="L103" s="79"/>
    </row>
    <row r="104" spans="2:16" ht="18" customHeight="1" x14ac:dyDescent="0.25">
      <c r="B104" s="9" t="s">
        <v>15</v>
      </c>
      <c r="C104" s="9" t="s">
        <v>0</v>
      </c>
      <c r="D104" s="228" t="s">
        <v>41</v>
      </c>
      <c r="E104" s="229"/>
      <c r="F104" s="229"/>
      <c r="G104" s="229"/>
      <c r="H104" s="229"/>
      <c r="I104" s="230"/>
      <c r="J104" s="9" t="s">
        <v>15</v>
      </c>
      <c r="K104" s="9" t="s">
        <v>0</v>
      </c>
      <c r="L104" s="79"/>
    </row>
    <row r="105" spans="2:16" ht="18" customHeight="1" x14ac:dyDescent="0.25">
      <c r="B105" s="15" t="str">
        <f>IF(H99=3,B99,"")</f>
        <v/>
      </c>
      <c r="C105" s="15" t="str">
        <f>IFERROR(IF(B105="","",VLOOKUP(B105,LISTAS!$F$5:$G$1004,2,0)),"0")</f>
        <v/>
      </c>
      <c r="D105" s="223"/>
      <c r="E105" s="224"/>
      <c r="F105" s="223" t="s">
        <v>38</v>
      </c>
      <c r="G105" s="224"/>
      <c r="H105" s="223"/>
      <c r="I105" s="224"/>
      <c r="J105" s="21" t="str">
        <f>IF(H99=3,B101,"")</f>
        <v/>
      </c>
      <c r="K105" s="15" t="str">
        <f>IFERROR(IF(J105="","",VLOOKUP(J105,LISTAS!$F$5:$G$1004,2,0)),"0")</f>
        <v/>
      </c>
      <c r="L105" s="81"/>
    </row>
    <row r="106" spans="2:16" ht="18" customHeight="1" x14ac:dyDescent="0.25">
      <c r="B106" s="15" t="str">
        <f>IF(H99=3,B100,"")</f>
        <v/>
      </c>
      <c r="C106" s="15" t="str">
        <f>IFERROR(IF(B106="","",VLOOKUP(B106,LISTAS!$F$5:$G$1004,2,0)),"0")</f>
        <v/>
      </c>
      <c r="D106" s="223"/>
      <c r="E106" s="224"/>
      <c r="F106" s="223" t="s">
        <v>38</v>
      </c>
      <c r="G106" s="224"/>
      <c r="H106" s="223"/>
      <c r="I106" s="224"/>
      <c r="J106" s="21" t="str">
        <f>IF(H99=3,B101,"")</f>
        <v/>
      </c>
      <c r="K106" s="15" t="str">
        <f>IFERROR(IF(J106="","",VLOOKUP(J106,LISTAS!$F$5:$G$1004,2,0)),"0")</f>
        <v/>
      </c>
      <c r="L106" s="79"/>
    </row>
    <row r="107" spans="2:16" ht="18" customHeight="1" x14ac:dyDescent="0.25">
      <c r="B107" s="15" t="str">
        <f>IF(H99=3,B99,"")</f>
        <v/>
      </c>
      <c r="C107" s="15" t="str">
        <f>IFERROR(IF(B107="","",VLOOKUP(B107,LISTAS!$F$5:$G$1004,2,0)),"0")</f>
        <v/>
      </c>
      <c r="D107" s="223"/>
      <c r="E107" s="224"/>
      <c r="F107" s="223" t="s">
        <v>38</v>
      </c>
      <c r="G107" s="224"/>
      <c r="H107" s="223"/>
      <c r="I107" s="224"/>
      <c r="J107" s="21" t="str">
        <f>IF(H99=3,B100,"")</f>
        <v/>
      </c>
      <c r="K107" s="15" t="str">
        <f>IFERROR(IF(J107="","",VLOOKUP(J107,LISTAS!$F$5:$G$1004,2,0)),"0")</f>
        <v/>
      </c>
      <c r="L107" s="81"/>
    </row>
    <row r="110" spans="2:16" ht="30" customHeight="1" x14ac:dyDescent="0.25">
      <c r="B110" s="161" t="s">
        <v>52</v>
      </c>
      <c r="C110" s="79"/>
      <c r="D110" s="225" t="s">
        <v>42</v>
      </c>
      <c r="E110" s="226"/>
      <c r="F110" s="226"/>
      <c r="G110" s="227"/>
      <c r="H110" s="113"/>
      <c r="I110" s="225" t="s">
        <v>3</v>
      </c>
      <c r="J110" s="226"/>
      <c r="K110" s="226"/>
      <c r="L110" s="226"/>
    </row>
    <row r="111" spans="2:16" ht="18" customHeight="1" x14ac:dyDescent="0.25">
      <c r="B111" s="9" t="s">
        <v>15</v>
      </c>
      <c r="C111" s="9" t="s">
        <v>0</v>
      </c>
      <c r="D111" s="9" t="s">
        <v>43</v>
      </c>
      <c r="E111" s="9" t="s">
        <v>44</v>
      </c>
      <c r="F111" s="9" t="s">
        <v>77</v>
      </c>
      <c r="G111" s="9" t="s">
        <v>78</v>
      </c>
      <c r="H111" s="114"/>
      <c r="I111" s="9" t="s">
        <v>18</v>
      </c>
      <c r="J111" s="9" t="s">
        <v>15</v>
      </c>
      <c r="K111" s="9" t="s">
        <v>0</v>
      </c>
      <c r="L111" s="9" t="s">
        <v>45</v>
      </c>
    </row>
    <row r="112" spans="2:16" ht="18" customHeight="1" x14ac:dyDescent="0.25">
      <c r="B112" s="15"/>
      <c r="C112" s="15" t="str">
        <f>IFERROR(IF(B112="","",VLOOKUP(B112,LISTAS!$F$5:$G$1004,2,0)),"0")</f>
        <v/>
      </c>
      <c r="D112" s="15" t="str">
        <f>IF(H112&lt;3,"",IF(H112=3,IF(D118&lt;&gt;"",IF(H118&lt;&gt;"",IF(D118&lt;&gt;H118,IF(D118&gt;H118,"V","D"),""),""),"")))</f>
        <v/>
      </c>
      <c r="E112" s="15" t="str">
        <f>IF(H112&lt;3,"",IF(H112=3,IF(D120&lt;&gt;"",IF(H120&lt;&gt;"",IF(D120&lt;&gt;H120,IF(D120&gt;H120,"V","D"),""),""),"")))</f>
        <v/>
      </c>
      <c r="F112" s="15" t="s">
        <v>81</v>
      </c>
      <c r="G112" s="15" t="s">
        <v>81</v>
      </c>
      <c r="H112" s="117">
        <f>COUNTA(B112:B114)</f>
        <v>0</v>
      </c>
      <c r="I112" s="15" t="str">
        <f>IF(B112&lt;&gt;"",1,"")</f>
        <v/>
      </c>
      <c r="J112" s="15" t="str">
        <f>IF(I112&lt;&gt;"",P112,"")</f>
        <v/>
      </c>
      <c r="K112" s="15" t="str">
        <f>IFERROR(IF(J112="","",VLOOKUP(J112,LISTAS!$F$5:$G$1004,2,0)),"0")</f>
        <v/>
      </c>
      <c r="L112" s="119" t="str">
        <f>IF(H112=3,"OURO",IF(H112=4,"OURO",IF(H112=5,"OURO","")))</f>
        <v/>
      </c>
      <c r="M112" s="20" t="str">
        <f>IF(B112&lt;&gt;"",COUNTIF(D112:G112,"V")+(SUMIF(B118:B120,B112,D118:E120)/1000)+(SUMIF(J118:J120,B112,H118:I120)/1000)-(SUMIF(B118:B120,B112,H118:I120)/1000)-(SUMIF(J118:J120,B112,D118:E120)/1000)+0.003,"")</f>
        <v/>
      </c>
      <c r="N112" s="20" t="str">
        <f>IF(B112="","",B112)</f>
        <v/>
      </c>
      <c r="O112" s="20" t="str">
        <f>IF(B112&lt;&gt;"",LARGE(M112:M114,1),"")</f>
        <v/>
      </c>
      <c r="P112" s="20" t="str">
        <f>VLOOKUP(O112,M112:N114,2,0)</f>
        <v/>
      </c>
    </row>
    <row r="113" spans="2:16" ht="18" customHeight="1" x14ac:dyDescent="0.25">
      <c r="B113" s="15"/>
      <c r="C113" s="15" t="str">
        <f>IFERROR(IF(B113="","",VLOOKUP(B113,LISTAS!$F$5:$G$1004,2,0)),"0")</f>
        <v/>
      </c>
      <c r="D113" s="15" t="str">
        <f>IF(H112&lt;3,"",IF(H112=3,IF(D119&lt;&gt;"",IF(H119&lt;&gt;"",IF(D119&lt;&gt;H119,IF(D119&gt;H119,"V","D"),""),""),"")))</f>
        <v/>
      </c>
      <c r="E113" s="15" t="str">
        <f>IF(H112&lt;3,"",IF(H112=3,IF(D120&lt;&gt;"",IF(H120&lt;&gt;"",IF(D120&lt;&gt;H120,IF(D120&gt;H120,"D","V"),""),""),"")))</f>
        <v/>
      </c>
      <c r="F113" s="15" t="s">
        <v>81</v>
      </c>
      <c r="G113" s="15" t="s">
        <v>81</v>
      </c>
      <c r="H113" s="115"/>
      <c r="I113" s="15" t="str">
        <f>IF(B113&lt;&gt;"",2,"")</f>
        <v/>
      </c>
      <c r="J113" s="15" t="str">
        <f>IF(I113&lt;&gt;"",P113,"")</f>
        <v/>
      </c>
      <c r="K113" s="15" t="str">
        <f>IFERROR(IF(J113="","",VLOOKUP(J113,LISTAS!$F$5:$G$1004,2,0)),"0")</f>
        <v/>
      </c>
      <c r="L113" s="119" t="str">
        <f>IF(H112=3,"PRATA",IF(H112=4,"OURO",IF(H112=5,"OURO","")))</f>
        <v/>
      </c>
      <c r="M113" s="20" t="str">
        <f>IF(B113&lt;&gt;"",COUNTIF(D113:G113,"V")+(SUMIF(B118:B120,B113,D118:E120)/1000)+(SUMIF(J118:J120,B113,H118:I120)/1000)-(SUMIF(B118:B120,B113,H118:I120)/1000)-(SUMIF(J118:J120,B113,D118:E120)/1000)+0.002,"")</f>
        <v/>
      </c>
      <c r="N113" s="20" t="str">
        <f t="shared" ref="N113" si="7">IF(B113="","",B113)</f>
        <v/>
      </c>
      <c r="O113" s="20" t="str">
        <f>IF(B113&lt;&gt;"",LARGE(M112:M114,2),"")</f>
        <v/>
      </c>
      <c r="P113" s="20" t="str">
        <f>VLOOKUP(O113,M112:N114,2,0)</f>
        <v/>
      </c>
    </row>
    <row r="114" spans="2:16" ht="18" customHeight="1" x14ac:dyDescent="0.25">
      <c r="B114" s="15"/>
      <c r="C114" s="15" t="str">
        <f>IFERROR(IF(B114="","",VLOOKUP(B114,LISTAS!$F$5:$G$1004,2,0)),"0")</f>
        <v/>
      </c>
      <c r="D114" s="15" t="str">
        <f>IF(H112&lt;3,"",IF(H112=3,IF(D118&lt;&gt;"",IF(H118&lt;&gt;"",IF(D118&lt;&gt;H118,IF(D118&gt;H118,"D","V"),""),""),"")))</f>
        <v/>
      </c>
      <c r="E114" s="15" t="str">
        <f>IF(H112&lt;3,"",IF(H112=3,IF(D119&lt;&gt;"",IF(H119&lt;&gt;"",IF(D119&lt;&gt;H119,IF(D119&gt;H119,"D","V"),""),""),"")))</f>
        <v/>
      </c>
      <c r="F114" s="15" t="s">
        <v>81</v>
      </c>
      <c r="G114" s="15" t="s">
        <v>81</v>
      </c>
      <c r="H114" s="115"/>
      <c r="I114" s="15" t="str">
        <f>IF(B114&lt;&gt;"",3,"")</f>
        <v/>
      </c>
      <c r="J114" s="15" t="str">
        <f>IF(I114&lt;&gt;"",P114,"")</f>
        <v/>
      </c>
      <c r="K114" s="15" t="str">
        <f>IFERROR(IF(J114="","",VLOOKUP(J114,LISTAS!$F$5:$G$1004,2,0)),"0")</f>
        <v/>
      </c>
      <c r="L114" s="119" t="str">
        <f>IF(H112=3,"BRONZE",IF(H112=4,"PRATA",IF(H112=5,"OURO","")))</f>
        <v/>
      </c>
      <c r="M114" s="20" t="str">
        <f>IF(B114&lt;&gt;"",COUNTIF(D114:G114,"V")+(SUMIF(B118:B120,B114,D118:E120)/1000)+(SUMIF(J118:J120,B114,H118:I120)/1000)-(SUMIF(B118:B120,B114,H118:I120)/1000)-(SUMIF(J118:J120,B114,D118:E120)/1000)+0.001,"")</f>
        <v/>
      </c>
      <c r="N114" s="20" t="str">
        <f>IF(B114="","",B114)</f>
        <v/>
      </c>
      <c r="O114" s="20" t="str">
        <f>IF(B114&lt;&gt;"",LARGE(M112:M114,3),"")</f>
        <v/>
      </c>
      <c r="P114" s="20" t="str">
        <f>VLOOKUP(O114,M112:N114,2,0)</f>
        <v/>
      </c>
    </row>
    <row r="115" spans="2:16" ht="18" customHeight="1" x14ac:dyDescent="0.25">
      <c r="B115" s="79"/>
      <c r="C115" s="79"/>
      <c r="D115" s="79"/>
      <c r="E115" s="79"/>
      <c r="F115" s="79"/>
      <c r="G115" s="79"/>
      <c r="I115" s="80"/>
      <c r="J115" s="79"/>
      <c r="K115" s="81"/>
      <c r="L115" s="81"/>
    </row>
    <row r="116" spans="2:16" ht="23.25" customHeight="1" x14ac:dyDescent="0.25">
      <c r="B116" s="82" t="s">
        <v>40</v>
      </c>
      <c r="C116" s="79"/>
      <c r="D116" s="79"/>
      <c r="E116" s="79"/>
      <c r="F116" s="79"/>
      <c r="G116" s="79"/>
      <c r="H116" s="79"/>
      <c r="I116" s="79"/>
      <c r="J116" s="79"/>
      <c r="K116" s="79"/>
      <c r="L116" s="79"/>
    </row>
    <row r="117" spans="2:16" ht="18" customHeight="1" x14ac:dyDescent="0.25">
      <c r="B117" s="9" t="s">
        <v>15</v>
      </c>
      <c r="C117" s="9" t="s">
        <v>0</v>
      </c>
      <c r="D117" s="228" t="s">
        <v>41</v>
      </c>
      <c r="E117" s="229"/>
      <c r="F117" s="229"/>
      <c r="G117" s="229"/>
      <c r="H117" s="229"/>
      <c r="I117" s="230"/>
      <c r="J117" s="9" t="s">
        <v>15</v>
      </c>
      <c r="K117" s="9" t="s">
        <v>0</v>
      </c>
      <c r="L117" s="79"/>
    </row>
    <row r="118" spans="2:16" ht="18" customHeight="1" x14ac:dyDescent="0.25">
      <c r="B118" s="15" t="str">
        <f>IF(H112=3,B112,"")</f>
        <v/>
      </c>
      <c r="C118" s="15" t="str">
        <f>IFERROR(IF(B118="","",VLOOKUP(B118,LISTAS!$F$5:$G$1004,2,0)),"0")</f>
        <v/>
      </c>
      <c r="D118" s="223"/>
      <c r="E118" s="224"/>
      <c r="F118" s="223" t="s">
        <v>38</v>
      </c>
      <c r="G118" s="224"/>
      <c r="H118" s="223"/>
      <c r="I118" s="224"/>
      <c r="J118" s="21" t="str">
        <f>IF(H112=3,B114,"")</f>
        <v/>
      </c>
      <c r="K118" s="15" t="str">
        <f>IFERROR(IF(J118="","",VLOOKUP(J118,LISTAS!$F$5:$G$1004,2,0)),"0")</f>
        <v/>
      </c>
      <c r="L118" s="81"/>
    </row>
    <row r="119" spans="2:16" ht="18" customHeight="1" x14ac:dyDescent="0.25">
      <c r="B119" s="15" t="str">
        <f>IF(H112=3,B113,"")</f>
        <v/>
      </c>
      <c r="C119" s="15" t="str">
        <f>IFERROR(IF(B119="","",VLOOKUP(B119,LISTAS!$F$5:$G$1004,2,0)),"0")</f>
        <v/>
      </c>
      <c r="D119" s="223"/>
      <c r="E119" s="224"/>
      <c r="F119" s="223" t="s">
        <v>38</v>
      </c>
      <c r="G119" s="224"/>
      <c r="H119" s="223"/>
      <c r="I119" s="224"/>
      <c r="J119" s="21" t="str">
        <f>IF(H112=3,B114,"")</f>
        <v/>
      </c>
      <c r="K119" s="15" t="str">
        <f>IFERROR(IF(J119="","",VLOOKUP(J119,LISTAS!$F$5:$G$1004,2,0)),"0")</f>
        <v/>
      </c>
      <c r="L119" s="79"/>
    </row>
    <row r="120" spans="2:16" ht="18" customHeight="1" x14ac:dyDescent="0.25">
      <c r="B120" s="15" t="str">
        <f>IF(H112=3,B112,"")</f>
        <v/>
      </c>
      <c r="C120" s="15" t="str">
        <f>IFERROR(IF(B120="","",VLOOKUP(B120,LISTAS!$F$5:$G$1004,2,0)),"0")</f>
        <v/>
      </c>
      <c r="D120" s="223"/>
      <c r="E120" s="224"/>
      <c r="F120" s="223" t="s">
        <v>38</v>
      </c>
      <c r="G120" s="224"/>
      <c r="H120" s="223"/>
      <c r="I120" s="224"/>
      <c r="J120" s="21" t="str">
        <f>IF(H112=3,B113,"")</f>
        <v/>
      </c>
      <c r="K120" s="15" t="str">
        <f>IFERROR(IF(J120="","",VLOOKUP(J120,LISTAS!$F$5:$G$1004,2,0)),"0")</f>
        <v/>
      </c>
      <c r="L120" s="81"/>
    </row>
    <row r="123" spans="2:16" ht="30" customHeight="1" x14ac:dyDescent="0.25">
      <c r="B123" s="161" t="s">
        <v>53</v>
      </c>
      <c r="C123" s="79"/>
      <c r="D123" s="225" t="s">
        <v>42</v>
      </c>
      <c r="E123" s="226"/>
      <c r="F123" s="226"/>
      <c r="G123" s="227"/>
      <c r="H123" s="113"/>
      <c r="I123" s="225" t="s">
        <v>3</v>
      </c>
      <c r="J123" s="226"/>
      <c r="K123" s="226"/>
      <c r="L123" s="226"/>
    </row>
    <row r="124" spans="2:16" ht="18" customHeight="1" x14ac:dyDescent="0.25">
      <c r="B124" s="9" t="s">
        <v>15</v>
      </c>
      <c r="C124" s="9" t="s">
        <v>0</v>
      </c>
      <c r="D124" s="9" t="s">
        <v>43</v>
      </c>
      <c r="E124" s="9" t="s">
        <v>44</v>
      </c>
      <c r="F124" s="9" t="s">
        <v>77</v>
      </c>
      <c r="G124" s="9" t="s">
        <v>78</v>
      </c>
      <c r="H124" s="114"/>
      <c r="I124" s="9" t="s">
        <v>18</v>
      </c>
      <c r="J124" s="9" t="s">
        <v>15</v>
      </c>
      <c r="K124" s="9" t="s">
        <v>0</v>
      </c>
      <c r="L124" s="9" t="s">
        <v>45</v>
      </c>
    </row>
    <row r="125" spans="2:16" ht="18" customHeight="1" x14ac:dyDescent="0.25">
      <c r="B125" s="15"/>
      <c r="C125" s="15" t="str">
        <f>IFERROR(IF(B125="","",VLOOKUP(B125,LISTAS!$F$5:$G$1004,2,0)),"0")</f>
        <v/>
      </c>
      <c r="D125" s="15" t="str">
        <f>IF(H125&lt;3,"",IF(H125=3,IF(D131&lt;&gt;"",IF(H131&lt;&gt;"",IF(D131&lt;&gt;H131,IF(D131&gt;H131,"V","D"),""),""),"")))</f>
        <v/>
      </c>
      <c r="E125" s="15" t="str">
        <f>IF(H125&lt;3,"",IF(H125=3,IF(D133&lt;&gt;"",IF(H133&lt;&gt;"",IF(D133&lt;&gt;H133,IF(D133&gt;H133,"V","D"),""),""),"")))</f>
        <v/>
      </c>
      <c r="F125" s="15" t="s">
        <v>81</v>
      </c>
      <c r="G125" s="15" t="s">
        <v>81</v>
      </c>
      <c r="H125" s="117">
        <f>COUNTA(B125:B127)</f>
        <v>0</v>
      </c>
      <c r="I125" s="15" t="str">
        <f>IF(B125&lt;&gt;"",1,"")</f>
        <v/>
      </c>
      <c r="J125" s="15" t="str">
        <f>IF(I125&lt;&gt;"",P125,"")</f>
        <v/>
      </c>
      <c r="K125" s="15" t="str">
        <f>IFERROR(IF(J125="","",VLOOKUP(J125,LISTAS!$F$5:$G$1004,2,0)),"0")</f>
        <v/>
      </c>
      <c r="L125" s="119" t="str">
        <f>IF(H125=3,"OURO",IF(H125=4,"OURO",IF(H125=5,"OURO","")))</f>
        <v/>
      </c>
      <c r="M125" s="20" t="str">
        <f>IF(B125&lt;&gt;"",COUNTIF(D125:G125,"V")+(SUMIF(B131:B133,B125,D131:E133)/1000)+(SUMIF(J131:J133,B125,H131:I133)/1000)-(SUMIF(B131:B133,B125,H131:I133)/1000)-(SUMIF(J131:J133,B125,D131:E133)/1000)+0.003,"")</f>
        <v/>
      </c>
      <c r="N125" s="20" t="str">
        <f>IF(B125="","",B125)</f>
        <v/>
      </c>
      <c r="O125" s="20" t="str">
        <f>IF(B125&lt;&gt;"",LARGE(M125:M127,1),"")</f>
        <v/>
      </c>
      <c r="P125" s="20" t="str">
        <f>VLOOKUP(O125,M125:N127,2,0)</f>
        <v/>
      </c>
    </row>
    <row r="126" spans="2:16" ht="18" customHeight="1" x14ac:dyDescent="0.25">
      <c r="B126" s="15"/>
      <c r="C126" s="15" t="str">
        <f>IFERROR(IF(B126="","",VLOOKUP(B126,LISTAS!$F$5:$G$1004,2,0)),"0")</f>
        <v/>
      </c>
      <c r="D126" s="15" t="str">
        <f>IF(H125&lt;3,"",IF(H125=3,IF(D132&lt;&gt;"",IF(H132&lt;&gt;"",IF(D132&lt;&gt;H132,IF(D132&gt;H132,"V","D"),""),""),"")))</f>
        <v/>
      </c>
      <c r="E126" s="15" t="str">
        <f>IF(H125&lt;3,"",IF(H125=3,IF(D133&lt;&gt;"",IF(H133&lt;&gt;"",IF(D133&lt;&gt;H133,IF(D133&gt;H133,"D","V"),""),""),"")))</f>
        <v/>
      </c>
      <c r="F126" s="15" t="s">
        <v>81</v>
      </c>
      <c r="G126" s="15" t="s">
        <v>81</v>
      </c>
      <c r="H126" s="115"/>
      <c r="I126" s="15" t="str">
        <f>IF(B126&lt;&gt;"",2,"")</f>
        <v/>
      </c>
      <c r="J126" s="15" t="str">
        <f>IF(I126&lt;&gt;"",P126,"")</f>
        <v/>
      </c>
      <c r="K126" s="15" t="str">
        <f>IFERROR(IF(J126="","",VLOOKUP(J126,LISTAS!$F$5:$G$1004,2,0)),"0")</f>
        <v/>
      </c>
      <c r="L126" s="119" t="str">
        <f>IF(H125=3,"PRATA",IF(H125=4,"OURO",IF(H125=5,"OURO","")))</f>
        <v/>
      </c>
      <c r="M126" s="20" t="str">
        <f>IF(B126&lt;&gt;"",COUNTIF(D126:G126,"V")+(SUMIF(B131:B133,B126,D131:E133)/1000)+(SUMIF(J131:J133,B126,H131:I133)/1000)-(SUMIF(B131:B133,B126,H131:I133)/1000)-(SUMIF(J131:J133,B126,D131:E133)/1000)+0.002,"")</f>
        <v/>
      </c>
      <c r="N126" s="20" t="str">
        <f t="shared" ref="N126" si="8">IF(B126="","",B126)</f>
        <v/>
      </c>
      <c r="O126" s="20" t="str">
        <f>IF(B126&lt;&gt;"",LARGE(M125:M127,2),"")</f>
        <v/>
      </c>
      <c r="P126" s="20" t="str">
        <f>VLOOKUP(O126,M125:N127,2,0)</f>
        <v/>
      </c>
    </row>
    <row r="127" spans="2:16" ht="18" customHeight="1" x14ac:dyDescent="0.25">
      <c r="B127" s="15"/>
      <c r="C127" s="15" t="str">
        <f>IFERROR(IF(B127="","",VLOOKUP(B127,LISTAS!$F$5:$G$1004,2,0)),"0")</f>
        <v/>
      </c>
      <c r="D127" s="15" t="str">
        <f>IF(H125&lt;3,"",IF(H125=3,IF(D131&lt;&gt;"",IF(H131&lt;&gt;"",IF(D131&lt;&gt;H131,IF(D131&gt;H131,"D","V"),""),""),"")))</f>
        <v/>
      </c>
      <c r="E127" s="15" t="str">
        <f>IF(H125&lt;3,"",IF(H125=3,IF(D132&lt;&gt;"",IF(H132&lt;&gt;"",IF(D132&lt;&gt;H132,IF(D132&gt;H132,"D","V"),""),""),"")))</f>
        <v/>
      </c>
      <c r="F127" s="15" t="s">
        <v>81</v>
      </c>
      <c r="G127" s="15" t="s">
        <v>81</v>
      </c>
      <c r="H127" s="115"/>
      <c r="I127" s="15" t="str">
        <f>IF(B127&lt;&gt;"",3,"")</f>
        <v/>
      </c>
      <c r="J127" s="15" t="str">
        <f>IF(I127&lt;&gt;"",P127,"")</f>
        <v/>
      </c>
      <c r="K127" s="15" t="str">
        <f>IFERROR(IF(J127="","",VLOOKUP(J127,LISTAS!$F$5:$G$1004,2,0)),"0")</f>
        <v/>
      </c>
      <c r="L127" s="119" t="str">
        <f>IF(H125=3,"BRONZE",IF(H125=4,"PRATA",IF(H125=5,"OURO","")))</f>
        <v/>
      </c>
      <c r="M127" s="20" t="str">
        <f>IF(B127&lt;&gt;"",COUNTIF(D127:G127,"V")+(SUMIF(B131:B133,B127,D131:E133)/1000)+(SUMIF(J131:J133,B127,H131:I133)/1000)-(SUMIF(B131:B133,B127,H131:I133)/1000)-(SUMIF(J131:J133,B127,D131:E133)/1000)+0.001,"")</f>
        <v/>
      </c>
      <c r="N127" s="20" t="str">
        <f>IF(B127="","",B127)</f>
        <v/>
      </c>
      <c r="O127" s="20" t="str">
        <f>IF(B127&lt;&gt;"",LARGE(M125:M127,3),"")</f>
        <v/>
      </c>
      <c r="P127" s="20" t="str">
        <f>VLOOKUP(O127,M125:N127,2,0)</f>
        <v/>
      </c>
    </row>
    <row r="128" spans="2:16" ht="18" customHeight="1" x14ac:dyDescent="0.25">
      <c r="B128" s="79"/>
      <c r="C128" s="79"/>
      <c r="D128" s="79"/>
      <c r="E128" s="79"/>
      <c r="F128" s="79"/>
      <c r="G128" s="79"/>
      <c r="I128" s="80"/>
      <c r="J128" s="79"/>
      <c r="K128" s="81"/>
      <c r="L128" s="81"/>
    </row>
    <row r="129" spans="2:16" ht="23.25" customHeight="1" x14ac:dyDescent="0.25">
      <c r="B129" s="82" t="s">
        <v>40</v>
      </c>
      <c r="C129" s="79"/>
      <c r="D129" s="79"/>
      <c r="E129" s="79"/>
      <c r="F129" s="79"/>
      <c r="G129" s="79"/>
      <c r="H129" s="79"/>
      <c r="I129" s="79"/>
      <c r="J129" s="79"/>
      <c r="K129" s="79"/>
      <c r="L129" s="79"/>
    </row>
    <row r="130" spans="2:16" ht="18" customHeight="1" x14ac:dyDescent="0.25">
      <c r="B130" s="9" t="s">
        <v>15</v>
      </c>
      <c r="C130" s="9" t="s">
        <v>0</v>
      </c>
      <c r="D130" s="228" t="s">
        <v>41</v>
      </c>
      <c r="E130" s="229"/>
      <c r="F130" s="229"/>
      <c r="G130" s="229"/>
      <c r="H130" s="229"/>
      <c r="I130" s="230"/>
      <c r="J130" s="9" t="s">
        <v>15</v>
      </c>
      <c r="K130" s="9" t="s">
        <v>0</v>
      </c>
      <c r="L130" s="79"/>
    </row>
    <row r="131" spans="2:16" ht="18" customHeight="1" x14ac:dyDescent="0.25">
      <c r="B131" s="15" t="str">
        <f>IF(H125=3,B125,"")</f>
        <v/>
      </c>
      <c r="C131" s="15" t="str">
        <f>IFERROR(IF(B131="","",VLOOKUP(B131,LISTAS!$F$5:$G$1004,2,0)),"0")</f>
        <v/>
      </c>
      <c r="D131" s="223"/>
      <c r="E131" s="224"/>
      <c r="F131" s="223" t="s">
        <v>38</v>
      </c>
      <c r="G131" s="224"/>
      <c r="H131" s="223"/>
      <c r="I131" s="224"/>
      <c r="J131" s="21" t="str">
        <f>IF(H125=3,B127,"")</f>
        <v/>
      </c>
      <c r="K131" s="15" t="str">
        <f>IFERROR(IF(J131="","",VLOOKUP(J131,LISTAS!$F$5:$G$1004,2,0)),"0")</f>
        <v/>
      </c>
      <c r="L131" s="81"/>
    </row>
    <row r="132" spans="2:16" ht="18" customHeight="1" x14ac:dyDescent="0.25">
      <c r="B132" s="15" t="str">
        <f>IF(H125=3,B126,"")</f>
        <v/>
      </c>
      <c r="C132" s="15" t="str">
        <f>IFERROR(IF(B132="","",VLOOKUP(B132,LISTAS!$F$5:$G$1004,2,0)),"0")</f>
        <v/>
      </c>
      <c r="D132" s="223"/>
      <c r="E132" s="224"/>
      <c r="F132" s="223" t="s">
        <v>38</v>
      </c>
      <c r="G132" s="224"/>
      <c r="H132" s="223"/>
      <c r="I132" s="224"/>
      <c r="J132" s="21" t="str">
        <f>IF(H125=3,B127,"")</f>
        <v/>
      </c>
      <c r="K132" s="15" t="str">
        <f>IFERROR(IF(J132="","",VLOOKUP(J132,LISTAS!$F$5:$G$1004,2,0)),"0")</f>
        <v/>
      </c>
      <c r="L132" s="79"/>
    </row>
    <row r="133" spans="2:16" ht="18" customHeight="1" x14ac:dyDescent="0.25">
      <c r="B133" s="15" t="str">
        <f>IF(H125=3,B125,"")</f>
        <v/>
      </c>
      <c r="C133" s="15" t="str">
        <f>IFERROR(IF(B133="","",VLOOKUP(B133,LISTAS!$F$5:$G$1004,2,0)),"0")</f>
        <v/>
      </c>
      <c r="D133" s="223"/>
      <c r="E133" s="224"/>
      <c r="F133" s="223" t="s">
        <v>38</v>
      </c>
      <c r="G133" s="224"/>
      <c r="H133" s="223"/>
      <c r="I133" s="224"/>
      <c r="J133" s="21" t="str">
        <f>IF(H125=3,B126,"")</f>
        <v/>
      </c>
      <c r="K133" s="15" t="str">
        <f>IFERROR(IF(J133="","",VLOOKUP(J133,LISTAS!$F$5:$G$1004,2,0)),"0")</f>
        <v/>
      </c>
      <c r="L133" s="81"/>
    </row>
    <row r="136" spans="2:16" ht="30" customHeight="1" x14ac:dyDescent="0.25">
      <c r="B136" s="161" t="s">
        <v>54</v>
      </c>
      <c r="C136" s="79"/>
      <c r="D136" s="225" t="s">
        <v>42</v>
      </c>
      <c r="E136" s="226"/>
      <c r="F136" s="226"/>
      <c r="G136" s="227"/>
      <c r="H136" s="113"/>
      <c r="I136" s="225" t="s">
        <v>3</v>
      </c>
      <c r="J136" s="226"/>
      <c r="K136" s="226"/>
      <c r="L136" s="226"/>
    </row>
    <row r="137" spans="2:16" ht="18" customHeight="1" x14ac:dyDescent="0.25">
      <c r="B137" s="9" t="s">
        <v>15</v>
      </c>
      <c r="C137" s="9" t="s">
        <v>0</v>
      </c>
      <c r="D137" s="9" t="s">
        <v>43</v>
      </c>
      <c r="E137" s="9" t="s">
        <v>44</v>
      </c>
      <c r="F137" s="9" t="s">
        <v>77</v>
      </c>
      <c r="G137" s="9" t="s">
        <v>78</v>
      </c>
      <c r="H137" s="114"/>
      <c r="I137" s="9" t="s">
        <v>18</v>
      </c>
      <c r="J137" s="9" t="s">
        <v>15</v>
      </c>
      <c r="K137" s="9" t="s">
        <v>0</v>
      </c>
      <c r="L137" s="9" t="s">
        <v>45</v>
      </c>
    </row>
    <row r="138" spans="2:16" ht="18" customHeight="1" x14ac:dyDescent="0.25">
      <c r="B138" s="15"/>
      <c r="C138" s="15" t="str">
        <f>IFERROR(IF(B138="","",VLOOKUP(B138,LISTAS!$F$5:$G$1004,2,0)),"0")</f>
        <v/>
      </c>
      <c r="D138" s="15" t="str">
        <f>IF(H138&lt;3,"",IF(H138=3,IF(D144&lt;&gt;"",IF(H144&lt;&gt;"",IF(D144&lt;&gt;H144,IF(D144&gt;H144,"V","D"),""),""),"")))</f>
        <v/>
      </c>
      <c r="E138" s="15" t="str">
        <f>IF(H138&lt;3,"",IF(H138=3,IF(D146&lt;&gt;"",IF(H146&lt;&gt;"",IF(D146&lt;&gt;H146,IF(D146&gt;H146,"V","D"),""),""),"")))</f>
        <v/>
      </c>
      <c r="F138" s="15" t="s">
        <v>81</v>
      </c>
      <c r="G138" s="15" t="s">
        <v>81</v>
      </c>
      <c r="H138" s="117">
        <f>COUNTA(B138:B140)</f>
        <v>0</v>
      </c>
      <c r="I138" s="15" t="str">
        <f>IF(B138&lt;&gt;"",1,"")</f>
        <v/>
      </c>
      <c r="J138" s="15" t="str">
        <f>IF(I138&lt;&gt;"",P138,"")</f>
        <v/>
      </c>
      <c r="K138" s="15" t="str">
        <f>IFERROR(IF(J138="","",VLOOKUP(J138,LISTAS!$F$5:$G$1004,2,0)),"0")</f>
        <v/>
      </c>
      <c r="L138" s="119" t="str">
        <f>IF(H138=3,"OURO",IF(H138=4,"OURO",IF(H138=5,"OURO","")))</f>
        <v/>
      </c>
      <c r="M138" s="20" t="str">
        <f>IF(B138&lt;&gt;"",COUNTIF(D138:G138,"V")+(SUMIF(B144:B146,B138,D144:E146)/1000)+(SUMIF(J144:J146,B138,H144:I146)/1000)-(SUMIF(B144:B146,B138,H144:I146)/1000)-(SUMIF(J144:J146,B138,D144:E146)/1000)+0.003,"")</f>
        <v/>
      </c>
      <c r="N138" s="20" t="str">
        <f>IF(B138="","",B138)</f>
        <v/>
      </c>
      <c r="O138" s="20" t="str">
        <f>IF(B138&lt;&gt;"",LARGE(M138:M140,1),"")</f>
        <v/>
      </c>
      <c r="P138" s="20" t="str">
        <f>VLOOKUP(O138,M138:N140,2,0)</f>
        <v/>
      </c>
    </row>
    <row r="139" spans="2:16" ht="18" customHeight="1" x14ac:dyDescent="0.25">
      <c r="B139" s="15"/>
      <c r="C139" s="15" t="str">
        <f>IFERROR(IF(B139="","",VLOOKUP(B139,LISTAS!$F$5:$G$1004,2,0)),"0")</f>
        <v/>
      </c>
      <c r="D139" s="15" t="str">
        <f>IF(H138&lt;3,"",IF(H138=3,IF(D145&lt;&gt;"",IF(H145&lt;&gt;"",IF(D145&lt;&gt;H145,IF(D145&gt;H145,"V","D"),""),""),"")))</f>
        <v/>
      </c>
      <c r="E139" s="15" t="str">
        <f>IF(H138&lt;3,"",IF(H138=3,IF(D146&lt;&gt;"",IF(H146&lt;&gt;"",IF(D146&lt;&gt;H146,IF(D146&gt;H146,"D","V"),""),""),"")))</f>
        <v/>
      </c>
      <c r="F139" s="15" t="s">
        <v>81</v>
      </c>
      <c r="G139" s="15" t="s">
        <v>81</v>
      </c>
      <c r="H139" s="115"/>
      <c r="I139" s="15" t="str">
        <f>IF(B139&lt;&gt;"",2,"")</f>
        <v/>
      </c>
      <c r="J139" s="15" t="str">
        <f>IF(I139&lt;&gt;"",P139,"")</f>
        <v/>
      </c>
      <c r="K139" s="15" t="str">
        <f>IFERROR(IF(J139="","",VLOOKUP(J139,LISTAS!$F$5:$G$1004,2,0)),"0")</f>
        <v/>
      </c>
      <c r="L139" s="119" t="str">
        <f>IF(H138=3,"PRATA",IF(H138=4,"OURO",IF(H138=5,"OURO","")))</f>
        <v/>
      </c>
      <c r="M139" s="20" t="str">
        <f>IF(B139&lt;&gt;"",COUNTIF(D139:G139,"V")+(SUMIF(B144:B146,B139,D144:E146)/1000)+(SUMIF(J144:J146,B139,H144:I146)/1000)-(SUMIF(B144:B146,B139,H144:I146)/1000)-(SUMIF(J144:J146,B139,D144:E146)/1000)+0.002,"")</f>
        <v/>
      </c>
      <c r="N139" s="20" t="str">
        <f t="shared" ref="N139" si="9">IF(B139="","",B139)</f>
        <v/>
      </c>
      <c r="O139" s="20" t="str">
        <f>IF(B139&lt;&gt;"",LARGE(M138:M140,2),"")</f>
        <v/>
      </c>
      <c r="P139" s="20" t="str">
        <f>VLOOKUP(O139,M138:N140,2,0)</f>
        <v/>
      </c>
    </row>
    <row r="140" spans="2:16" ht="18" customHeight="1" x14ac:dyDescent="0.25">
      <c r="B140" s="15"/>
      <c r="C140" s="15" t="str">
        <f>IFERROR(IF(B140="","",VLOOKUP(B140,LISTAS!$F$5:$G$1004,2,0)),"0")</f>
        <v/>
      </c>
      <c r="D140" s="15" t="str">
        <f>IF(H138&lt;3,"",IF(H138=3,IF(D144&lt;&gt;"",IF(H144&lt;&gt;"",IF(D144&lt;&gt;H144,IF(D144&gt;H144,"D","V"),""),""),"")))</f>
        <v/>
      </c>
      <c r="E140" s="15" t="str">
        <f>IF(H138&lt;3,"",IF(H138=3,IF(D145&lt;&gt;"",IF(H145&lt;&gt;"",IF(D145&lt;&gt;H145,IF(D145&gt;H145,"D","V"),""),""),"")))</f>
        <v/>
      </c>
      <c r="F140" s="15" t="s">
        <v>81</v>
      </c>
      <c r="G140" s="15" t="s">
        <v>81</v>
      </c>
      <c r="H140" s="115"/>
      <c r="I140" s="15" t="str">
        <f>IF(B140&lt;&gt;"",3,"")</f>
        <v/>
      </c>
      <c r="J140" s="15" t="str">
        <f>IF(I140&lt;&gt;"",P140,"")</f>
        <v/>
      </c>
      <c r="K140" s="15" t="str">
        <f>IFERROR(IF(J140="","",VLOOKUP(J140,LISTAS!$F$5:$G$1004,2,0)),"0")</f>
        <v/>
      </c>
      <c r="L140" s="119" t="str">
        <f>IF(H138=3,"BRONZE",IF(H138=4,"PRATA",IF(H138=5,"OURO","")))</f>
        <v/>
      </c>
      <c r="M140" s="20" t="str">
        <f>IF(B140&lt;&gt;"",COUNTIF(D140:G140,"V")+(SUMIF(B144:B146,B140,D144:E146)/1000)+(SUMIF(J144:J146,B140,H144:I146)/1000)-(SUMIF(B144:B146,B140,H144:I146)/1000)-(SUMIF(J144:J146,B140,D144:E146)/1000)+0.001,"")</f>
        <v/>
      </c>
      <c r="N140" s="20" t="str">
        <f>IF(B140="","",B140)</f>
        <v/>
      </c>
      <c r="O140" s="20" t="str">
        <f>IF(B140&lt;&gt;"",LARGE(M138:M140,3),"")</f>
        <v/>
      </c>
      <c r="P140" s="20" t="str">
        <f>VLOOKUP(O140,M138:N140,2,0)</f>
        <v/>
      </c>
    </row>
    <row r="141" spans="2:16" ht="18" customHeight="1" x14ac:dyDescent="0.25">
      <c r="B141" s="79"/>
      <c r="C141" s="79"/>
      <c r="D141" s="79"/>
      <c r="E141" s="79"/>
      <c r="F141" s="79"/>
      <c r="G141" s="79"/>
      <c r="I141" s="80"/>
      <c r="J141" s="79"/>
      <c r="K141" s="81"/>
      <c r="L141" s="81"/>
    </row>
    <row r="142" spans="2:16" ht="23.25" customHeight="1" x14ac:dyDescent="0.25">
      <c r="B142" s="82" t="s">
        <v>40</v>
      </c>
      <c r="C142" s="79"/>
      <c r="D142" s="79"/>
      <c r="E142" s="79"/>
      <c r="F142" s="79"/>
      <c r="G142" s="79"/>
      <c r="H142" s="79"/>
      <c r="I142" s="79"/>
      <c r="J142" s="79"/>
      <c r="K142" s="79"/>
      <c r="L142" s="79"/>
    </row>
    <row r="143" spans="2:16" ht="18" customHeight="1" x14ac:dyDescent="0.25">
      <c r="B143" s="9" t="s">
        <v>15</v>
      </c>
      <c r="C143" s="9" t="s">
        <v>0</v>
      </c>
      <c r="D143" s="228" t="s">
        <v>41</v>
      </c>
      <c r="E143" s="229"/>
      <c r="F143" s="229"/>
      <c r="G143" s="229"/>
      <c r="H143" s="229"/>
      <c r="I143" s="230"/>
      <c r="J143" s="9" t="s">
        <v>15</v>
      </c>
      <c r="K143" s="9" t="s">
        <v>0</v>
      </c>
      <c r="L143" s="79"/>
    </row>
    <row r="144" spans="2:16" ht="18" customHeight="1" x14ac:dyDescent="0.25">
      <c r="B144" s="15" t="str">
        <f>IF(H138=3,B138,"")</f>
        <v/>
      </c>
      <c r="C144" s="15" t="str">
        <f>IFERROR(IF(B144="","",VLOOKUP(B144,LISTAS!$F$5:$G$1004,2,0)),"0")</f>
        <v/>
      </c>
      <c r="D144" s="223"/>
      <c r="E144" s="224"/>
      <c r="F144" s="223" t="s">
        <v>38</v>
      </c>
      <c r="G144" s="224"/>
      <c r="H144" s="223"/>
      <c r="I144" s="224"/>
      <c r="J144" s="21" t="str">
        <f>IF(H138=3,B140,"")</f>
        <v/>
      </c>
      <c r="K144" s="15" t="str">
        <f>IFERROR(IF(J144="","",VLOOKUP(J144,LISTAS!$F$5:$G$1004,2,0)),"0")</f>
        <v/>
      </c>
      <c r="L144" s="81"/>
    </row>
    <row r="145" spans="2:16" ht="18" customHeight="1" x14ac:dyDescent="0.25">
      <c r="B145" s="15" t="str">
        <f>IF(H138=3,B139,"")</f>
        <v/>
      </c>
      <c r="C145" s="15" t="str">
        <f>IFERROR(IF(B145="","",VLOOKUP(B145,LISTAS!$F$5:$G$1004,2,0)),"0")</f>
        <v/>
      </c>
      <c r="D145" s="223"/>
      <c r="E145" s="224"/>
      <c r="F145" s="223" t="s">
        <v>38</v>
      </c>
      <c r="G145" s="224"/>
      <c r="H145" s="223"/>
      <c r="I145" s="224"/>
      <c r="J145" s="21" t="str">
        <f>IF(H138=3,B140,"")</f>
        <v/>
      </c>
      <c r="K145" s="15" t="str">
        <f>IFERROR(IF(J145="","",VLOOKUP(J145,LISTAS!$F$5:$G$1004,2,0)),"0")</f>
        <v/>
      </c>
      <c r="L145" s="79"/>
    </row>
    <row r="146" spans="2:16" ht="18" customHeight="1" x14ac:dyDescent="0.25">
      <c r="B146" s="15" t="str">
        <f>IF(H138=3,B138,"")</f>
        <v/>
      </c>
      <c r="C146" s="15" t="str">
        <f>IFERROR(IF(B146="","",VLOOKUP(B146,LISTAS!$F$5:$G$1004,2,0)),"0")</f>
        <v/>
      </c>
      <c r="D146" s="223"/>
      <c r="E146" s="224"/>
      <c r="F146" s="223" t="s">
        <v>38</v>
      </c>
      <c r="G146" s="224"/>
      <c r="H146" s="223"/>
      <c r="I146" s="224"/>
      <c r="J146" s="21" t="str">
        <f>IF(H138=3,B139,"")</f>
        <v/>
      </c>
      <c r="K146" s="15" t="str">
        <f>IFERROR(IF(J146="","",VLOOKUP(J146,LISTAS!$F$5:$G$1004,2,0)),"0")</f>
        <v/>
      </c>
      <c r="L146" s="81"/>
    </row>
    <row r="149" spans="2:16" ht="30" customHeight="1" x14ac:dyDescent="0.25">
      <c r="B149" s="161" t="s">
        <v>55</v>
      </c>
      <c r="C149" s="79"/>
      <c r="D149" s="225" t="s">
        <v>42</v>
      </c>
      <c r="E149" s="226"/>
      <c r="F149" s="226"/>
      <c r="G149" s="227"/>
      <c r="H149" s="113"/>
      <c r="I149" s="225" t="s">
        <v>3</v>
      </c>
      <c r="J149" s="226"/>
      <c r="K149" s="226"/>
      <c r="L149" s="226"/>
    </row>
    <row r="150" spans="2:16" ht="18" customHeight="1" x14ac:dyDescent="0.25">
      <c r="B150" s="9" t="s">
        <v>15</v>
      </c>
      <c r="C150" s="9" t="s">
        <v>0</v>
      </c>
      <c r="D150" s="9" t="s">
        <v>43</v>
      </c>
      <c r="E150" s="9" t="s">
        <v>44</v>
      </c>
      <c r="F150" s="9" t="s">
        <v>77</v>
      </c>
      <c r="G150" s="9" t="s">
        <v>78</v>
      </c>
      <c r="H150" s="114"/>
      <c r="I150" s="9" t="s">
        <v>18</v>
      </c>
      <c r="J150" s="9" t="s">
        <v>15</v>
      </c>
      <c r="K150" s="9" t="s">
        <v>0</v>
      </c>
      <c r="L150" s="9" t="s">
        <v>45</v>
      </c>
    </row>
    <row r="151" spans="2:16" ht="18" customHeight="1" x14ac:dyDescent="0.25">
      <c r="B151" s="15"/>
      <c r="C151" s="15" t="str">
        <f>IFERROR(IF(B151="","",VLOOKUP(B151,LISTAS!$F$5:$G$1004,2,0)),"0")</f>
        <v/>
      </c>
      <c r="D151" s="15" t="str">
        <f>IF(H151&lt;3,"",IF(H151=3,IF(D157&lt;&gt;"",IF(H157&lt;&gt;"",IF(D157&lt;&gt;H157,IF(D157&gt;H157,"V","D"),""),""),"")))</f>
        <v/>
      </c>
      <c r="E151" s="15" t="str">
        <f>IF(H151&lt;3,"",IF(H151=3,IF(D159&lt;&gt;"",IF(H159&lt;&gt;"",IF(D159&lt;&gt;H159,IF(D159&gt;H159,"V","D"),""),""),"")))</f>
        <v/>
      </c>
      <c r="F151" s="15" t="s">
        <v>81</v>
      </c>
      <c r="G151" s="15" t="s">
        <v>81</v>
      </c>
      <c r="H151" s="117">
        <f>COUNTA(B151:B153)</f>
        <v>0</v>
      </c>
      <c r="I151" s="15" t="str">
        <f>IF(B151&lt;&gt;"",1,"")</f>
        <v/>
      </c>
      <c r="J151" s="15" t="str">
        <f>IF(I151&lt;&gt;"",P151,"")</f>
        <v/>
      </c>
      <c r="K151" s="15" t="str">
        <f>IFERROR(IF(J151="","",VLOOKUP(J151,LISTAS!$F$5:$G$1004,2,0)),"0")</f>
        <v/>
      </c>
      <c r="L151" s="119" t="str">
        <f>IF(H151=3,"OURO",IF(H151=4,"OURO",IF(H151=5,"OURO","")))</f>
        <v/>
      </c>
      <c r="M151" s="20" t="str">
        <f>IF(B151&lt;&gt;"",COUNTIF(D151:G151,"V")+(SUMIF(B157:B159,B151,D157:E159)/1000)+(SUMIF(J157:J159,B151,H157:I159)/1000)-(SUMIF(B157:B159,B151,H157:I159)/1000)-(SUMIF(J157:J159,B151,D157:E159)/1000)+0.003,"")</f>
        <v/>
      </c>
      <c r="N151" s="20" t="str">
        <f>IF(B151="","",B151)</f>
        <v/>
      </c>
      <c r="O151" s="20" t="str">
        <f>IF(B151&lt;&gt;"",LARGE(M151:M153,1),"")</f>
        <v/>
      </c>
      <c r="P151" s="20" t="str">
        <f>VLOOKUP(O151,M151:N153,2,0)</f>
        <v/>
      </c>
    </row>
    <row r="152" spans="2:16" ht="18" customHeight="1" x14ac:dyDescent="0.25">
      <c r="B152" s="15"/>
      <c r="C152" s="15" t="str">
        <f>IFERROR(IF(B152="","",VLOOKUP(B152,LISTAS!$F$5:$G$1004,2,0)),"0")</f>
        <v/>
      </c>
      <c r="D152" s="15" t="str">
        <f>IF(H151&lt;3,"",IF(H151=3,IF(D158&lt;&gt;"",IF(H158&lt;&gt;"",IF(D158&lt;&gt;H158,IF(D158&gt;H158,"V","D"),""),""),"")))</f>
        <v/>
      </c>
      <c r="E152" s="15" t="str">
        <f>IF(H151&lt;3,"",IF(H151=3,IF(D159&lt;&gt;"",IF(H159&lt;&gt;"",IF(D159&lt;&gt;H159,IF(D159&gt;H159,"D","V"),""),""),"")))</f>
        <v/>
      </c>
      <c r="F152" s="15" t="s">
        <v>81</v>
      </c>
      <c r="G152" s="15" t="s">
        <v>81</v>
      </c>
      <c r="H152" s="115"/>
      <c r="I152" s="15" t="str">
        <f>IF(B152&lt;&gt;"",2,"")</f>
        <v/>
      </c>
      <c r="J152" s="15" t="str">
        <f>IF(I152&lt;&gt;"",P152,"")</f>
        <v/>
      </c>
      <c r="K152" s="15" t="str">
        <f>IFERROR(IF(J152="","",VLOOKUP(J152,LISTAS!$F$5:$G$1004,2,0)),"0")</f>
        <v/>
      </c>
      <c r="L152" s="119" t="str">
        <f>IF(H151=3,"PRATA",IF(H151=4,"OURO",IF(H151=5,"OURO","")))</f>
        <v/>
      </c>
      <c r="M152" s="20" t="str">
        <f>IF(B152&lt;&gt;"",COUNTIF(D152:G152,"V")+(SUMIF(B157:B159,B152,D157:E159)/1000)+(SUMIF(J157:J159,B152,H157:I159)/1000)-(SUMIF(B157:B159,B152,H157:I159)/1000)-(SUMIF(J157:J159,B152,D157:E159)/1000)+0.002,"")</f>
        <v/>
      </c>
      <c r="N152" s="20" t="str">
        <f t="shared" ref="N152" si="10">IF(B152="","",B152)</f>
        <v/>
      </c>
      <c r="O152" s="20" t="str">
        <f>IF(B152&lt;&gt;"",LARGE(M151:M153,2),"")</f>
        <v/>
      </c>
      <c r="P152" s="20" t="str">
        <f>VLOOKUP(O152,M151:N153,2,0)</f>
        <v/>
      </c>
    </row>
    <row r="153" spans="2:16" ht="18" customHeight="1" x14ac:dyDescent="0.25">
      <c r="B153" s="15"/>
      <c r="C153" s="15" t="str">
        <f>IFERROR(IF(B153="","",VLOOKUP(B153,LISTAS!$F$5:$G$1004,2,0)),"0")</f>
        <v/>
      </c>
      <c r="D153" s="15" t="str">
        <f>IF(H151&lt;3,"",IF(H151=3,IF(D157&lt;&gt;"",IF(H157&lt;&gt;"",IF(D157&lt;&gt;H157,IF(D157&gt;H157,"D","V"),""),""),"")))</f>
        <v/>
      </c>
      <c r="E153" s="15" t="str">
        <f>IF(H151&lt;3,"",IF(H151=3,IF(D158&lt;&gt;"",IF(H158&lt;&gt;"",IF(D158&lt;&gt;H158,IF(D158&gt;H158,"D","V"),""),""),"")))</f>
        <v/>
      </c>
      <c r="F153" s="15" t="s">
        <v>81</v>
      </c>
      <c r="G153" s="15" t="s">
        <v>81</v>
      </c>
      <c r="H153" s="115"/>
      <c r="I153" s="15" t="str">
        <f>IF(B153&lt;&gt;"",3,"")</f>
        <v/>
      </c>
      <c r="J153" s="15" t="str">
        <f>IF(I153&lt;&gt;"",P153,"")</f>
        <v/>
      </c>
      <c r="K153" s="15" t="str">
        <f>IFERROR(IF(J153="","",VLOOKUP(J153,LISTAS!$F$5:$G$1004,2,0)),"0")</f>
        <v/>
      </c>
      <c r="L153" s="119" t="str">
        <f>IF(H151=3,"BRONZE",IF(H151=4,"PRATA",IF(H151=5,"OURO","")))</f>
        <v/>
      </c>
      <c r="M153" s="20" t="str">
        <f>IF(B153&lt;&gt;"",COUNTIF(D153:G153,"V")+(SUMIF(B157:B159,B153,D157:E159)/1000)+(SUMIF(J157:J159,B153,H157:I159)/1000)-(SUMIF(B157:B159,B153,H157:I159)/1000)-(SUMIF(J157:J159,B153,D157:E159)/1000)+0.001,"")</f>
        <v/>
      </c>
      <c r="N153" s="20" t="str">
        <f>IF(B153="","",B153)</f>
        <v/>
      </c>
      <c r="O153" s="20" t="str">
        <f>IF(B153&lt;&gt;"",LARGE(M151:M153,3),"")</f>
        <v/>
      </c>
      <c r="P153" s="20" t="str">
        <f>VLOOKUP(O153,M151:N153,2,0)</f>
        <v/>
      </c>
    </row>
    <row r="154" spans="2:16" ht="18" customHeight="1" x14ac:dyDescent="0.25">
      <c r="B154" s="79"/>
      <c r="C154" s="79"/>
      <c r="D154" s="79"/>
      <c r="E154" s="79"/>
      <c r="F154" s="79"/>
      <c r="G154" s="79"/>
      <c r="I154" s="80"/>
      <c r="J154" s="79"/>
      <c r="K154" s="81"/>
      <c r="L154" s="81"/>
    </row>
    <row r="155" spans="2:16" ht="23.25" customHeight="1" x14ac:dyDescent="0.25">
      <c r="B155" s="82" t="s">
        <v>40</v>
      </c>
      <c r="C155" s="79"/>
      <c r="D155" s="79"/>
      <c r="E155" s="79"/>
      <c r="F155" s="79"/>
      <c r="G155" s="79"/>
      <c r="H155" s="79"/>
      <c r="I155" s="79"/>
      <c r="J155" s="79"/>
      <c r="K155" s="79"/>
      <c r="L155" s="79"/>
    </row>
    <row r="156" spans="2:16" ht="18" customHeight="1" x14ac:dyDescent="0.25">
      <c r="B156" s="9" t="s">
        <v>15</v>
      </c>
      <c r="C156" s="9" t="s">
        <v>0</v>
      </c>
      <c r="D156" s="228" t="s">
        <v>41</v>
      </c>
      <c r="E156" s="229"/>
      <c r="F156" s="229"/>
      <c r="G156" s="229"/>
      <c r="H156" s="229"/>
      <c r="I156" s="230"/>
      <c r="J156" s="9" t="s">
        <v>15</v>
      </c>
      <c r="K156" s="9" t="s">
        <v>0</v>
      </c>
      <c r="L156" s="79"/>
    </row>
    <row r="157" spans="2:16" ht="18" customHeight="1" x14ac:dyDescent="0.25">
      <c r="B157" s="15" t="str">
        <f>IF(H151=3,B151,"")</f>
        <v/>
      </c>
      <c r="C157" s="15" t="str">
        <f>IFERROR(IF(B157="","",VLOOKUP(B157,LISTAS!$F$5:$G$1004,2,0)),"0")</f>
        <v/>
      </c>
      <c r="D157" s="223"/>
      <c r="E157" s="224"/>
      <c r="F157" s="223" t="s">
        <v>38</v>
      </c>
      <c r="G157" s="224"/>
      <c r="H157" s="223"/>
      <c r="I157" s="224"/>
      <c r="J157" s="21" t="str">
        <f>IF(H151=3,B153,"")</f>
        <v/>
      </c>
      <c r="K157" s="15" t="str">
        <f>IFERROR(IF(J157="","",VLOOKUP(J157,LISTAS!$F$5:$G$1004,2,0)),"0")</f>
        <v/>
      </c>
      <c r="L157" s="81"/>
    </row>
    <row r="158" spans="2:16" ht="18" customHeight="1" x14ac:dyDescent="0.25">
      <c r="B158" s="15" t="str">
        <f>IF(H151=3,B152,"")</f>
        <v/>
      </c>
      <c r="C158" s="15" t="str">
        <f>IFERROR(IF(B158="","",VLOOKUP(B158,LISTAS!$F$5:$G$1004,2,0)),"0")</f>
        <v/>
      </c>
      <c r="D158" s="223"/>
      <c r="E158" s="224"/>
      <c r="F158" s="223" t="s">
        <v>38</v>
      </c>
      <c r="G158" s="224"/>
      <c r="H158" s="223"/>
      <c r="I158" s="224"/>
      <c r="J158" s="21" t="str">
        <f>IF(H151=3,B153,"")</f>
        <v/>
      </c>
      <c r="K158" s="15" t="str">
        <f>IFERROR(IF(J158="","",VLOOKUP(J158,LISTAS!$F$5:$G$1004,2,0)),"0")</f>
        <v/>
      </c>
      <c r="L158" s="79"/>
    </row>
    <row r="159" spans="2:16" ht="18" customHeight="1" x14ac:dyDescent="0.25">
      <c r="B159" s="15" t="str">
        <f>IF(H151=3,B151,"")</f>
        <v/>
      </c>
      <c r="C159" s="15" t="str">
        <f>IFERROR(IF(B159="","",VLOOKUP(B159,LISTAS!$F$5:$G$1004,2,0)),"0")</f>
        <v/>
      </c>
      <c r="D159" s="223"/>
      <c r="E159" s="224"/>
      <c r="F159" s="223" t="s">
        <v>38</v>
      </c>
      <c r="G159" s="224"/>
      <c r="H159" s="223"/>
      <c r="I159" s="224"/>
      <c r="J159" s="21" t="str">
        <f>IF(H151=3,B152,"")</f>
        <v/>
      </c>
      <c r="K159" s="15" t="str">
        <f>IFERROR(IF(J159="","",VLOOKUP(J159,LISTAS!$F$5:$G$1004,2,0)),"0")</f>
        <v/>
      </c>
      <c r="L159" s="81"/>
    </row>
    <row r="162" spans="2:16" ht="30" customHeight="1" x14ac:dyDescent="0.25">
      <c r="B162" s="161" t="s">
        <v>56</v>
      </c>
      <c r="C162" s="79"/>
      <c r="D162" s="225" t="s">
        <v>42</v>
      </c>
      <c r="E162" s="226"/>
      <c r="F162" s="226"/>
      <c r="G162" s="227"/>
      <c r="H162" s="113"/>
      <c r="I162" s="225" t="s">
        <v>3</v>
      </c>
      <c r="J162" s="226"/>
      <c r="K162" s="226"/>
      <c r="L162" s="226"/>
    </row>
    <row r="163" spans="2:16" ht="18" customHeight="1" x14ac:dyDescent="0.25">
      <c r="B163" s="9" t="s">
        <v>15</v>
      </c>
      <c r="C163" s="9" t="s">
        <v>0</v>
      </c>
      <c r="D163" s="9" t="s">
        <v>43</v>
      </c>
      <c r="E163" s="9" t="s">
        <v>44</v>
      </c>
      <c r="F163" s="9" t="s">
        <v>77</v>
      </c>
      <c r="G163" s="9" t="s">
        <v>78</v>
      </c>
      <c r="H163" s="114"/>
      <c r="I163" s="9" t="s">
        <v>18</v>
      </c>
      <c r="J163" s="9" t="s">
        <v>15</v>
      </c>
      <c r="K163" s="9" t="s">
        <v>0</v>
      </c>
      <c r="L163" s="9" t="s">
        <v>45</v>
      </c>
    </row>
    <row r="164" spans="2:16" ht="18" customHeight="1" x14ac:dyDescent="0.25">
      <c r="B164" s="15"/>
      <c r="C164" s="15" t="str">
        <f>IFERROR(IF(B164="","",VLOOKUP(B164,LISTAS!$F$5:$G$1004,2,0)),"0")</f>
        <v/>
      </c>
      <c r="D164" s="15" t="str">
        <f>IF(H164&lt;3,"",IF(H164=3,IF(D170&lt;&gt;"",IF(H170&lt;&gt;"",IF(D170&lt;&gt;H170,IF(D170&gt;H170,"V","D"),""),""),"")))</f>
        <v/>
      </c>
      <c r="E164" s="15" t="str">
        <f>IF(H164&lt;3,"",IF(H164=3,IF(D172&lt;&gt;"",IF(H172&lt;&gt;"",IF(D172&lt;&gt;H172,IF(D172&gt;H172,"V","D"),""),""),"")))</f>
        <v/>
      </c>
      <c r="F164" s="15" t="s">
        <v>81</v>
      </c>
      <c r="G164" s="15" t="s">
        <v>81</v>
      </c>
      <c r="H164" s="117">
        <f>COUNTA(B164:B166)</f>
        <v>0</v>
      </c>
      <c r="I164" s="15" t="str">
        <f>IF(B164&lt;&gt;"",1,"")</f>
        <v/>
      </c>
      <c r="J164" s="15" t="str">
        <f>IF(I164&lt;&gt;"",P164,"")</f>
        <v/>
      </c>
      <c r="K164" s="15" t="str">
        <f>IFERROR(IF(J164="","",VLOOKUP(J164,LISTAS!$F$5:$G$1004,2,0)),"0")</f>
        <v/>
      </c>
      <c r="L164" s="119" t="str">
        <f>IF(H164=3,"OURO",IF(H164=4,"OURO",IF(H164=5,"OURO","")))</f>
        <v/>
      </c>
      <c r="M164" s="20" t="str">
        <f>IF(B164&lt;&gt;"",COUNTIF(D164:G164,"V")+(SUMIF(B170:B172,B164,D170:E172)/1000)+(SUMIF(J170:J172,B164,H170:I172)/1000)-(SUMIF(B170:B172,B164,H170:I172)/1000)-(SUMIF(J170:J172,B164,D170:E172)/1000)+0.003,"")</f>
        <v/>
      </c>
      <c r="N164" s="20" t="str">
        <f>IF(B164="","",B164)</f>
        <v/>
      </c>
      <c r="O164" s="20" t="str">
        <f>IF(B164&lt;&gt;"",LARGE(M164:M166,1),"")</f>
        <v/>
      </c>
      <c r="P164" s="20" t="str">
        <f>VLOOKUP(O164,M164:N166,2,0)</f>
        <v/>
      </c>
    </row>
    <row r="165" spans="2:16" ht="18" customHeight="1" x14ac:dyDescent="0.25">
      <c r="B165" s="15"/>
      <c r="C165" s="15" t="str">
        <f>IFERROR(IF(B165="","",VLOOKUP(B165,LISTAS!$F$5:$G$1004,2,0)),"0")</f>
        <v/>
      </c>
      <c r="D165" s="15" t="str">
        <f>IF(H164&lt;3,"",IF(H164=3,IF(D171&lt;&gt;"",IF(H171&lt;&gt;"",IF(D171&lt;&gt;H171,IF(D171&gt;H171,"V","D"),""),""),"")))</f>
        <v/>
      </c>
      <c r="E165" s="15" t="str">
        <f>IF(H164&lt;3,"",IF(H164=3,IF(D172&lt;&gt;"",IF(H172&lt;&gt;"",IF(D172&lt;&gt;H172,IF(D172&gt;H172,"D","V"),""),""),"")))</f>
        <v/>
      </c>
      <c r="F165" s="15" t="s">
        <v>81</v>
      </c>
      <c r="G165" s="15" t="s">
        <v>81</v>
      </c>
      <c r="H165" s="115"/>
      <c r="I165" s="15" t="str">
        <f>IF(B165&lt;&gt;"",2,"")</f>
        <v/>
      </c>
      <c r="J165" s="15" t="str">
        <f>IF(I165&lt;&gt;"",P165,"")</f>
        <v/>
      </c>
      <c r="K165" s="15" t="str">
        <f>IFERROR(IF(J165="","",VLOOKUP(J165,LISTAS!$F$5:$G$1004,2,0)),"0")</f>
        <v/>
      </c>
      <c r="L165" s="119" t="str">
        <f>IF(H164=3,"PRATA",IF(H164=4,"OURO",IF(H164=5,"OURO","")))</f>
        <v/>
      </c>
      <c r="M165" s="20" t="str">
        <f>IF(B165&lt;&gt;"",COUNTIF(D165:G165,"V")+(SUMIF(B170:B172,B165,D170:E172)/1000)+(SUMIF(J170:J172,B165,H170:I172)/1000)-(SUMIF(B170:B172,B165,H170:I172)/1000)-(SUMIF(J170:J172,B165,D170:E172)/1000)+0.002,"")</f>
        <v/>
      </c>
      <c r="N165" s="20" t="str">
        <f t="shared" ref="N165" si="11">IF(B165="","",B165)</f>
        <v/>
      </c>
      <c r="O165" s="20" t="str">
        <f>IF(B165&lt;&gt;"",LARGE(M164:M166,2),"")</f>
        <v/>
      </c>
      <c r="P165" s="20" t="str">
        <f>VLOOKUP(O165,M164:N166,2,0)</f>
        <v/>
      </c>
    </row>
    <row r="166" spans="2:16" ht="18" customHeight="1" x14ac:dyDescent="0.25">
      <c r="B166" s="15"/>
      <c r="C166" s="15" t="str">
        <f>IFERROR(IF(B166="","",VLOOKUP(B166,LISTAS!$F$5:$G$1004,2,0)),"0")</f>
        <v/>
      </c>
      <c r="D166" s="15" t="str">
        <f>IF(H164&lt;3,"",IF(H164=3,IF(D170&lt;&gt;"",IF(H170&lt;&gt;"",IF(D170&lt;&gt;H170,IF(D170&gt;H170,"D","V"),""),""),"")))</f>
        <v/>
      </c>
      <c r="E166" s="15" t="str">
        <f>IF(H164&lt;3,"",IF(H164=3,IF(D171&lt;&gt;"",IF(H171&lt;&gt;"",IF(D171&lt;&gt;H171,IF(D171&gt;H171,"D","V"),""),""),"")))</f>
        <v/>
      </c>
      <c r="F166" s="15" t="s">
        <v>81</v>
      </c>
      <c r="G166" s="15" t="s">
        <v>81</v>
      </c>
      <c r="H166" s="115"/>
      <c r="I166" s="15" t="str">
        <f>IF(B166&lt;&gt;"",3,"")</f>
        <v/>
      </c>
      <c r="J166" s="15" t="str">
        <f>IF(I166&lt;&gt;"",P166,"")</f>
        <v/>
      </c>
      <c r="K166" s="15" t="str">
        <f>IFERROR(IF(J166="","",VLOOKUP(J166,LISTAS!$F$5:$G$1004,2,0)),"0")</f>
        <v/>
      </c>
      <c r="L166" s="119" t="str">
        <f>IF(H164=3,"BRONZE",IF(H164=4,"PRATA",IF(H164=5,"OURO","")))</f>
        <v/>
      </c>
      <c r="M166" s="20" t="str">
        <f>IF(B166&lt;&gt;"",COUNTIF(D166:G166,"V")+(SUMIF(B170:B172,B166,D170:E172)/1000)+(SUMIF(J170:J172,B166,H170:I172)/1000)-(SUMIF(B170:B172,B166,H170:I172)/1000)-(SUMIF(J170:J172,B166,D170:E172)/1000)+0.001,"")</f>
        <v/>
      </c>
      <c r="N166" s="20" t="str">
        <f>IF(B166="","",B166)</f>
        <v/>
      </c>
      <c r="O166" s="20" t="str">
        <f>IF(B166&lt;&gt;"",LARGE(M164:M166,3),"")</f>
        <v/>
      </c>
      <c r="P166" s="20" t="str">
        <f>VLOOKUP(O166,M164:N166,2,0)</f>
        <v/>
      </c>
    </row>
    <row r="167" spans="2:16" ht="18" customHeight="1" x14ac:dyDescent="0.25">
      <c r="B167" s="79"/>
      <c r="C167" s="79"/>
      <c r="D167" s="79"/>
      <c r="E167" s="79"/>
      <c r="F167" s="79"/>
      <c r="G167" s="79"/>
      <c r="I167" s="80"/>
      <c r="J167" s="79"/>
      <c r="K167" s="81"/>
      <c r="L167" s="81"/>
    </row>
    <row r="168" spans="2:16" ht="23.25" customHeight="1" x14ac:dyDescent="0.25">
      <c r="B168" s="82" t="s">
        <v>40</v>
      </c>
      <c r="C168" s="79"/>
      <c r="D168" s="79"/>
      <c r="E168" s="79"/>
      <c r="F168" s="79"/>
      <c r="G168" s="79"/>
      <c r="H168" s="79"/>
      <c r="I168" s="79"/>
      <c r="J168" s="79"/>
      <c r="K168" s="79"/>
      <c r="L168" s="79"/>
    </row>
    <row r="169" spans="2:16" ht="18" customHeight="1" x14ac:dyDescent="0.25">
      <c r="B169" s="9" t="s">
        <v>15</v>
      </c>
      <c r="C169" s="9" t="s">
        <v>0</v>
      </c>
      <c r="D169" s="228" t="s">
        <v>41</v>
      </c>
      <c r="E169" s="229"/>
      <c r="F169" s="229"/>
      <c r="G169" s="229"/>
      <c r="H169" s="229"/>
      <c r="I169" s="230"/>
      <c r="J169" s="9" t="s">
        <v>15</v>
      </c>
      <c r="K169" s="9" t="s">
        <v>0</v>
      </c>
      <c r="L169" s="79"/>
    </row>
    <row r="170" spans="2:16" ht="18" customHeight="1" x14ac:dyDescent="0.25">
      <c r="B170" s="15" t="str">
        <f>IF(H164=3,B164,"")</f>
        <v/>
      </c>
      <c r="C170" s="15" t="str">
        <f>IFERROR(IF(B170="","",VLOOKUP(B170,LISTAS!$F$5:$G$1004,2,0)),"0")</f>
        <v/>
      </c>
      <c r="D170" s="223"/>
      <c r="E170" s="224"/>
      <c r="F170" s="223" t="s">
        <v>38</v>
      </c>
      <c r="G170" s="224"/>
      <c r="H170" s="223"/>
      <c r="I170" s="224"/>
      <c r="J170" s="21" t="str">
        <f>IF(H164=3,B166,"")</f>
        <v/>
      </c>
      <c r="K170" s="15" t="str">
        <f>IFERROR(IF(J170="","",VLOOKUP(J170,LISTAS!$F$5:$G$1004,2,0)),"0")</f>
        <v/>
      </c>
      <c r="L170" s="81"/>
    </row>
    <row r="171" spans="2:16" ht="18" customHeight="1" x14ac:dyDescent="0.25">
      <c r="B171" s="15" t="str">
        <f>IF(H164=3,B165,"")</f>
        <v/>
      </c>
      <c r="C171" s="15" t="str">
        <f>IFERROR(IF(B171="","",VLOOKUP(B171,LISTAS!$F$5:$G$1004,2,0)),"0")</f>
        <v/>
      </c>
      <c r="D171" s="223"/>
      <c r="E171" s="224"/>
      <c r="F171" s="223" t="s">
        <v>38</v>
      </c>
      <c r="G171" s="224"/>
      <c r="H171" s="223"/>
      <c r="I171" s="224"/>
      <c r="J171" s="21" t="str">
        <f>IF(H164=3,B166,"")</f>
        <v/>
      </c>
      <c r="K171" s="15" t="str">
        <f>IFERROR(IF(J171="","",VLOOKUP(J171,LISTAS!$F$5:$G$1004,2,0)),"0")</f>
        <v/>
      </c>
      <c r="L171" s="79"/>
    </row>
    <row r="172" spans="2:16" ht="18" customHeight="1" x14ac:dyDescent="0.25">
      <c r="B172" s="15" t="str">
        <f>IF(H164=3,B164,"")</f>
        <v/>
      </c>
      <c r="C172" s="15" t="str">
        <f>IFERROR(IF(B172="","",VLOOKUP(B172,LISTAS!$F$5:$G$1004,2,0)),"0")</f>
        <v/>
      </c>
      <c r="D172" s="223"/>
      <c r="E172" s="224"/>
      <c r="F172" s="223" t="s">
        <v>38</v>
      </c>
      <c r="G172" s="224"/>
      <c r="H172" s="223"/>
      <c r="I172" s="224"/>
      <c r="J172" s="21" t="str">
        <f>IF(H164=3,B165,"")</f>
        <v/>
      </c>
      <c r="K172" s="15" t="str">
        <f>IFERROR(IF(J172="","",VLOOKUP(J172,LISTAS!$F$5:$G$1004,2,0)),"0")</f>
        <v/>
      </c>
      <c r="L172" s="81"/>
    </row>
    <row r="175" spans="2:16" ht="30" customHeight="1" x14ac:dyDescent="0.25">
      <c r="B175" s="161" t="s">
        <v>57</v>
      </c>
      <c r="C175" s="79"/>
      <c r="D175" s="225" t="s">
        <v>42</v>
      </c>
      <c r="E175" s="226"/>
      <c r="F175" s="226"/>
      <c r="G175" s="227"/>
      <c r="H175" s="113"/>
      <c r="I175" s="225" t="s">
        <v>3</v>
      </c>
      <c r="J175" s="226"/>
      <c r="K175" s="226"/>
      <c r="L175" s="226"/>
    </row>
    <row r="176" spans="2:16" ht="18" customHeight="1" x14ac:dyDescent="0.25">
      <c r="B176" s="9" t="s">
        <v>15</v>
      </c>
      <c r="C176" s="9" t="s">
        <v>0</v>
      </c>
      <c r="D176" s="9" t="s">
        <v>43</v>
      </c>
      <c r="E176" s="9" t="s">
        <v>44</v>
      </c>
      <c r="F176" s="9" t="s">
        <v>77</v>
      </c>
      <c r="G176" s="9" t="s">
        <v>78</v>
      </c>
      <c r="H176" s="114"/>
      <c r="I176" s="9" t="s">
        <v>18</v>
      </c>
      <c r="J176" s="9" t="s">
        <v>15</v>
      </c>
      <c r="K176" s="9" t="s">
        <v>0</v>
      </c>
      <c r="L176" s="9" t="s">
        <v>45</v>
      </c>
    </row>
    <row r="177" spans="2:16" ht="18" customHeight="1" x14ac:dyDescent="0.25">
      <c r="B177" s="15"/>
      <c r="C177" s="15" t="str">
        <f>IFERROR(IF(B177="","",VLOOKUP(B177,LISTAS!$F$5:$G$1004,2,0)),"0")</f>
        <v/>
      </c>
      <c r="D177" s="15" t="str">
        <f>IF(H177&lt;3,"",IF(H177=3,IF(D183&lt;&gt;"",IF(H183&lt;&gt;"",IF(D183&lt;&gt;H183,IF(D183&gt;H183,"V","D"),""),""),"")))</f>
        <v/>
      </c>
      <c r="E177" s="15" t="str">
        <f>IF(H177&lt;3,"",IF(H177=3,IF(D185&lt;&gt;"",IF(H185&lt;&gt;"",IF(D185&lt;&gt;H185,IF(D185&gt;H185,"V","D"),""),""),"")))</f>
        <v/>
      </c>
      <c r="F177" s="15" t="s">
        <v>81</v>
      </c>
      <c r="G177" s="15" t="s">
        <v>81</v>
      </c>
      <c r="H177" s="117">
        <f>COUNTA(B177:B179)</f>
        <v>0</v>
      </c>
      <c r="I177" s="15" t="str">
        <f>IF(B177&lt;&gt;"",1,"")</f>
        <v/>
      </c>
      <c r="J177" s="15" t="str">
        <f>IF(I177&lt;&gt;"",P177,"")</f>
        <v/>
      </c>
      <c r="K177" s="15" t="str">
        <f>IFERROR(IF(J177="","",VLOOKUP(J177,LISTAS!$F$5:$G$1004,2,0)),"0")</f>
        <v/>
      </c>
      <c r="L177" s="119" t="str">
        <f>IF(H177=3,"OURO",IF(H177=4,"OURO",IF(H177=5,"OURO","")))</f>
        <v/>
      </c>
      <c r="M177" s="20" t="str">
        <f>IF(B177&lt;&gt;"",COUNTIF(D177:G177,"V")+(SUMIF(B183:B185,B177,D183:E185)/1000)+(SUMIF(J183:J185,B177,H183:I185)/1000)-(SUMIF(B183:B185,B177,H183:I185)/1000)-(SUMIF(J183:J185,B177,D183:E185)/1000)+0.003,"")</f>
        <v/>
      </c>
      <c r="N177" s="20" t="str">
        <f>IF(B177="","",B177)</f>
        <v/>
      </c>
      <c r="O177" s="20" t="str">
        <f>IF(B177&lt;&gt;"",LARGE(M177:M179,1),"")</f>
        <v/>
      </c>
      <c r="P177" s="20" t="str">
        <f>VLOOKUP(O177,M177:N179,2,0)</f>
        <v/>
      </c>
    </row>
    <row r="178" spans="2:16" ht="18" customHeight="1" x14ac:dyDescent="0.25">
      <c r="B178" s="15"/>
      <c r="C178" s="15" t="str">
        <f>IFERROR(IF(B178="","",VLOOKUP(B178,LISTAS!$F$5:$G$1004,2,0)),"0")</f>
        <v/>
      </c>
      <c r="D178" s="15" t="str">
        <f>IF(H177&lt;3,"",IF(H177=3,IF(D184&lt;&gt;"",IF(H184&lt;&gt;"",IF(D184&lt;&gt;H184,IF(D184&gt;H184,"V","D"),""),""),"")))</f>
        <v/>
      </c>
      <c r="E178" s="15" t="str">
        <f>IF(H177&lt;3,"",IF(H177=3,IF(D185&lt;&gt;"",IF(H185&lt;&gt;"",IF(D185&lt;&gt;H185,IF(D185&gt;H185,"D","V"),""),""),"")))</f>
        <v/>
      </c>
      <c r="F178" s="15" t="s">
        <v>81</v>
      </c>
      <c r="G178" s="15" t="s">
        <v>81</v>
      </c>
      <c r="H178" s="115"/>
      <c r="I178" s="15" t="str">
        <f>IF(B178&lt;&gt;"",2,"")</f>
        <v/>
      </c>
      <c r="J178" s="15" t="str">
        <f>IF(I178&lt;&gt;"",P178,"")</f>
        <v/>
      </c>
      <c r="K178" s="15" t="str">
        <f>IFERROR(IF(J178="","",VLOOKUP(J178,LISTAS!$F$5:$G$1004,2,0)),"0")</f>
        <v/>
      </c>
      <c r="L178" s="119" t="str">
        <f>IF(H177=3,"PRATA",IF(H177=4,"OURO",IF(H177=5,"OURO","")))</f>
        <v/>
      </c>
      <c r="M178" s="20" t="str">
        <f>IF(B178&lt;&gt;"",COUNTIF(D178:G178,"V")+(SUMIF(B183:B185,B178,D183:E185)/1000)+(SUMIF(J183:J185,B178,H183:I185)/1000)-(SUMIF(B183:B185,B178,H183:I185)/1000)-(SUMIF(J183:J185,B178,D183:E185)/1000)+0.002,"")</f>
        <v/>
      </c>
      <c r="N178" s="20" t="str">
        <f t="shared" ref="N178" si="12">IF(B178="","",B178)</f>
        <v/>
      </c>
      <c r="O178" s="20" t="str">
        <f>IF(B178&lt;&gt;"",LARGE(M177:M179,2),"")</f>
        <v/>
      </c>
      <c r="P178" s="20" t="str">
        <f>VLOOKUP(O178,M177:N179,2,0)</f>
        <v/>
      </c>
    </row>
    <row r="179" spans="2:16" ht="18" customHeight="1" x14ac:dyDescent="0.25">
      <c r="B179" s="15"/>
      <c r="C179" s="15" t="str">
        <f>IFERROR(IF(B179="","",VLOOKUP(B179,LISTAS!$F$5:$G$1004,2,0)),"0")</f>
        <v/>
      </c>
      <c r="D179" s="15" t="str">
        <f>IF(H177&lt;3,"",IF(H177=3,IF(D183&lt;&gt;"",IF(H183&lt;&gt;"",IF(D183&lt;&gt;H183,IF(D183&gt;H183,"D","V"),""),""),"")))</f>
        <v/>
      </c>
      <c r="E179" s="15" t="str">
        <f>IF(H177&lt;3,"",IF(H177=3,IF(D184&lt;&gt;"",IF(H184&lt;&gt;"",IF(D184&lt;&gt;H184,IF(D184&gt;H184,"D","V"),""),""),"")))</f>
        <v/>
      </c>
      <c r="F179" s="15" t="s">
        <v>81</v>
      </c>
      <c r="G179" s="15" t="s">
        <v>81</v>
      </c>
      <c r="H179" s="115"/>
      <c r="I179" s="15" t="str">
        <f>IF(B179&lt;&gt;"",3,"")</f>
        <v/>
      </c>
      <c r="J179" s="15" t="str">
        <f>IF(I179&lt;&gt;"",P179,"")</f>
        <v/>
      </c>
      <c r="K179" s="15" t="str">
        <f>IFERROR(IF(J179="","",VLOOKUP(J179,LISTAS!$F$5:$G$1004,2,0)),"0")</f>
        <v/>
      </c>
      <c r="L179" s="119" t="str">
        <f>IF(H177=3,"BRONZE",IF(H177=4,"PRATA",IF(H177=5,"OURO","")))</f>
        <v/>
      </c>
      <c r="M179" s="20" t="str">
        <f>IF(B179&lt;&gt;"",COUNTIF(D179:G179,"V")+(SUMIF(B183:B185,B179,D183:E185)/1000)+(SUMIF(J183:J185,B179,H183:I185)/1000)-(SUMIF(B183:B185,B179,H183:I185)/1000)-(SUMIF(J183:J185,B179,D183:E185)/1000)+0.001,"")</f>
        <v/>
      </c>
      <c r="N179" s="20" t="str">
        <f>IF(B179="","",B179)</f>
        <v/>
      </c>
      <c r="O179" s="20" t="str">
        <f>IF(B179&lt;&gt;"",LARGE(M177:M179,3),"")</f>
        <v/>
      </c>
      <c r="P179" s="20" t="str">
        <f>VLOOKUP(O179,M177:N179,2,0)</f>
        <v/>
      </c>
    </row>
    <row r="180" spans="2:16" ht="18" customHeight="1" x14ac:dyDescent="0.25">
      <c r="B180" s="79"/>
      <c r="C180" s="79"/>
      <c r="D180" s="79"/>
      <c r="E180" s="79"/>
      <c r="F180" s="79"/>
      <c r="G180" s="79"/>
      <c r="I180" s="80"/>
      <c r="J180" s="79"/>
      <c r="K180" s="81"/>
      <c r="L180" s="81"/>
    </row>
    <row r="181" spans="2:16" ht="23.25" customHeight="1" x14ac:dyDescent="0.25">
      <c r="B181" s="82" t="s">
        <v>40</v>
      </c>
      <c r="C181" s="79"/>
      <c r="D181" s="79"/>
      <c r="E181" s="79"/>
      <c r="F181" s="79"/>
      <c r="G181" s="79"/>
      <c r="H181" s="79"/>
      <c r="I181" s="79"/>
      <c r="J181" s="79"/>
      <c r="K181" s="79"/>
      <c r="L181" s="79"/>
    </row>
    <row r="182" spans="2:16" ht="18" customHeight="1" x14ac:dyDescent="0.25">
      <c r="B182" s="9" t="s">
        <v>15</v>
      </c>
      <c r="C182" s="9" t="s">
        <v>0</v>
      </c>
      <c r="D182" s="228" t="s">
        <v>41</v>
      </c>
      <c r="E182" s="229"/>
      <c r="F182" s="229"/>
      <c r="G182" s="229"/>
      <c r="H182" s="229"/>
      <c r="I182" s="230"/>
      <c r="J182" s="9" t="s">
        <v>15</v>
      </c>
      <c r="K182" s="9" t="s">
        <v>0</v>
      </c>
      <c r="L182" s="79"/>
    </row>
    <row r="183" spans="2:16" ht="18" customHeight="1" x14ac:dyDescent="0.25">
      <c r="B183" s="15" t="str">
        <f>IF(H177=3,B177,"")</f>
        <v/>
      </c>
      <c r="C183" s="15" t="str">
        <f>IFERROR(IF(B183="","",VLOOKUP(B183,LISTAS!$F$5:$G$1004,2,0)),"0")</f>
        <v/>
      </c>
      <c r="D183" s="223"/>
      <c r="E183" s="224"/>
      <c r="F183" s="223" t="s">
        <v>38</v>
      </c>
      <c r="G183" s="224"/>
      <c r="H183" s="223"/>
      <c r="I183" s="224"/>
      <c r="J183" s="21" t="str">
        <f>IF(H177=3,B179,"")</f>
        <v/>
      </c>
      <c r="K183" s="15" t="str">
        <f>IFERROR(IF(J183="","",VLOOKUP(J183,LISTAS!$F$5:$G$1004,2,0)),"0")</f>
        <v/>
      </c>
      <c r="L183" s="81"/>
    </row>
    <row r="184" spans="2:16" ht="18" customHeight="1" x14ac:dyDescent="0.25">
      <c r="B184" s="15" t="str">
        <f>IF(H177=3,B178,"")</f>
        <v/>
      </c>
      <c r="C184" s="15" t="str">
        <f>IFERROR(IF(B184="","",VLOOKUP(B184,LISTAS!$F$5:$G$1004,2,0)),"0")</f>
        <v/>
      </c>
      <c r="D184" s="223"/>
      <c r="E184" s="224"/>
      <c r="F184" s="223" t="s">
        <v>38</v>
      </c>
      <c r="G184" s="224"/>
      <c r="H184" s="223"/>
      <c r="I184" s="224"/>
      <c r="J184" s="21" t="str">
        <f>IF(H177=3,B179,"")</f>
        <v/>
      </c>
      <c r="K184" s="15" t="str">
        <f>IFERROR(IF(J184="","",VLOOKUP(J184,LISTAS!$F$5:$G$1004,2,0)),"0")</f>
        <v/>
      </c>
      <c r="L184" s="79"/>
    </row>
    <row r="185" spans="2:16" ht="18" customHeight="1" x14ac:dyDescent="0.25">
      <c r="B185" s="15" t="str">
        <f>IF(H177=3,B177,"")</f>
        <v/>
      </c>
      <c r="C185" s="15" t="str">
        <f>IFERROR(IF(B185="","",VLOOKUP(B185,LISTAS!$F$5:$G$1004,2,0)),"0")</f>
        <v/>
      </c>
      <c r="D185" s="223"/>
      <c r="E185" s="224"/>
      <c r="F185" s="223" t="s">
        <v>38</v>
      </c>
      <c r="G185" s="224"/>
      <c r="H185" s="223"/>
      <c r="I185" s="224"/>
      <c r="J185" s="21" t="str">
        <f>IF(H177=3,B178,"")</f>
        <v/>
      </c>
      <c r="K185" s="15" t="str">
        <f>IFERROR(IF(J185="","",VLOOKUP(J185,LISTAS!$F$5:$G$1004,2,0)),"0")</f>
        <v/>
      </c>
      <c r="L185" s="81"/>
    </row>
    <row r="188" spans="2:16" ht="30" customHeight="1" x14ac:dyDescent="0.25">
      <c r="B188" s="161" t="s">
        <v>58</v>
      </c>
      <c r="C188" s="79"/>
      <c r="D188" s="225" t="s">
        <v>42</v>
      </c>
      <c r="E188" s="226"/>
      <c r="F188" s="226"/>
      <c r="G188" s="227"/>
      <c r="H188" s="113"/>
      <c r="I188" s="225" t="s">
        <v>3</v>
      </c>
      <c r="J188" s="226"/>
      <c r="K188" s="226"/>
      <c r="L188" s="226"/>
    </row>
    <row r="189" spans="2:16" ht="18" customHeight="1" x14ac:dyDescent="0.25">
      <c r="B189" s="9" t="s">
        <v>15</v>
      </c>
      <c r="C189" s="9" t="s">
        <v>0</v>
      </c>
      <c r="D189" s="9" t="s">
        <v>43</v>
      </c>
      <c r="E189" s="9" t="s">
        <v>44</v>
      </c>
      <c r="F189" s="9" t="s">
        <v>77</v>
      </c>
      <c r="G189" s="9" t="s">
        <v>78</v>
      </c>
      <c r="H189" s="114"/>
      <c r="I189" s="9" t="s">
        <v>18</v>
      </c>
      <c r="J189" s="9" t="s">
        <v>15</v>
      </c>
      <c r="K189" s="9" t="s">
        <v>0</v>
      </c>
      <c r="L189" s="9" t="s">
        <v>45</v>
      </c>
    </row>
    <row r="190" spans="2:16" ht="18" customHeight="1" x14ac:dyDescent="0.25">
      <c r="B190" s="15"/>
      <c r="C190" s="15" t="str">
        <f>IFERROR(IF(B190="","",VLOOKUP(B190,LISTAS!$F$5:$G$1004,2,0)),"0")</f>
        <v/>
      </c>
      <c r="D190" s="15" t="str">
        <f>IF(H190&lt;3,"",IF(H190=3,IF(D196&lt;&gt;"",IF(H196&lt;&gt;"",IF(D196&lt;&gt;H196,IF(D196&gt;H196,"V","D"),""),""),"")))</f>
        <v/>
      </c>
      <c r="E190" s="15" t="str">
        <f>IF(H190&lt;3,"",IF(H190=3,IF(D198&lt;&gt;"",IF(H198&lt;&gt;"",IF(D198&lt;&gt;H198,IF(D198&gt;H198,"V","D"),""),""),"")))</f>
        <v/>
      </c>
      <c r="F190" s="15" t="s">
        <v>81</v>
      </c>
      <c r="G190" s="15" t="s">
        <v>81</v>
      </c>
      <c r="H190" s="117">
        <f>COUNTA(B190:B192)</f>
        <v>0</v>
      </c>
      <c r="I190" s="15" t="str">
        <f>IF(B190&lt;&gt;"",1,"")</f>
        <v/>
      </c>
      <c r="J190" s="15" t="str">
        <f>IF(I190&lt;&gt;"",P190,"")</f>
        <v/>
      </c>
      <c r="K190" s="15" t="str">
        <f>IFERROR(IF(J190="","",VLOOKUP(J190,LISTAS!$F$5:$G$1004,2,0)),"0")</f>
        <v/>
      </c>
      <c r="L190" s="119" t="str">
        <f>IF(H190=3,"OURO",IF(H190=4,"OURO",IF(H190=5,"OURO","")))</f>
        <v/>
      </c>
      <c r="M190" s="20" t="str">
        <f>IF(B190&lt;&gt;"",COUNTIF(D190:G190,"V")+(SUMIF(B196:B198,B190,D196:E198)/1000)+(SUMIF(J196:J198,B190,H196:I198)/1000)-(SUMIF(B196:B198,B190,H196:I198)/1000)-(SUMIF(J196:J198,B190,D196:E198)/1000)+0.003,"")</f>
        <v/>
      </c>
      <c r="N190" s="20" t="str">
        <f>IF(B190="","",B190)</f>
        <v/>
      </c>
      <c r="O190" s="20" t="str">
        <f>IF(B190&lt;&gt;"",LARGE(M190:M192,1),"")</f>
        <v/>
      </c>
      <c r="P190" s="20" t="str">
        <f>VLOOKUP(O190,M190:N192,2,0)</f>
        <v/>
      </c>
    </row>
    <row r="191" spans="2:16" ht="18" customHeight="1" x14ac:dyDescent="0.25">
      <c r="B191" s="15"/>
      <c r="C191" s="15" t="str">
        <f>IFERROR(IF(B191="","",VLOOKUP(B191,LISTAS!$F$5:$G$1004,2,0)),"0")</f>
        <v/>
      </c>
      <c r="D191" s="15" t="str">
        <f>IF(H190&lt;3,"",IF(H190=3,IF(D197&lt;&gt;"",IF(H197&lt;&gt;"",IF(D197&lt;&gt;H197,IF(D197&gt;H197,"V","D"),""),""),"")))</f>
        <v/>
      </c>
      <c r="E191" s="15" t="str">
        <f>IF(H190&lt;3,"",IF(H190=3,IF(D198&lt;&gt;"",IF(H198&lt;&gt;"",IF(D198&lt;&gt;H198,IF(D198&gt;H198,"D","V"),""),""),"")))</f>
        <v/>
      </c>
      <c r="F191" s="15" t="s">
        <v>81</v>
      </c>
      <c r="G191" s="15" t="s">
        <v>81</v>
      </c>
      <c r="H191" s="115"/>
      <c r="I191" s="15" t="str">
        <f>IF(B191&lt;&gt;"",2,"")</f>
        <v/>
      </c>
      <c r="J191" s="15" t="str">
        <f>IF(I191&lt;&gt;"",P191,"")</f>
        <v/>
      </c>
      <c r="K191" s="15" t="str">
        <f>IFERROR(IF(J191="","",VLOOKUP(J191,LISTAS!$F$5:$G$1004,2,0)),"0")</f>
        <v/>
      </c>
      <c r="L191" s="119" t="str">
        <f>IF(H190=3,"PRATA",IF(H190=4,"OURO",IF(H190=5,"OURO","")))</f>
        <v/>
      </c>
      <c r="M191" s="20" t="str">
        <f>IF(B191&lt;&gt;"",COUNTIF(D191:G191,"V")+(SUMIF(B196:B198,B191,D196:E198)/1000)+(SUMIF(J196:J198,B191,H196:I198)/1000)-(SUMIF(B196:B198,B191,H196:I198)/1000)-(SUMIF(J196:J198,B191,D196:E198)/1000)+0.002,"")</f>
        <v/>
      </c>
      <c r="N191" s="20" t="str">
        <f t="shared" ref="N191" si="13">IF(B191="","",B191)</f>
        <v/>
      </c>
      <c r="O191" s="20" t="str">
        <f>IF(B191&lt;&gt;"",LARGE(M190:M192,2),"")</f>
        <v/>
      </c>
      <c r="P191" s="20" t="str">
        <f>VLOOKUP(O191,M190:N192,2,0)</f>
        <v/>
      </c>
    </row>
    <row r="192" spans="2:16" ht="18" customHeight="1" x14ac:dyDescent="0.25">
      <c r="B192" s="15"/>
      <c r="C192" s="15" t="str">
        <f>IFERROR(IF(B192="","",VLOOKUP(B192,LISTAS!$F$5:$G$1004,2,0)),"0")</f>
        <v/>
      </c>
      <c r="D192" s="15" t="str">
        <f>IF(H190&lt;3,"",IF(H190=3,IF(D196&lt;&gt;"",IF(H196&lt;&gt;"",IF(D196&lt;&gt;H196,IF(D196&gt;H196,"D","V"),""),""),"")))</f>
        <v/>
      </c>
      <c r="E192" s="15" t="str">
        <f>IF(H190&lt;3,"",IF(H190=3,IF(D197&lt;&gt;"",IF(H197&lt;&gt;"",IF(D197&lt;&gt;H197,IF(D197&gt;H197,"D","V"),""),""),"")))</f>
        <v/>
      </c>
      <c r="F192" s="15" t="s">
        <v>81</v>
      </c>
      <c r="G192" s="15" t="s">
        <v>81</v>
      </c>
      <c r="H192" s="115"/>
      <c r="I192" s="15" t="str">
        <f>IF(B192&lt;&gt;"",3,"")</f>
        <v/>
      </c>
      <c r="J192" s="15" t="str">
        <f>IF(I192&lt;&gt;"",P192,"")</f>
        <v/>
      </c>
      <c r="K192" s="15" t="str">
        <f>IFERROR(IF(J192="","",VLOOKUP(J192,LISTAS!$F$5:$G$1004,2,0)),"0")</f>
        <v/>
      </c>
      <c r="L192" s="119" t="str">
        <f>IF(H190=3,"BRONZE",IF(H190=4,"PRATA",IF(H190=5,"OURO","")))</f>
        <v/>
      </c>
      <c r="M192" s="20" t="str">
        <f>IF(B192&lt;&gt;"",COUNTIF(D192:G192,"V")+(SUMIF(B196:B198,B192,D196:E198)/1000)+(SUMIF(J196:J198,B192,H196:I198)/1000)-(SUMIF(B196:B198,B192,H196:I198)/1000)-(SUMIF(J196:J198,B192,D196:E198)/1000)+0.001,"")</f>
        <v/>
      </c>
      <c r="N192" s="20" t="str">
        <f>IF(B192="","",B192)</f>
        <v/>
      </c>
      <c r="O192" s="20" t="str">
        <f>IF(B192&lt;&gt;"",LARGE(M190:M192,3),"")</f>
        <v/>
      </c>
      <c r="P192" s="20" t="str">
        <f>VLOOKUP(O192,M190:N192,2,0)</f>
        <v/>
      </c>
    </row>
    <row r="193" spans="2:16" ht="18" customHeight="1" x14ac:dyDescent="0.25">
      <c r="B193" s="79"/>
      <c r="C193" s="79"/>
      <c r="D193" s="79"/>
      <c r="E193" s="79"/>
      <c r="F193" s="79"/>
      <c r="G193" s="79"/>
      <c r="I193" s="80"/>
      <c r="J193" s="79"/>
      <c r="K193" s="81"/>
      <c r="L193" s="81"/>
    </row>
    <row r="194" spans="2:16" ht="23.25" customHeight="1" x14ac:dyDescent="0.25">
      <c r="B194" s="82" t="s">
        <v>40</v>
      </c>
      <c r="C194" s="79"/>
      <c r="D194" s="79"/>
      <c r="E194" s="79"/>
      <c r="F194" s="79"/>
      <c r="G194" s="79"/>
      <c r="H194" s="79"/>
      <c r="I194" s="79"/>
      <c r="J194" s="79"/>
      <c r="K194" s="79"/>
      <c r="L194" s="79"/>
    </row>
    <row r="195" spans="2:16" ht="18" customHeight="1" x14ac:dyDescent="0.25">
      <c r="B195" s="9" t="s">
        <v>15</v>
      </c>
      <c r="C195" s="9" t="s">
        <v>0</v>
      </c>
      <c r="D195" s="228" t="s">
        <v>41</v>
      </c>
      <c r="E195" s="229"/>
      <c r="F195" s="229"/>
      <c r="G195" s="229"/>
      <c r="H195" s="229"/>
      <c r="I195" s="230"/>
      <c r="J195" s="9" t="s">
        <v>15</v>
      </c>
      <c r="K195" s="9" t="s">
        <v>0</v>
      </c>
      <c r="L195" s="79"/>
    </row>
    <row r="196" spans="2:16" ht="18" customHeight="1" x14ac:dyDescent="0.25">
      <c r="B196" s="15" t="str">
        <f>IF(H190=3,B190,"")</f>
        <v/>
      </c>
      <c r="C196" s="15" t="str">
        <f>IFERROR(IF(B196="","",VLOOKUP(B196,LISTAS!$F$5:$G$1004,2,0)),"0")</f>
        <v/>
      </c>
      <c r="D196" s="223"/>
      <c r="E196" s="224"/>
      <c r="F196" s="223" t="s">
        <v>38</v>
      </c>
      <c r="G196" s="224"/>
      <c r="H196" s="223"/>
      <c r="I196" s="224"/>
      <c r="J196" s="21" t="str">
        <f>IF(H190=3,B192,"")</f>
        <v/>
      </c>
      <c r="K196" s="15" t="str">
        <f>IFERROR(IF(J196="","",VLOOKUP(J196,LISTAS!$F$5:$G$1004,2,0)),"0")</f>
        <v/>
      </c>
      <c r="L196" s="81"/>
    </row>
    <row r="197" spans="2:16" ht="18" customHeight="1" x14ac:dyDescent="0.25">
      <c r="B197" s="15" t="str">
        <f>IF(H190=3,B191,"")</f>
        <v/>
      </c>
      <c r="C197" s="15" t="str">
        <f>IFERROR(IF(B197="","",VLOOKUP(B197,LISTAS!$F$5:$G$1004,2,0)),"0")</f>
        <v/>
      </c>
      <c r="D197" s="223"/>
      <c r="E197" s="224"/>
      <c r="F197" s="223" t="s">
        <v>38</v>
      </c>
      <c r="G197" s="224"/>
      <c r="H197" s="223"/>
      <c r="I197" s="224"/>
      <c r="J197" s="21" t="str">
        <f>IF(H190=3,B192,"")</f>
        <v/>
      </c>
      <c r="K197" s="15" t="str">
        <f>IFERROR(IF(J197="","",VLOOKUP(J197,LISTAS!$F$5:$G$1004,2,0)),"0")</f>
        <v/>
      </c>
      <c r="L197" s="79"/>
    </row>
    <row r="198" spans="2:16" ht="18" customHeight="1" x14ac:dyDescent="0.25">
      <c r="B198" s="15" t="str">
        <f>IF(H190=3,B190,"")</f>
        <v/>
      </c>
      <c r="C198" s="15" t="str">
        <f>IFERROR(IF(B198="","",VLOOKUP(B198,LISTAS!$F$5:$G$1004,2,0)),"0")</f>
        <v/>
      </c>
      <c r="D198" s="223"/>
      <c r="E198" s="224"/>
      <c r="F198" s="223" t="s">
        <v>38</v>
      </c>
      <c r="G198" s="224"/>
      <c r="H198" s="223"/>
      <c r="I198" s="224"/>
      <c r="J198" s="21" t="str">
        <f>IF(H190=3,B191,"")</f>
        <v/>
      </c>
      <c r="K198" s="15" t="str">
        <f>IFERROR(IF(J198="","",VLOOKUP(J198,LISTAS!$F$5:$G$1004,2,0)),"0")</f>
        <v/>
      </c>
      <c r="L198" s="81"/>
    </row>
    <row r="201" spans="2:16" ht="30" customHeight="1" x14ac:dyDescent="0.25">
      <c r="B201" s="161" t="s">
        <v>59</v>
      </c>
      <c r="C201" s="79"/>
      <c r="D201" s="225" t="s">
        <v>42</v>
      </c>
      <c r="E201" s="226"/>
      <c r="F201" s="226"/>
      <c r="G201" s="227"/>
      <c r="H201" s="113"/>
      <c r="I201" s="225" t="s">
        <v>3</v>
      </c>
      <c r="J201" s="226"/>
      <c r="K201" s="226"/>
      <c r="L201" s="226"/>
    </row>
    <row r="202" spans="2:16" ht="18" customHeight="1" x14ac:dyDescent="0.25">
      <c r="B202" s="9" t="s">
        <v>15</v>
      </c>
      <c r="C202" s="9" t="s">
        <v>0</v>
      </c>
      <c r="D202" s="9" t="s">
        <v>43</v>
      </c>
      <c r="E202" s="9" t="s">
        <v>44</v>
      </c>
      <c r="F202" s="9" t="s">
        <v>77</v>
      </c>
      <c r="G202" s="9" t="s">
        <v>78</v>
      </c>
      <c r="H202" s="114"/>
      <c r="I202" s="9" t="s">
        <v>18</v>
      </c>
      <c r="J202" s="9" t="s">
        <v>15</v>
      </c>
      <c r="K202" s="9" t="s">
        <v>0</v>
      </c>
      <c r="L202" s="9" t="s">
        <v>45</v>
      </c>
    </row>
    <row r="203" spans="2:16" ht="18" customHeight="1" x14ac:dyDescent="0.25">
      <c r="B203" s="15"/>
      <c r="C203" s="15" t="str">
        <f>IFERROR(IF(B203="","",VLOOKUP(B203,LISTAS!$F$5:$G$1004,2,0)),"0")</f>
        <v/>
      </c>
      <c r="D203" s="15" t="str">
        <f>IF(H203&lt;3,"",IF(H203=3,IF(D209&lt;&gt;"",IF(H209&lt;&gt;"",IF(D209&lt;&gt;H209,IF(D209&gt;H209,"V","D"),""),""),"")))</f>
        <v/>
      </c>
      <c r="E203" s="15" t="str">
        <f>IF(H203&lt;3,"",IF(H203=3,IF(D211&lt;&gt;"",IF(H211&lt;&gt;"",IF(D211&lt;&gt;H211,IF(D211&gt;H211,"V","D"),""),""),"")))</f>
        <v/>
      </c>
      <c r="F203" s="15" t="s">
        <v>81</v>
      </c>
      <c r="G203" s="15" t="s">
        <v>81</v>
      </c>
      <c r="H203" s="117">
        <f>COUNTA(B203:B205)</f>
        <v>0</v>
      </c>
      <c r="I203" s="15" t="str">
        <f>IF(B203&lt;&gt;"",1,"")</f>
        <v/>
      </c>
      <c r="J203" s="15" t="str">
        <f>IF(I203&lt;&gt;"",P203,"")</f>
        <v/>
      </c>
      <c r="K203" s="15" t="str">
        <f>IFERROR(IF(J203="","",VLOOKUP(J203,LISTAS!$F$5:$G$1004,2,0)),"0")</f>
        <v/>
      </c>
      <c r="L203" s="119" t="str">
        <f>IF(H203=3,"OURO",IF(H203=4,"OURO",IF(H203=5,"OURO","")))</f>
        <v/>
      </c>
      <c r="M203" s="20" t="str">
        <f>IF(B203&lt;&gt;"",COUNTIF(D203:G203,"V")+(SUMIF(B209:B211,B203,D209:E211)/1000)+(SUMIF(J209:J211,B203,H209:I211)/1000)-(SUMIF(B209:B211,B203,H209:I211)/1000)-(SUMIF(J209:J211,B203,D209:E211)/1000)+0.003,"")</f>
        <v/>
      </c>
      <c r="N203" s="20" t="str">
        <f>IF(B203="","",B203)</f>
        <v/>
      </c>
      <c r="O203" s="20" t="str">
        <f>IF(B203&lt;&gt;"",LARGE(M203:M205,1),"")</f>
        <v/>
      </c>
      <c r="P203" s="20" t="str">
        <f>VLOOKUP(O203,M203:N205,2,0)</f>
        <v/>
      </c>
    </row>
    <row r="204" spans="2:16" ht="18" customHeight="1" x14ac:dyDescent="0.25">
      <c r="B204" s="15"/>
      <c r="C204" s="15" t="str">
        <f>IFERROR(IF(B204="","",VLOOKUP(B204,LISTAS!$F$5:$G$1004,2,0)),"0")</f>
        <v/>
      </c>
      <c r="D204" s="15" t="str">
        <f>IF(H203&lt;3,"",IF(H203=3,IF(D210&lt;&gt;"",IF(H210&lt;&gt;"",IF(D210&lt;&gt;H210,IF(D210&gt;H210,"V","D"),""),""),"")))</f>
        <v/>
      </c>
      <c r="E204" s="15" t="str">
        <f>IF(H203&lt;3,"",IF(H203=3,IF(D211&lt;&gt;"",IF(H211&lt;&gt;"",IF(D211&lt;&gt;H211,IF(D211&gt;H211,"D","V"),""),""),"")))</f>
        <v/>
      </c>
      <c r="F204" s="15" t="s">
        <v>81</v>
      </c>
      <c r="G204" s="15" t="s">
        <v>81</v>
      </c>
      <c r="H204" s="115"/>
      <c r="I204" s="15" t="str">
        <f>IF(B204&lt;&gt;"",2,"")</f>
        <v/>
      </c>
      <c r="J204" s="15" t="str">
        <f>IF(I204&lt;&gt;"",P204,"")</f>
        <v/>
      </c>
      <c r="K204" s="15" t="str">
        <f>IFERROR(IF(J204="","",VLOOKUP(J204,LISTAS!$F$5:$G$1004,2,0)),"0")</f>
        <v/>
      </c>
      <c r="L204" s="119" t="str">
        <f>IF(H203=3,"PRATA",IF(H203=4,"OURO",IF(H203=5,"OURO","")))</f>
        <v/>
      </c>
      <c r="M204" s="20" t="str">
        <f>IF(B204&lt;&gt;"",COUNTIF(D204:G204,"V")+(SUMIF(B209:B211,B204,D209:E211)/1000)+(SUMIF(J209:J211,B204,H209:I211)/1000)-(SUMIF(B209:B211,B204,H209:I211)/1000)-(SUMIF(J209:J211,B204,D209:E211)/1000)+0.002,"")</f>
        <v/>
      </c>
      <c r="N204" s="20" t="str">
        <f t="shared" ref="N204" si="14">IF(B204="","",B204)</f>
        <v/>
      </c>
      <c r="O204" s="20" t="str">
        <f>IF(B204&lt;&gt;"",LARGE(M203:M205,2),"")</f>
        <v/>
      </c>
      <c r="P204" s="20" t="str">
        <f>VLOOKUP(O204,M203:N205,2,0)</f>
        <v/>
      </c>
    </row>
    <row r="205" spans="2:16" ht="18" customHeight="1" x14ac:dyDescent="0.25">
      <c r="B205" s="15"/>
      <c r="C205" s="15" t="str">
        <f>IFERROR(IF(B205="","",VLOOKUP(B205,LISTAS!$F$5:$G$1004,2,0)),"0")</f>
        <v/>
      </c>
      <c r="D205" s="15" t="str">
        <f>IF(H203&lt;3,"",IF(H203=3,IF(D209&lt;&gt;"",IF(H209&lt;&gt;"",IF(D209&lt;&gt;H209,IF(D209&gt;H209,"D","V"),""),""),"")))</f>
        <v/>
      </c>
      <c r="E205" s="15" t="str">
        <f>IF(H203&lt;3,"",IF(H203=3,IF(D210&lt;&gt;"",IF(H210&lt;&gt;"",IF(D210&lt;&gt;H210,IF(D210&gt;H210,"D","V"),""),""),"")))</f>
        <v/>
      </c>
      <c r="F205" s="15" t="s">
        <v>81</v>
      </c>
      <c r="G205" s="15" t="s">
        <v>81</v>
      </c>
      <c r="H205" s="115"/>
      <c r="I205" s="15" t="str">
        <f>IF(B205&lt;&gt;"",3,"")</f>
        <v/>
      </c>
      <c r="J205" s="15" t="str">
        <f>IF(I205&lt;&gt;"",P205,"")</f>
        <v/>
      </c>
      <c r="K205" s="15" t="str">
        <f>IFERROR(IF(J205="","",VLOOKUP(J205,LISTAS!$F$5:$G$1004,2,0)),"0")</f>
        <v/>
      </c>
      <c r="L205" s="119" t="str">
        <f>IF(H203=3,"BRONZE",IF(H203=4,"PRATA",IF(H203=5,"OURO","")))</f>
        <v/>
      </c>
      <c r="M205" s="20" t="str">
        <f>IF(B205&lt;&gt;"",COUNTIF(D205:G205,"V")+(SUMIF(B209:B211,B205,D209:E211)/1000)+(SUMIF(J209:J211,B205,H209:I211)/1000)-(SUMIF(B209:B211,B205,H209:I211)/1000)-(SUMIF(J209:J211,B205,D209:E211)/1000)+0.001,"")</f>
        <v/>
      </c>
      <c r="N205" s="20" t="str">
        <f>IF(B205="","",B205)</f>
        <v/>
      </c>
      <c r="O205" s="20" t="str">
        <f>IF(B205&lt;&gt;"",LARGE(M203:M205,3),"")</f>
        <v/>
      </c>
      <c r="P205" s="20" t="str">
        <f>VLOOKUP(O205,M203:N205,2,0)</f>
        <v/>
      </c>
    </row>
    <row r="206" spans="2:16" ht="18" customHeight="1" x14ac:dyDescent="0.25">
      <c r="B206" s="79"/>
      <c r="C206" s="79"/>
      <c r="D206" s="79"/>
      <c r="E206" s="79"/>
      <c r="F206" s="79"/>
      <c r="G206" s="79"/>
      <c r="I206" s="80"/>
      <c r="J206" s="79"/>
      <c r="K206" s="81"/>
      <c r="L206" s="81"/>
    </row>
    <row r="207" spans="2:16" ht="23.25" customHeight="1" x14ac:dyDescent="0.25">
      <c r="B207" s="82" t="s">
        <v>40</v>
      </c>
      <c r="C207" s="79"/>
      <c r="D207" s="79"/>
      <c r="E207" s="79"/>
      <c r="F207" s="79"/>
      <c r="G207" s="79"/>
      <c r="H207" s="79"/>
      <c r="I207" s="79"/>
      <c r="J207" s="79"/>
      <c r="K207" s="79"/>
      <c r="L207" s="79"/>
    </row>
    <row r="208" spans="2:16" ht="18" customHeight="1" x14ac:dyDescent="0.25">
      <c r="B208" s="9" t="s">
        <v>15</v>
      </c>
      <c r="C208" s="9" t="s">
        <v>0</v>
      </c>
      <c r="D208" s="228" t="s">
        <v>41</v>
      </c>
      <c r="E208" s="229"/>
      <c r="F208" s="229"/>
      <c r="G208" s="229"/>
      <c r="H208" s="229"/>
      <c r="I208" s="230"/>
      <c r="J208" s="9" t="s">
        <v>15</v>
      </c>
      <c r="K208" s="9" t="s">
        <v>0</v>
      </c>
      <c r="L208" s="79"/>
    </row>
    <row r="209" spans="2:16" ht="18" customHeight="1" x14ac:dyDescent="0.25">
      <c r="B209" s="15" t="str">
        <f>IF(H203=3,B203,"")</f>
        <v/>
      </c>
      <c r="C209" s="15" t="str">
        <f>IFERROR(IF(B209="","",VLOOKUP(B209,LISTAS!$F$5:$G$1004,2,0)),"0")</f>
        <v/>
      </c>
      <c r="D209" s="223"/>
      <c r="E209" s="224"/>
      <c r="F209" s="223" t="s">
        <v>38</v>
      </c>
      <c r="G209" s="224"/>
      <c r="H209" s="223"/>
      <c r="I209" s="224"/>
      <c r="J209" s="21" t="str">
        <f>IF(H203=3,B205,"")</f>
        <v/>
      </c>
      <c r="K209" s="15" t="str">
        <f>IFERROR(IF(J209="","",VLOOKUP(J209,LISTAS!$F$5:$G$1004,2,0)),"0")</f>
        <v/>
      </c>
      <c r="L209" s="81"/>
    </row>
    <row r="210" spans="2:16" ht="18" customHeight="1" x14ac:dyDescent="0.25">
      <c r="B210" s="15" t="str">
        <f>IF(H203=3,B204,"")</f>
        <v/>
      </c>
      <c r="C210" s="15" t="str">
        <f>IFERROR(IF(B210="","",VLOOKUP(B210,LISTAS!$F$5:$G$1004,2,0)),"0")</f>
        <v/>
      </c>
      <c r="D210" s="223"/>
      <c r="E210" s="224"/>
      <c r="F210" s="223" t="s">
        <v>38</v>
      </c>
      <c r="G210" s="224"/>
      <c r="H210" s="223"/>
      <c r="I210" s="224"/>
      <c r="J210" s="21" t="str">
        <f>IF(H203=3,B205,"")</f>
        <v/>
      </c>
      <c r="K210" s="15" t="str">
        <f>IFERROR(IF(J210="","",VLOOKUP(J210,LISTAS!$F$5:$G$1004,2,0)),"0")</f>
        <v/>
      </c>
      <c r="L210" s="79"/>
    </row>
    <row r="211" spans="2:16" ht="18" customHeight="1" x14ac:dyDescent="0.25">
      <c r="B211" s="15" t="str">
        <f>IF(H203=3,B203,"")</f>
        <v/>
      </c>
      <c r="C211" s="15" t="str">
        <f>IFERROR(IF(B211="","",VLOOKUP(B211,LISTAS!$F$5:$G$1004,2,0)),"0")</f>
        <v/>
      </c>
      <c r="D211" s="223"/>
      <c r="E211" s="224"/>
      <c r="F211" s="223" t="s">
        <v>38</v>
      </c>
      <c r="G211" s="224"/>
      <c r="H211" s="223"/>
      <c r="I211" s="224"/>
      <c r="J211" s="21" t="str">
        <f>IF(H203=3,B204,"")</f>
        <v/>
      </c>
      <c r="K211" s="15" t="str">
        <f>IFERROR(IF(J211="","",VLOOKUP(J211,LISTAS!$F$5:$G$1004,2,0)),"0")</f>
        <v/>
      </c>
      <c r="L211" s="81"/>
    </row>
    <row r="214" spans="2:16" ht="30" customHeight="1" x14ac:dyDescent="0.25">
      <c r="B214" s="161" t="s">
        <v>60</v>
      </c>
      <c r="C214" s="79"/>
      <c r="D214" s="225" t="s">
        <v>42</v>
      </c>
      <c r="E214" s="226"/>
      <c r="F214" s="226"/>
      <c r="G214" s="227"/>
      <c r="H214" s="113"/>
      <c r="I214" s="225" t="s">
        <v>3</v>
      </c>
      <c r="J214" s="226"/>
      <c r="K214" s="226"/>
      <c r="L214" s="226"/>
    </row>
    <row r="215" spans="2:16" ht="18" customHeight="1" x14ac:dyDescent="0.25">
      <c r="B215" s="9" t="s">
        <v>15</v>
      </c>
      <c r="C215" s="9" t="s">
        <v>0</v>
      </c>
      <c r="D215" s="9" t="s">
        <v>43</v>
      </c>
      <c r="E215" s="9" t="s">
        <v>44</v>
      </c>
      <c r="F215" s="9" t="s">
        <v>77</v>
      </c>
      <c r="G215" s="9" t="s">
        <v>78</v>
      </c>
      <c r="H215" s="114"/>
      <c r="I215" s="9" t="s">
        <v>18</v>
      </c>
      <c r="J215" s="9" t="s">
        <v>15</v>
      </c>
      <c r="K215" s="9" t="s">
        <v>0</v>
      </c>
      <c r="L215" s="9" t="s">
        <v>45</v>
      </c>
    </row>
    <row r="216" spans="2:16" ht="18" customHeight="1" x14ac:dyDescent="0.25">
      <c r="B216" s="15"/>
      <c r="C216" s="15" t="str">
        <f>IFERROR(IF(B216="","",VLOOKUP(B216,LISTAS!$F$5:$G$1004,2,0)),"0")</f>
        <v/>
      </c>
      <c r="D216" s="15" t="str">
        <f>IF(H216&lt;3,"",IF(H216=3,IF(D222&lt;&gt;"",IF(H222&lt;&gt;"",IF(D222&lt;&gt;H222,IF(D222&gt;H222,"V","D"),""),""),"")))</f>
        <v/>
      </c>
      <c r="E216" s="15" t="str">
        <f>IF(H216&lt;3,"",IF(H216=3,IF(D224&lt;&gt;"",IF(H224&lt;&gt;"",IF(D224&lt;&gt;H224,IF(D224&gt;H224,"V","D"),""),""),"")))</f>
        <v/>
      </c>
      <c r="F216" s="15" t="s">
        <v>81</v>
      </c>
      <c r="G216" s="15" t="s">
        <v>81</v>
      </c>
      <c r="H216" s="117">
        <f>COUNTA(B216:B218)</f>
        <v>0</v>
      </c>
      <c r="I216" s="15" t="str">
        <f>IF(B216&lt;&gt;"",1,"")</f>
        <v/>
      </c>
      <c r="J216" s="15" t="str">
        <f>IF(I216&lt;&gt;"",P216,"")</f>
        <v/>
      </c>
      <c r="K216" s="15" t="str">
        <f>IFERROR(IF(J216="","",VLOOKUP(J216,LISTAS!$F$5:$G$1004,2,0)),"0")</f>
        <v/>
      </c>
      <c r="L216" s="119" t="str">
        <f>IF(H216=3,"OURO",IF(H216=4,"OURO",IF(H216=5,"OURO","")))</f>
        <v/>
      </c>
      <c r="M216" s="20" t="str">
        <f>IF(B216&lt;&gt;"",COUNTIF(D216:G216,"V")+(SUMIF(B222:B224,B216,D222:E224)/1000)+(SUMIF(J222:J224,B216,H222:I224)/1000)-(SUMIF(B222:B224,B216,H222:I224)/1000)-(SUMIF(J222:J224,B216,D222:E224)/1000)+0.003,"")</f>
        <v/>
      </c>
      <c r="N216" s="20" t="str">
        <f>IF(B216="","",B216)</f>
        <v/>
      </c>
      <c r="O216" s="20" t="str">
        <f>IF(B216&lt;&gt;"",LARGE(M216:M218,1),"")</f>
        <v/>
      </c>
      <c r="P216" s="20" t="str">
        <f>VLOOKUP(O216,M216:N218,2,0)</f>
        <v/>
      </c>
    </row>
    <row r="217" spans="2:16" ht="18" customHeight="1" x14ac:dyDescent="0.25">
      <c r="B217" s="15"/>
      <c r="C217" s="15" t="str">
        <f>IFERROR(IF(B217="","",VLOOKUP(B217,LISTAS!$F$5:$G$1004,2,0)),"0")</f>
        <v/>
      </c>
      <c r="D217" s="15" t="str">
        <f>IF(H216&lt;3,"",IF(H216=3,IF(D223&lt;&gt;"",IF(H223&lt;&gt;"",IF(D223&lt;&gt;H223,IF(D223&gt;H223,"V","D"),""),""),"")))</f>
        <v/>
      </c>
      <c r="E217" s="15" t="str">
        <f>IF(H216&lt;3,"",IF(H216=3,IF(D224&lt;&gt;"",IF(H224&lt;&gt;"",IF(D224&lt;&gt;H224,IF(D224&gt;H224,"D","V"),""),""),"")))</f>
        <v/>
      </c>
      <c r="F217" s="15" t="s">
        <v>81</v>
      </c>
      <c r="G217" s="15" t="s">
        <v>81</v>
      </c>
      <c r="H217" s="115"/>
      <c r="I217" s="15" t="str">
        <f>IF(B217&lt;&gt;"",2,"")</f>
        <v/>
      </c>
      <c r="J217" s="15" t="str">
        <f>IF(I217&lt;&gt;"",P217,"")</f>
        <v/>
      </c>
      <c r="K217" s="15" t="str">
        <f>IFERROR(IF(J217="","",VLOOKUP(J217,LISTAS!$F$5:$G$1004,2,0)),"0")</f>
        <v/>
      </c>
      <c r="L217" s="119" t="str">
        <f>IF(H216=3,"PRATA",IF(H216=4,"OURO",IF(H216=5,"OURO","")))</f>
        <v/>
      </c>
      <c r="M217" s="20" t="str">
        <f>IF(B217&lt;&gt;"",COUNTIF(D217:G217,"V")+(SUMIF(B222:B224,B217,D222:E224)/1000)+(SUMIF(J222:J224,B217,H222:I224)/1000)-(SUMIF(B222:B224,B217,H222:I224)/1000)-(SUMIF(J222:J224,B217,D222:E224)/1000)+0.002,"")</f>
        <v/>
      </c>
      <c r="N217" s="20" t="str">
        <f t="shared" ref="N217" si="15">IF(B217="","",B217)</f>
        <v/>
      </c>
      <c r="O217" s="20" t="str">
        <f>IF(B217&lt;&gt;"",LARGE(M216:M218,2),"")</f>
        <v/>
      </c>
      <c r="P217" s="20" t="str">
        <f>VLOOKUP(O217,M216:N218,2,0)</f>
        <v/>
      </c>
    </row>
    <row r="218" spans="2:16" ht="18" customHeight="1" x14ac:dyDescent="0.25">
      <c r="B218" s="15"/>
      <c r="C218" s="15" t="str">
        <f>IFERROR(IF(B218="","",VLOOKUP(B218,LISTAS!$F$5:$G$1004,2,0)),"0")</f>
        <v/>
      </c>
      <c r="D218" s="15" t="str">
        <f>IF(H216&lt;3,"",IF(H216=3,IF(D222&lt;&gt;"",IF(H222&lt;&gt;"",IF(D222&lt;&gt;H222,IF(D222&gt;H222,"D","V"),""),""),"")))</f>
        <v/>
      </c>
      <c r="E218" s="15" t="str">
        <f>IF(H216&lt;3,"",IF(H216=3,IF(D223&lt;&gt;"",IF(H223&lt;&gt;"",IF(D223&lt;&gt;H223,IF(D223&gt;H223,"D","V"),""),""),"")))</f>
        <v/>
      </c>
      <c r="F218" s="15" t="s">
        <v>81</v>
      </c>
      <c r="G218" s="15" t="s">
        <v>81</v>
      </c>
      <c r="H218" s="115"/>
      <c r="I218" s="15" t="str">
        <f>IF(B218&lt;&gt;"",3,"")</f>
        <v/>
      </c>
      <c r="J218" s="15" t="str">
        <f>IF(I218&lt;&gt;"",P218,"")</f>
        <v/>
      </c>
      <c r="K218" s="15" t="str">
        <f>IFERROR(IF(J218="","",VLOOKUP(J218,LISTAS!$F$5:$G$1004,2,0)),"0")</f>
        <v/>
      </c>
      <c r="L218" s="119" t="str">
        <f>IF(H216=3,"BRONZE",IF(H216=4,"PRATA",IF(H216=5,"OURO","")))</f>
        <v/>
      </c>
      <c r="M218" s="20" t="str">
        <f>IF(B218&lt;&gt;"",COUNTIF(D218:G218,"V")+(SUMIF(B222:B224,B218,D222:E224)/1000)+(SUMIF(J222:J224,B218,H222:I224)/1000)-(SUMIF(B222:B224,B218,H222:I224)/1000)-(SUMIF(J222:J224,B218,D222:E224)/1000)+0.001,"")</f>
        <v/>
      </c>
      <c r="N218" s="20" t="str">
        <f>IF(B218="","",B218)</f>
        <v/>
      </c>
      <c r="O218" s="20" t="str">
        <f>IF(B218&lt;&gt;"",LARGE(M216:M218,3),"")</f>
        <v/>
      </c>
      <c r="P218" s="20" t="str">
        <f>VLOOKUP(O218,M216:N218,2,0)</f>
        <v/>
      </c>
    </row>
    <row r="219" spans="2:16" ht="18" customHeight="1" x14ac:dyDescent="0.25">
      <c r="B219" s="79"/>
      <c r="C219" s="79"/>
      <c r="D219" s="79"/>
      <c r="E219" s="79"/>
      <c r="F219" s="79"/>
      <c r="G219" s="79"/>
      <c r="I219" s="80"/>
      <c r="J219" s="79"/>
      <c r="K219" s="81"/>
      <c r="L219" s="81"/>
    </row>
    <row r="220" spans="2:16" ht="23.25" customHeight="1" x14ac:dyDescent="0.25">
      <c r="B220" s="82" t="s">
        <v>40</v>
      </c>
      <c r="C220" s="79"/>
      <c r="D220" s="79"/>
      <c r="E220" s="79"/>
      <c r="F220" s="79"/>
      <c r="G220" s="79"/>
      <c r="H220" s="79"/>
      <c r="I220" s="79"/>
      <c r="J220" s="79"/>
      <c r="K220" s="79"/>
      <c r="L220" s="79"/>
    </row>
    <row r="221" spans="2:16" ht="18" customHeight="1" x14ac:dyDescent="0.25">
      <c r="B221" s="9" t="s">
        <v>15</v>
      </c>
      <c r="C221" s="9" t="s">
        <v>0</v>
      </c>
      <c r="D221" s="228" t="s">
        <v>41</v>
      </c>
      <c r="E221" s="229"/>
      <c r="F221" s="229"/>
      <c r="G221" s="229"/>
      <c r="H221" s="229"/>
      <c r="I221" s="230"/>
      <c r="J221" s="9" t="s">
        <v>15</v>
      </c>
      <c r="K221" s="9" t="s">
        <v>0</v>
      </c>
      <c r="L221" s="79"/>
    </row>
    <row r="222" spans="2:16" ht="18" customHeight="1" x14ac:dyDescent="0.25">
      <c r="B222" s="15" t="str">
        <f>IF(H216=3,B216,"")</f>
        <v/>
      </c>
      <c r="C222" s="15" t="str">
        <f>IFERROR(IF(B222="","",VLOOKUP(B222,LISTAS!$F$5:$G$1004,2,0)),"0")</f>
        <v/>
      </c>
      <c r="D222" s="223"/>
      <c r="E222" s="224"/>
      <c r="F222" s="223" t="s">
        <v>38</v>
      </c>
      <c r="G222" s="224"/>
      <c r="H222" s="223"/>
      <c r="I222" s="224"/>
      <c r="J222" s="21" t="str">
        <f>IF(H216=3,B218,"")</f>
        <v/>
      </c>
      <c r="K222" s="15" t="str">
        <f>IFERROR(IF(J222="","",VLOOKUP(J222,LISTAS!$F$5:$G$1004,2,0)),"0")</f>
        <v/>
      </c>
      <c r="L222" s="81"/>
    </row>
    <row r="223" spans="2:16" ht="18" customHeight="1" x14ac:dyDescent="0.25">
      <c r="B223" s="15" t="str">
        <f>IF(H216=3,B217,"")</f>
        <v/>
      </c>
      <c r="C223" s="15" t="str">
        <f>IFERROR(IF(B223="","",VLOOKUP(B223,LISTAS!$F$5:$G$1004,2,0)),"0")</f>
        <v/>
      </c>
      <c r="D223" s="223"/>
      <c r="E223" s="224"/>
      <c r="F223" s="223" t="s">
        <v>38</v>
      </c>
      <c r="G223" s="224"/>
      <c r="H223" s="223"/>
      <c r="I223" s="224"/>
      <c r="J223" s="21" t="str">
        <f>IF(H216=3,B218,"")</f>
        <v/>
      </c>
      <c r="K223" s="15" t="str">
        <f>IFERROR(IF(J223="","",VLOOKUP(J223,LISTAS!$F$5:$G$1004,2,0)),"0")</f>
        <v/>
      </c>
      <c r="L223" s="79"/>
    </row>
    <row r="224" spans="2:16" ht="18" customHeight="1" x14ac:dyDescent="0.25">
      <c r="B224" s="15" t="str">
        <f>IF(H216=3,B216,"")</f>
        <v/>
      </c>
      <c r="C224" s="15" t="str">
        <f>IFERROR(IF(B224="","",VLOOKUP(B224,LISTAS!$F$5:$G$1004,2,0)),"0")</f>
        <v/>
      </c>
      <c r="D224" s="223"/>
      <c r="E224" s="224"/>
      <c r="F224" s="223" t="s">
        <v>38</v>
      </c>
      <c r="G224" s="224"/>
      <c r="H224" s="223"/>
      <c r="I224" s="224"/>
      <c r="J224" s="21" t="str">
        <f>IF(H216=3,B217,"")</f>
        <v/>
      </c>
      <c r="K224" s="15" t="str">
        <f>IFERROR(IF(J224="","",VLOOKUP(J224,LISTAS!$F$5:$G$1004,2,0)),"0")</f>
        <v/>
      </c>
      <c r="L224" s="81"/>
    </row>
    <row r="227" spans="2:16" ht="30" customHeight="1" x14ac:dyDescent="0.25">
      <c r="B227" s="161" t="s">
        <v>61</v>
      </c>
      <c r="C227" s="79"/>
      <c r="D227" s="225" t="s">
        <v>42</v>
      </c>
      <c r="E227" s="226"/>
      <c r="F227" s="226"/>
      <c r="G227" s="227"/>
      <c r="H227" s="113"/>
      <c r="I227" s="225" t="s">
        <v>3</v>
      </c>
      <c r="J227" s="226"/>
      <c r="K227" s="226"/>
      <c r="L227" s="226"/>
    </row>
    <row r="228" spans="2:16" ht="18" customHeight="1" x14ac:dyDescent="0.25">
      <c r="B228" s="9" t="s">
        <v>15</v>
      </c>
      <c r="C228" s="9" t="s">
        <v>0</v>
      </c>
      <c r="D228" s="9" t="s">
        <v>43</v>
      </c>
      <c r="E228" s="9" t="s">
        <v>44</v>
      </c>
      <c r="F228" s="9" t="s">
        <v>77</v>
      </c>
      <c r="G228" s="9" t="s">
        <v>78</v>
      </c>
      <c r="H228" s="114"/>
      <c r="I228" s="9" t="s">
        <v>18</v>
      </c>
      <c r="J228" s="9" t="s">
        <v>15</v>
      </c>
      <c r="K228" s="9" t="s">
        <v>0</v>
      </c>
      <c r="L228" s="9" t="s">
        <v>45</v>
      </c>
    </row>
    <row r="229" spans="2:16" ht="18" customHeight="1" x14ac:dyDescent="0.25">
      <c r="B229" s="15"/>
      <c r="C229" s="15" t="str">
        <f>IFERROR(IF(B229="","",VLOOKUP(B229,LISTAS!$F$5:$G$1004,2,0)),"0")</f>
        <v/>
      </c>
      <c r="D229" s="15" t="str">
        <f>IF(H229&lt;3,"",IF(H229=3,IF(D235&lt;&gt;"",IF(H235&lt;&gt;"",IF(D235&lt;&gt;H235,IF(D235&gt;H235,"V","D"),""),""),"")))</f>
        <v/>
      </c>
      <c r="E229" s="15" t="str">
        <f>IF(H229&lt;3,"",IF(H229=3,IF(D237&lt;&gt;"",IF(H237&lt;&gt;"",IF(D237&lt;&gt;H237,IF(D237&gt;H237,"V","D"),""),""),"")))</f>
        <v/>
      </c>
      <c r="F229" s="15" t="s">
        <v>81</v>
      </c>
      <c r="G229" s="15" t="s">
        <v>81</v>
      </c>
      <c r="H229" s="117">
        <f>COUNTA(B229:B231)</f>
        <v>0</v>
      </c>
      <c r="I229" s="15" t="str">
        <f>IF(B229&lt;&gt;"",1,"")</f>
        <v/>
      </c>
      <c r="J229" s="15" t="str">
        <f>IF(I229&lt;&gt;"",P229,"")</f>
        <v/>
      </c>
      <c r="K229" s="15" t="str">
        <f>IFERROR(IF(J229="","",VLOOKUP(J229,LISTAS!$F$5:$G$1004,2,0)),"0")</f>
        <v/>
      </c>
      <c r="L229" s="119" t="str">
        <f>IF(H229=3,"OURO",IF(H229=4,"OURO",IF(H229=5,"OURO","")))</f>
        <v/>
      </c>
      <c r="M229" s="20" t="str">
        <f>IF(B229&lt;&gt;"",COUNTIF(D229:G229,"V")+(SUMIF(B235:B237,B229,D235:E237)/1000)+(SUMIF(J235:J237,B229,H235:I237)/1000)-(SUMIF(B235:B237,B229,H235:I237)/1000)-(SUMIF(J235:J237,B229,D235:E237)/1000)+0.003,"")</f>
        <v/>
      </c>
      <c r="N229" s="20" t="str">
        <f>IF(B229="","",B229)</f>
        <v/>
      </c>
      <c r="O229" s="20" t="str">
        <f>IF(B229&lt;&gt;"",LARGE(M229:M231,1),"")</f>
        <v/>
      </c>
      <c r="P229" s="20" t="str">
        <f>VLOOKUP(O229,M229:N231,2,0)</f>
        <v/>
      </c>
    </row>
    <row r="230" spans="2:16" ht="18" customHeight="1" x14ac:dyDescent="0.25">
      <c r="B230" s="15"/>
      <c r="C230" s="15" t="str">
        <f>IFERROR(IF(B230="","",VLOOKUP(B230,LISTAS!$F$5:$G$1004,2,0)),"0")</f>
        <v/>
      </c>
      <c r="D230" s="15" t="str">
        <f>IF(H229&lt;3,"",IF(H229=3,IF(D236&lt;&gt;"",IF(H236&lt;&gt;"",IF(D236&lt;&gt;H236,IF(D236&gt;H236,"V","D"),""),""),"")))</f>
        <v/>
      </c>
      <c r="E230" s="15" t="str">
        <f>IF(H229&lt;3,"",IF(H229=3,IF(D237&lt;&gt;"",IF(H237&lt;&gt;"",IF(D237&lt;&gt;H237,IF(D237&gt;H237,"D","V"),""),""),"")))</f>
        <v/>
      </c>
      <c r="F230" s="15" t="s">
        <v>81</v>
      </c>
      <c r="G230" s="15" t="s">
        <v>81</v>
      </c>
      <c r="H230" s="115"/>
      <c r="I230" s="15" t="str">
        <f>IF(B230&lt;&gt;"",2,"")</f>
        <v/>
      </c>
      <c r="J230" s="15" t="str">
        <f>IF(I230&lt;&gt;"",P230,"")</f>
        <v/>
      </c>
      <c r="K230" s="15" t="str">
        <f>IFERROR(IF(J230="","",VLOOKUP(J230,LISTAS!$F$5:$G$1004,2,0)),"0")</f>
        <v/>
      </c>
      <c r="L230" s="119" t="str">
        <f>IF(H229=3,"PRATA",IF(H229=4,"OURO",IF(H229=5,"OURO","")))</f>
        <v/>
      </c>
      <c r="M230" s="20" t="str">
        <f>IF(B230&lt;&gt;"",COUNTIF(D230:G230,"V")+(SUMIF(B235:B237,B230,D235:E237)/1000)+(SUMIF(J235:J237,B230,H235:I237)/1000)-(SUMIF(B235:B237,B230,H235:I237)/1000)-(SUMIF(J235:J237,B230,D235:E237)/1000)+0.002,"")</f>
        <v/>
      </c>
      <c r="N230" s="20" t="str">
        <f t="shared" ref="N230" si="16">IF(B230="","",B230)</f>
        <v/>
      </c>
      <c r="O230" s="20" t="str">
        <f>IF(B230&lt;&gt;"",LARGE(M229:M231,2),"")</f>
        <v/>
      </c>
      <c r="P230" s="20" t="str">
        <f>VLOOKUP(O230,M229:N231,2,0)</f>
        <v/>
      </c>
    </row>
    <row r="231" spans="2:16" ht="18" customHeight="1" x14ac:dyDescent="0.25">
      <c r="B231" s="15"/>
      <c r="C231" s="15" t="str">
        <f>IFERROR(IF(B231="","",VLOOKUP(B231,LISTAS!$F$5:$G$1004,2,0)),"0")</f>
        <v/>
      </c>
      <c r="D231" s="15" t="str">
        <f>IF(H229&lt;3,"",IF(H229=3,IF(D235&lt;&gt;"",IF(H235&lt;&gt;"",IF(D235&lt;&gt;H235,IF(D235&gt;H235,"D","V"),""),""),"")))</f>
        <v/>
      </c>
      <c r="E231" s="15" t="str">
        <f>IF(H229&lt;3,"",IF(H229=3,IF(D236&lt;&gt;"",IF(H236&lt;&gt;"",IF(D236&lt;&gt;H236,IF(D236&gt;H236,"D","V"),""),""),"")))</f>
        <v/>
      </c>
      <c r="F231" s="15" t="s">
        <v>81</v>
      </c>
      <c r="G231" s="15" t="s">
        <v>81</v>
      </c>
      <c r="H231" s="115"/>
      <c r="I231" s="15" t="str">
        <f>IF(B231&lt;&gt;"",3,"")</f>
        <v/>
      </c>
      <c r="J231" s="15" t="str">
        <f>IF(I231&lt;&gt;"",P231,"")</f>
        <v/>
      </c>
      <c r="K231" s="15" t="str">
        <f>IFERROR(IF(J231="","",VLOOKUP(J231,LISTAS!$F$5:$G$1004,2,0)),"0")</f>
        <v/>
      </c>
      <c r="L231" s="119" t="str">
        <f>IF(H229=3,"BRONZE",IF(H229=4,"PRATA",IF(H229=5,"OURO","")))</f>
        <v/>
      </c>
      <c r="M231" s="20" t="str">
        <f>IF(B231&lt;&gt;"",COUNTIF(D231:G231,"V")+(SUMIF(B235:B237,B231,D235:E237)/1000)+(SUMIF(J235:J237,B231,H235:I237)/1000)-(SUMIF(B235:B237,B231,H235:I237)/1000)-(SUMIF(J235:J237,B231,D235:E237)/1000)+0.001,"")</f>
        <v/>
      </c>
      <c r="N231" s="20" t="str">
        <f>IF(B231="","",B231)</f>
        <v/>
      </c>
      <c r="O231" s="20" t="str">
        <f>IF(B231&lt;&gt;"",LARGE(M229:M231,3),"")</f>
        <v/>
      </c>
      <c r="P231" s="20" t="str">
        <f>VLOOKUP(O231,M229:N231,2,0)</f>
        <v/>
      </c>
    </row>
    <row r="232" spans="2:16" ht="18" customHeight="1" x14ac:dyDescent="0.25">
      <c r="B232" s="79"/>
      <c r="C232" s="79"/>
      <c r="D232" s="79"/>
      <c r="E232" s="79"/>
      <c r="F232" s="79"/>
      <c r="G232" s="79"/>
      <c r="I232" s="80"/>
      <c r="J232" s="79"/>
      <c r="K232" s="81"/>
      <c r="L232" s="81"/>
    </row>
    <row r="233" spans="2:16" ht="23.25" customHeight="1" x14ac:dyDescent="0.25">
      <c r="B233" s="82" t="s">
        <v>40</v>
      </c>
      <c r="C233" s="79"/>
      <c r="D233" s="79"/>
      <c r="E233" s="79"/>
      <c r="F233" s="79"/>
      <c r="G233" s="79"/>
      <c r="H233" s="79"/>
      <c r="I233" s="79"/>
      <c r="J233" s="79"/>
      <c r="K233" s="79"/>
      <c r="L233" s="79"/>
    </row>
    <row r="234" spans="2:16" ht="18" customHeight="1" x14ac:dyDescent="0.25">
      <c r="B234" s="9" t="s">
        <v>15</v>
      </c>
      <c r="C234" s="9" t="s">
        <v>0</v>
      </c>
      <c r="D234" s="228" t="s">
        <v>41</v>
      </c>
      <c r="E234" s="229"/>
      <c r="F234" s="229"/>
      <c r="G234" s="229"/>
      <c r="H234" s="229"/>
      <c r="I234" s="230"/>
      <c r="J234" s="9" t="s">
        <v>15</v>
      </c>
      <c r="K234" s="9" t="s">
        <v>0</v>
      </c>
      <c r="L234" s="79"/>
    </row>
    <row r="235" spans="2:16" ht="18" customHeight="1" x14ac:dyDescent="0.25">
      <c r="B235" s="15" t="str">
        <f>IF(H229=3,B229,"")</f>
        <v/>
      </c>
      <c r="C235" s="15" t="str">
        <f>IFERROR(IF(B235="","",VLOOKUP(B235,LISTAS!$F$5:$G$1004,2,0)),"0")</f>
        <v/>
      </c>
      <c r="D235" s="223"/>
      <c r="E235" s="224"/>
      <c r="F235" s="223" t="s">
        <v>38</v>
      </c>
      <c r="G235" s="224"/>
      <c r="H235" s="223"/>
      <c r="I235" s="224"/>
      <c r="J235" s="21" t="str">
        <f>IF(H229=3,B231,"")</f>
        <v/>
      </c>
      <c r="K235" s="15" t="str">
        <f>IFERROR(IF(J235="","",VLOOKUP(J235,LISTAS!$F$5:$G$1004,2,0)),"0")</f>
        <v/>
      </c>
      <c r="L235" s="81"/>
    </row>
    <row r="236" spans="2:16" ht="18" customHeight="1" x14ac:dyDescent="0.25">
      <c r="B236" s="15" t="str">
        <f>IF(H229=3,B230,"")</f>
        <v/>
      </c>
      <c r="C236" s="15" t="str">
        <f>IFERROR(IF(B236="","",VLOOKUP(B236,LISTAS!$F$5:$G$1004,2,0)),"0")</f>
        <v/>
      </c>
      <c r="D236" s="223"/>
      <c r="E236" s="224"/>
      <c r="F236" s="223" t="s">
        <v>38</v>
      </c>
      <c r="G236" s="224"/>
      <c r="H236" s="223"/>
      <c r="I236" s="224"/>
      <c r="J236" s="21" t="str">
        <f>IF(H229=3,B231,"")</f>
        <v/>
      </c>
      <c r="K236" s="15" t="str">
        <f>IFERROR(IF(J236="","",VLOOKUP(J236,LISTAS!$F$5:$G$1004,2,0)),"0")</f>
        <v/>
      </c>
      <c r="L236" s="79"/>
    </row>
    <row r="237" spans="2:16" ht="18" customHeight="1" x14ac:dyDescent="0.25">
      <c r="B237" s="15" t="str">
        <f>IF(H229=3,B229,"")</f>
        <v/>
      </c>
      <c r="C237" s="15" t="str">
        <f>IFERROR(IF(B237="","",VLOOKUP(B237,LISTAS!$F$5:$G$1004,2,0)),"0")</f>
        <v/>
      </c>
      <c r="D237" s="223"/>
      <c r="E237" s="224"/>
      <c r="F237" s="223" t="s">
        <v>38</v>
      </c>
      <c r="G237" s="224"/>
      <c r="H237" s="223"/>
      <c r="I237" s="224"/>
      <c r="J237" s="21" t="str">
        <f>IF(H229=3,B230,"")</f>
        <v/>
      </c>
      <c r="K237" s="15" t="str">
        <f>IFERROR(IF(J237="","",VLOOKUP(J237,LISTAS!$F$5:$G$1004,2,0)),"0")</f>
        <v/>
      </c>
      <c r="L237" s="81"/>
    </row>
    <row r="240" spans="2:16" ht="30" customHeight="1" x14ac:dyDescent="0.25">
      <c r="B240" s="161" t="s">
        <v>62</v>
      </c>
      <c r="C240" s="79"/>
      <c r="D240" s="225" t="s">
        <v>42</v>
      </c>
      <c r="E240" s="226"/>
      <c r="F240" s="226"/>
      <c r="G240" s="227"/>
      <c r="H240" s="113"/>
      <c r="I240" s="225" t="s">
        <v>3</v>
      </c>
      <c r="J240" s="226"/>
      <c r="K240" s="226"/>
      <c r="L240" s="226"/>
    </row>
    <row r="241" spans="2:16" ht="18" customHeight="1" x14ac:dyDescent="0.25">
      <c r="B241" s="9" t="s">
        <v>15</v>
      </c>
      <c r="C241" s="9" t="s">
        <v>0</v>
      </c>
      <c r="D241" s="9" t="s">
        <v>43</v>
      </c>
      <c r="E241" s="9" t="s">
        <v>44</v>
      </c>
      <c r="F241" s="9" t="s">
        <v>77</v>
      </c>
      <c r="G241" s="9" t="s">
        <v>78</v>
      </c>
      <c r="H241" s="114"/>
      <c r="I241" s="9" t="s">
        <v>18</v>
      </c>
      <c r="J241" s="9" t="s">
        <v>15</v>
      </c>
      <c r="K241" s="9" t="s">
        <v>0</v>
      </c>
      <c r="L241" s="9" t="s">
        <v>45</v>
      </c>
    </row>
    <row r="242" spans="2:16" ht="18" customHeight="1" x14ac:dyDescent="0.25">
      <c r="B242" s="15"/>
      <c r="C242" s="15" t="str">
        <f>IFERROR(IF(B242="","",VLOOKUP(B242,LISTAS!$F$5:$G$1004,2,0)),"0")</f>
        <v/>
      </c>
      <c r="D242" s="15" t="str">
        <f>IF(H242&lt;3,"",IF(H242=3,IF(D248&lt;&gt;"",IF(H248&lt;&gt;"",IF(D248&lt;&gt;H248,IF(D248&gt;H248,"V","D"),""),""),"")))</f>
        <v/>
      </c>
      <c r="E242" s="15" t="str">
        <f>IF(H242&lt;3,"",IF(H242=3,IF(D250&lt;&gt;"",IF(H250&lt;&gt;"",IF(D250&lt;&gt;H250,IF(D250&gt;H250,"V","D"),""),""),"")))</f>
        <v/>
      </c>
      <c r="F242" s="15" t="s">
        <v>81</v>
      </c>
      <c r="G242" s="15" t="s">
        <v>81</v>
      </c>
      <c r="H242" s="117">
        <f>COUNTA(B242:B244)</f>
        <v>0</v>
      </c>
      <c r="I242" s="15" t="str">
        <f>IF(B242&lt;&gt;"",1,"")</f>
        <v/>
      </c>
      <c r="J242" s="15" t="str">
        <f>IF(I242&lt;&gt;"",P242,"")</f>
        <v/>
      </c>
      <c r="K242" s="15" t="str">
        <f>IFERROR(IF(J242="","",VLOOKUP(J242,LISTAS!$F$5:$G$1004,2,0)),"0")</f>
        <v/>
      </c>
      <c r="L242" s="119" t="str">
        <f>IF(H242=3,"OURO",IF(H242=4,"OURO",IF(H242=5,"OURO","")))</f>
        <v/>
      </c>
      <c r="M242" s="20" t="str">
        <f>IF(B242&lt;&gt;"",COUNTIF(D242:G242,"V")+(SUMIF(B248:B250,B242,D248:E250)/1000)+(SUMIF(J248:J250,B242,H248:I250)/1000)-(SUMIF(B248:B250,B242,H248:I250)/1000)-(SUMIF(J248:J250,B242,D248:E250)/1000)+0.003,"")</f>
        <v/>
      </c>
      <c r="N242" s="20" t="str">
        <f>IF(B242="","",B242)</f>
        <v/>
      </c>
      <c r="O242" s="20" t="str">
        <f>IF(B242&lt;&gt;"",LARGE(M242:M244,1),"")</f>
        <v/>
      </c>
      <c r="P242" s="20" t="str">
        <f>VLOOKUP(O242,M242:N244,2,0)</f>
        <v/>
      </c>
    </row>
    <row r="243" spans="2:16" ht="18" customHeight="1" x14ac:dyDescent="0.25">
      <c r="B243" s="15"/>
      <c r="C243" s="15" t="str">
        <f>IFERROR(IF(B243="","",VLOOKUP(B243,LISTAS!$F$5:$G$1004,2,0)),"0")</f>
        <v/>
      </c>
      <c r="D243" s="15" t="str">
        <f>IF(H242&lt;3,"",IF(H242=3,IF(D249&lt;&gt;"",IF(H249&lt;&gt;"",IF(D249&lt;&gt;H249,IF(D249&gt;H249,"V","D"),""),""),"")))</f>
        <v/>
      </c>
      <c r="E243" s="15" t="str">
        <f>IF(H242&lt;3,"",IF(H242=3,IF(D250&lt;&gt;"",IF(H250&lt;&gt;"",IF(D250&lt;&gt;H250,IF(D250&gt;H250,"D","V"),""),""),"")))</f>
        <v/>
      </c>
      <c r="F243" s="15" t="s">
        <v>81</v>
      </c>
      <c r="G243" s="15" t="s">
        <v>81</v>
      </c>
      <c r="H243" s="115"/>
      <c r="I243" s="15" t="str">
        <f>IF(B243&lt;&gt;"",2,"")</f>
        <v/>
      </c>
      <c r="J243" s="15" t="str">
        <f>IF(I243&lt;&gt;"",P243,"")</f>
        <v/>
      </c>
      <c r="K243" s="15" t="str">
        <f>IFERROR(IF(J243="","",VLOOKUP(J243,LISTAS!$F$5:$G$1004,2,0)),"0")</f>
        <v/>
      </c>
      <c r="L243" s="119" t="str">
        <f>IF(H242=3,"PRATA",IF(H242=4,"OURO",IF(H242=5,"OURO","")))</f>
        <v/>
      </c>
      <c r="M243" s="20" t="str">
        <f>IF(B243&lt;&gt;"",COUNTIF(D243:G243,"V")+(SUMIF(B248:B250,B243,D248:E250)/1000)+(SUMIF(J248:J250,B243,H248:I250)/1000)-(SUMIF(B248:B250,B243,H248:I250)/1000)-(SUMIF(J248:J250,B243,D248:E250)/1000)+0.002,"")</f>
        <v/>
      </c>
      <c r="N243" s="20" t="str">
        <f t="shared" ref="N243" si="17">IF(B243="","",B243)</f>
        <v/>
      </c>
      <c r="O243" s="20" t="str">
        <f>IF(B243&lt;&gt;"",LARGE(M242:M244,2),"")</f>
        <v/>
      </c>
      <c r="P243" s="20" t="str">
        <f>VLOOKUP(O243,M242:N244,2,0)</f>
        <v/>
      </c>
    </row>
    <row r="244" spans="2:16" ht="18" customHeight="1" x14ac:dyDescent="0.25">
      <c r="B244" s="15"/>
      <c r="C244" s="15" t="str">
        <f>IFERROR(IF(B244="","",VLOOKUP(B244,LISTAS!$F$5:$G$1004,2,0)),"0")</f>
        <v/>
      </c>
      <c r="D244" s="15" t="str">
        <f>IF(H242&lt;3,"",IF(H242=3,IF(D248&lt;&gt;"",IF(H248&lt;&gt;"",IF(D248&lt;&gt;H248,IF(D248&gt;H248,"D","V"),""),""),"")))</f>
        <v/>
      </c>
      <c r="E244" s="15" t="str">
        <f>IF(H242&lt;3,"",IF(H242=3,IF(D249&lt;&gt;"",IF(H249&lt;&gt;"",IF(D249&lt;&gt;H249,IF(D249&gt;H249,"D","V"),""),""),"")))</f>
        <v/>
      </c>
      <c r="F244" s="15" t="s">
        <v>81</v>
      </c>
      <c r="G244" s="15" t="s">
        <v>81</v>
      </c>
      <c r="H244" s="115"/>
      <c r="I244" s="15" t="str">
        <f>IF(B244&lt;&gt;"",3,"")</f>
        <v/>
      </c>
      <c r="J244" s="15" t="str">
        <f>IF(I244&lt;&gt;"",P244,"")</f>
        <v/>
      </c>
      <c r="K244" s="15" t="str">
        <f>IFERROR(IF(J244="","",VLOOKUP(J244,LISTAS!$F$5:$G$1004,2,0)),"0")</f>
        <v/>
      </c>
      <c r="L244" s="119" t="str">
        <f>IF(H242=3,"BRONZE",IF(H242=4,"PRATA",IF(H242=5,"OURO","")))</f>
        <v/>
      </c>
      <c r="M244" s="20" t="str">
        <f>IF(B244&lt;&gt;"",COUNTIF(D244:G244,"V")+(SUMIF(B248:B250,B244,D248:E250)/1000)+(SUMIF(J248:J250,B244,H248:I250)/1000)-(SUMIF(B248:B250,B244,H248:I250)/1000)-(SUMIF(J248:J250,B244,D248:E250)/1000)+0.001,"")</f>
        <v/>
      </c>
      <c r="N244" s="20" t="str">
        <f>IF(B244="","",B244)</f>
        <v/>
      </c>
      <c r="O244" s="20" t="str">
        <f>IF(B244&lt;&gt;"",LARGE(M242:M244,3),"")</f>
        <v/>
      </c>
      <c r="P244" s="20" t="str">
        <f>VLOOKUP(O244,M242:N244,2,0)</f>
        <v/>
      </c>
    </row>
    <row r="245" spans="2:16" ht="18" customHeight="1" x14ac:dyDescent="0.25">
      <c r="B245" s="79"/>
      <c r="C245" s="79"/>
      <c r="D245" s="79"/>
      <c r="E245" s="79"/>
      <c r="F245" s="79"/>
      <c r="G245" s="79"/>
      <c r="I245" s="80"/>
      <c r="J245" s="79"/>
      <c r="K245" s="81"/>
      <c r="L245" s="81"/>
    </row>
    <row r="246" spans="2:16" ht="23.25" customHeight="1" x14ac:dyDescent="0.25">
      <c r="B246" s="82" t="s">
        <v>40</v>
      </c>
      <c r="C246" s="79"/>
      <c r="D246" s="79"/>
      <c r="E246" s="79"/>
      <c r="F246" s="79"/>
      <c r="G246" s="79"/>
      <c r="H246" s="79"/>
      <c r="I246" s="79"/>
      <c r="J246" s="79"/>
      <c r="K246" s="79"/>
      <c r="L246" s="79"/>
    </row>
    <row r="247" spans="2:16" ht="18" customHeight="1" x14ac:dyDescent="0.25">
      <c r="B247" s="9" t="s">
        <v>15</v>
      </c>
      <c r="C247" s="9" t="s">
        <v>0</v>
      </c>
      <c r="D247" s="228" t="s">
        <v>41</v>
      </c>
      <c r="E247" s="229"/>
      <c r="F247" s="229"/>
      <c r="G247" s="229"/>
      <c r="H247" s="229"/>
      <c r="I247" s="230"/>
      <c r="J247" s="9" t="s">
        <v>15</v>
      </c>
      <c r="K247" s="9" t="s">
        <v>0</v>
      </c>
      <c r="L247" s="79"/>
    </row>
    <row r="248" spans="2:16" ht="18" customHeight="1" x14ac:dyDescent="0.25">
      <c r="B248" s="15" t="str">
        <f>IF(H242=3,B242,"")</f>
        <v/>
      </c>
      <c r="C248" s="15" t="str">
        <f>IFERROR(IF(B248="","",VLOOKUP(B248,LISTAS!$F$5:$G$1004,2,0)),"0")</f>
        <v/>
      </c>
      <c r="D248" s="223"/>
      <c r="E248" s="224"/>
      <c r="F248" s="223" t="s">
        <v>38</v>
      </c>
      <c r="G248" s="224"/>
      <c r="H248" s="223"/>
      <c r="I248" s="224"/>
      <c r="J248" s="21" t="str">
        <f>IF(H242=3,B244,"")</f>
        <v/>
      </c>
      <c r="K248" s="15" t="str">
        <f>IFERROR(IF(J248="","",VLOOKUP(J248,LISTAS!$F$5:$G$1004,2,0)),"0")</f>
        <v/>
      </c>
      <c r="L248" s="81"/>
    </row>
    <row r="249" spans="2:16" ht="18" customHeight="1" x14ac:dyDescent="0.25">
      <c r="B249" s="15" t="str">
        <f>IF(H242=3,B243,"")</f>
        <v/>
      </c>
      <c r="C249" s="15" t="str">
        <f>IFERROR(IF(B249="","",VLOOKUP(B249,LISTAS!$F$5:$G$1004,2,0)),"0")</f>
        <v/>
      </c>
      <c r="D249" s="223"/>
      <c r="E249" s="224"/>
      <c r="F249" s="223" t="s">
        <v>38</v>
      </c>
      <c r="G249" s="224"/>
      <c r="H249" s="223"/>
      <c r="I249" s="224"/>
      <c r="J249" s="21" t="str">
        <f>IF(H242=3,B244,"")</f>
        <v/>
      </c>
      <c r="K249" s="15" t="str">
        <f>IFERROR(IF(J249="","",VLOOKUP(J249,LISTAS!$F$5:$G$1004,2,0)),"0")</f>
        <v/>
      </c>
      <c r="L249" s="79"/>
    </row>
    <row r="250" spans="2:16" ht="18" customHeight="1" x14ac:dyDescent="0.25">
      <c r="B250" s="15" t="str">
        <f>IF(H242=3,B242,"")</f>
        <v/>
      </c>
      <c r="C250" s="15" t="str">
        <f>IFERROR(IF(B250="","",VLOOKUP(B250,LISTAS!$F$5:$G$1004,2,0)),"0")</f>
        <v/>
      </c>
      <c r="D250" s="223"/>
      <c r="E250" s="224"/>
      <c r="F250" s="223" t="s">
        <v>38</v>
      </c>
      <c r="G250" s="224"/>
      <c r="H250" s="223"/>
      <c r="I250" s="224"/>
      <c r="J250" s="21" t="str">
        <f>IF(H242=3,B243,"")</f>
        <v/>
      </c>
      <c r="K250" s="15" t="str">
        <f>IFERROR(IF(J250="","",VLOOKUP(J250,LISTAS!$F$5:$G$1004,2,0)),"0")</f>
        <v/>
      </c>
      <c r="L250" s="81"/>
    </row>
    <row r="253" spans="2:16" ht="30" customHeight="1" x14ac:dyDescent="0.25">
      <c r="B253" s="161" t="s">
        <v>63</v>
      </c>
      <c r="C253" s="79"/>
      <c r="D253" s="225" t="s">
        <v>42</v>
      </c>
      <c r="E253" s="226"/>
      <c r="F253" s="226"/>
      <c r="G253" s="227"/>
      <c r="H253" s="113"/>
      <c r="I253" s="225" t="s">
        <v>3</v>
      </c>
      <c r="J253" s="226"/>
      <c r="K253" s="226"/>
      <c r="L253" s="226"/>
    </row>
    <row r="254" spans="2:16" ht="18" customHeight="1" x14ac:dyDescent="0.25">
      <c r="B254" s="9" t="s">
        <v>15</v>
      </c>
      <c r="C254" s="9" t="s">
        <v>0</v>
      </c>
      <c r="D254" s="9" t="s">
        <v>43</v>
      </c>
      <c r="E254" s="9" t="s">
        <v>44</v>
      </c>
      <c r="F254" s="9" t="s">
        <v>77</v>
      </c>
      <c r="G254" s="9" t="s">
        <v>78</v>
      </c>
      <c r="H254" s="114"/>
      <c r="I254" s="9" t="s">
        <v>18</v>
      </c>
      <c r="J254" s="9" t="s">
        <v>15</v>
      </c>
      <c r="K254" s="9" t="s">
        <v>0</v>
      </c>
      <c r="L254" s="9" t="s">
        <v>45</v>
      </c>
    </row>
    <row r="255" spans="2:16" ht="18" customHeight="1" x14ac:dyDescent="0.25">
      <c r="B255" s="15"/>
      <c r="C255" s="15" t="str">
        <f>IFERROR(IF(B255="","",VLOOKUP(B255,LISTAS!$F$5:$G$1004,2,0)),"0")</f>
        <v/>
      </c>
      <c r="D255" s="15" t="str">
        <f>IF(H255&lt;3,"",IF(H255=3,IF(D261&lt;&gt;"",IF(H261&lt;&gt;"",IF(D261&lt;&gt;H261,IF(D261&gt;H261,"V","D"),""),""),"")))</f>
        <v/>
      </c>
      <c r="E255" s="15" t="str">
        <f>IF(H255&lt;3,"",IF(H255=3,IF(D263&lt;&gt;"",IF(H263&lt;&gt;"",IF(D263&lt;&gt;H263,IF(D263&gt;H263,"V","D"),""),""),"")))</f>
        <v/>
      </c>
      <c r="F255" s="15" t="s">
        <v>81</v>
      </c>
      <c r="G255" s="15" t="s">
        <v>81</v>
      </c>
      <c r="H255" s="117">
        <f>COUNTA(B255:B257)</f>
        <v>0</v>
      </c>
      <c r="I255" s="15" t="str">
        <f>IF(B255&lt;&gt;"",1,"")</f>
        <v/>
      </c>
      <c r="J255" s="15" t="str">
        <f>IF(I255&lt;&gt;"",P255,"")</f>
        <v/>
      </c>
      <c r="K255" s="15" t="str">
        <f>IFERROR(IF(J255="","",VLOOKUP(J255,LISTAS!$F$5:$G$1004,2,0)),"0")</f>
        <v/>
      </c>
      <c r="L255" s="119" t="str">
        <f>IF(H255=3,"OURO",IF(H255=4,"OURO",IF(H255=5,"OURO","")))</f>
        <v/>
      </c>
      <c r="M255" s="20" t="str">
        <f>IF(B255&lt;&gt;"",COUNTIF(D255:G255,"V")+(SUMIF(B261:B263,B255,D261:E263)/1000)+(SUMIF(J261:J263,B255,H261:I263)/1000)-(SUMIF(B261:B263,B255,H261:I263)/1000)-(SUMIF(J261:J263,B255,D261:E263)/1000)+0.003,"")</f>
        <v/>
      </c>
      <c r="N255" s="20" t="str">
        <f>IF(B255="","",B255)</f>
        <v/>
      </c>
      <c r="O255" s="20" t="str">
        <f>IF(B255&lt;&gt;"",LARGE(M255:M257,1),"")</f>
        <v/>
      </c>
      <c r="P255" s="20" t="str">
        <f>VLOOKUP(O255,M255:N257,2,0)</f>
        <v/>
      </c>
    </row>
    <row r="256" spans="2:16" ht="18" customHeight="1" x14ac:dyDescent="0.25">
      <c r="B256" s="15"/>
      <c r="C256" s="15" t="str">
        <f>IFERROR(IF(B256="","",VLOOKUP(B256,LISTAS!$F$5:$G$1004,2,0)),"0")</f>
        <v/>
      </c>
      <c r="D256" s="15" t="str">
        <f>IF(H255&lt;3,"",IF(H255=3,IF(D262&lt;&gt;"",IF(H262&lt;&gt;"",IF(D262&lt;&gt;H262,IF(D262&gt;H262,"V","D"),""),""),"")))</f>
        <v/>
      </c>
      <c r="E256" s="15" t="str">
        <f>IF(H255&lt;3,"",IF(H255=3,IF(D263&lt;&gt;"",IF(H263&lt;&gt;"",IF(D263&lt;&gt;H263,IF(D263&gt;H263,"D","V"),""),""),"")))</f>
        <v/>
      </c>
      <c r="F256" s="15" t="s">
        <v>81</v>
      </c>
      <c r="G256" s="15" t="s">
        <v>81</v>
      </c>
      <c r="H256" s="115"/>
      <c r="I256" s="15" t="str">
        <f>IF(B256&lt;&gt;"",2,"")</f>
        <v/>
      </c>
      <c r="J256" s="15" t="str">
        <f>IF(I256&lt;&gt;"",P256,"")</f>
        <v/>
      </c>
      <c r="K256" s="15" t="str">
        <f>IFERROR(IF(J256="","",VLOOKUP(J256,LISTAS!$F$5:$G$1004,2,0)),"0")</f>
        <v/>
      </c>
      <c r="L256" s="119" t="str">
        <f>IF(H255=3,"PRATA",IF(H255=4,"OURO",IF(H255=5,"OURO","")))</f>
        <v/>
      </c>
      <c r="M256" s="20" t="str">
        <f>IF(B256&lt;&gt;"",COUNTIF(D256:G256,"V")+(SUMIF(B261:B263,B256,D261:E263)/1000)+(SUMIF(J261:J263,B256,H261:I263)/1000)-(SUMIF(B261:B263,B256,H261:I263)/1000)-(SUMIF(J261:J263,B256,D261:E263)/1000)+0.002,"")</f>
        <v/>
      </c>
      <c r="N256" s="20" t="str">
        <f t="shared" ref="N256" si="18">IF(B256="","",B256)</f>
        <v/>
      </c>
      <c r="O256" s="20" t="str">
        <f>IF(B256&lt;&gt;"",LARGE(M255:M257,2),"")</f>
        <v/>
      </c>
      <c r="P256" s="20" t="str">
        <f>VLOOKUP(O256,M255:N257,2,0)</f>
        <v/>
      </c>
    </row>
    <row r="257" spans="2:16" ht="18" customHeight="1" x14ac:dyDescent="0.25">
      <c r="B257" s="15"/>
      <c r="C257" s="15" t="str">
        <f>IFERROR(IF(B257="","",VLOOKUP(B257,LISTAS!$F$5:$G$1004,2,0)),"0")</f>
        <v/>
      </c>
      <c r="D257" s="15" t="str">
        <f>IF(H255&lt;3,"",IF(H255=3,IF(D261&lt;&gt;"",IF(H261&lt;&gt;"",IF(D261&lt;&gt;H261,IF(D261&gt;H261,"D","V"),""),""),"")))</f>
        <v/>
      </c>
      <c r="E257" s="15" t="str">
        <f>IF(H255&lt;3,"",IF(H255=3,IF(D262&lt;&gt;"",IF(H262&lt;&gt;"",IF(D262&lt;&gt;H262,IF(D262&gt;H262,"D","V"),""),""),"")))</f>
        <v/>
      </c>
      <c r="F257" s="15" t="s">
        <v>81</v>
      </c>
      <c r="G257" s="15" t="s">
        <v>81</v>
      </c>
      <c r="H257" s="115"/>
      <c r="I257" s="15" t="str">
        <f>IF(B257&lt;&gt;"",3,"")</f>
        <v/>
      </c>
      <c r="J257" s="15" t="str">
        <f>IF(I257&lt;&gt;"",P257,"")</f>
        <v/>
      </c>
      <c r="K257" s="15" t="str">
        <f>IFERROR(IF(J257="","",VLOOKUP(J257,LISTAS!$F$5:$G$1004,2,0)),"0")</f>
        <v/>
      </c>
      <c r="L257" s="119" t="str">
        <f>IF(H255=3,"BRONZE",IF(H255=4,"PRATA",IF(H255=5,"OURO","")))</f>
        <v/>
      </c>
      <c r="M257" s="20" t="str">
        <f>IF(B257&lt;&gt;"",COUNTIF(D257:G257,"V")+(SUMIF(B261:B263,B257,D261:E263)/1000)+(SUMIF(J261:J263,B257,H261:I263)/1000)-(SUMIF(B261:B263,B257,H261:I263)/1000)-(SUMIF(J261:J263,B257,D261:E263)/1000)+0.001,"")</f>
        <v/>
      </c>
      <c r="N257" s="20" t="str">
        <f>IF(B257="","",B257)</f>
        <v/>
      </c>
      <c r="O257" s="20" t="str">
        <f>IF(B257&lt;&gt;"",LARGE(M255:M257,3),"")</f>
        <v/>
      </c>
      <c r="P257" s="20" t="str">
        <f>VLOOKUP(O257,M255:N257,2,0)</f>
        <v/>
      </c>
    </row>
    <row r="258" spans="2:16" ht="18" customHeight="1" x14ac:dyDescent="0.25">
      <c r="B258" s="79"/>
      <c r="C258" s="79"/>
      <c r="D258" s="79"/>
      <c r="E258" s="79"/>
      <c r="F258" s="79"/>
      <c r="G258" s="79"/>
      <c r="I258" s="80"/>
      <c r="J258" s="79"/>
      <c r="K258" s="81"/>
      <c r="L258" s="81"/>
    </row>
    <row r="259" spans="2:16" ht="23.25" customHeight="1" x14ac:dyDescent="0.25">
      <c r="B259" s="82" t="s">
        <v>40</v>
      </c>
      <c r="C259" s="79"/>
      <c r="D259" s="79"/>
      <c r="E259" s="79"/>
      <c r="F259" s="79"/>
      <c r="G259" s="79"/>
      <c r="H259" s="79"/>
      <c r="I259" s="79"/>
      <c r="J259" s="79"/>
      <c r="K259" s="79"/>
      <c r="L259" s="79"/>
    </row>
    <row r="260" spans="2:16" ht="18" customHeight="1" x14ac:dyDescent="0.25">
      <c r="B260" s="9" t="s">
        <v>15</v>
      </c>
      <c r="C260" s="9" t="s">
        <v>0</v>
      </c>
      <c r="D260" s="228" t="s">
        <v>41</v>
      </c>
      <c r="E260" s="229"/>
      <c r="F260" s="229"/>
      <c r="G260" s="229"/>
      <c r="H260" s="229"/>
      <c r="I260" s="230"/>
      <c r="J260" s="9" t="s">
        <v>15</v>
      </c>
      <c r="K260" s="9" t="s">
        <v>0</v>
      </c>
      <c r="L260" s="79"/>
    </row>
    <row r="261" spans="2:16" ht="18" customHeight="1" x14ac:dyDescent="0.25">
      <c r="B261" s="15" t="str">
        <f>IF(H255=3,B255,"")</f>
        <v/>
      </c>
      <c r="C261" s="15" t="str">
        <f>IFERROR(IF(B261="","",VLOOKUP(B261,LISTAS!$F$5:$G$1004,2,0)),"0")</f>
        <v/>
      </c>
      <c r="D261" s="223"/>
      <c r="E261" s="224"/>
      <c r="F261" s="223" t="s">
        <v>38</v>
      </c>
      <c r="G261" s="224"/>
      <c r="H261" s="223"/>
      <c r="I261" s="224"/>
      <c r="J261" s="21" t="str">
        <f>IF(H255=3,B257,"")</f>
        <v/>
      </c>
      <c r="K261" s="15" t="str">
        <f>IFERROR(IF(J261="","",VLOOKUP(J261,LISTAS!$F$5:$G$1004,2,0)),"0")</f>
        <v/>
      </c>
      <c r="L261" s="81"/>
    </row>
    <row r="262" spans="2:16" ht="18" customHeight="1" x14ac:dyDescent="0.25">
      <c r="B262" s="15" t="str">
        <f>IF(H255=3,B256,"")</f>
        <v/>
      </c>
      <c r="C262" s="15" t="str">
        <f>IFERROR(IF(B262="","",VLOOKUP(B262,LISTAS!$F$5:$G$1004,2,0)),"0")</f>
        <v/>
      </c>
      <c r="D262" s="223"/>
      <c r="E262" s="224"/>
      <c r="F262" s="223" t="s">
        <v>38</v>
      </c>
      <c r="G262" s="224"/>
      <c r="H262" s="223"/>
      <c r="I262" s="224"/>
      <c r="J262" s="21" t="str">
        <f>IF(H255=3,B257,"")</f>
        <v/>
      </c>
      <c r="K262" s="15" t="str">
        <f>IFERROR(IF(J262="","",VLOOKUP(J262,LISTAS!$F$5:$G$1004,2,0)),"0")</f>
        <v/>
      </c>
      <c r="L262" s="79"/>
    </row>
    <row r="263" spans="2:16" ht="18" customHeight="1" x14ac:dyDescent="0.25">
      <c r="B263" s="15" t="str">
        <f>IF(H255=3,B255,"")</f>
        <v/>
      </c>
      <c r="C263" s="15" t="str">
        <f>IFERROR(IF(B263="","",VLOOKUP(B263,LISTAS!$F$5:$G$1004,2,0)),"0")</f>
        <v/>
      </c>
      <c r="D263" s="223"/>
      <c r="E263" s="224"/>
      <c r="F263" s="223" t="s">
        <v>38</v>
      </c>
      <c r="G263" s="224"/>
      <c r="H263" s="223"/>
      <c r="I263" s="224"/>
      <c r="J263" s="21" t="str">
        <f>IF(H255=3,B256,"")</f>
        <v/>
      </c>
      <c r="K263" s="15" t="str">
        <f>IFERROR(IF(J263="","",VLOOKUP(J263,LISTAS!$F$5:$G$1004,2,0)),"0")</f>
        <v/>
      </c>
      <c r="L263" s="81"/>
    </row>
    <row r="266" spans="2:16" ht="30" customHeight="1" x14ac:dyDescent="0.25">
      <c r="B266" s="161" t="s">
        <v>64</v>
      </c>
      <c r="C266" s="79"/>
      <c r="D266" s="225" t="s">
        <v>42</v>
      </c>
      <c r="E266" s="226"/>
      <c r="F266" s="226"/>
      <c r="G266" s="227"/>
      <c r="H266" s="113"/>
      <c r="I266" s="225" t="s">
        <v>3</v>
      </c>
      <c r="J266" s="226"/>
      <c r="K266" s="226"/>
      <c r="L266" s="226"/>
    </row>
    <row r="267" spans="2:16" ht="18" customHeight="1" x14ac:dyDescent="0.25">
      <c r="B267" s="9" t="s">
        <v>15</v>
      </c>
      <c r="C267" s="9" t="s">
        <v>0</v>
      </c>
      <c r="D267" s="9" t="s">
        <v>43</v>
      </c>
      <c r="E267" s="9" t="s">
        <v>44</v>
      </c>
      <c r="F267" s="9" t="s">
        <v>77</v>
      </c>
      <c r="G267" s="9" t="s">
        <v>78</v>
      </c>
      <c r="H267" s="114"/>
      <c r="I267" s="9" t="s">
        <v>18</v>
      </c>
      <c r="J267" s="9" t="s">
        <v>15</v>
      </c>
      <c r="K267" s="9" t="s">
        <v>0</v>
      </c>
      <c r="L267" s="9" t="s">
        <v>45</v>
      </c>
    </row>
    <row r="268" spans="2:16" ht="18" customHeight="1" x14ac:dyDescent="0.25">
      <c r="B268" s="15"/>
      <c r="C268" s="15" t="str">
        <f>IFERROR(IF(B268="","",VLOOKUP(B268,LISTAS!$F$5:$G$1004,2,0)),"0")</f>
        <v/>
      </c>
      <c r="D268" s="15" t="str">
        <f>IF(H268&lt;3,"",IF(H268=3,IF(D274&lt;&gt;"",IF(H274&lt;&gt;"",IF(D274&lt;&gt;H274,IF(D274&gt;H274,"V","D"),""),""),"")))</f>
        <v/>
      </c>
      <c r="E268" s="15" t="str">
        <f>IF(H268&lt;3,"",IF(H268=3,IF(D276&lt;&gt;"",IF(H276&lt;&gt;"",IF(D276&lt;&gt;H276,IF(D276&gt;H276,"V","D"),""),""),"")))</f>
        <v/>
      </c>
      <c r="F268" s="15" t="s">
        <v>81</v>
      </c>
      <c r="G268" s="15" t="s">
        <v>81</v>
      </c>
      <c r="H268" s="117">
        <f>COUNTA(B268:B270)</f>
        <v>0</v>
      </c>
      <c r="I268" s="15" t="str">
        <f>IF(B268&lt;&gt;"",1,"")</f>
        <v/>
      </c>
      <c r="J268" s="15" t="str">
        <f>IF(I268&lt;&gt;"",P268,"")</f>
        <v/>
      </c>
      <c r="K268" s="15" t="str">
        <f>IFERROR(IF(J268="","",VLOOKUP(J268,LISTAS!$F$5:$G$1004,2,0)),"0")</f>
        <v/>
      </c>
      <c r="L268" s="119" t="str">
        <f>IF(H268=3,"OURO",IF(H268=4,"OURO",IF(H268=5,"OURO","")))</f>
        <v/>
      </c>
      <c r="M268" s="20" t="str">
        <f>IF(B268&lt;&gt;"",COUNTIF(D268:G268,"V")+(SUMIF(B274:B276,B268,D274:E276)/1000)+(SUMIF(J274:J276,B268,H274:I276)/1000)-(SUMIF(B274:B276,B268,H274:I276)/1000)-(SUMIF(J274:J276,B268,D274:E276)/1000)+0.003,"")</f>
        <v/>
      </c>
      <c r="N268" s="20" t="str">
        <f>IF(B268="","",B268)</f>
        <v/>
      </c>
      <c r="O268" s="20" t="str">
        <f>IF(B268&lt;&gt;"",LARGE(M268:M270,1),"")</f>
        <v/>
      </c>
      <c r="P268" s="20" t="str">
        <f>VLOOKUP(O268,M268:N270,2,0)</f>
        <v/>
      </c>
    </row>
    <row r="269" spans="2:16" ht="18" customHeight="1" x14ac:dyDescent="0.25">
      <c r="B269" s="15"/>
      <c r="C269" s="15" t="str">
        <f>IFERROR(IF(B269="","",VLOOKUP(B269,LISTAS!$F$5:$G$1004,2,0)),"0")</f>
        <v/>
      </c>
      <c r="D269" s="15" t="str">
        <f>IF(H268&lt;3,"",IF(H268=3,IF(D275&lt;&gt;"",IF(H275&lt;&gt;"",IF(D275&lt;&gt;H275,IF(D275&gt;H275,"V","D"),""),""),"")))</f>
        <v/>
      </c>
      <c r="E269" s="15" t="str">
        <f>IF(H268&lt;3,"",IF(H268=3,IF(D276&lt;&gt;"",IF(H276&lt;&gt;"",IF(D276&lt;&gt;H276,IF(D276&gt;H276,"D","V"),""),""),"")))</f>
        <v/>
      </c>
      <c r="F269" s="15" t="s">
        <v>81</v>
      </c>
      <c r="G269" s="15" t="s">
        <v>81</v>
      </c>
      <c r="H269" s="115"/>
      <c r="I269" s="15" t="str">
        <f>IF(B269&lt;&gt;"",2,"")</f>
        <v/>
      </c>
      <c r="J269" s="15" t="str">
        <f>IF(I269&lt;&gt;"",P269,"")</f>
        <v/>
      </c>
      <c r="K269" s="15" t="str">
        <f>IFERROR(IF(J269="","",VLOOKUP(J269,LISTAS!$F$5:$G$1004,2,0)),"0")</f>
        <v/>
      </c>
      <c r="L269" s="119" t="str">
        <f>IF(H268=3,"PRATA",IF(H268=4,"OURO",IF(H268=5,"OURO","")))</f>
        <v/>
      </c>
      <c r="M269" s="20" t="str">
        <f>IF(B269&lt;&gt;"",COUNTIF(D269:G269,"V")+(SUMIF(B274:B276,B269,D274:E276)/1000)+(SUMIF(J274:J276,B269,H274:I276)/1000)-(SUMIF(B274:B276,B269,H274:I276)/1000)-(SUMIF(J274:J276,B269,D274:E276)/1000)+0.002,"")</f>
        <v/>
      </c>
      <c r="N269" s="20" t="str">
        <f t="shared" ref="N269" si="19">IF(B269="","",B269)</f>
        <v/>
      </c>
      <c r="O269" s="20" t="str">
        <f>IF(B269&lt;&gt;"",LARGE(M268:M270,2),"")</f>
        <v/>
      </c>
      <c r="P269" s="20" t="str">
        <f>VLOOKUP(O269,M268:N270,2,0)</f>
        <v/>
      </c>
    </row>
    <row r="270" spans="2:16" ht="18" customHeight="1" x14ac:dyDescent="0.25">
      <c r="B270" s="15"/>
      <c r="C270" s="15" t="str">
        <f>IFERROR(IF(B270="","",VLOOKUP(B270,LISTAS!$F$5:$G$1004,2,0)),"0")</f>
        <v/>
      </c>
      <c r="D270" s="15" t="str">
        <f>IF(H268&lt;3,"",IF(H268=3,IF(D274&lt;&gt;"",IF(H274&lt;&gt;"",IF(D274&lt;&gt;H274,IF(D274&gt;H274,"D","V"),""),""),"")))</f>
        <v/>
      </c>
      <c r="E270" s="15" t="str">
        <f>IF(H268&lt;3,"",IF(H268=3,IF(D275&lt;&gt;"",IF(H275&lt;&gt;"",IF(D275&lt;&gt;H275,IF(D275&gt;H275,"D","V"),""),""),"")))</f>
        <v/>
      </c>
      <c r="F270" s="15" t="s">
        <v>81</v>
      </c>
      <c r="G270" s="15" t="s">
        <v>81</v>
      </c>
      <c r="H270" s="115"/>
      <c r="I270" s="15" t="str">
        <f>IF(B270&lt;&gt;"",3,"")</f>
        <v/>
      </c>
      <c r="J270" s="15" t="str">
        <f>IF(I270&lt;&gt;"",P270,"")</f>
        <v/>
      </c>
      <c r="K270" s="15" t="str">
        <f>IFERROR(IF(J270="","",VLOOKUP(J270,LISTAS!$F$5:$G$1004,2,0)),"0")</f>
        <v/>
      </c>
      <c r="L270" s="119" t="str">
        <f>IF(H268=3,"BRONZE",IF(H268=4,"PRATA",IF(H268=5,"OURO","")))</f>
        <v/>
      </c>
      <c r="M270" s="20" t="str">
        <f>IF(B270&lt;&gt;"",COUNTIF(D270:G270,"V")+(SUMIF(B274:B276,B270,D274:E276)/1000)+(SUMIF(J274:J276,B270,H274:I276)/1000)-(SUMIF(B274:B276,B270,H274:I276)/1000)-(SUMIF(J274:J276,B270,D274:E276)/1000)+0.001,"")</f>
        <v/>
      </c>
      <c r="N270" s="20" t="str">
        <f>IF(B270="","",B270)</f>
        <v/>
      </c>
      <c r="O270" s="20" t="str">
        <f>IF(B270&lt;&gt;"",LARGE(M268:M270,3),"")</f>
        <v/>
      </c>
      <c r="P270" s="20" t="str">
        <f>VLOOKUP(O270,M268:N270,2,0)</f>
        <v/>
      </c>
    </row>
    <row r="271" spans="2:16" ht="18" customHeight="1" x14ac:dyDescent="0.25">
      <c r="B271" s="79"/>
      <c r="C271" s="79"/>
      <c r="D271" s="79"/>
      <c r="E271" s="79"/>
      <c r="F271" s="79"/>
      <c r="G271" s="79"/>
      <c r="I271" s="80"/>
      <c r="J271" s="79"/>
      <c r="K271" s="81"/>
      <c r="L271" s="81"/>
    </row>
    <row r="272" spans="2:16" ht="23.25" customHeight="1" x14ac:dyDescent="0.25">
      <c r="B272" s="82" t="s">
        <v>40</v>
      </c>
      <c r="C272" s="79"/>
      <c r="D272" s="79"/>
      <c r="E272" s="79"/>
      <c r="F272" s="79"/>
      <c r="G272" s="79"/>
      <c r="H272" s="79"/>
      <c r="I272" s="79"/>
      <c r="J272" s="79"/>
      <c r="K272" s="79"/>
      <c r="L272" s="79"/>
    </row>
    <row r="273" spans="2:16" ht="18" customHeight="1" x14ac:dyDescent="0.25">
      <c r="B273" s="9" t="s">
        <v>15</v>
      </c>
      <c r="C273" s="9" t="s">
        <v>0</v>
      </c>
      <c r="D273" s="228" t="s">
        <v>41</v>
      </c>
      <c r="E273" s="229"/>
      <c r="F273" s="229"/>
      <c r="G273" s="229"/>
      <c r="H273" s="229"/>
      <c r="I273" s="230"/>
      <c r="J273" s="9" t="s">
        <v>15</v>
      </c>
      <c r="K273" s="9" t="s">
        <v>0</v>
      </c>
      <c r="L273" s="79"/>
    </row>
    <row r="274" spans="2:16" ht="18" customHeight="1" x14ac:dyDescent="0.25">
      <c r="B274" s="15" t="str">
        <f>IF(H268=3,B268,"")</f>
        <v/>
      </c>
      <c r="C274" s="15" t="str">
        <f>IFERROR(IF(B274="","",VLOOKUP(B274,LISTAS!$F$5:$G$1004,2,0)),"0")</f>
        <v/>
      </c>
      <c r="D274" s="223"/>
      <c r="E274" s="224"/>
      <c r="F274" s="223" t="s">
        <v>38</v>
      </c>
      <c r="G274" s="224"/>
      <c r="H274" s="223"/>
      <c r="I274" s="224"/>
      <c r="J274" s="21" t="str">
        <f>IF(H268=3,B270,"")</f>
        <v/>
      </c>
      <c r="K274" s="15" t="str">
        <f>IFERROR(IF(J274="","",VLOOKUP(J274,LISTAS!$F$5:$G$1004,2,0)),"0")</f>
        <v/>
      </c>
      <c r="L274" s="81"/>
    </row>
    <row r="275" spans="2:16" ht="18" customHeight="1" x14ac:dyDescent="0.25">
      <c r="B275" s="15" t="str">
        <f>IF(H268=3,B269,"")</f>
        <v/>
      </c>
      <c r="C275" s="15" t="str">
        <f>IFERROR(IF(B275="","",VLOOKUP(B275,LISTAS!$F$5:$G$1004,2,0)),"0")</f>
        <v/>
      </c>
      <c r="D275" s="223"/>
      <c r="E275" s="224"/>
      <c r="F275" s="223" t="s">
        <v>38</v>
      </c>
      <c r="G275" s="224"/>
      <c r="H275" s="223"/>
      <c r="I275" s="224"/>
      <c r="J275" s="21" t="str">
        <f>IF(H268=3,B270,"")</f>
        <v/>
      </c>
      <c r="K275" s="15" t="str">
        <f>IFERROR(IF(J275="","",VLOOKUP(J275,LISTAS!$F$5:$G$1004,2,0)),"0")</f>
        <v/>
      </c>
      <c r="L275" s="79"/>
    </row>
    <row r="276" spans="2:16" ht="18" customHeight="1" x14ac:dyDescent="0.25">
      <c r="B276" s="15" t="str">
        <f>IF(H268=3,B268,"")</f>
        <v/>
      </c>
      <c r="C276" s="15" t="str">
        <f>IFERROR(IF(B276="","",VLOOKUP(B276,LISTAS!$F$5:$G$1004,2,0)),"0")</f>
        <v/>
      </c>
      <c r="D276" s="223"/>
      <c r="E276" s="224"/>
      <c r="F276" s="223" t="s">
        <v>38</v>
      </c>
      <c r="G276" s="224"/>
      <c r="H276" s="223"/>
      <c r="I276" s="224"/>
      <c r="J276" s="21" t="str">
        <f>IF(H268=3,B269,"")</f>
        <v/>
      </c>
      <c r="K276" s="15" t="str">
        <f>IFERROR(IF(J276="","",VLOOKUP(J276,LISTAS!$F$5:$G$1004,2,0)),"0")</f>
        <v/>
      </c>
      <c r="L276" s="81"/>
    </row>
    <row r="279" spans="2:16" ht="30" customHeight="1" x14ac:dyDescent="0.25">
      <c r="B279" s="161" t="s">
        <v>65</v>
      </c>
      <c r="C279" s="79"/>
      <c r="D279" s="225" t="s">
        <v>42</v>
      </c>
      <c r="E279" s="226"/>
      <c r="F279" s="226"/>
      <c r="G279" s="227"/>
      <c r="H279" s="113"/>
      <c r="I279" s="225" t="s">
        <v>3</v>
      </c>
      <c r="J279" s="226"/>
      <c r="K279" s="226"/>
      <c r="L279" s="226"/>
    </row>
    <row r="280" spans="2:16" ht="18" customHeight="1" x14ac:dyDescent="0.25">
      <c r="B280" s="9" t="s">
        <v>15</v>
      </c>
      <c r="C280" s="9" t="s">
        <v>0</v>
      </c>
      <c r="D280" s="9" t="s">
        <v>43</v>
      </c>
      <c r="E280" s="9" t="s">
        <v>44</v>
      </c>
      <c r="F280" s="9" t="s">
        <v>77</v>
      </c>
      <c r="G280" s="9" t="s">
        <v>78</v>
      </c>
      <c r="H280" s="114"/>
      <c r="I280" s="9" t="s">
        <v>18</v>
      </c>
      <c r="J280" s="9" t="s">
        <v>15</v>
      </c>
      <c r="K280" s="9" t="s">
        <v>0</v>
      </c>
      <c r="L280" s="9" t="s">
        <v>45</v>
      </c>
    </row>
    <row r="281" spans="2:16" ht="18" customHeight="1" x14ac:dyDescent="0.25">
      <c r="B281" s="15"/>
      <c r="C281" s="15" t="str">
        <f>IFERROR(IF(B281="","",VLOOKUP(B281,LISTAS!$F$5:$G$1004,2,0)),"0")</f>
        <v/>
      </c>
      <c r="D281" s="15" t="str">
        <f>IF(H281&lt;3,"",IF(H281=3,IF(D287&lt;&gt;"",IF(H287&lt;&gt;"",IF(D287&lt;&gt;H287,IF(D287&gt;H287,"V","D"),""),""),"")))</f>
        <v/>
      </c>
      <c r="E281" s="15" t="str">
        <f>IF(H281&lt;3,"",IF(H281=3,IF(D289&lt;&gt;"",IF(H289&lt;&gt;"",IF(D289&lt;&gt;H289,IF(D289&gt;H289,"V","D"),""),""),"")))</f>
        <v/>
      </c>
      <c r="F281" s="15" t="s">
        <v>81</v>
      </c>
      <c r="G281" s="15" t="s">
        <v>81</v>
      </c>
      <c r="H281" s="117">
        <f>COUNTA(B281:B283)</f>
        <v>0</v>
      </c>
      <c r="I281" s="15" t="str">
        <f>IF(B281&lt;&gt;"",1,"")</f>
        <v/>
      </c>
      <c r="J281" s="15" t="str">
        <f>IF(I281&lt;&gt;"",P281,"")</f>
        <v/>
      </c>
      <c r="K281" s="15" t="str">
        <f>IFERROR(IF(J281="","",VLOOKUP(J281,LISTAS!$F$5:$G$1004,2,0)),"0")</f>
        <v/>
      </c>
      <c r="L281" s="119" t="str">
        <f>IF(H281=3,"OURO",IF(H281=4,"OURO",IF(H281=5,"OURO","")))</f>
        <v/>
      </c>
      <c r="M281" s="20" t="str">
        <f>IF(B281&lt;&gt;"",COUNTIF(D281:G281,"V")+(SUMIF(B287:B289,B281,D287:E289)/1000)+(SUMIF(J287:J289,B281,H287:I289)/1000)-(SUMIF(B287:B289,B281,H287:I289)/1000)-(SUMIF(J287:J289,B281,D287:E289)/1000)+0.003,"")</f>
        <v/>
      </c>
      <c r="N281" s="20" t="str">
        <f>IF(B281="","",B281)</f>
        <v/>
      </c>
      <c r="O281" s="20" t="str">
        <f>IF(B281&lt;&gt;"",LARGE(M281:M283,1),"")</f>
        <v/>
      </c>
      <c r="P281" s="20" t="str">
        <f>VLOOKUP(O281,M281:N283,2,0)</f>
        <v/>
      </c>
    </row>
    <row r="282" spans="2:16" ht="18" customHeight="1" x14ac:dyDescent="0.25">
      <c r="B282" s="15"/>
      <c r="C282" s="15" t="str">
        <f>IFERROR(IF(B282="","",VLOOKUP(B282,LISTAS!$F$5:$G$1004,2,0)),"0")</f>
        <v/>
      </c>
      <c r="D282" s="15" t="str">
        <f>IF(H281&lt;3,"",IF(H281=3,IF(D288&lt;&gt;"",IF(H288&lt;&gt;"",IF(D288&lt;&gt;H288,IF(D288&gt;H288,"V","D"),""),""),"")))</f>
        <v/>
      </c>
      <c r="E282" s="15" t="str">
        <f>IF(H281&lt;3,"",IF(H281=3,IF(D289&lt;&gt;"",IF(H289&lt;&gt;"",IF(D289&lt;&gt;H289,IF(D289&gt;H289,"D","V"),""),""),"")))</f>
        <v/>
      </c>
      <c r="F282" s="15" t="s">
        <v>81</v>
      </c>
      <c r="G282" s="15" t="s">
        <v>81</v>
      </c>
      <c r="H282" s="115"/>
      <c r="I282" s="15" t="str">
        <f>IF(B282&lt;&gt;"",2,"")</f>
        <v/>
      </c>
      <c r="J282" s="15" t="str">
        <f>IF(I282&lt;&gt;"",P282,"")</f>
        <v/>
      </c>
      <c r="K282" s="15" t="str">
        <f>IFERROR(IF(J282="","",VLOOKUP(J282,LISTAS!$F$5:$G$1004,2,0)),"0")</f>
        <v/>
      </c>
      <c r="L282" s="119" t="str">
        <f>IF(H281=3,"PRATA",IF(H281=4,"OURO",IF(H281=5,"OURO","")))</f>
        <v/>
      </c>
      <c r="M282" s="20" t="str">
        <f>IF(B282&lt;&gt;"",COUNTIF(D282:G282,"V")+(SUMIF(B287:B289,B282,D287:E289)/1000)+(SUMIF(J287:J289,B282,H287:I289)/1000)-(SUMIF(B287:B289,B282,H287:I289)/1000)-(SUMIF(J287:J289,B282,D287:E289)/1000)+0.002,"")</f>
        <v/>
      </c>
      <c r="N282" s="20" t="str">
        <f t="shared" ref="N282" si="20">IF(B282="","",B282)</f>
        <v/>
      </c>
      <c r="O282" s="20" t="str">
        <f>IF(B282&lt;&gt;"",LARGE(M281:M283,2),"")</f>
        <v/>
      </c>
      <c r="P282" s="20" t="str">
        <f>VLOOKUP(O282,M281:N283,2,0)</f>
        <v/>
      </c>
    </row>
    <row r="283" spans="2:16" ht="18" customHeight="1" x14ac:dyDescent="0.25">
      <c r="B283" s="15"/>
      <c r="C283" s="15" t="str">
        <f>IFERROR(IF(B283="","",VLOOKUP(B283,LISTAS!$F$5:$G$1004,2,0)),"0")</f>
        <v/>
      </c>
      <c r="D283" s="15" t="str">
        <f>IF(H281&lt;3,"",IF(H281=3,IF(D287&lt;&gt;"",IF(H287&lt;&gt;"",IF(D287&lt;&gt;H287,IF(D287&gt;H287,"D","V"),""),""),"")))</f>
        <v/>
      </c>
      <c r="E283" s="15" t="str">
        <f>IF(H281&lt;3,"",IF(H281=3,IF(D288&lt;&gt;"",IF(H288&lt;&gt;"",IF(D288&lt;&gt;H288,IF(D288&gt;H288,"D","V"),""),""),"")))</f>
        <v/>
      </c>
      <c r="F283" s="15" t="s">
        <v>81</v>
      </c>
      <c r="G283" s="15" t="s">
        <v>81</v>
      </c>
      <c r="H283" s="115"/>
      <c r="I283" s="15" t="str">
        <f>IF(B283&lt;&gt;"",3,"")</f>
        <v/>
      </c>
      <c r="J283" s="15" t="str">
        <f>IF(I283&lt;&gt;"",P283,"")</f>
        <v/>
      </c>
      <c r="K283" s="15" t="str">
        <f>IFERROR(IF(J283="","",VLOOKUP(J283,LISTAS!$F$5:$G$1004,2,0)),"0")</f>
        <v/>
      </c>
      <c r="L283" s="119" t="str">
        <f>IF(H281=3,"BRONZE",IF(H281=4,"PRATA",IF(H281=5,"OURO","")))</f>
        <v/>
      </c>
      <c r="M283" s="20" t="str">
        <f>IF(B283&lt;&gt;"",COUNTIF(D283:G283,"V")+(SUMIF(B287:B289,B283,D287:E289)/1000)+(SUMIF(J287:J289,B283,H287:I289)/1000)-(SUMIF(B287:B289,B283,H287:I289)/1000)-(SUMIF(J287:J289,B283,D287:E289)/1000)+0.001,"")</f>
        <v/>
      </c>
      <c r="N283" s="20" t="str">
        <f>IF(B283="","",B283)</f>
        <v/>
      </c>
      <c r="O283" s="20" t="str">
        <f>IF(B283&lt;&gt;"",LARGE(M281:M283,3),"")</f>
        <v/>
      </c>
      <c r="P283" s="20" t="str">
        <f>VLOOKUP(O283,M281:N283,2,0)</f>
        <v/>
      </c>
    </row>
    <row r="284" spans="2:16" ht="18" customHeight="1" x14ac:dyDescent="0.25">
      <c r="B284" s="79"/>
      <c r="C284" s="79"/>
      <c r="D284" s="79"/>
      <c r="E284" s="79"/>
      <c r="F284" s="79"/>
      <c r="G284" s="79"/>
      <c r="I284" s="80"/>
      <c r="J284" s="79"/>
      <c r="K284" s="81"/>
      <c r="L284" s="81"/>
    </row>
    <row r="285" spans="2:16" ht="23.25" customHeight="1" x14ac:dyDescent="0.25">
      <c r="B285" s="82" t="s">
        <v>40</v>
      </c>
      <c r="C285" s="79"/>
      <c r="D285" s="79"/>
      <c r="E285" s="79"/>
      <c r="F285" s="79"/>
      <c r="G285" s="79"/>
      <c r="H285" s="79"/>
      <c r="I285" s="79"/>
      <c r="J285" s="79"/>
      <c r="K285" s="79"/>
      <c r="L285" s="79"/>
    </row>
    <row r="286" spans="2:16" ht="18" customHeight="1" x14ac:dyDescent="0.25">
      <c r="B286" s="9" t="s">
        <v>15</v>
      </c>
      <c r="C286" s="9" t="s">
        <v>0</v>
      </c>
      <c r="D286" s="228" t="s">
        <v>41</v>
      </c>
      <c r="E286" s="229"/>
      <c r="F286" s="229"/>
      <c r="G286" s="229"/>
      <c r="H286" s="229"/>
      <c r="I286" s="230"/>
      <c r="J286" s="9" t="s">
        <v>15</v>
      </c>
      <c r="K286" s="9" t="s">
        <v>0</v>
      </c>
      <c r="L286" s="79"/>
    </row>
    <row r="287" spans="2:16" ht="18" customHeight="1" x14ac:dyDescent="0.25">
      <c r="B287" s="15" t="str">
        <f>IF(H281=3,B281,"")</f>
        <v/>
      </c>
      <c r="C287" s="15" t="str">
        <f>IFERROR(IF(B287="","",VLOOKUP(B287,LISTAS!$F$5:$G$1004,2,0)),"0")</f>
        <v/>
      </c>
      <c r="D287" s="223"/>
      <c r="E287" s="224"/>
      <c r="F287" s="223" t="s">
        <v>38</v>
      </c>
      <c r="G287" s="224"/>
      <c r="H287" s="223"/>
      <c r="I287" s="224"/>
      <c r="J287" s="21" t="str">
        <f>IF(H281=3,B283,"")</f>
        <v/>
      </c>
      <c r="K287" s="15" t="str">
        <f>IFERROR(IF(J287="","",VLOOKUP(J287,LISTAS!$F$5:$G$1004,2,0)),"0")</f>
        <v/>
      </c>
      <c r="L287" s="81"/>
    </row>
    <row r="288" spans="2:16" ht="18" customHeight="1" x14ac:dyDescent="0.25">
      <c r="B288" s="15" t="str">
        <f>IF(H281=3,B282,"")</f>
        <v/>
      </c>
      <c r="C288" s="15" t="str">
        <f>IFERROR(IF(B288="","",VLOOKUP(B288,LISTAS!$F$5:$G$1004,2,0)),"0")</f>
        <v/>
      </c>
      <c r="D288" s="223"/>
      <c r="E288" s="224"/>
      <c r="F288" s="223" t="s">
        <v>38</v>
      </c>
      <c r="G288" s="224"/>
      <c r="H288" s="223"/>
      <c r="I288" s="224"/>
      <c r="J288" s="21" t="str">
        <f>IF(H281=3,B283,"")</f>
        <v/>
      </c>
      <c r="K288" s="15" t="str">
        <f>IFERROR(IF(J288="","",VLOOKUP(J288,LISTAS!$F$5:$G$1004,2,0)),"0")</f>
        <v/>
      </c>
      <c r="L288" s="79"/>
    </row>
    <row r="289" spans="2:16" ht="18" customHeight="1" x14ac:dyDescent="0.25">
      <c r="B289" s="15" t="str">
        <f>IF(H281=3,B281,"")</f>
        <v/>
      </c>
      <c r="C289" s="15" t="str">
        <f>IFERROR(IF(B289="","",VLOOKUP(B289,LISTAS!$F$5:$G$1004,2,0)),"0")</f>
        <v/>
      </c>
      <c r="D289" s="223"/>
      <c r="E289" s="224"/>
      <c r="F289" s="223" t="s">
        <v>38</v>
      </c>
      <c r="G289" s="224"/>
      <c r="H289" s="223"/>
      <c r="I289" s="224"/>
      <c r="J289" s="21" t="str">
        <f>IF(H281=3,B282,"")</f>
        <v/>
      </c>
      <c r="K289" s="15" t="str">
        <f>IFERROR(IF(J289="","",VLOOKUP(J289,LISTAS!$F$5:$G$1004,2,0)),"0")</f>
        <v/>
      </c>
      <c r="L289" s="81"/>
    </row>
    <row r="292" spans="2:16" ht="30" customHeight="1" x14ac:dyDescent="0.25">
      <c r="B292" s="161" t="s">
        <v>66</v>
      </c>
      <c r="C292" s="79"/>
      <c r="D292" s="225" t="s">
        <v>42</v>
      </c>
      <c r="E292" s="226"/>
      <c r="F292" s="226"/>
      <c r="G292" s="227"/>
      <c r="H292" s="113"/>
      <c r="I292" s="225" t="s">
        <v>3</v>
      </c>
      <c r="J292" s="226"/>
      <c r="K292" s="226"/>
      <c r="L292" s="226"/>
    </row>
    <row r="293" spans="2:16" ht="18" customHeight="1" x14ac:dyDescent="0.25">
      <c r="B293" s="9" t="s">
        <v>15</v>
      </c>
      <c r="C293" s="9" t="s">
        <v>0</v>
      </c>
      <c r="D293" s="9" t="s">
        <v>43</v>
      </c>
      <c r="E293" s="9" t="s">
        <v>44</v>
      </c>
      <c r="F293" s="9" t="s">
        <v>77</v>
      </c>
      <c r="G293" s="9" t="s">
        <v>78</v>
      </c>
      <c r="H293" s="114"/>
      <c r="I293" s="9" t="s">
        <v>18</v>
      </c>
      <c r="J293" s="9" t="s">
        <v>15</v>
      </c>
      <c r="K293" s="9" t="s">
        <v>0</v>
      </c>
      <c r="L293" s="9" t="s">
        <v>45</v>
      </c>
    </row>
    <row r="294" spans="2:16" ht="18" customHeight="1" x14ac:dyDescent="0.25">
      <c r="B294" s="15"/>
      <c r="C294" s="15" t="str">
        <f>IFERROR(IF(B294="","",VLOOKUP(B294,LISTAS!$F$5:$G$1004,2,0)),"0")</f>
        <v/>
      </c>
      <c r="D294" s="15" t="str">
        <f>IF(H294&lt;3,"",IF(H294=3,IF(D300&lt;&gt;"",IF(H300&lt;&gt;"",IF(D300&lt;&gt;H300,IF(D300&gt;H300,"V","D"),""),""),"")))</f>
        <v/>
      </c>
      <c r="E294" s="15" t="str">
        <f>IF(H294&lt;3,"",IF(H294=3,IF(D302&lt;&gt;"",IF(H302&lt;&gt;"",IF(D302&lt;&gt;H302,IF(D302&gt;H302,"V","D"),""),""),"")))</f>
        <v/>
      </c>
      <c r="F294" s="15" t="s">
        <v>81</v>
      </c>
      <c r="G294" s="15" t="s">
        <v>81</v>
      </c>
      <c r="H294" s="117">
        <f>COUNTA(B294:B296)</f>
        <v>0</v>
      </c>
      <c r="I294" s="15" t="str">
        <f>IF(B294&lt;&gt;"",1,"")</f>
        <v/>
      </c>
      <c r="J294" s="15" t="str">
        <f>IF(I294&lt;&gt;"",P294,"")</f>
        <v/>
      </c>
      <c r="K294" s="15" t="str">
        <f>IFERROR(IF(J294="","",VLOOKUP(J294,LISTAS!$F$5:$G$1004,2,0)),"0")</f>
        <v/>
      </c>
      <c r="L294" s="119" t="str">
        <f>IF(H294=3,"OURO",IF(H294=4,"OURO",IF(H294=5,"OURO","")))</f>
        <v/>
      </c>
      <c r="M294" s="20" t="str">
        <f>IF(B294&lt;&gt;"",COUNTIF(D294:G294,"V")+(SUMIF(B300:B302,B294,D300:E302)/1000)+(SUMIF(J300:J302,B294,H300:I302)/1000)-(SUMIF(B300:B302,B294,H300:I302)/1000)-(SUMIF(J300:J302,B294,D300:E302)/1000)+0.003,"")</f>
        <v/>
      </c>
      <c r="N294" s="20" t="str">
        <f>IF(B294="","",B294)</f>
        <v/>
      </c>
      <c r="O294" s="20" t="str">
        <f>IF(B294&lt;&gt;"",LARGE(M294:M296,1),"")</f>
        <v/>
      </c>
      <c r="P294" s="20" t="str">
        <f>VLOOKUP(O294,M294:N296,2,0)</f>
        <v/>
      </c>
    </row>
    <row r="295" spans="2:16" ht="18" customHeight="1" x14ac:dyDescent="0.25">
      <c r="B295" s="15"/>
      <c r="C295" s="15" t="str">
        <f>IFERROR(IF(B295="","",VLOOKUP(B295,LISTAS!$F$5:$G$1004,2,0)),"0")</f>
        <v/>
      </c>
      <c r="D295" s="15" t="str">
        <f>IF(H294&lt;3,"",IF(H294=3,IF(D301&lt;&gt;"",IF(H301&lt;&gt;"",IF(D301&lt;&gt;H301,IF(D301&gt;H301,"V","D"),""),""),"")))</f>
        <v/>
      </c>
      <c r="E295" s="15" t="str">
        <f>IF(H294&lt;3,"",IF(H294=3,IF(D302&lt;&gt;"",IF(H302&lt;&gt;"",IF(D302&lt;&gt;H302,IF(D302&gt;H302,"D","V"),""),""),"")))</f>
        <v/>
      </c>
      <c r="F295" s="15" t="s">
        <v>81</v>
      </c>
      <c r="G295" s="15" t="s">
        <v>81</v>
      </c>
      <c r="H295" s="115"/>
      <c r="I295" s="15" t="str">
        <f>IF(B295&lt;&gt;"",2,"")</f>
        <v/>
      </c>
      <c r="J295" s="15" t="str">
        <f>IF(I295&lt;&gt;"",P295,"")</f>
        <v/>
      </c>
      <c r="K295" s="15" t="str">
        <f>IFERROR(IF(J295="","",VLOOKUP(J295,LISTAS!$F$5:$G$1004,2,0)),"0")</f>
        <v/>
      </c>
      <c r="L295" s="119" t="str">
        <f>IF(H294=3,"PRATA",IF(H294=4,"OURO",IF(H294=5,"OURO","")))</f>
        <v/>
      </c>
      <c r="M295" s="20" t="str">
        <f>IF(B295&lt;&gt;"",COUNTIF(D295:G295,"V")+(SUMIF(B300:B302,B295,D300:E302)/1000)+(SUMIF(J300:J302,B295,H300:I302)/1000)-(SUMIF(B300:B302,B295,H300:I302)/1000)-(SUMIF(J300:J302,B295,D300:E302)/1000)+0.002,"")</f>
        <v/>
      </c>
      <c r="N295" s="20" t="str">
        <f t="shared" ref="N295" si="21">IF(B295="","",B295)</f>
        <v/>
      </c>
      <c r="O295" s="20" t="str">
        <f>IF(B295&lt;&gt;"",LARGE(M294:M296,2),"")</f>
        <v/>
      </c>
      <c r="P295" s="20" t="str">
        <f>VLOOKUP(O295,M294:N296,2,0)</f>
        <v/>
      </c>
    </row>
    <row r="296" spans="2:16" ht="18" customHeight="1" x14ac:dyDescent="0.25">
      <c r="B296" s="15"/>
      <c r="C296" s="15" t="str">
        <f>IFERROR(IF(B296="","",VLOOKUP(B296,LISTAS!$F$5:$G$1004,2,0)),"0")</f>
        <v/>
      </c>
      <c r="D296" s="15" t="str">
        <f>IF(H294&lt;3,"",IF(H294=3,IF(D300&lt;&gt;"",IF(H300&lt;&gt;"",IF(D300&lt;&gt;H300,IF(D300&gt;H300,"D","V"),""),""),"")))</f>
        <v/>
      </c>
      <c r="E296" s="15" t="str">
        <f>IF(H294&lt;3,"",IF(H294=3,IF(D301&lt;&gt;"",IF(H301&lt;&gt;"",IF(D301&lt;&gt;H301,IF(D301&gt;H301,"D","V"),""),""),"")))</f>
        <v/>
      </c>
      <c r="F296" s="15" t="s">
        <v>81</v>
      </c>
      <c r="G296" s="15" t="s">
        <v>81</v>
      </c>
      <c r="H296" s="115"/>
      <c r="I296" s="15" t="str">
        <f>IF(B296&lt;&gt;"",3,"")</f>
        <v/>
      </c>
      <c r="J296" s="15" t="str">
        <f>IF(I296&lt;&gt;"",P296,"")</f>
        <v/>
      </c>
      <c r="K296" s="15" t="str">
        <f>IFERROR(IF(J296="","",VLOOKUP(J296,LISTAS!$F$5:$G$1004,2,0)),"0")</f>
        <v/>
      </c>
      <c r="L296" s="119" t="str">
        <f>IF(H294=3,"BRONZE",IF(H294=4,"PRATA",IF(H294=5,"OURO","")))</f>
        <v/>
      </c>
      <c r="M296" s="20" t="str">
        <f>IF(B296&lt;&gt;"",COUNTIF(D296:G296,"V")+(SUMIF(B300:B302,B296,D300:E302)/1000)+(SUMIF(J300:J302,B296,H300:I302)/1000)-(SUMIF(B300:B302,B296,H300:I302)/1000)-(SUMIF(J300:J302,B296,D300:E302)/1000)+0.001,"")</f>
        <v/>
      </c>
      <c r="N296" s="20" t="str">
        <f>IF(B296="","",B296)</f>
        <v/>
      </c>
      <c r="O296" s="20" t="str">
        <f>IF(B296&lt;&gt;"",LARGE(M294:M296,3),"")</f>
        <v/>
      </c>
      <c r="P296" s="20" t="str">
        <f>VLOOKUP(O296,M294:N296,2,0)</f>
        <v/>
      </c>
    </row>
    <row r="297" spans="2:16" ht="18" customHeight="1" x14ac:dyDescent="0.25">
      <c r="B297" s="79"/>
      <c r="C297" s="79"/>
      <c r="D297" s="79"/>
      <c r="E297" s="79"/>
      <c r="F297" s="79"/>
      <c r="G297" s="79"/>
      <c r="I297" s="80"/>
      <c r="J297" s="79"/>
      <c r="K297" s="81"/>
      <c r="L297" s="81"/>
    </row>
    <row r="298" spans="2:16" ht="23.25" customHeight="1" x14ac:dyDescent="0.25">
      <c r="B298" s="82" t="s">
        <v>40</v>
      </c>
      <c r="C298" s="79"/>
      <c r="D298" s="79"/>
      <c r="E298" s="79"/>
      <c r="F298" s="79"/>
      <c r="G298" s="79"/>
      <c r="H298" s="79"/>
      <c r="I298" s="79"/>
      <c r="J298" s="79"/>
      <c r="K298" s="79"/>
      <c r="L298" s="79"/>
    </row>
    <row r="299" spans="2:16" ht="18" customHeight="1" x14ac:dyDescent="0.25">
      <c r="B299" s="9" t="s">
        <v>15</v>
      </c>
      <c r="C299" s="9" t="s">
        <v>0</v>
      </c>
      <c r="D299" s="228" t="s">
        <v>41</v>
      </c>
      <c r="E299" s="229"/>
      <c r="F299" s="229"/>
      <c r="G299" s="229"/>
      <c r="H299" s="229"/>
      <c r="I299" s="230"/>
      <c r="J299" s="9" t="s">
        <v>15</v>
      </c>
      <c r="K299" s="9" t="s">
        <v>0</v>
      </c>
      <c r="L299" s="79"/>
    </row>
    <row r="300" spans="2:16" ht="18" customHeight="1" x14ac:dyDescent="0.25">
      <c r="B300" s="15" t="str">
        <f>IF(H294=3,B294,"")</f>
        <v/>
      </c>
      <c r="C300" s="15" t="str">
        <f>IFERROR(IF(B300="","",VLOOKUP(B300,LISTAS!$F$5:$G$1004,2,0)),"0")</f>
        <v/>
      </c>
      <c r="D300" s="223"/>
      <c r="E300" s="224"/>
      <c r="F300" s="223" t="s">
        <v>38</v>
      </c>
      <c r="G300" s="224"/>
      <c r="H300" s="223"/>
      <c r="I300" s="224"/>
      <c r="J300" s="21" t="str">
        <f>IF(H294=3,B296,"")</f>
        <v/>
      </c>
      <c r="K300" s="15" t="str">
        <f>IFERROR(IF(J300="","",VLOOKUP(J300,LISTAS!$F$5:$G$1004,2,0)),"0")</f>
        <v/>
      </c>
      <c r="L300" s="81"/>
    </row>
    <row r="301" spans="2:16" ht="18" customHeight="1" x14ac:dyDescent="0.25">
      <c r="B301" s="15" t="str">
        <f>IF(H294=3,B295,"")</f>
        <v/>
      </c>
      <c r="C301" s="15" t="str">
        <f>IFERROR(IF(B301="","",VLOOKUP(B301,LISTAS!$F$5:$G$1004,2,0)),"0")</f>
        <v/>
      </c>
      <c r="D301" s="223"/>
      <c r="E301" s="224"/>
      <c r="F301" s="223" t="s">
        <v>38</v>
      </c>
      <c r="G301" s="224"/>
      <c r="H301" s="223"/>
      <c r="I301" s="224"/>
      <c r="J301" s="21" t="str">
        <f>IF(H294=3,B296,"")</f>
        <v/>
      </c>
      <c r="K301" s="15" t="str">
        <f>IFERROR(IF(J301="","",VLOOKUP(J301,LISTAS!$F$5:$G$1004,2,0)),"0")</f>
        <v/>
      </c>
      <c r="L301" s="79"/>
    </row>
    <row r="302" spans="2:16" ht="18" customHeight="1" x14ac:dyDescent="0.25">
      <c r="B302" s="15" t="str">
        <f>IF(H294=3,B294,"")</f>
        <v/>
      </c>
      <c r="C302" s="15" t="str">
        <f>IFERROR(IF(B302="","",VLOOKUP(B302,LISTAS!$F$5:$G$1004,2,0)),"0")</f>
        <v/>
      </c>
      <c r="D302" s="223"/>
      <c r="E302" s="224"/>
      <c r="F302" s="223" t="s">
        <v>38</v>
      </c>
      <c r="G302" s="224"/>
      <c r="H302" s="223"/>
      <c r="I302" s="224"/>
      <c r="J302" s="21" t="str">
        <f>IF(H294=3,B295,"")</f>
        <v/>
      </c>
      <c r="K302" s="15" t="str">
        <f>IFERROR(IF(J302="","",VLOOKUP(J302,LISTAS!$F$5:$G$1004,2,0)),"0")</f>
        <v/>
      </c>
      <c r="L302" s="81"/>
    </row>
    <row r="305" spans="2:16" ht="30" customHeight="1" x14ac:dyDescent="0.25">
      <c r="B305" s="161" t="s">
        <v>67</v>
      </c>
      <c r="C305" s="79"/>
      <c r="D305" s="225" t="s">
        <v>42</v>
      </c>
      <c r="E305" s="226"/>
      <c r="F305" s="226"/>
      <c r="G305" s="227"/>
      <c r="H305" s="113"/>
      <c r="I305" s="225" t="s">
        <v>3</v>
      </c>
      <c r="J305" s="226"/>
      <c r="K305" s="226"/>
      <c r="L305" s="226"/>
    </row>
    <row r="306" spans="2:16" ht="18" customHeight="1" x14ac:dyDescent="0.25">
      <c r="B306" s="9" t="s">
        <v>15</v>
      </c>
      <c r="C306" s="9" t="s">
        <v>0</v>
      </c>
      <c r="D306" s="9" t="s">
        <v>43</v>
      </c>
      <c r="E306" s="9" t="s">
        <v>44</v>
      </c>
      <c r="F306" s="9" t="s">
        <v>77</v>
      </c>
      <c r="G306" s="9" t="s">
        <v>78</v>
      </c>
      <c r="H306" s="114"/>
      <c r="I306" s="9" t="s">
        <v>18</v>
      </c>
      <c r="J306" s="9" t="s">
        <v>15</v>
      </c>
      <c r="K306" s="9" t="s">
        <v>0</v>
      </c>
      <c r="L306" s="9" t="s">
        <v>45</v>
      </c>
    </row>
    <row r="307" spans="2:16" ht="18" customHeight="1" x14ac:dyDescent="0.25">
      <c r="B307" s="15"/>
      <c r="C307" s="15" t="str">
        <f>IFERROR(IF(B307="","",VLOOKUP(B307,LISTAS!$F$5:$G$1004,2,0)),"0")</f>
        <v/>
      </c>
      <c r="D307" s="15" t="str">
        <f>IF(H307&lt;3,"",IF(H307=3,IF(D313&lt;&gt;"",IF(H313&lt;&gt;"",IF(D313&lt;&gt;H313,IF(D313&gt;H313,"V","D"),""),""),"")))</f>
        <v/>
      </c>
      <c r="E307" s="15" t="str">
        <f>IF(H307&lt;3,"",IF(H307=3,IF(D315&lt;&gt;"",IF(H315&lt;&gt;"",IF(D315&lt;&gt;H315,IF(D315&gt;H315,"V","D"),""),""),"")))</f>
        <v/>
      </c>
      <c r="F307" s="15" t="s">
        <v>81</v>
      </c>
      <c r="G307" s="15" t="s">
        <v>81</v>
      </c>
      <c r="H307" s="117">
        <f>COUNTA(B307:B309)</f>
        <v>0</v>
      </c>
      <c r="I307" s="15" t="str">
        <f>IF(B307&lt;&gt;"",1,"")</f>
        <v/>
      </c>
      <c r="J307" s="15" t="str">
        <f>IF(I307&lt;&gt;"",P307,"")</f>
        <v/>
      </c>
      <c r="K307" s="15" t="str">
        <f>IFERROR(IF(J307="","",VLOOKUP(J307,LISTAS!$F$5:$G$1004,2,0)),"0")</f>
        <v/>
      </c>
      <c r="L307" s="119" t="str">
        <f>IF(H307=3,"OURO",IF(H307=4,"OURO",IF(H307=5,"OURO","")))</f>
        <v/>
      </c>
      <c r="M307" s="20" t="str">
        <f>IF(B307&lt;&gt;"",COUNTIF(D307:G307,"V")+(SUMIF(B313:B315,B307,D313:E315)/1000)+(SUMIF(J313:J315,B307,H313:I315)/1000)-(SUMIF(B313:B315,B307,H313:I315)/1000)-(SUMIF(J313:J315,B307,D313:E315)/1000)+0.003,"")</f>
        <v/>
      </c>
      <c r="N307" s="20" t="str">
        <f>IF(B307="","",B307)</f>
        <v/>
      </c>
      <c r="O307" s="20" t="str">
        <f>IF(B307&lt;&gt;"",LARGE(M307:M309,1),"")</f>
        <v/>
      </c>
      <c r="P307" s="20" t="str">
        <f>VLOOKUP(O307,M307:N309,2,0)</f>
        <v/>
      </c>
    </row>
    <row r="308" spans="2:16" ht="18" customHeight="1" x14ac:dyDescent="0.25">
      <c r="B308" s="15"/>
      <c r="C308" s="15" t="str">
        <f>IFERROR(IF(B308="","",VLOOKUP(B308,LISTAS!$F$5:$G$1004,2,0)),"0")</f>
        <v/>
      </c>
      <c r="D308" s="15" t="str">
        <f>IF(H307&lt;3,"",IF(H307=3,IF(D314&lt;&gt;"",IF(H314&lt;&gt;"",IF(D314&lt;&gt;H314,IF(D314&gt;H314,"V","D"),""),""),"")))</f>
        <v/>
      </c>
      <c r="E308" s="15" t="str">
        <f>IF(H307&lt;3,"",IF(H307=3,IF(D315&lt;&gt;"",IF(H315&lt;&gt;"",IF(D315&lt;&gt;H315,IF(D315&gt;H315,"D","V"),""),""),"")))</f>
        <v/>
      </c>
      <c r="F308" s="15" t="s">
        <v>81</v>
      </c>
      <c r="G308" s="15" t="s">
        <v>81</v>
      </c>
      <c r="H308" s="115"/>
      <c r="I308" s="15" t="str">
        <f>IF(B308&lt;&gt;"",2,"")</f>
        <v/>
      </c>
      <c r="J308" s="15" t="str">
        <f>IF(I308&lt;&gt;"",P308,"")</f>
        <v/>
      </c>
      <c r="K308" s="15" t="str">
        <f>IFERROR(IF(J308="","",VLOOKUP(J308,LISTAS!$F$5:$G$1004,2,0)),"0")</f>
        <v/>
      </c>
      <c r="L308" s="119" t="str">
        <f>IF(H307=3,"PRATA",IF(H307=4,"OURO",IF(H307=5,"OURO","")))</f>
        <v/>
      </c>
      <c r="M308" s="20" t="str">
        <f>IF(B308&lt;&gt;"",COUNTIF(D308:G308,"V")+(SUMIF(B313:B315,B308,D313:E315)/1000)+(SUMIF(J313:J315,B308,H313:I315)/1000)-(SUMIF(B313:B315,B308,H313:I315)/1000)-(SUMIF(J313:J315,B308,D313:E315)/1000)+0.002,"")</f>
        <v/>
      </c>
      <c r="N308" s="20" t="str">
        <f t="shared" ref="N308" si="22">IF(B308="","",B308)</f>
        <v/>
      </c>
      <c r="O308" s="20" t="str">
        <f>IF(B308&lt;&gt;"",LARGE(M307:M309,2),"")</f>
        <v/>
      </c>
      <c r="P308" s="20" t="str">
        <f>VLOOKUP(O308,M307:N309,2,0)</f>
        <v/>
      </c>
    </row>
    <row r="309" spans="2:16" ht="18" customHeight="1" x14ac:dyDescent="0.25">
      <c r="B309" s="15"/>
      <c r="C309" s="15" t="str">
        <f>IFERROR(IF(B309="","",VLOOKUP(B309,LISTAS!$F$5:$G$1004,2,0)),"0")</f>
        <v/>
      </c>
      <c r="D309" s="15" t="str">
        <f>IF(H307&lt;3,"",IF(H307=3,IF(D313&lt;&gt;"",IF(H313&lt;&gt;"",IF(D313&lt;&gt;H313,IF(D313&gt;H313,"D","V"),""),""),"")))</f>
        <v/>
      </c>
      <c r="E309" s="15" t="str">
        <f>IF(H307&lt;3,"",IF(H307=3,IF(D314&lt;&gt;"",IF(H314&lt;&gt;"",IF(D314&lt;&gt;H314,IF(D314&gt;H314,"D","V"),""),""),"")))</f>
        <v/>
      </c>
      <c r="F309" s="15" t="s">
        <v>81</v>
      </c>
      <c r="G309" s="15" t="s">
        <v>81</v>
      </c>
      <c r="H309" s="115"/>
      <c r="I309" s="15" t="str">
        <f>IF(B309&lt;&gt;"",3,"")</f>
        <v/>
      </c>
      <c r="J309" s="15" t="str">
        <f>IF(I309&lt;&gt;"",P309,"")</f>
        <v/>
      </c>
      <c r="K309" s="15" t="str">
        <f>IFERROR(IF(J309="","",VLOOKUP(J309,LISTAS!$F$5:$G$1004,2,0)),"0")</f>
        <v/>
      </c>
      <c r="L309" s="119" t="str">
        <f>IF(H307=3,"BRONZE",IF(H307=4,"PRATA",IF(H307=5,"OURO","")))</f>
        <v/>
      </c>
      <c r="M309" s="20" t="str">
        <f>IF(B309&lt;&gt;"",COUNTIF(D309:G309,"V")+(SUMIF(B313:B315,B309,D313:E315)/1000)+(SUMIF(J313:J315,B309,H313:I315)/1000)-(SUMIF(B313:B315,B309,H313:I315)/1000)-(SUMIF(J313:J315,B309,D313:E315)/1000)+0.001,"")</f>
        <v/>
      </c>
      <c r="N309" s="20" t="str">
        <f>IF(B309="","",B309)</f>
        <v/>
      </c>
      <c r="O309" s="20" t="str">
        <f>IF(B309&lt;&gt;"",LARGE(M307:M309,3),"")</f>
        <v/>
      </c>
      <c r="P309" s="20" t="str">
        <f>VLOOKUP(O309,M307:N309,2,0)</f>
        <v/>
      </c>
    </row>
    <row r="310" spans="2:16" ht="18" customHeight="1" x14ac:dyDescent="0.25">
      <c r="B310" s="79"/>
      <c r="C310" s="79"/>
      <c r="D310" s="79"/>
      <c r="E310" s="79"/>
      <c r="F310" s="79"/>
      <c r="G310" s="79"/>
      <c r="I310" s="80"/>
      <c r="J310" s="79"/>
      <c r="K310" s="81"/>
      <c r="L310" s="81"/>
    </row>
    <row r="311" spans="2:16" ht="23.25" customHeight="1" x14ac:dyDescent="0.25">
      <c r="B311" s="82" t="s">
        <v>40</v>
      </c>
      <c r="C311" s="79"/>
      <c r="D311" s="79"/>
      <c r="E311" s="79"/>
      <c r="F311" s="79"/>
      <c r="G311" s="79"/>
      <c r="H311" s="79"/>
      <c r="I311" s="79"/>
      <c r="J311" s="79"/>
      <c r="K311" s="79"/>
      <c r="L311" s="79"/>
    </row>
    <row r="312" spans="2:16" ht="18" customHeight="1" x14ac:dyDescent="0.25">
      <c r="B312" s="9" t="s">
        <v>15</v>
      </c>
      <c r="C312" s="9" t="s">
        <v>0</v>
      </c>
      <c r="D312" s="228" t="s">
        <v>41</v>
      </c>
      <c r="E312" s="229"/>
      <c r="F312" s="229"/>
      <c r="G312" s="229"/>
      <c r="H312" s="229"/>
      <c r="I312" s="230"/>
      <c r="J312" s="9" t="s">
        <v>15</v>
      </c>
      <c r="K312" s="9" t="s">
        <v>0</v>
      </c>
      <c r="L312" s="79"/>
    </row>
    <row r="313" spans="2:16" ht="18" customHeight="1" x14ac:dyDescent="0.25">
      <c r="B313" s="15" t="str">
        <f>IF(H307=3,B307,"")</f>
        <v/>
      </c>
      <c r="C313" s="15" t="str">
        <f>IFERROR(IF(B313="","",VLOOKUP(B313,LISTAS!$F$5:$G$1004,2,0)),"0")</f>
        <v/>
      </c>
      <c r="D313" s="223"/>
      <c r="E313" s="224"/>
      <c r="F313" s="223" t="s">
        <v>38</v>
      </c>
      <c r="G313" s="224"/>
      <c r="H313" s="223"/>
      <c r="I313" s="224"/>
      <c r="J313" s="21" t="str">
        <f>IF(H307=3,B309,"")</f>
        <v/>
      </c>
      <c r="K313" s="15" t="str">
        <f>IFERROR(IF(J313="","",VLOOKUP(J313,LISTAS!$F$5:$G$1004,2,0)),"0")</f>
        <v/>
      </c>
      <c r="L313" s="81"/>
    </row>
    <row r="314" spans="2:16" ht="18" customHeight="1" x14ac:dyDescent="0.25">
      <c r="B314" s="15" t="str">
        <f>IF(H307=3,B308,"")</f>
        <v/>
      </c>
      <c r="C314" s="15" t="str">
        <f>IFERROR(IF(B314="","",VLOOKUP(B314,LISTAS!$F$5:$G$1004,2,0)),"0")</f>
        <v/>
      </c>
      <c r="D314" s="223"/>
      <c r="E314" s="224"/>
      <c r="F314" s="223" t="s">
        <v>38</v>
      </c>
      <c r="G314" s="224"/>
      <c r="H314" s="223"/>
      <c r="I314" s="224"/>
      <c r="J314" s="21" t="str">
        <f>IF(H307=3,B309,"")</f>
        <v/>
      </c>
      <c r="K314" s="15" t="str">
        <f>IFERROR(IF(J314="","",VLOOKUP(J314,LISTAS!$F$5:$G$1004,2,0)),"0")</f>
        <v/>
      </c>
      <c r="L314" s="79"/>
    </row>
    <row r="315" spans="2:16" ht="18" customHeight="1" x14ac:dyDescent="0.25">
      <c r="B315" s="15" t="str">
        <f>IF(H307=3,B307,"")</f>
        <v/>
      </c>
      <c r="C315" s="15" t="str">
        <f>IFERROR(IF(B315="","",VLOOKUP(B315,LISTAS!$F$5:$G$1004,2,0)),"0")</f>
        <v/>
      </c>
      <c r="D315" s="223"/>
      <c r="E315" s="224"/>
      <c r="F315" s="223" t="s">
        <v>38</v>
      </c>
      <c r="G315" s="224"/>
      <c r="H315" s="223"/>
      <c r="I315" s="224"/>
      <c r="J315" s="21" t="str">
        <f>IF(H307=3,B308,"")</f>
        <v/>
      </c>
      <c r="K315" s="15" t="str">
        <f>IFERROR(IF(J315="","",VLOOKUP(J315,LISTAS!$F$5:$G$1004,2,0)),"0")</f>
        <v/>
      </c>
      <c r="L315" s="81"/>
    </row>
    <row r="318" spans="2:16" ht="30" customHeight="1" x14ac:dyDescent="0.25">
      <c r="B318" s="161" t="s">
        <v>68</v>
      </c>
      <c r="C318" s="79"/>
      <c r="D318" s="225" t="s">
        <v>42</v>
      </c>
      <c r="E318" s="226"/>
      <c r="F318" s="226"/>
      <c r="G318" s="227"/>
      <c r="H318" s="113"/>
      <c r="I318" s="225" t="s">
        <v>3</v>
      </c>
      <c r="J318" s="226"/>
      <c r="K318" s="226"/>
      <c r="L318" s="226"/>
    </row>
    <row r="319" spans="2:16" ht="18" customHeight="1" x14ac:dyDescent="0.25">
      <c r="B319" s="9" t="s">
        <v>15</v>
      </c>
      <c r="C319" s="9" t="s">
        <v>0</v>
      </c>
      <c r="D319" s="9" t="s">
        <v>43</v>
      </c>
      <c r="E319" s="9" t="s">
        <v>44</v>
      </c>
      <c r="F319" s="9" t="s">
        <v>77</v>
      </c>
      <c r="G319" s="9" t="s">
        <v>78</v>
      </c>
      <c r="H319" s="114"/>
      <c r="I319" s="9" t="s">
        <v>18</v>
      </c>
      <c r="J319" s="9" t="s">
        <v>15</v>
      </c>
      <c r="K319" s="9" t="s">
        <v>0</v>
      </c>
      <c r="L319" s="9" t="s">
        <v>45</v>
      </c>
    </row>
    <row r="320" spans="2:16" ht="18" customHeight="1" x14ac:dyDescent="0.25">
      <c r="B320" s="15"/>
      <c r="C320" s="15" t="str">
        <f>IFERROR(IF(B320="","",VLOOKUP(B320,LISTAS!$F$5:$G$1004,2,0)),"0")</f>
        <v/>
      </c>
      <c r="D320" s="15" t="str">
        <f>IF(H320&lt;3,"",IF(H320=3,IF(D326&lt;&gt;"",IF(H326&lt;&gt;"",IF(D326&lt;&gt;H326,IF(D326&gt;H326,"V","D"),""),""),"")))</f>
        <v/>
      </c>
      <c r="E320" s="15" t="str">
        <f>IF(H320&lt;3,"",IF(H320=3,IF(D328&lt;&gt;"",IF(H328&lt;&gt;"",IF(D328&lt;&gt;H328,IF(D328&gt;H328,"V","D"),""),""),"")))</f>
        <v/>
      </c>
      <c r="F320" s="15" t="s">
        <v>81</v>
      </c>
      <c r="G320" s="15" t="s">
        <v>81</v>
      </c>
      <c r="H320" s="117">
        <f>COUNTA(B320:B322)</f>
        <v>0</v>
      </c>
      <c r="I320" s="15" t="str">
        <f>IF(B320&lt;&gt;"",1,"")</f>
        <v/>
      </c>
      <c r="J320" s="15" t="str">
        <f>IF(I320&lt;&gt;"",P320,"")</f>
        <v/>
      </c>
      <c r="K320" s="15" t="str">
        <f>IFERROR(IF(J320="","",VLOOKUP(J320,LISTAS!$F$5:$G$1004,2,0)),"0")</f>
        <v/>
      </c>
      <c r="L320" s="119" t="str">
        <f>IF(H320=3,"OURO",IF(H320=4,"OURO",IF(H320=5,"OURO","")))</f>
        <v/>
      </c>
      <c r="M320" s="20" t="str">
        <f>IF(B320&lt;&gt;"",COUNTIF(D320:G320,"V")+(SUMIF(B326:B328,B320,D326:E328)/1000)+(SUMIF(J326:J328,B320,H326:I328)/1000)-(SUMIF(B326:B328,B320,H326:I328)/1000)-(SUMIF(J326:J328,B320,D326:E328)/1000)+0.003,"")</f>
        <v/>
      </c>
      <c r="N320" s="20" t="str">
        <f>IF(B320="","",B320)</f>
        <v/>
      </c>
      <c r="O320" s="20" t="str">
        <f>IF(B320&lt;&gt;"",LARGE(M320:M322,1),"")</f>
        <v/>
      </c>
      <c r="P320" s="20" t="str">
        <f>VLOOKUP(O320,M320:N322,2,0)</f>
        <v/>
      </c>
    </row>
    <row r="321" spans="2:16" ht="18" customHeight="1" x14ac:dyDescent="0.25">
      <c r="B321" s="15"/>
      <c r="C321" s="15" t="str">
        <f>IFERROR(IF(B321="","",VLOOKUP(B321,LISTAS!$F$5:$G$1004,2,0)),"0")</f>
        <v/>
      </c>
      <c r="D321" s="15" t="str">
        <f>IF(H320&lt;3,"",IF(H320=3,IF(D327&lt;&gt;"",IF(H327&lt;&gt;"",IF(D327&lt;&gt;H327,IF(D327&gt;H327,"V","D"),""),""),"")))</f>
        <v/>
      </c>
      <c r="E321" s="15" t="str">
        <f>IF(H320&lt;3,"",IF(H320=3,IF(D328&lt;&gt;"",IF(H328&lt;&gt;"",IF(D328&lt;&gt;H328,IF(D328&gt;H328,"D","V"),""),""),"")))</f>
        <v/>
      </c>
      <c r="F321" s="15" t="s">
        <v>81</v>
      </c>
      <c r="G321" s="15" t="s">
        <v>81</v>
      </c>
      <c r="H321" s="115"/>
      <c r="I321" s="15" t="str">
        <f>IF(B321&lt;&gt;"",2,"")</f>
        <v/>
      </c>
      <c r="J321" s="15" t="str">
        <f>IF(I321&lt;&gt;"",P321,"")</f>
        <v/>
      </c>
      <c r="K321" s="15" t="str">
        <f>IFERROR(IF(J321="","",VLOOKUP(J321,LISTAS!$F$5:$G$1004,2,0)),"0")</f>
        <v/>
      </c>
      <c r="L321" s="119" t="str">
        <f>IF(H320=3,"PRATA",IF(H320=4,"OURO",IF(H320=5,"OURO","")))</f>
        <v/>
      </c>
      <c r="M321" s="20" t="str">
        <f>IF(B321&lt;&gt;"",COUNTIF(D321:G321,"V")+(SUMIF(B326:B328,B321,D326:E328)/1000)+(SUMIF(J326:J328,B321,H326:I328)/1000)-(SUMIF(B326:B328,B321,H326:I328)/1000)-(SUMIF(J326:J328,B321,D326:E328)/1000)+0.002,"")</f>
        <v/>
      </c>
      <c r="N321" s="20" t="str">
        <f t="shared" ref="N321" si="23">IF(B321="","",B321)</f>
        <v/>
      </c>
      <c r="O321" s="20" t="str">
        <f>IF(B321&lt;&gt;"",LARGE(M320:M322,2),"")</f>
        <v/>
      </c>
      <c r="P321" s="20" t="str">
        <f>VLOOKUP(O321,M320:N322,2,0)</f>
        <v/>
      </c>
    </row>
    <row r="322" spans="2:16" ht="18" customHeight="1" x14ac:dyDescent="0.25">
      <c r="B322" s="15"/>
      <c r="C322" s="15" t="str">
        <f>IFERROR(IF(B322="","",VLOOKUP(B322,LISTAS!$F$5:$G$1004,2,0)),"0")</f>
        <v/>
      </c>
      <c r="D322" s="15" t="str">
        <f>IF(H320&lt;3,"",IF(H320=3,IF(D326&lt;&gt;"",IF(H326&lt;&gt;"",IF(D326&lt;&gt;H326,IF(D326&gt;H326,"D","V"),""),""),"")))</f>
        <v/>
      </c>
      <c r="E322" s="15" t="str">
        <f>IF(H320&lt;3,"",IF(H320=3,IF(D327&lt;&gt;"",IF(H327&lt;&gt;"",IF(D327&lt;&gt;H327,IF(D327&gt;H327,"D","V"),""),""),"")))</f>
        <v/>
      </c>
      <c r="F322" s="15" t="s">
        <v>81</v>
      </c>
      <c r="G322" s="15" t="s">
        <v>81</v>
      </c>
      <c r="H322" s="115"/>
      <c r="I322" s="15" t="str">
        <f>IF(B322&lt;&gt;"",3,"")</f>
        <v/>
      </c>
      <c r="J322" s="15" t="str">
        <f>IF(I322&lt;&gt;"",P322,"")</f>
        <v/>
      </c>
      <c r="K322" s="15" t="str">
        <f>IFERROR(IF(J322="","",VLOOKUP(J322,LISTAS!$F$5:$G$1004,2,0)),"0")</f>
        <v/>
      </c>
      <c r="L322" s="119" t="str">
        <f>IF(H320=3,"BRONZE",IF(H320=4,"PRATA",IF(H320=5,"OURO","")))</f>
        <v/>
      </c>
      <c r="M322" s="20" t="str">
        <f>IF(B322&lt;&gt;"",COUNTIF(D322:G322,"V")+(SUMIF(B326:B328,B322,D326:E328)/1000)+(SUMIF(J326:J328,B322,H326:I328)/1000)-(SUMIF(B326:B328,B322,H326:I328)/1000)-(SUMIF(J326:J328,B322,D326:E328)/1000)+0.001,"")</f>
        <v/>
      </c>
      <c r="N322" s="20" t="str">
        <f>IF(B322="","",B322)</f>
        <v/>
      </c>
      <c r="O322" s="20" t="str">
        <f>IF(B322&lt;&gt;"",LARGE(M320:M322,3),"")</f>
        <v/>
      </c>
      <c r="P322" s="20" t="str">
        <f>VLOOKUP(O322,M320:N322,2,0)</f>
        <v/>
      </c>
    </row>
    <row r="323" spans="2:16" ht="18" customHeight="1" x14ac:dyDescent="0.25">
      <c r="B323" s="79"/>
      <c r="C323" s="79"/>
      <c r="D323" s="79"/>
      <c r="E323" s="79"/>
      <c r="F323" s="79"/>
      <c r="G323" s="79"/>
      <c r="I323" s="80"/>
      <c r="J323" s="79"/>
      <c r="K323" s="81"/>
      <c r="L323" s="81"/>
    </row>
    <row r="324" spans="2:16" ht="23.25" customHeight="1" x14ac:dyDescent="0.25">
      <c r="B324" s="82" t="s">
        <v>40</v>
      </c>
      <c r="C324" s="79"/>
      <c r="D324" s="79"/>
      <c r="E324" s="79"/>
      <c r="F324" s="79"/>
      <c r="G324" s="79"/>
      <c r="H324" s="79"/>
      <c r="I324" s="79"/>
      <c r="J324" s="79"/>
      <c r="K324" s="79"/>
      <c r="L324" s="79"/>
    </row>
    <row r="325" spans="2:16" ht="18" customHeight="1" x14ac:dyDescent="0.25">
      <c r="B325" s="9" t="s">
        <v>15</v>
      </c>
      <c r="C325" s="9" t="s">
        <v>0</v>
      </c>
      <c r="D325" s="228" t="s">
        <v>41</v>
      </c>
      <c r="E325" s="229"/>
      <c r="F325" s="229"/>
      <c r="G325" s="229"/>
      <c r="H325" s="229"/>
      <c r="I325" s="230"/>
      <c r="J325" s="9" t="s">
        <v>15</v>
      </c>
      <c r="K325" s="9" t="s">
        <v>0</v>
      </c>
      <c r="L325" s="79"/>
    </row>
    <row r="326" spans="2:16" ht="18" customHeight="1" x14ac:dyDescent="0.25">
      <c r="B326" s="15" t="str">
        <f>IF(H320=3,B320,"")</f>
        <v/>
      </c>
      <c r="C326" s="15" t="str">
        <f>IFERROR(IF(B326="","",VLOOKUP(B326,LISTAS!$F$5:$G$1004,2,0)),"0")</f>
        <v/>
      </c>
      <c r="D326" s="223"/>
      <c r="E326" s="224"/>
      <c r="F326" s="223" t="s">
        <v>38</v>
      </c>
      <c r="G326" s="224"/>
      <c r="H326" s="223"/>
      <c r="I326" s="224"/>
      <c r="J326" s="21" t="str">
        <f>IF(H320=3,B322,"")</f>
        <v/>
      </c>
      <c r="K326" s="15" t="str">
        <f>IFERROR(IF(J326="","",VLOOKUP(J326,LISTAS!$F$5:$G$1004,2,0)),"0")</f>
        <v/>
      </c>
      <c r="L326" s="81"/>
    </row>
    <row r="327" spans="2:16" ht="18" customHeight="1" x14ac:dyDescent="0.25">
      <c r="B327" s="15" t="str">
        <f>IF(H320=3,B321,"")</f>
        <v/>
      </c>
      <c r="C327" s="15" t="str">
        <f>IFERROR(IF(B327="","",VLOOKUP(B327,LISTAS!$F$5:$G$1004,2,0)),"0")</f>
        <v/>
      </c>
      <c r="D327" s="223"/>
      <c r="E327" s="224"/>
      <c r="F327" s="223" t="s">
        <v>38</v>
      </c>
      <c r="G327" s="224"/>
      <c r="H327" s="223"/>
      <c r="I327" s="224"/>
      <c r="J327" s="21" t="str">
        <f>IF(H320=3,B322,"")</f>
        <v/>
      </c>
      <c r="K327" s="15" t="str">
        <f>IFERROR(IF(J327="","",VLOOKUP(J327,LISTAS!$F$5:$G$1004,2,0)),"0")</f>
        <v/>
      </c>
      <c r="L327" s="79"/>
    </row>
    <row r="328" spans="2:16" ht="18" customHeight="1" x14ac:dyDescent="0.25">
      <c r="B328" s="15" t="str">
        <f>IF(H320=3,B320,"")</f>
        <v/>
      </c>
      <c r="C328" s="15" t="str">
        <f>IFERROR(IF(B328="","",VLOOKUP(B328,LISTAS!$F$5:$G$1004,2,0)),"0")</f>
        <v/>
      </c>
      <c r="D328" s="223"/>
      <c r="E328" s="224"/>
      <c r="F328" s="223" t="s">
        <v>38</v>
      </c>
      <c r="G328" s="224"/>
      <c r="H328" s="223"/>
      <c r="I328" s="224"/>
      <c r="J328" s="21" t="str">
        <f>IF(H320=3,B321,"")</f>
        <v/>
      </c>
      <c r="K328" s="15" t="str">
        <f>IFERROR(IF(J328="","",VLOOKUP(J328,LISTAS!$F$5:$G$1004,2,0)),"0")</f>
        <v/>
      </c>
      <c r="L328" s="81"/>
    </row>
    <row r="331" spans="2:16" ht="30" customHeight="1" x14ac:dyDescent="0.25">
      <c r="B331" s="161" t="s">
        <v>69</v>
      </c>
      <c r="C331" s="79"/>
      <c r="D331" s="225" t="s">
        <v>42</v>
      </c>
      <c r="E331" s="226"/>
      <c r="F331" s="226"/>
      <c r="G331" s="227"/>
      <c r="H331" s="113"/>
      <c r="I331" s="225" t="s">
        <v>3</v>
      </c>
      <c r="J331" s="226"/>
      <c r="K331" s="226"/>
      <c r="L331" s="226"/>
    </row>
    <row r="332" spans="2:16" ht="18" customHeight="1" x14ac:dyDescent="0.25">
      <c r="B332" s="9" t="s">
        <v>15</v>
      </c>
      <c r="C332" s="9" t="s">
        <v>0</v>
      </c>
      <c r="D332" s="9" t="s">
        <v>43</v>
      </c>
      <c r="E332" s="9" t="s">
        <v>44</v>
      </c>
      <c r="F332" s="9" t="s">
        <v>77</v>
      </c>
      <c r="G332" s="9" t="s">
        <v>78</v>
      </c>
      <c r="H332" s="114"/>
      <c r="I332" s="9" t="s">
        <v>18</v>
      </c>
      <c r="J332" s="9" t="s">
        <v>15</v>
      </c>
      <c r="K332" s="9" t="s">
        <v>0</v>
      </c>
      <c r="L332" s="9" t="s">
        <v>45</v>
      </c>
    </row>
    <row r="333" spans="2:16" ht="18" customHeight="1" x14ac:dyDescent="0.25">
      <c r="B333" s="15"/>
      <c r="C333" s="15" t="str">
        <f>IFERROR(IF(B333="","",VLOOKUP(B333,LISTAS!$F$5:$G$1004,2,0)),"0")</f>
        <v/>
      </c>
      <c r="D333" s="15" t="str">
        <f>IF(H333&lt;3,"",IF(H333=3,IF(D339&lt;&gt;"",IF(H339&lt;&gt;"",IF(D339&lt;&gt;H339,IF(D339&gt;H339,"V","D"),""),""),"")))</f>
        <v/>
      </c>
      <c r="E333" s="15" t="str">
        <f>IF(H333&lt;3,"",IF(H333=3,IF(D341&lt;&gt;"",IF(H341&lt;&gt;"",IF(D341&lt;&gt;H341,IF(D341&gt;H341,"V","D"),""),""),"")))</f>
        <v/>
      </c>
      <c r="F333" s="15" t="s">
        <v>81</v>
      </c>
      <c r="G333" s="15" t="s">
        <v>81</v>
      </c>
      <c r="H333" s="117">
        <f>COUNTA(B333:B335)</f>
        <v>0</v>
      </c>
      <c r="I333" s="15" t="str">
        <f>IF(B333&lt;&gt;"",1,"")</f>
        <v/>
      </c>
      <c r="J333" s="15" t="str">
        <f>IF(I333&lt;&gt;"",P333,"")</f>
        <v/>
      </c>
      <c r="K333" s="15" t="str">
        <f>IFERROR(IF(J333="","",VLOOKUP(J333,LISTAS!$F$5:$G$1004,2,0)),"0")</f>
        <v/>
      </c>
      <c r="L333" s="119" t="str">
        <f>IF(H333=3,"OURO",IF(H333=4,"OURO",IF(H333=5,"OURO","")))</f>
        <v/>
      </c>
      <c r="M333" s="20" t="str">
        <f>IF(B333&lt;&gt;"",COUNTIF(D333:G333,"V")+(SUMIF(B339:B341,B333,D339:E341)/1000)+(SUMIF(J339:J341,B333,H339:I341)/1000)-(SUMIF(B339:B341,B333,H339:I341)/1000)-(SUMIF(J339:J341,B333,D339:E341)/1000)+0.003,"")</f>
        <v/>
      </c>
      <c r="N333" s="20" t="str">
        <f>IF(B333="","",B333)</f>
        <v/>
      </c>
      <c r="O333" s="20" t="str">
        <f>IF(B333&lt;&gt;"",LARGE(M333:M335,1),"")</f>
        <v/>
      </c>
      <c r="P333" s="20" t="str">
        <f>VLOOKUP(O333,M333:N335,2,0)</f>
        <v/>
      </c>
    </row>
    <row r="334" spans="2:16" ht="18" customHeight="1" x14ac:dyDescent="0.25">
      <c r="B334" s="15"/>
      <c r="C334" s="15" t="str">
        <f>IFERROR(IF(B334="","",VLOOKUP(B334,LISTAS!$F$5:$G$1004,2,0)),"0")</f>
        <v/>
      </c>
      <c r="D334" s="15" t="str">
        <f>IF(H333&lt;3,"",IF(H333=3,IF(D340&lt;&gt;"",IF(H340&lt;&gt;"",IF(D340&lt;&gt;H340,IF(D340&gt;H340,"V","D"),""),""),"")))</f>
        <v/>
      </c>
      <c r="E334" s="15" t="str">
        <f>IF(H333&lt;3,"",IF(H333=3,IF(D341&lt;&gt;"",IF(H341&lt;&gt;"",IF(D341&lt;&gt;H341,IF(D341&gt;H341,"D","V"),""),""),"")))</f>
        <v/>
      </c>
      <c r="F334" s="15" t="s">
        <v>81</v>
      </c>
      <c r="G334" s="15" t="s">
        <v>81</v>
      </c>
      <c r="H334" s="115"/>
      <c r="I334" s="15" t="str">
        <f>IF(B334&lt;&gt;"",2,"")</f>
        <v/>
      </c>
      <c r="J334" s="15" t="str">
        <f>IF(I334&lt;&gt;"",P334,"")</f>
        <v/>
      </c>
      <c r="K334" s="15" t="str">
        <f>IFERROR(IF(J334="","",VLOOKUP(J334,LISTAS!$F$5:$G$1004,2,0)),"0")</f>
        <v/>
      </c>
      <c r="L334" s="119" t="str">
        <f>IF(H333=3,"PRATA",IF(H333=4,"OURO",IF(H333=5,"OURO","")))</f>
        <v/>
      </c>
      <c r="M334" s="20" t="str">
        <f>IF(B334&lt;&gt;"",COUNTIF(D334:G334,"V")+(SUMIF(B339:B341,B334,D339:E341)/1000)+(SUMIF(J339:J341,B334,H339:I341)/1000)-(SUMIF(B339:B341,B334,H339:I341)/1000)-(SUMIF(J339:J341,B334,D339:E341)/1000)+0.002,"")</f>
        <v/>
      </c>
      <c r="N334" s="20" t="str">
        <f t="shared" ref="N334" si="24">IF(B334="","",B334)</f>
        <v/>
      </c>
      <c r="O334" s="20" t="str">
        <f>IF(B334&lt;&gt;"",LARGE(M333:M335,2),"")</f>
        <v/>
      </c>
      <c r="P334" s="20" t="str">
        <f>VLOOKUP(O334,M333:N335,2,0)</f>
        <v/>
      </c>
    </row>
    <row r="335" spans="2:16" ht="18" customHeight="1" x14ac:dyDescent="0.25">
      <c r="B335" s="15"/>
      <c r="C335" s="15" t="str">
        <f>IFERROR(IF(B335="","",VLOOKUP(B335,LISTAS!$F$5:$G$1004,2,0)),"0")</f>
        <v/>
      </c>
      <c r="D335" s="15" t="str">
        <f>IF(H333&lt;3,"",IF(H333=3,IF(D339&lt;&gt;"",IF(H339&lt;&gt;"",IF(D339&lt;&gt;H339,IF(D339&gt;H339,"D","V"),""),""),"")))</f>
        <v/>
      </c>
      <c r="E335" s="15" t="str">
        <f>IF(H333&lt;3,"",IF(H333=3,IF(D340&lt;&gt;"",IF(H340&lt;&gt;"",IF(D340&lt;&gt;H340,IF(D340&gt;H340,"D","V"),""),""),"")))</f>
        <v/>
      </c>
      <c r="F335" s="15" t="s">
        <v>81</v>
      </c>
      <c r="G335" s="15" t="s">
        <v>81</v>
      </c>
      <c r="H335" s="115"/>
      <c r="I335" s="15" t="str">
        <f>IF(B335&lt;&gt;"",3,"")</f>
        <v/>
      </c>
      <c r="J335" s="15" t="str">
        <f>IF(I335&lt;&gt;"",P335,"")</f>
        <v/>
      </c>
      <c r="K335" s="15" t="str">
        <f>IFERROR(IF(J335="","",VLOOKUP(J335,LISTAS!$F$5:$G$1004,2,0)),"0")</f>
        <v/>
      </c>
      <c r="L335" s="119" t="str">
        <f>IF(H333=3,"BRONZE",IF(H333=4,"PRATA",IF(H333=5,"OURO","")))</f>
        <v/>
      </c>
      <c r="M335" s="20" t="str">
        <f>IF(B335&lt;&gt;"",COUNTIF(D335:G335,"V")+(SUMIF(B339:B341,B335,D339:E341)/1000)+(SUMIF(J339:J341,B335,H339:I341)/1000)-(SUMIF(B339:B341,B335,H339:I341)/1000)-(SUMIF(J339:J341,B335,D339:E341)/1000)+0.001,"")</f>
        <v/>
      </c>
      <c r="N335" s="20" t="str">
        <f>IF(B335="","",B335)</f>
        <v/>
      </c>
      <c r="O335" s="20" t="str">
        <f>IF(B335&lt;&gt;"",LARGE(M333:M335,3),"")</f>
        <v/>
      </c>
      <c r="P335" s="20" t="str">
        <f>VLOOKUP(O335,M333:N335,2,0)</f>
        <v/>
      </c>
    </row>
    <row r="336" spans="2:16" ht="18" customHeight="1" x14ac:dyDescent="0.25">
      <c r="B336" s="79"/>
      <c r="C336" s="79"/>
      <c r="D336" s="79"/>
      <c r="E336" s="79"/>
      <c r="F336" s="79"/>
      <c r="G336" s="79"/>
      <c r="I336" s="80"/>
      <c r="J336" s="79"/>
      <c r="K336" s="81"/>
      <c r="L336" s="81"/>
    </row>
    <row r="337" spans="2:16" ht="23.25" customHeight="1" x14ac:dyDescent="0.25">
      <c r="B337" s="82" t="s">
        <v>40</v>
      </c>
      <c r="C337" s="79"/>
      <c r="D337" s="79"/>
      <c r="E337" s="79"/>
      <c r="F337" s="79"/>
      <c r="G337" s="79"/>
      <c r="H337" s="79"/>
      <c r="I337" s="79"/>
      <c r="J337" s="79"/>
      <c r="K337" s="79"/>
      <c r="L337" s="79"/>
    </row>
    <row r="338" spans="2:16" ht="18" customHeight="1" x14ac:dyDescent="0.25">
      <c r="B338" s="9" t="s">
        <v>15</v>
      </c>
      <c r="C338" s="9" t="s">
        <v>0</v>
      </c>
      <c r="D338" s="228" t="s">
        <v>41</v>
      </c>
      <c r="E338" s="229"/>
      <c r="F338" s="229"/>
      <c r="G338" s="229"/>
      <c r="H338" s="229"/>
      <c r="I338" s="230"/>
      <c r="J338" s="9" t="s">
        <v>15</v>
      </c>
      <c r="K338" s="9" t="s">
        <v>0</v>
      </c>
      <c r="L338" s="79"/>
    </row>
    <row r="339" spans="2:16" ht="18" customHeight="1" x14ac:dyDescent="0.25">
      <c r="B339" s="15" t="str">
        <f>IF(H333=3,B333,"")</f>
        <v/>
      </c>
      <c r="C339" s="15" t="str">
        <f>IFERROR(IF(B339="","",VLOOKUP(B339,LISTAS!$F$5:$G$1004,2,0)),"0")</f>
        <v/>
      </c>
      <c r="D339" s="223"/>
      <c r="E339" s="224"/>
      <c r="F339" s="223" t="s">
        <v>38</v>
      </c>
      <c r="G339" s="224"/>
      <c r="H339" s="223"/>
      <c r="I339" s="224"/>
      <c r="J339" s="21" t="str">
        <f>IF(H333=3,B335,"")</f>
        <v/>
      </c>
      <c r="K339" s="15" t="str">
        <f>IFERROR(IF(J339="","",VLOOKUP(J339,LISTAS!$F$5:$G$1004,2,0)),"0")</f>
        <v/>
      </c>
      <c r="L339" s="81"/>
    </row>
    <row r="340" spans="2:16" ht="18" customHeight="1" x14ac:dyDescent="0.25">
      <c r="B340" s="15" t="str">
        <f>IF(H333=3,B334,"")</f>
        <v/>
      </c>
      <c r="C340" s="15" t="str">
        <f>IFERROR(IF(B340="","",VLOOKUP(B340,LISTAS!$F$5:$G$1004,2,0)),"0")</f>
        <v/>
      </c>
      <c r="D340" s="223"/>
      <c r="E340" s="224"/>
      <c r="F340" s="223" t="s">
        <v>38</v>
      </c>
      <c r="G340" s="224"/>
      <c r="H340" s="223"/>
      <c r="I340" s="224"/>
      <c r="J340" s="21" t="str">
        <f>IF(H333=3,B335,"")</f>
        <v/>
      </c>
      <c r="K340" s="15" t="str">
        <f>IFERROR(IF(J340="","",VLOOKUP(J340,LISTAS!$F$5:$G$1004,2,0)),"0")</f>
        <v/>
      </c>
      <c r="L340" s="79"/>
    </row>
    <row r="341" spans="2:16" ht="18" customHeight="1" x14ac:dyDescent="0.25">
      <c r="B341" s="15" t="str">
        <f>IF(H333=3,B333,"")</f>
        <v/>
      </c>
      <c r="C341" s="15" t="str">
        <f>IFERROR(IF(B341="","",VLOOKUP(B341,LISTAS!$F$5:$G$1004,2,0)),"0")</f>
        <v/>
      </c>
      <c r="D341" s="223"/>
      <c r="E341" s="224"/>
      <c r="F341" s="223" t="s">
        <v>38</v>
      </c>
      <c r="G341" s="224"/>
      <c r="H341" s="223"/>
      <c r="I341" s="224"/>
      <c r="J341" s="21" t="str">
        <f>IF(H333=3,B334,"")</f>
        <v/>
      </c>
      <c r="K341" s="15" t="str">
        <f>IFERROR(IF(J341="","",VLOOKUP(J341,LISTAS!$F$5:$G$1004,2,0)),"0")</f>
        <v/>
      </c>
      <c r="L341" s="81"/>
    </row>
    <row r="344" spans="2:16" ht="30" customHeight="1" x14ac:dyDescent="0.25">
      <c r="B344" s="161" t="s">
        <v>70</v>
      </c>
      <c r="C344" s="79"/>
      <c r="D344" s="225" t="s">
        <v>42</v>
      </c>
      <c r="E344" s="226"/>
      <c r="F344" s="226"/>
      <c r="G344" s="227"/>
      <c r="H344" s="113"/>
      <c r="I344" s="225" t="s">
        <v>3</v>
      </c>
      <c r="J344" s="226"/>
      <c r="K344" s="226"/>
      <c r="L344" s="226"/>
    </row>
    <row r="345" spans="2:16" ht="18" customHeight="1" x14ac:dyDescent="0.25">
      <c r="B345" s="9" t="s">
        <v>15</v>
      </c>
      <c r="C345" s="9" t="s">
        <v>0</v>
      </c>
      <c r="D345" s="9" t="s">
        <v>43</v>
      </c>
      <c r="E345" s="9" t="s">
        <v>44</v>
      </c>
      <c r="F345" s="9" t="s">
        <v>77</v>
      </c>
      <c r="G345" s="9" t="s">
        <v>78</v>
      </c>
      <c r="H345" s="114"/>
      <c r="I345" s="9" t="s">
        <v>18</v>
      </c>
      <c r="J345" s="9" t="s">
        <v>15</v>
      </c>
      <c r="K345" s="9" t="s">
        <v>0</v>
      </c>
      <c r="L345" s="9" t="s">
        <v>45</v>
      </c>
    </row>
    <row r="346" spans="2:16" ht="18" customHeight="1" x14ac:dyDescent="0.25">
      <c r="B346" s="15"/>
      <c r="C346" s="15" t="str">
        <f>IFERROR(IF(B346="","",VLOOKUP(B346,LISTAS!$F$5:$G$1004,2,0)),"0")</f>
        <v/>
      </c>
      <c r="D346" s="15" t="str">
        <f>IF(H346&lt;3,"",IF(H346=3,IF(D352&lt;&gt;"",IF(H352&lt;&gt;"",IF(D352&lt;&gt;H352,IF(D352&gt;H352,"V","D"),""),""),"")))</f>
        <v/>
      </c>
      <c r="E346" s="15" t="str">
        <f>IF(H346&lt;3,"",IF(H346=3,IF(D354&lt;&gt;"",IF(H354&lt;&gt;"",IF(D354&lt;&gt;H354,IF(D354&gt;H354,"V","D"),""),""),"")))</f>
        <v/>
      </c>
      <c r="F346" s="15" t="s">
        <v>81</v>
      </c>
      <c r="G346" s="15" t="s">
        <v>81</v>
      </c>
      <c r="H346" s="117">
        <f>COUNTA(B346:B348)</f>
        <v>0</v>
      </c>
      <c r="I346" s="15" t="str">
        <f>IF(B346&lt;&gt;"",1,"")</f>
        <v/>
      </c>
      <c r="J346" s="15" t="str">
        <f>IF(I346&lt;&gt;"",P346,"")</f>
        <v/>
      </c>
      <c r="K346" s="15" t="str">
        <f>IFERROR(IF(J346="","",VLOOKUP(J346,LISTAS!$F$5:$G$1004,2,0)),"0")</f>
        <v/>
      </c>
      <c r="L346" s="119" t="str">
        <f>IF(H346=3,"OURO",IF(H346=4,"OURO",IF(H346=5,"OURO","")))</f>
        <v/>
      </c>
      <c r="M346" s="20" t="str">
        <f>IF(B346&lt;&gt;"",COUNTIF(D346:G346,"V")+(SUMIF(B352:B354,B346,D352:E354)/1000)+(SUMIF(J352:J354,B346,H352:I354)/1000)-(SUMIF(B352:B354,B346,H352:I354)/1000)-(SUMIF(J352:J354,B346,D352:E354)/1000)+0.003,"")</f>
        <v/>
      </c>
      <c r="N346" s="20" t="str">
        <f>IF(B346="","",B346)</f>
        <v/>
      </c>
      <c r="O346" s="20" t="str">
        <f>IF(B346&lt;&gt;"",LARGE(M346:M348,1),"")</f>
        <v/>
      </c>
      <c r="P346" s="20" t="str">
        <f>VLOOKUP(O346,M346:N348,2,0)</f>
        <v/>
      </c>
    </row>
    <row r="347" spans="2:16" ht="18" customHeight="1" x14ac:dyDescent="0.25">
      <c r="B347" s="15"/>
      <c r="C347" s="15" t="str">
        <f>IFERROR(IF(B347="","",VLOOKUP(B347,LISTAS!$F$5:$G$1004,2,0)),"0")</f>
        <v/>
      </c>
      <c r="D347" s="15" t="str">
        <f>IF(H346&lt;3,"",IF(H346=3,IF(D353&lt;&gt;"",IF(H353&lt;&gt;"",IF(D353&lt;&gt;H353,IF(D353&gt;H353,"V","D"),""),""),"")))</f>
        <v/>
      </c>
      <c r="E347" s="15" t="str">
        <f>IF(H346&lt;3,"",IF(H346=3,IF(D354&lt;&gt;"",IF(H354&lt;&gt;"",IF(D354&lt;&gt;H354,IF(D354&gt;H354,"D","V"),""),""),"")))</f>
        <v/>
      </c>
      <c r="F347" s="15" t="s">
        <v>81</v>
      </c>
      <c r="G347" s="15" t="s">
        <v>81</v>
      </c>
      <c r="H347" s="115"/>
      <c r="I347" s="15" t="str">
        <f>IF(B347&lt;&gt;"",2,"")</f>
        <v/>
      </c>
      <c r="J347" s="15" t="str">
        <f>IF(I347&lt;&gt;"",P347,"")</f>
        <v/>
      </c>
      <c r="K347" s="15" t="str">
        <f>IFERROR(IF(J347="","",VLOOKUP(J347,LISTAS!$F$5:$G$1004,2,0)),"0")</f>
        <v/>
      </c>
      <c r="L347" s="119" t="str">
        <f>IF(H346=3,"PRATA",IF(H346=4,"OURO",IF(H346=5,"OURO","")))</f>
        <v/>
      </c>
      <c r="M347" s="20" t="str">
        <f>IF(B347&lt;&gt;"",COUNTIF(D347:G347,"V")+(SUMIF(B352:B354,B347,D352:E354)/1000)+(SUMIF(J352:J354,B347,H352:I354)/1000)-(SUMIF(B352:B354,B347,H352:I354)/1000)-(SUMIF(J352:J354,B347,D352:E354)/1000)+0.002,"")</f>
        <v/>
      </c>
      <c r="N347" s="20" t="str">
        <f t="shared" ref="N347" si="25">IF(B347="","",B347)</f>
        <v/>
      </c>
      <c r="O347" s="20" t="str">
        <f>IF(B347&lt;&gt;"",LARGE(M346:M348,2),"")</f>
        <v/>
      </c>
      <c r="P347" s="20" t="str">
        <f>VLOOKUP(O347,M346:N348,2,0)</f>
        <v/>
      </c>
    </row>
    <row r="348" spans="2:16" ht="18" customHeight="1" x14ac:dyDescent="0.25">
      <c r="B348" s="15"/>
      <c r="C348" s="15" t="str">
        <f>IFERROR(IF(B348="","",VLOOKUP(B348,LISTAS!$F$5:$G$1004,2,0)),"0")</f>
        <v/>
      </c>
      <c r="D348" s="15" t="str">
        <f>IF(H346&lt;3,"",IF(H346=3,IF(D352&lt;&gt;"",IF(H352&lt;&gt;"",IF(D352&lt;&gt;H352,IF(D352&gt;H352,"D","V"),""),""),"")))</f>
        <v/>
      </c>
      <c r="E348" s="15" t="str">
        <f>IF(H346&lt;3,"",IF(H346=3,IF(D353&lt;&gt;"",IF(H353&lt;&gt;"",IF(D353&lt;&gt;H353,IF(D353&gt;H353,"D","V"),""),""),"")))</f>
        <v/>
      </c>
      <c r="F348" s="15" t="s">
        <v>81</v>
      </c>
      <c r="G348" s="15" t="s">
        <v>81</v>
      </c>
      <c r="H348" s="115"/>
      <c r="I348" s="15" t="str">
        <f>IF(B348&lt;&gt;"",3,"")</f>
        <v/>
      </c>
      <c r="J348" s="15" t="str">
        <f>IF(I348&lt;&gt;"",P348,"")</f>
        <v/>
      </c>
      <c r="K348" s="15" t="str">
        <f>IFERROR(IF(J348="","",VLOOKUP(J348,LISTAS!$F$5:$G$1004,2,0)),"0")</f>
        <v/>
      </c>
      <c r="L348" s="119" t="str">
        <f>IF(H346=3,"BRONZE",IF(H346=4,"PRATA",IF(H346=5,"OURO","")))</f>
        <v/>
      </c>
      <c r="M348" s="20" t="str">
        <f>IF(B348&lt;&gt;"",COUNTIF(D348:G348,"V")+(SUMIF(B352:B354,B348,D352:E354)/1000)+(SUMIF(J352:J354,B348,H352:I354)/1000)-(SUMIF(B352:B354,B348,H352:I354)/1000)-(SUMIF(J352:J354,B348,D352:E354)/1000)+0.001,"")</f>
        <v/>
      </c>
      <c r="N348" s="20" t="str">
        <f>IF(B348="","",B348)</f>
        <v/>
      </c>
      <c r="O348" s="20" t="str">
        <f>IF(B348&lt;&gt;"",LARGE(M346:M348,3),"")</f>
        <v/>
      </c>
      <c r="P348" s="20" t="str">
        <f>VLOOKUP(O348,M346:N348,2,0)</f>
        <v/>
      </c>
    </row>
    <row r="349" spans="2:16" ht="18" customHeight="1" x14ac:dyDescent="0.25">
      <c r="B349" s="79"/>
      <c r="C349" s="79"/>
      <c r="D349" s="79"/>
      <c r="E349" s="79"/>
      <c r="F349" s="79"/>
      <c r="G349" s="79"/>
      <c r="I349" s="80"/>
      <c r="J349" s="79"/>
      <c r="K349" s="81"/>
      <c r="L349" s="81"/>
    </row>
    <row r="350" spans="2:16" ht="23.25" customHeight="1" x14ac:dyDescent="0.25">
      <c r="B350" s="82" t="s">
        <v>40</v>
      </c>
      <c r="C350" s="79"/>
      <c r="D350" s="79"/>
      <c r="E350" s="79"/>
      <c r="F350" s="79"/>
      <c r="G350" s="79"/>
      <c r="H350" s="79"/>
      <c r="I350" s="79"/>
      <c r="J350" s="79"/>
      <c r="K350" s="79"/>
      <c r="L350" s="79"/>
    </row>
    <row r="351" spans="2:16" ht="18" customHeight="1" x14ac:dyDescent="0.25">
      <c r="B351" s="9" t="s">
        <v>15</v>
      </c>
      <c r="C351" s="9" t="s">
        <v>0</v>
      </c>
      <c r="D351" s="228" t="s">
        <v>41</v>
      </c>
      <c r="E351" s="229"/>
      <c r="F351" s="229"/>
      <c r="G351" s="229"/>
      <c r="H351" s="229"/>
      <c r="I351" s="230"/>
      <c r="J351" s="9" t="s">
        <v>15</v>
      </c>
      <c r="K351" s="9" t="s">
        <v>0</v>
      </c>
      <c r="L351" s="79"/>
    </row>
    <row r="352" spans="2:16" ht="18" customHeight="1" x14ac:dyDescent="0.25">
      <c r="B352" s="15" t="str">
        <f>IF(H346=3,B346,"")</f>
        <v/>
      </c>
      <c r="C352" s="15" t="str">
        <f>IFERROR(IF(B352="","",VLOOKUP(B352,LISTAS!$F$5:$G$1004,2,0)),"0")</f>
        <v/>
      </c>
      <c r="D352" s="223"/>
      <c r="E352" s="224"/>
      <c r="F352" s="223" t="s">
        <v>38</v>
      </c>
      <c r="G352" s="224"/>
      <c r="H352" s="223"/>
      <c r="I352" s="224"/>
      <c r="J352" s="21" t="str">
        <f>IF(H346=3,B348,"")</f>
        <v/>
      </c>
      <c r="K352" s="15" t="str">
        <f>IFERROR(IF(J352="","",VLOOKUP(J352,LISTAS!$F$5:$G$1004,2,0)),"0")</f>
        <v/>
      </c>
      <c r="L352" s="81"/>
    </row>
    <row r="353" spans="2:16" ht="18" customHeight="1" x14ac:dyDescent="0.25">
      <c r="B353" s="15" t="str">
        <f>IF(H346=3,B347,"")</f>
        <v/>
      </c>
      <c r="C353" s="15" t="str">
        <f>IFERROR(IF(B353="","",VLOOKUP(B353,LISTAS!$F$5:$G$1004,2,0)),"0")</f>
        <v/>
      </c>
      <c r="D353" s="223"/>
      <c r="E353" s="224"/>
      <c r="F353" s="223" t="s">
        <v>38</v>
      </c>
      <c r="G353" s="224"/>
      <c r="H353" s="223"/>
      <c r="I353" s="224"/>
      <c r="J353" s="21" t="str">
        <f>IF(H346=3,B348,"")</f>
        <v/>
      </c>
      <c r="K353" s="15" t="str">
        <f>IFERROR(IF(J353="","",VLOOKUP(J353,LISTAS!$F$5:$G$1004,2,0)),"0")</f>
        <v/>
      </c>
      <c r="L353" s="79"/>
    </row>
    <row r="354" spans="2:16" ht="18" customHeight="1" x14ac:dyDescent="0.25">
      <c r="B354" s="15" t="str">
        <f>IF(H346=3,B346,"")</f>
        <v/>
      </c>
      <c r="C354" s="15" t="str">
        <f>IFERROR(IF(B354="","",VLOOKUP(B354,LISTAS!$F$5:$G$1004,2,0)),"0")</f>
        <v/>
      </c>
      <c r="D354" s="223"/>
      <c r="E354" s="224"/>
      <c r="F354" s="223" t="s">
        <v>38</v>
      </c>
      <c r="G354" s="224"/>
      <c r="H354" s="223"/>
      <c r="I354" s="224"/>
      <c r="J354" s="21" t="str">
        <f>IF(H346=3,B347,"")</f>
        <v/>
      </c>
      <c r="K354" s="15" t="str">
        <f>IFERROR(IF(J354="","",VLOOKUP(J354,LISTAS!$F$5:$G$1004,2,0)),"0")</f>
        <v/>
      </c>
      <c r="L354" s="81"/>
    </row>
    <row r="357" spans="2:16" ht="30" customHeight="1" x14ac:dyDescent="0.25">
      <c r="B357" s="161" t="s">
        <v>71</v>
      </c>
      <c r="C357" s="79"/>
      <c r="D357" s="225" t="s">
        <v>42</v>
      </c>
      <c r="E357" s="226"/>
      <c r="F357" s="226"/>
      <c r="G357" s="227"/>
      <c r="H357" s="113"/>
      <c r="I357" s="225" t="s">
        <v>3</v>
      </c>
      <c r="J357" s="226"/>
      <c r="K357" s="226"/>
      <c r="L357" s="226"/>
    </row>
    <row r="358" spans="2:16" ht="18" customHeight="1" x14ac:dyDescent="0.25">
      <c r="B358" s="9" t="s">
        <v>15</v>
      </c>
      <c r="C358" s="9" t="s">
        <v>0</v>
      </c>
      <c r="D358" s="9" t="s">
        <v>43</v>
      </c>
      <c r="E358" s="9" t="s">
        <v>44</v>
      </c>
      <c r="F358" s="9" t="s">
        <v>77</v>
      </c>
      <c r="G358" s="9" t="s">
        <v>78</v>
      </c>
      <c r="H358" s="114"/>
      <c r="I358" s="9" t="s">
        <v>18</v>
      </c>
      <c r="J358" s="9" t="s">
        <v>15</v>
      </c>
      <c r="K358" s="9" t="s">
        <v>0</v>
      </c>
      <c r="L358" s="9" t="s">
        <v>45</v>
      </c>
    </row>
    <row r="359" spans="2:16" ht="18" customHeight="1" x14ac:dyDescent="0.25">
      <c r="B359" s="15"/>
      <c r="C359" s="15" t="str">
        <f>IFERROR(IF(B359="","",VLOOKUP(B359,LISTAS!$F$5:$G$1004,2,0)),"0")</f>
        <v/>
      </c>
      <c r="D359" s="15" t="str">
        <f>IF(H359&lt;3,"",IF(H359=3,IF(D365&lt;&gt;"",IF(H365&lt;&gt;"",IF(D365&lt;&gt;H365,IF(D365&gt;H365,"V","D"),""),""),"")))</f>
        <v/>
      </c>
      <c r="E359" s="15" t="str">
        <f>IF(H359&lt;3,"",IF(H359=3,IF(D367&lt;&gt;"",IF(H367&lt;&gt;"",IF(D367&lt;&gt;H367,IF(D367&gt;H367,"V","D"),""),""),"")))</f>
        <v/>
      </c>
      <c r="F359" s="15" t="s">
        <v>81</v>
      </c>
      <c r="G359" s="15" t="s">
        <v>81</v>
      </c>
      <c r="H359" s="117">
        <f>COUNTA(B359:B361)</f>
        <v>0</v>
      </c>
      <c r="I359" s="15" t="str">
        <f>IF(B359&lt;&gt;"",1,"")</f>
        <v/>
      </c>
      <c r="J359" s="15" t="str">
        <f>IF(I359&lt;&gt;"",P359,"")</f>
        <v/>
      </c>
      <c r="K359" s="15" t="str">
        <f>IFERROR(IF(J359="","",VLOOKUP(J359,LISTAS!$F$5:$G$1004,2,0)),"0")</f>
        <v/>
      </c>
      <c r="L359" s="119" t="str">
        <f>IF(H359=3,"OURO",IF(H359=4,"OURO",IF(H359=5,"OURO","")))</f>
        <v/>
      </c>
      <c r="M359" s="20" t="str">
        <f>IF(B359&lt;&gt;"",COUNTIF(D359:G359,"V")+(SUMIF(B365:B367,B359,D365:E367)/1000)+(SUMIF(J365:J367,B359,H365:I367)/1000)-(SUMIF(B365:B367,B359,H365:I367)/1000)-(SUMIF(J365:J367,B359,D365:E367)/1000)+0.003,"")</f>
        <v/>
      </c>
      <c r="N359" s="20" t="str">
        <f>IF(B359="","",B359)</f>
        <v/>
      </c>
      <c r="O359" s="20" t="str">
        <f>IF(B359&lt;&gt;"",LARGE(M359:M361,1),"")</f>
        <v/>
      </c>
      <c r="P359" s="20" t="str">
        <f>VLOOKUP(O359,M359:N361,2,0)</f>
        <v/>
      </c>
    </row>
    <row r="360" spans="2:16" ht="18" customHeight="1" x14ac:dyDescent="0.25">
      <c r="B360" s="15"/>
      <c r="C360" s="15" t="str">
        <f>IFERROR(IF(B360="","",VLOOKUP(B360,LISTAS!$F$5:$G$1004,2,0)),"0")</f>
        <v/>
      </c>
      <c r="D360" s="15" t="str">
        <f>IF(H359&lt;3,"",IF(H359=3,IF(D366&lt;&gt;"",IF(H366&lt;&gt;"",IF(D366&lt;&gt;H366,IF(D366&gt;H366,"V","D"),""),""),"")))</f>
        <v/>
      </c>
      <c r="E360" s="15" t="str">
        <f>IF(H359&lt;3,"",IF(H359=3,IF(D367&lt;&gt;"",IF(H367&lt;&gt;"",IF(D367&lt;&gt;H367,IF(D367&gt;H367,"D","V"),""),""),"")))</f>
        <v/>
      </c>
      <c r="F360" s="15" t="s">
        <v>81</v>
      </c>
      <c r="G360" s="15" t="s">
        <v>81</v>
      </c>
      <c r="H360" s="115"/>
      <c r="I360" s="15" t="str">
        <f>IF(B360&lt;&gt;"",2,"")</f>
        <v/>
      </c>
      <c r="J360" s="15" t="str">
        <f>IF(I360&lt;&gt;"",P360,"")</f>
        <v/>
      </c>
      <c r="K360" s="15" t="str">
        <f>IFERROR(IF(J360="","",VLOOKUP(J360,LISTAS!$F$5:$G$1004,2,0)),"0")</f>
        <v/>
      </c>
      <c r="L360" s="119" t="str">
        <f>IF(H359=3,"PRATA",IF(H359=4,"OURO",IF(H359=5,"OURO","")))</f>
        <v/>
      </c>
      <c r="M360" s="20" t="str">
        <f>IF(B360&lt;&gt;"",COUNTIF(D360:G360,"V")+(SUMIF(B365:B367,B360,D365:E367)/1000)+(SUMIF(J365:J367,B360,H365:I367)/1000)-(SUMIF(B365:B367,B360,H365:I367)/1000)-(SUMIF(J365:J367,B360,D365:E367)/1000)+0.002,"")</f>
        <v/>
      </c>
      <c r="N360" s="20" t="str">
        <f t="shared" ref="N360" si="26">IF(B360="","",B360)</f>
        <v/>
      </c>
      <c r="O360" s="20" t="str">
        <f>IF(B360&lt;&gt;"",LARGE(M359:M361,2),"")</f>
        <v/>
      </c>
      <c r="P360" s="20" t="str">
        <f>VLOOKUP(O360,M359:N361,2,0)</f>
        <v/>
      </c>
    </row>
    <row r="361" spans="2:16" ht="18" customHeight="1" x14ac:dyDescent="0.25">
      <c r="B361" s="15"/>
      <c r="C361" s="15" t="str">
        <f>IFERROR(IF(B361="","",VLOOKUP(B361,LISTAS!$F$5:$G$1004,2,0)),"0")</f>
        <v/>
      </c>
      <c r="D361" s="15" t="str">
        <f>IF(H359&lt;3,"",IF(H359=3,IF(D365&lt;&gt;"",IF(H365&lt;&gt;"",IF(D365&lt;&gt;H365,IF(D365&gt;H365,"D","V"),""),""),"")))</f>
        <v/>
      </c>
      <c r="E361" s="15" t="str">
        <f>IF(H359&lt;3,"",IF(H359=3,IF(D366&lt;&gt;"",IF(H366&lt;&gt;"",IF(D366&lt;&gt;H366,IF(D366&gt;H366,"D","V"),""),""),"")))</f>
        <v/>
      </c>
      <c r="F361" s="15" t="s">
        <v>81</v>
      </c>
      <c r="G361" s="15" t="s">
        <v>81</v>
      </c>
      <c r="H361" s="115"/>
      <c r="I361" s="15" t="str">
        <f>IF(B361&lt;&gt;"",3,"")</f>
        <v/>
      </c>
      <c r="J361" s="15" t="str">
        <f>IF(I361&lt;&gt;"",P361,"")</f>
        <v/>
      </c>
      <c r="K361" s="15" t="str">
        <f>IFERROR(IF(J361="","",VLOOKUP(J361,LISTAS!$F$5:$G$1004,2,0)),"0")</f>
        <v/>
      </c>
      <c r="L361" s="119" t="str">
        <f>IF(H359=3,"BRONZE",IF(H359=4,"PRATA",IF(H359=5,"OURO","")))</f>
        <v/>
      </c>
      <c r="M361" s="20" t="str">
        <f>IF(B361&lt;&gt;"",COUNTIF(D361:G361,"V")+(SUMIF(B365:B367,B361,D365:E367)/1000)+(SUMIF(J365:J367,B361,H365:I367)/1000)-(SUMIF(B365:B367,B361,H365:I367)/1000)-(SUMIF(J365:J367,B361,D365:E367)/1000)+0.001,"")</f>
        <v/>
      </c>
      <c r="N361" s="20" t="str">
        <f>IF(B361="","",B361)</f>
        <v/>
      </c>
      <c r="O361" s="20" t="str">
        <f>IF(B361&lt;&gt;"",LARGE(M359:M361,3),"")</f>
        <v/>
      </c>
      <c r="P361" s="20" t="str">
        <f>VLOOKUP(O361,M359:N361,2,0)</f>
        <v/>
      </c>
    </row>
    <row r="362" spans="2:16" ht="18" customHeight="1" x14ac:dyDescent="0.25">
      <c r="B362" s="79"/>
      <c r="C362" s="79"/>
      <c r="D362" s="79"/>
      <c r="E362" s="79"/>
      <c r="F362" s="79"/>
      <c r="G362" s="79"/>
      <c r="I362" s="80"/>
      <c r="J362" s="79"/>
      <c r="K362" s="81"/>
      <c r="L362" s="81"/>
    </row>
    <row r="363" spans="2:16" ht="23.25" customHeight="1" x14ac:dyDescent="0.25">
      <c r="B363" s="82" t="s">
        <v>40</v>
      </c>
      <c r="C363" s="79"/>
      <c r="D363" s="79"/>
      <c r="E363" s="79"/>
      <c r="F363" s="79"/>
      <c r="G363" s="79"/>
      <c r="H363" s="79"/>
      <c r="I363" s="79"/>
      <c r="J363" s="79"/>
      <c r="K363" s="79"/>
      <c r="L363" s="79"/>
    </row>
    <row r="364" spans="2:16" ht="18" customHeight="1" x14ac:dyDescent="0.25">
      <c r="B364" s="9" t="s">
        <v>15</v>
      </c>
      <c r="C364" s="9" t="s">
        <v>0</v>
      </c>
      <c r="D364" s="228" t="s">
        <v>41</v>
      </c>
      <c r="E364" s="229"/>
      <c r="F364" s="229"/>
      <c r="G364" s="229"/>
      <c r="H364" s="229"/>
      <c r="I364" s="230"/>
      <c r="J364" s="9" t="s">
        <v>15</v>
      </c>
      <c r="K364" s="9" t="s">
        <v>0</v>
      </c>
      <c r="L364" s="79"/>
    </row>
    <row r="365" spans="2:16" ht="18" customHeight="1" x14ac:dyDescent="0.25">
      <c r="B365" s="15" t="str">
        <f>IF(H359=3,B359,"")</f>
        <v/>
      </c>
      <c r="C365" s="15" t="str">
        <f>IFERROR(IF(B365="","",VLOOKUP(B365,LISTAS!$F$5:$G$1004,2,0)),"0")</f>
        <v/>
      </c>
      <c r="D365" s="223"/>
      <c r="E365" s="224"/>
      <c r="F365" s="223" t="s">
        <v>38</v>
      </c>
      <c r="G365" s="224"/>
      <c r="H365" s="223"/>
      <c r="I365" s="224"/>
      <c r="J365" s="21" t="str">
        <f>IF(H359=3,B361,"")</f>
        <v/>
      </c>
      <c r="K365" s="15" t="str">
        <f>IFERROR(IF(J365="","",VLOOKUP(J365,LISTAS!$F$5:$G$1004,2,0)),"0")</f>
        <v/>
      </c>
      <c r="L365" s="81"/>
    </row>
    <row r="366" spans="2:16" ht="18" customHeight="1" x14ac:dyDescent="0.25">
      <c r="B366" s="15" t="str">
        <f>IF(H359=3,B360,"")</f>
        <v/>
      </c>
      <c r="C366" s="15" t="str">
        <f>IFERROR(IF(B366="","",VLOOKUP(B366,LISTAS!$F$5:$G$1004,2,0)),"0")</f>
        <v/>
      </c>
      <c r="D366" s="223"/>
      <c r="E366" s="224"/>
      <c r="F366" s="223" t="s">
        <v>38</v>
      </c>
      <c r="G366" s="224"/>
      <c r="H366" s="223"/>
      <c r="I366" s="224"/>
      <c r="J366" s="21" t="str">
        <f>IF(H359=3,B361,"")</f>
        <v/>
      </c>
      <c r="K366" s="15" t="str">
        <f>IFERROR(IF(J366="","",VLOOKUP(J366,LISTAS!$F$5:$G$1004,2,0)),"0")</f>
        <v/>
      </c>
      <c r="L366" s="79"/>
    </row>
    <row r="367" spans="2:16" ht="18" customHeight="1" x14ac:dyDescent="0.25">
      <c r="B367" s="15" t="str">
        <f>IF(H359=3,B359,"")</f>
        <v/>
      </c>
      <c r="C367" s="15" t="str">
        <f>IFERROR(IF(B367="","",VLOOKUP(B367,LISTAS!$F$5:$G$1004,2,0)),"0")</f>
        <v/>
      </c>
      <c r="D367" s="223"/>
      <c r="E367" s="224"/>
      <c r="F367" s="223" t="s">
        <v>38</v>
      </c>
      <c r="G367" s="224"/>
      <c r="H367" s="223"/>
      <c r="I367" s="224"/>
      <c r="J367" s="21" t="str">
        <f>IF(H359=3,B360,"")</f>
        <v/>
      </c>
      <c r="K367" s="15" t="str">
        <f>IFERROR(IF(J367="","",VLOOKUP(J367,LISTAS!$F$5:$G$1004,2,0)),"0")</f>
        <v/>
      </c>
      <c r="L367" s="81"/>
    </row>
    <row r="370" spans="2:16" ht="30" customHeight="1" x14ac:dyDescent="0.25">
      <c r="B370" s="161" t="s">
        <v>72</v>
      </c>
      <c r="C370" s="79"/>
      <c r="D370" s="225" t="s">
        <v>42</v>
      </c>
      <c r="E370" s="226"/>
      <c r="F370" s="226"/>
      <c r="G370" s="227"/>
      <c r="H370" s="113"/>
      <c r="I370" s="225" t="s">
        <v>3</v>
      </c>
      <c r="J370" s="226"/>
      <c r="K370" s="226"/>
      <c r="L370" s="226"/>
    </row>
    <row r="371" spans="2:16" ht="18" customHeight="1" x14ac:dyDescent="0.25">
      <c r="B371" s="9" t="s">
        <v>15</v>
      </c>
      <c r="C371" s="9" t="s">
        <v>0</v>
      </c>
      <c r="D371" s="9" t="s">
        <v>43</v>
      </c>
      <c r="E371" s="9" t="s">
        <v>44</v>
      </c>
      <c r="F371" s="9" t="s">
        <v>77</v>
      </c>
      <c r="G371" s="9" t="s">
        <v>78</v>
      </c>
      <c r="H371" s="114"/>
      <c r="I371" s="9" t="s">
        <v>18</v>
      </c>
      <c r="J371" s="9" t="s">
        <v>15</v>
      </c>
      <c r="K371" s="9" t="s">
        <v>0</v>
      </c>
      <c r="L371" s="9" t="s">
        <v>45</v>
      </c>
    </row>
    <row r="372" spans="2:16" ht="18" customHeight="1" x14ac:dyDescent="0.25">
      <c r="B372" s="15"/>
      <c r="C372" s="15" t="str">
        <f>IFERROR(IF(B372="","",VLOOKUP(B372,LISTAS!$F$5:$G$1004,2,0)),"0")</f>
        <v/>
      </c>
      <c r="D372" s="15" t="str">
        <f>IF(H372&lt;3,"",IF(H372=3,IF(D378&lt;&gt;"",IF(H378&lt;&gt;"",IF(D378&lt;&gt;H378,IF(D378&gt;H378,"V","D"),""),""),"")))</f>
        <v/>
      </c>
      <c r="E372" s="15" t="str">
        <f>IF(H372&lt;3,"",IF(H372=3,IF(D380&lt;&gt;"",IF(H380&lt;&gt;"",IF(D380&lt;&gt;H380,IF(D380&gt;H380,"V","D"),""),""),"")))</f>
        <v/>
      </c>
      <c r="F372" s="15" t="s">
        <v>81</v>
      </c>
      <c r="G372" s="15" t="s">
        <v>81</v>
      </c>
      <c r="H372" s="117">
        <f>COUNTA(B372:B374)</f>
        <v>0</v>
      </c>
      <c r="I372" s="15" t="str">
        <f>IF(B372&lt;&gt;"",1,"")</f>
        <v/>
      </c>
      <c r="J372" s="15" t="str">
        <f>IF(I372&lt;&gt;"",P372,"")</f>
        <v/>
      </c>
      <c r="K372" s="15" t="str">
        <f>IFERROR(IF(J372="","",VLOOKUP(J372,LISTAS!$F$5:$G$1004,2,0)),"0")</f>
        <v/>
      </c>
      <c r="L372" s="119" t="str">
        <f>IF(H372=3,"OURO",IF(H372=4,"OURO",IF(H372=5,"OURO","")))</f>
        <v/>
      </c>
      <c r="M372" s="20" t="str">
        <f>IF(B372&lt;&gt;"",COUNTIF(D372:G372,"V")+(SUMIF(B378:B380,B372,D378:E380)/1000)+(SUMIF(J378:J380,B372,H378:I380)/1000)-(SUMIF(B378:B380,B372,H378:I380)/1000)-(SUMIF(J378:J380,B372,D378:E380)/1000)+0.003,"")</f>
        <v/>
      </c>
      <c r="N372" s="20" t="str">
        <f>IF(B372="","",B372)</f>
        <v/>
      </c>
      <c r="O372" s="20" t="str">
        <f>IF(B372&lt;&gt;"",LARGE(M372:M374,1),"")</f>
        <v/>
      </c>
      <c r="P372" s="20" t="str">
        <f>VLOOKUP(O372,M372:N374,2,0)</f>
        <v/>
      </c>
    </row>
    <row r="373" spans="2:16" ht="18" customHeight="1" x14ac:dyDescent="0.25">
      <c r="B373" s="15"/>
      <c r="C373" s="15" t="str">
        <f>IFERROR(IF(B373="","",VLOOKUP(B373,LISTAS!$F$5:$G$1004,2,0)),"0")</f>
        <v/>
      </c>
      <c r="D373" s="15" t="str">
        <f>IF(H372&lt;3,"",IF(H372=3,IF(D379&lt;&gt;"",IF(H379&lt;&gt;"",IF(D379&lt;&gt;H379,IF(D379&gt;H379,"V","D"),""),""),"")))</f>
        <v/>
      </c>
      <c r="E373" s="15" t="str">
        <f>IF(H372&lt;3,"",IF(H372=3,IF(D380&lt;&gt;"",IF(H380&lt;&gt;"",IF(D380&lt;&gt;H380,IF(D380&gt;H380,"D","V"),""),""),"")))</f>
        <v/>
      </c>
      <c r="F373" s="15" t="s">
        <v>81</v>
      </c>
      <c r="G373" s="15" t="s">
        <v>81</v>
      </c>
      <c r="H373" s="115"/>
      <c r="I373" s="15" t="str">
        <f>IF(B373&lt;&gt;"",2,"")</f>
        <v/>
      </c>
      <c r="J373" s="15" t="str">
        <f>IF(I373&lt;&gt;"",P373,"")</f>
        <v/>
      </c>
      <c r="K373" s="15" t="str">
        <f>IFERROR(IF(J373="","",VLOOKUP(J373,LISTAS!$F$5:$G$1004,2,0)),"0")</f>
        <v/>
      </c>
      <c r="L373" s="119" t="str">
        <f>IF(H372=3,"PRATA",IF(H372=4,"OURO",IF(H372=5,"OURO","")))</f>
        <v/>
      </c>
      <c r="M373" s="20" t="str">
        <f>IF(B373&lt;&gt;"",COUNTIF(D373:G373,"V")+(SUMIF(B378:B380,B373,D378:E380)/1000)+(SUMIF(J378:J380,B373,H378:I380)/1000)-(SUMIF(B378:B380,B373,H378:I380)/1000)-(SUMIF(J378:J380,B373,D378:E380)/1000)+0.002,"")</f>
        <v/>
      </c>
      <c r="N373" s="20" t="str">
        <f t="shared" ref="N373" si="27">IF(B373="","",B373)</f>
        <v/>
      </c>
      <c r="O373" s="20" t="str">
        <f>IF(B373&lt;&gt;"",LARGE(M372:M374,2),"")</f>
        <v/>
      </c>
      <c r="P373" s="20" t="str">
        <f>VLOOKUP(O373,M372:N374,2,0)</f>
        <v/>
      </c>
    </row>
    <row r="374" spans="2:16" ht="18" customHeight="1" x14ac:dyDescent="0.25">
      <c r="B374" s="15"/>
      <c r="C374" s="15" t="str">
        <f>IFERROR(IF(B374="","",VLOOKUP(B374,LISTAS!$F$5:$G$1004,2,0)),"0")</f>
        <v/>
      </c>
      <c r="D374" s="15" t="str">
        <f>IF(H372&lt;3,"",IF(H372=3,IF(D378&lt;&gt;"",IF(H378&lt;&gt;"",IF(D378&lt;&gt;H378,IF(D378&gt;H378,"D","V"),""),""),"")))</f>
        <v/>
      </c>
      <c r="E374" s="15" t="str">
        <f>IF(H372&lt;3,"",IF(H372=3,IF(D379&lt;&gt;"",IF(H379&lt;&gt;"",IF(D379&lt;&gt;H379,IF(D379&gt;H379,"D","V"),""),""),"")))</f>
        <v/>
      </c>
      <c r="F374" s="15" t="s">
        <v>81</v>
      </c>
      <c r="G374" s="15" t="s">
        <v>81</v>
      </c>
      <c r="H374" s="115"/>
      <c r="I374" s="15" t="str">
        <f>IF(B374&lt;&gt;"",3,"")</f>
        <v/>
      </c>
      <c r="J374" s="15" t="str">
        <f>IF(I374&lt;&gt;"",P374,"")</f>
        <v/>
      </c>
      <c r="K374" s="15" t="str">
        <f>IFERROR(IF(J374="","",VLOOKUP(J374,LISTAS!$F$5:$G$1004,2,0)),"0")</f>
        <v/>
      </c>
      <c r="L374" s="119" t="str">
        <f>IF(H372=3,"BRONZE",IF(H372=4,"PRATA",IF(H372=5,"OURO","")))</f>
        <v/>
      </c>
      <c r="M374" s="20" t="str">
        <f>IF(B374&lt;&gt;"",COUNTIF(D374:G374,"V")+(SUMIF(B378:B380,B374,D378:E380)/1000)+(SUMIF(J378:J380,B374,H378:I380)/1000)-(SUMIF(B378:B380,B374,H378:I380)/1000)-(SUMIF(J378:J380,B374,D378:E380)/1000)+0.001,"")</f>
        <v/>
      </c>
      <c r="N374" s="20" t="str">
        <f>IF(B374="","",B374)</f>
        <v/>
      </c>
      <c r="O374" s="20" t="str">
        <f>IF(B374&lt;&gt;"",LARGE(M372:M374,3),"")</f>
        <v/>
      </c>
      <c r="P374" s="20" t="str">
        <f>VLOOKUP(O374,M372:N374,2,0)</f>
        <v/>
      </c>
    </row>
    <row r="375" spans="2:16" ht="18" customHeight="1" x14ac:dyDescent="0.25">
      <c r="B375" s="79"/>
      <c r="C375" s="79"/>
      <c r="D375" s="79"/>
      <c r="E375" s="79"/>
      <c r="F375" s="79"/>
      <c r="G375" s="79"/>
      <c r="I375" s="80"/>
      <c r="J375" s="79"/>
      <c r="K375" s="81"/>
      <c r="L375" s="81"/>
    </row>
    <row r="376" spans="2:16" ht="23.25" customHeight="1" x14ac:dyDescent="0.25">
      <c r="B376" s="82" t="s">
        <v>40</v>
      </c>
      <c r="C376" s="79"/>
      <c r="D376" s="79"/>
      <c r="E376" s="79"/>
      <c r="F376" s="79"/>
      <c r="G376" s="79"/>
      <c r="H376" s="79"/>
      <c r="I376" s="79"/>
      <c r="J376" s="79"/>
      <c r="K376" s="79"/>
      <c r="L376" s="79"/>
    </row>
    <row r="377" spans="2:16" ht="18" customHeight="1" x14ac:dyDescent="0.25">
      <c r="B377" s="9" t="s">
        <v>15</v>
      </c>
      <c r="C377" s="9" t="s">
        <v>0</v>
      </c>
      <c r="D377" s="228" t="s">
        <v>41</v>
      </c>
      <c r="E377" s="229"/>
      <c r="F377" s="229"/>
      <c r="G377" s="229"/>
      <c r="H377" s="229"/>
      <c r="I377" s="230"/>
      <c r="J377" s="9" t="s">
        <v>15</v>
      </c>
      <c r="K377" s="9" t="s">
        <v>0</v>
      </c>
      <c r="L377" s="79"/>
    </row>
    <row r="378" spans="2:16" ht="18" customHeight="1" x14ac:dyDescent="0.25">
      <c r="B378" s="15" t="str">
        <f>IF(H372=3,B372,"")</f>
        <v/>
      </c>
      <c r="C378" s="15" t="str">
        <f>IFERROR(IF(B378="","",VLOOKUP(B378,LISTAS!$F$5:$G$1004,2,0)),"0")</f>
        <v/>
      </c>
      <c r="D378" s="223"/>
      <c r="E378" s="224"/>
      <c r="F378" s="223" t="s">
        <v>38</v>
      </c>
      <c r="G378" s="224"/>
      <c r="H378" s="223"/>
      <c r="I378" s="224"/>
      <c r="J378" s="21" t="str">
        <f>IF(H372=3,B374,"")</f>
        <v/>
      </c>
      <c r="K378" s="15" t="str">
        <f>IFERROR(IF(J378="","",VLOOKUP(J378,LISTAS!$F$5:$G$1004,2,0)),"0")</f>
        <v/>
      </c>
      <c r="L378" s="81"/>
    </row>
    <row r="379" spans="2:16" ht="18" customHeight="1" x14ac:dyDescent="0.25">
      <c r="B379" s="15" t="str">
        <f>IF(H372=3,B373,"")</f>
        <v/>
      </c>
      <c r="C379" s="15" t="str">
        <f>IFERROR(IF(B379="","",VLOOKUP(B379,LISTAS!$F$5:$G$1004,2,0)),"0")</f>
        <v/>
      </c>
      <c r="D379" s="223"/>
      <c r="E379" s="224"/>
      <c r="F379" s="223" t="s">
        <v>38</v>
      </c>
      <c r="G379" s="224"/>
      <c r="H379" s="223"/>
      <c r="I379" s="224"/>
      <c r="J379" s="21" t="str">
        <f>IF(H372=3,B374,"")</f>
        <v/>
      </c>
      <c r="K379" s="15" t="str">
        <f>IFERROR(IF(J379="","",VLOOKUP(J379,LISTAS!$F$5:$G$1004,2,0)),"0")</f>
        <v/>
      </c>
      <c r="L379" s="79"/>
    </row>
    <row r="380" spans="2:16" ht="18" customHeight="1" x14ac:dyDescent="0.25">
      <c r="B380" s="15" t="str">
        <f>IF(H372=3,B372,"")</f>
        <v/>
      </c>
      <c r="C380" s="15" t="str">
        <f>IFERROR(IF(B380="","",VLOOKUP(B380,LISTAS!$F$5:$G$1004,2,0)),"0")</f>
        <v/>
      </c>
      <c r="D380" s="223"/>
      <c r="E380" s="224"/>
      <c r="F380" s="223" t="s">
        <v>38</v>
      </c>
      <c r="G380" s="224"/>
      <c r="H380" s="223"/>
      <c r="I380" s="224"/>
      <c r="J380" s="21" t="str">
        <f>IF(H372=3,B373,"")</f>
        <v/>
      </c>
      <c r="K380" s="15" t="str">
        <f>IFERROR(IF(J380="","",VLOOKUP(J380,LISTAS!$F$5:$G$1004,2,0)),"0")</f>
        <v/>
      </c>
      <c r="L380" s="81"/>
    </row>
    <row r="383" spans="2:16" ht="30" customHeight="1" x14ac:dyDescent="0.25">
      <c r="B383" s="161" t="s">
        <v>73</v>
      </c>
      <c r="C383" s="79"/>
      <c r="D383" s="225" t="s">
        <v>42</v>
      </c>
      <c r="E383" s="226"/>
      <c r="F383" s="226"/>
      <c r="G383" s="227"/>
      <c r="H383" s="113"/>
      <c r="I383" s="225" t="s">
        <v>3</v>
      </c>
      <c r="J383" s="226"/>
      <c r="K383" s="226"/>
      <c r="L383" s="226"/>
    </row>
    <row r="384" spans="2:16" ht="18" customHeight="1" x14ac:dyDescent="0.25">
      <c r="B384" s="9" t="s">
        <v>15</v>
      </c>
      <c r="C384" s="9" t="s">
        <v>0</v>
      </c>
      <c r="D384" s="9" t="s">
        <v>43</v>
      </c>
      <c r="E384" s="9" t="s">
        <v>44</v>
      </c>
      <c r="F384" s="9" t="s">
        <v>77</v>
      </c>
      <c r="G384" s="9" t="s">
        <v>78</v>
      </c>
      <c r="H384" s="114"/>
      <c r="I384" s="9" t="s">
        <v>18</v>
      </c>
      <c r="J384" s="9" t="s">
        <v>15</v>
      </c>
      <c r="K384" s="9" t="s">
        <v>0</v>
      </c>
      <c r="L384" s="9" t="s">
        <v>45</v>
      </c>
    </row>
    <row r="385" spans="2:16" ht="18" customHeight="1" x14ac:dyDescent="0.25">
      <c r="B385" s="15"/>
      <c r="C385" s="15" t="str">
        <f>IFERROR(IF(B385="","",VLOOKUP(B385,LISTAS!$F$5:$G$1004,2,0)),"0")</f>
        <v/>
      </c>
      <c r="D385" s="15" t="str">
        <f>IF(H385&lt;3,"",IF(H385=3,IF(D391&lt;&gt;"",IF(H391&lt;&gt;"",IF(D391&lt;&gt;H391,IF(D391&gt;H391,"V","D"),""),""),"")))</f>
        <v/>
      </c>
      <c r="E385" s="15" t="str">
        <f>IF(H385&lt;3,"",IF(H385=3,IF(D393&lt;&gt;"",IF(H393&lt;&gt;"",IF(D393&lt;&gt;H393,IF(D393&gt;H393,"V","D"),""),""),"")))</f>
        <v/>
      </c>
      <c r="F385" s="15" t="s">
        <v>81</v>
      </c>
      <c r="G385" s="15" t="s">
        <v>81</v>
      </c>
      <c r="H385" s="117">
        <f>COUNTA(B385:B387)</f>
        <v>0</v>
      </c>
      <c r="I385" s="15" t="str">
        <f>IF(B385&lt;&gt;"",1,"")</f>
        <v/>
      </c>
      <c r="J385" s="15" t="str">
        <f>IF(I385&lt;&gt;"",P385,"")</f>
        <v/>
      </c>
      <c r="K385" s="15" t="str">
        <f>IFERROR(IF(J385="","",VLOOKUP(J385,LISTAS!$F$5:$G$1004,2,0)),"0")</f>
        <v/>
      </c>
      <c r="L385" s="119" t="str">
        <f>IF(H385=3,"OURO",IF(H385=4,"OURO",IF(H385=5,"OURO","")))</f>
        <v/>
      </c>
      <c r="M385" s="20" t="str">
        <f>IF(B385&lt;&gt;"",COUNTIF(D385:G385,"V")+(SUMIF(B391:B393,B385,D391:E393)/1000)+(SUMIF(J391:J393,B385,H391:I393)/1000)-(SUMIF(B391:B393,B385,H391:I393)/1000)-(SUMIF(J391:J393,B385,D391:E393)/1000)+0.003,"")</f>
        <v/>
      </c>
      <c r="N385" s="20" t="str">
        <f>IF(B385="","",B385)</f>
        <v/>
      </c>
      <c r="O385" s="20" t="str">
        <f>IF(B385&lt;&gt;"",LARGE(M385:M387,1),"")</f>
        <v/>
      </c>
      <c r="P385" s="20" t="str">
        <f>VLOOKUP(O385,M385:N387,2,0)</f>
        <v/>
      </c>
    </row>
    <row r="386" spans="2:16" ht="18" customHeight="1" x14ac:dyDescent="0.25">
      <c r="B386" s="15"/>
      <c r="C386" s="15" t="str">
        <f>IFERROR(IF(B386="","",VLOOKUP(B386,LISTAS!$F$5:$G$1004,2,0)),"0")</f>
        <v/>
      </c>
      <c r="D386" s="15" t="str">
        <f>IF(H385&lt;3,"",IF(H385=3,IF(D392&lt;&gt;"",IF(H392&lt;&gt;"",IF(D392&lt;&gt;H392,IF(D392&gt;H392,"V","D"),""),""),"")))</f>
        <v/>
      </c>
      <c r="E386" s="15" t="str">
        <f>IF(H385&lt;3,"",IF(H385=3,IF(D393&lt;&gt;"",IF(H393&lt;&gt;"",IF(D393&lt;&gt;H393,IF(D393&gt;H393,"D","V"),""),""),"")))</f>
        <v/>
      </c>
      <c r="F386" s="15" t="s">
        <v>81</v>
      </c>
      <c r="G386" s="15" t="s">
        <v>81</v>
      </c>
      <c r="H386" s="115"/>
      <c r="I386" s="15" t="str">
        <f>IF(B386&lt;&gt;"",2,"")</f>
        <v/>
      </c>
      <c r="J386" s="15" t="str">
        <f>IF(I386&lt;&gt;"",P386,"")</f>
        <v/>
      </c>
      <c r="K386" s="15" t="str">
        <f>IFERROR(IF(J386="","",VLOOKUP(J386,LISTAS!$F$5:$G$1004,2,0)),"0")</f>
        <v/>
      </c>
      <c r="L386" s="119" t="str">
        <f>IF(H385=3,"PRATA",IF(H385=4,"OURO",IF(H385=5,"OURO","")))</f>
        <v/>
      </c>
      <c r="M386" s="20" t="str">
        <f>IF(B386&lt;&gt;"",COUNTIF(D386:G386,"V")+(SUMIF(B391:B393,B386,D391:E393)/1000)+(SUMIF(J391:J393,B386,H391:I393)/1000)-(SUMIF(B391:B393,B386,H391:I393)/1000)-(SUMIF(J391:J393,B386,D391:E393)/1000)+0.002,"")</f>
        <v/>
      </c>
      <c r="N386" s="20" t="str">
        <f t="shared" ref="N386" si="28">IF(B386="","",B386)</f>
        <v/>
      </c>
      <c r="O386" s="20" t="str">
        <f>IF(B386&lt;&gt;"",LARGE(M385:M387,2),"")</f>
        <v/>
      </c>
      <c r="P386" s="20" t="str">
        <f>VLOOKUP(O386,M385:N387,2,0)</f>
        <v/>
      </c>
    </row>
    <row r="387" spans="2:16" ht="18" customHeight="1" x14ac:dyDescent="0.25">
      <c r="B387" s="15"/>
      <c r="C387" s="15" t="str">
        <f>IFERROR(IF(B387="","",VLOOKUP(B387,LISTAS!$F$5:$G$1004,2,0)),"0")</f>
        <v/>
      </c>
      <c r="D387" s="15" t="str">
        <f>IF(H385&lt;3,"",IF(H385=3,IF(D391&lt;&gt;"",IF(H391&lt;&gt;"",IF(D391&lt;&gt;H391,IF(D391&gt;H391,"D","V"),""),""),"")))</f>
        <v/>
      </c>
      <c r="E387" s="15" t="str">
        <f>IF(H385&lt;3,"",IF(H385=3,IF(D392&lt;&gt;"",IF(H392&lt;&gt;"",IF(D392&lt;&gt;H392,IF(D392&gt;H392,"D","V"),""),""),"")))</f>
        <v/>
      </c>
      <c r="F387" s="15" t="s">
        <v>81</v>
      </c>
      <c r="G387" s="15" t="s">
        <v>81</v>
      </c>
      <c r="H387" s="115"/>
      <c r="I387" s="15" t="str">
        <f>IF(B387&lt;&gt;"",3,"")</f>
        <v/>
      </c>
      <c r="J387" s="15" t="str">
        <f>IF(I387&lt;&gt;"",P387,"")</f>
        <v/>
      </c>
      <c r="K387" s="15" t="str">
        <f>IFERROR(IF(J387="","",VLOOKUP(J387,LISTAS!$F$5:$G$1004,2,0)),"0")</f>
        <v/>
      </c>
      <c r="L387" s="119" t="str">
        <f>IF(H385=3,"BRONZE",IF(H385=4,"PRATA",IF(H385=5,"OURO","")))</f>
        <v/>
      </c>
      <c r="M387" s="20" t="str">
        <f>IF(B387&lt;&gt;"",COUNTIF(D387:G387,"V")+(SUMIF(B391:B393,B387,D391:E393)/1000)+(SUMIF(J391:J393,B387,H391:I393)/1000)-(SUMIF(B391:B393,B387,H391:I393)/1000)-(SUMIF(J391:J393,B387,D391:E393)/1000)+0.001,"")</f>
        <v/>
      </c>
      <c r="N387" s="20" t="str">
        <f>IF(B387="","",B387)</f>
        <v/>
      </c>
      <c r="O387" s="20" t="str">
        <f>IF(B387&lt;&gt;"",LARGE(M385:M387,3),"")</f>
        <v/>
      </c>
      <c r="P387" s="20" t="str">
        <f>VLOOKUP(O387,M385:N387,2,0)</f>
        <v/>
      </c>
    </row>
    <row r="388" spans="2:16" ht="18" customHeight="1" x14ac:dyDescent="0.25">
      <c r="B388" s="79"/>
      <c r="C388" s="79"/>
      <c r="D388" s="79"/>
      <c r="E388" s="79"/>
      <c r="F388" s="79"/>
      <c r="G388" s="79"/>
      <c r="I388" s="80"/>
      <c r="J388" s="79"/>
      <c r="K388" s="81"/>
      <c r="L388" s="81"/>
    </row>
    <row r="389" spans="2:16" ht="23.25" customHeight="1" x14ac:dyDescent="0.25">
      <c r="B389" s="82" t="s">
        <v>40</v>
      </c>
      <c r="C389" s="79"/>
      <c r="D389" s="79"/>
      <c r="E389" s="79"/>
      <c r="F389" s="79"/>
      <c r="G389" s="79"/>
      <c r="H389" s="79"/>
      <c r="I389" s="79"/>
      <c r="J389" s="79"/>
      <c r="K389" s="79"/>
      <c r="L389" s="79"/>
    </row>
    <row r="390" spans="2:16" ht="18" customHeight="1" x14ac:dyDescent="0.25">
      <c r="B390" s="9" t="s">
        <v>15</v>
      </c>
      <c r="C390" s="9" t="s">
        <v>0</v>
      </c>
      <c r="D390" s="228" t="s">
        <v>41</v>
      </c>
      <c r="E390" s="229"/>
      <c r="F390" s="229"/>
      <c r="G390" s="229"/>
      <c r="H390" s="229"/>
      <c r="I390" s="230"/>
      <c r="J390" s="9" t="s">
        <v>15</v>
      </c>
      <c r="K390" s="9" t="s">
        <v>0</v>
      </c>
      <c r="L390" s="79"/>
    </row>
    <row r="391" spans="2:16" ht="18" customHeight="1" x14ac:dyDescent="0.25">
      <c r="B391" s="15" t="str">
        <f>IF(H385=3,B385,"")</f>
        <v/>
      </c>
      <c r="C391" s="15" t="str">
        <f>IFERROR(IF(B391="","",VLOOKUP(B391,LISTAS!$F$5:$G$1004,2,0)),"0")</f>
        <v/>
      </c>
      <c r="D391" s="223"/>
      <c r="E391" s="224"/>
      <c r="F391" s="223" t="s">
        <v>38</v>
      </c>
      <c r="G391" s="224"/>
      <c r="H391" s="223"/>
      <c r="I391" s="224"/>
      <c r="J391" s="21" t="str">
        <f>IF(H385=3,B387,"")</f>
        <v/>
      </c>
      <c r="K391" s="15" t="str">
        <f>IFERROR(IF(J391="","",VLOOKUP(J391,LISTAS!$F$5:$G$1004,2,0)),"0")</f>
        <v/>
      </c>
      <c r="L391" s="81"/>
    </row>
    <row r="392" spans="2:16" ht="18" customHeight="1" x14ac:dyDescent="0.25">
      <c r="B392" s="15" t="str">
        <f>IF(H385=3,B386,"")</f>
        <v/>
      </c>
      <c r="C392" s="15" t="str">
        <f>IFERROR(IF(B392="","",VLOOKUP(B392,LISTAS!$F$5:$G$1004,2,0)),"0")</f>
        <v/>
      </c>
      <c r="D392" s="223"/>
      <c r="E392" s="224"/>
      <c r="F392" s="223" t="s">
        <v>38</v>
      </c>
      <c r="G392" s="224"/>
      <c r="H392" s="223"/>
      <c r="I392" s="224"/>
      <c r="J392" s="21" t="str">
        <f>IF(H385=3,B387,"")</f>
        <v/>
      </c>
      <c r="K392" s="15" t="str">
        <f>IFERROR(IF(J392="","",VLOOKUP(J392,LISTAS!$F$5:$G$1004,2,0)),"0")</f>
        <v/>
      </c>
      <c r="L392" s="79"/>
    </row>
    <row r="393" spans="2:16" ht="18" customHeight="1" x14ac:dyDescent="0.25">
      <c r="B393" s="15" t="str">
        <f>IF(H385=3,B385,"")</f>
        <v/>
      </c>
      <c r="C393" s="15" t="str">
        <f>IFERROR(IF(B393="","",VLOOKUP(B393,LISTAS!$F$5:$G$1004,2,0)),"0")</f>
        <v/>
      </c>
      <c r="D393" s="223"/>
      <c r="E393" s="224"/>
      <c r="F393" s="223" t="s">
        <v>38</v>
      </c>
      <c r="G393" s="224"/>
      <c r="H393" s="223"/>
      <c r="I393" s="224"/>
      <c r="J393" s="21" t="str">
        <f>IF(H385=3,B386,"")</f>
        <v/>
      </c>
      <c r="K393" s="15" t="str">
        <f>IFERROR(IF(J393="","",VLOOKUP(J393,LISTAS!$F$5:$G$1004,2,0)),"0")</f>
        <v/>
      </c>
      <c r="L393" s="81"/>
    </row>
    <row r="396" spans="2:16" ht="30" customHeight="1" x14ac:dyDescent="0.25">
      <c r="B396" s="161" t="s">
        <v>74</v>
      </c>
      <c r="C396" s="79"/>
      <c r="D396" s="225" t="s">
        <v>42</v>
      </c>
      <c r="E396" s="226"/>
      <c r="F396" s="226"/>
      <c r="G396" s="227"/>
      <c r="H396" s="113"/>
      <c r="I396" s="225" t="s">
        <v>3</v>
      </c>
      <c r="J396" s="226"/>
      <c r="K396" s="226"/>
      <c r="L396" s="226"/>
    </row>
    <row r="397" spans="2:16" ht="18" customHeight="1" x14ac:dyDescent="0.25">
      <c r="B397" s="9" t="s">
        <v>15</v>
      </c>
      <c r="C397" s="9" t="s">
        <v>0</v>
      </c>
      <c r="D397" s="9" t="s">
        <v>43</v>
      </c>
      <c r="E397" s="9" t="s">
        <v>44</v>
      </c>
      <c r="F397" s="9" t="s">
        <v>77</v>
      </c>
      <c r="G397" s="9" t="s">
        <v>78</v>
      </c>
      <c r="H397" s="114"/>
      <c r="I397" s="9" t="s">
        <v>18</v>
      </c>
      <c r="J397" s="9" t="s">
        <v>15</v>
      </c>
      <c r="K397" s="9" t="s">
        <v>0</v>
      </c>
      <c r="L397" s="9" t="s">
        <v>45</v>
      </c>
    </row>
    <row r="398" spans="2:16" ht="18" customHeight="1" x14ac:dyDescent="0.25">
      <c r="B398" s="15"/>
      <c r="C398" s="15" t="str">
        <f>IFERROR(IF(B398="","",VLOOKUP(B398,LISTAS!$F$5:$G$1004,2,0)),"0")</f>
        <v/>
      </c>
      <c r="D398" s="15" t="str">
        <f>IF(H398&lt;3,"",IF(H398=3,IF(D404&lt;&gt;"",IF(H404&lt;&gt;"",IF(D404&lt;&gt;H404,IF(D404&gt;H404,"V","D"),""),""),"")))</f>
        <v/>
      </c>
      <c r="E398" s="15" t="str">
        <f>IF(H398&lt;3,"",IF(H398=3,IF(D406&lt;&gt;"",IF(H406&lt;&gt;"",IF(D406&lt;&gt;H406,IF(D406&gt;H406,"V","D"),""),""),"")))</f>
        <v/>
      </c>
      <c r="F398" s="15" t="s">
        <v>81</v>
      </c>
      <c r="G398" s="15" t="s">
        <v>81</v>
      </c>
      <c r="H398" s="117">
        <f>COUNTA(B398:B400)</f>
        <v>0</v>
      </c>
      <c r="I398" s="15" t="str">
        <f>IF(B398&lt;&gt;"",1,"")</f>
        <v/>
      </c>
      <c r="J398" s="15" t="str">
        <f>IF(I398&lt;&gt;"",P398,"")</f>
        <v/>
      </c>
      <c r="K398" s="15" t="str">
        <f>IFERROR(IF(J398="","",VLOOKUP(J398,LISTAS!$F$5:$G$1004,2,0)),"0")</f>
        <v/>
      </c>
      <c r="L398" s="119" t="str">
        <f>IF(H398=3,"OURO",IF(H398=4,"OURO",IF(H398=5,"OURO","")))</f>
        <v/>
      </c>
      <c r="M398" s="20" t="str">
        <f>IF(B398&lt;&gt;"",COUNTIF(D398:G398,"V")+(SUMIF(B404:B406,B398,D404:E406)/1000)+(SUMIF(J404:J406,B398,H404:I406)/1000)-(SUMIF(B404:B406,B398,H404:I406)/1000)-(SUMIF(J404:J406,B398,D404:E406)/1000)+0.003,"")</f>
        <v/>
      </c>
      <c r="N398" s="20" t="str">
        <f>IF(B398="","",B398)</f>
        <v/>
      </c>
      <c r="O398" s="20" t="str">
        <f>IF(B398&lt;&gt;"",LARGE(M398:M400,1),"")</f>
        <v/>
      </c>
      <c r="P398" s="20" t="str">
        <f>VLOOKUP(O398,M398:N400,2,0)</f>
        <v/>
      </c>
    </row>
    <row r="399" spans="2:16" ht="18" customHeight="1" x14ac:dyDescent="0.25">
      <c r="B399" s="15"/>
      <c r="C399" s="15" t="str">
        <f>IFERROR(IF(B399="","",VLOOKUP(B399,LISTAS!$F$5:$G$1004,2,0)),"0")</f>
        <v/>
      </c>
      <c r="D399" s="15" t="str">
        <f>IF(H398&lt;3,"",IF(H398=3,IF(D405&lt;&gt;"",IF(H405&lt;&gt;"",IF(D405&lt;&gt;H405,IF(D405&gt;H405,"V","D"),""),""),"")))</f>
        <v/>
      </c>
      <c r="E399" s="15" t="str">
        <f>IF(H398&lt;3,"",IF(H398=3,IF(D406&lt;&gt;"",IF(H406&lt;&gt;"",IF(D406&lt;&gt;H406,IF(D406&gt;H406,"D","V"),""),""),"")))</f>
        <v/>
      </c>
      <c r="F399" s="15" t="s">
        <v>81</v>
      </c>
      <c r="G399" s="15" t="s">
        <v>81</v>
      </c>
      <c r="H399" s="115"/>
      <c r="I399" s="15" t="str">
        <f>IF(B399&lt;&gt;"",2,"")</f>
        <v/>
      </c>
      <c r="J399" s="15" t="str">
        <f>IF(I399&lt;&gt;"",P399,"")</f>
        <v/>
      </c>
      <c r="K399" s="15" t="str">
        <f>IFERROR(IF(J399="","",VLOOKUP(J399,LISTAS!$F$5:$G$1004,2,0)),"0")</f>
        <v/>
      </c>
      <c r="L399" s="119" t="str">
        <f>IF(H398=3,"PRATA",IF(H398=4,"OURO",IF(H398=5,"OURO","")))</f>
        <v/>
      </c>
      <c r="M399" s="20" t="str">
        <f>IF(B399&lt;&gt;"",COUNTIF(D399:G399,"V")+(SUMIF(B404:B406,B399,D404:E406)/1000)+(SUMIF(J404:J406,B399,H404:I406)/1000)-(SUMIF(B404:B406,B399,H404:I406)/1000)-(SUMIF(J404:J406,B399,D404:E406)/1000)+0.002,"")</f>
        <v/>
      </c>
      <c r="N399" s="20" t="str">
        <f t="shared" ref="N399" si="29">IF(B399="","",B399)</f>
        <v/>
      </c>
      <c r="O399" s="20" t="str">
        <f>IF(B399&lt;&gt;"",LARGE(M398:M400,2),"")</f>
        <v/>
      </c>
      <c r="P399" s="20" t="str">
        <f>VLOOKUP(O399,M398:N400,2,0)</f>
        <v/>
      </c>
    </row>
    <row r="400" spans="2:16" ht="18" customHeight="1" x14ac:dyDescent="0.25">
      <c r="B400" s="15"/>
      <c r="C400" s="15" t="str">
        <f>IFERROR(IF(B400="","",VLOOKUP(B400,LISTAS!$F$5:$G$1004,2,0)),"0")</f>
        <v/>
      </c>
      <c r="D400" s="15" t="str">
        <f>IF(H398&lt;3,"",IF(H398=3,IF(D404&lt;&gt;"",IF(H404&lt;&gt;"",IF(D404&lt;&gt;H404,IF(D404&gt;H404,"D","V"),""),""),"")))</f>
        <v/>
      </c>
      <c r="E400" s="15" t="str">
        <f>IF(H398&lt;3,"",IF(H398=3,IF(D405&lt;&gt;"",IF(H405&lt;&gt;"",IF(D405&lt;&gt;H405,IF(D405&gt;H405,"D","V"),""),""),"")))</f>
        <v/>
      </c>
      <c r="F400" s="15" t="s">
        <v>81</v>
      </c>
      <c r="G400" s="15" t="s">
        <v>81</v>
      </c>
      <c r="H400" s="115"/>
      <c r="I400" s="15" t="str">
        <f>IF(B400&lt;&gt;"",3,"")</f>
        <v/>
      </c>
      <c r="J400" s="15" t="str">
        <f>IF(I400&lt;&gt;"",P400,"")</f>
        <v/>
      </c>
      <c r="K400" s="15" t="str">
        <f>IFERROR(IF(J400="","",VLOOKUP(J400,LISTAS!$F$5:$G$1004,2,0)),"0")</f>
        <v/>
      </c>
      <c r="L400" s="119" t="str">
        <f>IF(H398=3,"BRONZE",IF(H398=4,"PRATA",IF(H398=5,"OURO","")))</f>
        <v/>
      </c>
      <c r="M400" s="20" t="str">
        <f>IF(B400&lt;&gt;"",COUNTIF(D400:G400,"V")+(SUMIF(B404:B406,B400,D404:E406)/1000)+(SUMIF(J404:J406,B400,H404:I406)/1000)-(SUMIF(B404:B406,B400,H404:I406)/1000)-(SUMIF(J404:J406,B400,D404:E406)/1000)+0.001,"")</f>
        <v/>
      </c>
      <c r="N400" s="20" t="str">
        <f>IF(B400="","",B400)</f>
        <v/>
      </c>
      <c r="O400" s="20" t="str">
        <f>IF(B400&lt;&gt;"",LARGE(M398:M400,3),"")</f>
        <v/>
      </c>
      <c r="P400" s="20" t="str">
        <f>VLOOKUP(O400,M398:N400,2,0)</f>
        <v/>
      </c>
    </row>
    <row r="401" spans="2:16" ht="18" customHeight="1" x14ac:dyDescent="0.25">
      <c r="B401" s="79"/>
      <c r="C401" s="79"/>
      <c r="D401" s="79"/>
      <c r="E401" s="79"/>
      <c r="F401" s="79"/>
      <c r="G401" s="79"/>
      <c r="I401" s="80"/>
      <c r="J401" s="79"/>
      <c r="K401" s="81"/>
      <c r="L401" s="81"/>
    </row>
    <row r="402" spans="2:16" ht="23.25" customHeight="1" x14ac:dyDescent="0.25">
      <c r="B402" s="82" t="s">
        <v>40</v>
      </c>
      <c r="C402" s="79"/>
      <c r="D402" s="79"/>
      <c r="E402" s="79"/>
      <c r="F402" s="79"/>
      <c r="G402" s="79"/>
      <c r="H402" s="79"/>
      <c r="I402" s="79"/>
      <c r="J402" s="79"/>
      <c r="K402" s="79"/>
      <c r="L402" s="79"/>
    </row>
    <row r="403" spans="2:16" ht="18" customHeight="1" x14ac:dyDescent="0.25">
      <c r="B403" s="9" t="s">
        <v>15</v>
      </c>
      <c r="C403" s="9" t="s">
        <v>0</v>
      </c>
      <c r="D403" s="228" t="s">
        <v>41</v>
      </c>
      <c r="E403" s="229"/>
      <c r="F403" s="229"/>
      <c r="G403" s="229"/>
      <c r="H403" s="229"/>
      <c r="I403" s="230"/>
      <c r="J403" s="9" t="s">
        <v>15</v>
      </c>
      <c r="K403" s="9" t="s">
        <v>0</v>
      </c>
      <c r="L403" s="79"/>
    </row>
    <row r="404" spans="2:16" ht="18" customHeight="1" x14ac:dyDescent="0.25">
      <c r="B404" s="15" t="str">
        <f>IF(H398=3,B398,"")</f>
        <v/>
      </c>
      <c r="C404" s="15" t="str">
        <f>IFERROR(IF(B404="","",VLOOKUP(B404,LISTAS!$F$5:$G$1004,2,0)),"0")</f>
        <v/>
      </c>
      <c r="D404" s="223"/>
      <c r="E404" s="224"/>
      <c r="F404" s="223" t="s">
        <v>38</v>
      </c>
      <c r="G404" s="224"/>
      <c r="H404" s="223"/>
      <c r="I404" s="224"/>
      <c r="J404" s="21" t="str">
        <f>IF(H398=3,B400,"")</f>
        <v/>
      </c>
      <c r="K404" s="15" t="str">
        <f>IFERROR(IF(J404="","",VLOOKUP(J404,LISTAS!$F$5:$G$1004,2,0)),"0")</f>
        <v/>
      </c>
      <c r="L404" s="81"/>
    </row>
    <row r="405" spans="2:16" ht="18" customHeight="1" x14ac:dyDescent="0.25">
      <c r="B405" s="15" t="str">
        <f>IF(H398=3,B399,"")</f>
        <v/>
      </c>
      <c r="C405" s="15" t="str">
        <f>IFERROR(IF(B405="","",VLOOKUP(B405,LISTAS!$F$5:$G$1004,2,0)),"0")</f>
        <v/>
      </c>
      <c r="D405" s="223"/>
      <c r="E405" s="224"/>
      <c r="F405" s="223" t="s">
        <v>38</v>
      </c>
      <c r="G405" s="224"/>
      <c r="H405" s="223"/>
      <c r="I405" s="224"/>
      <c r="J405" s="21" t="str">
        <f>IF(H398=3,B400,"")</f>
        <v/>
      </c>
      <c r="K405" s="15" t="str">
        <f>IFERROR(IF(J405="","",VLOOKUP(J405,LISTAS!$F$5:$G$1004,2,0)),"0")</f>
        <v/>
      </c>
      <c r="L405" s="79"/>
    </row>
    <row r="406" spans="2:16" ht="18" customHeight="1" x14ac:dyDescent="0.25">
      <c r="B406" s="15" t="str">
        <f>IF(H398=3,B398,"")</f>
        <v/>
      </c>
      <c r="C406" s="15" t="str">
        <f>IFERROR(IF(B406="","",VLOOKUP(B406,LISTAS!$F$5:$G$1004,2,0)),"0")</f>
        <v/>
      </c>
      <c r="D406" s="223"/>
      <c r="E406" s="224"/>
      <c r="F406" s="223" t="s">
        <v>38</v>
      </c>
      <c r="G406" s="224"/>
      <c r="H406" s="223"/>
      <c r="I406" s="224"/>
      <c r="J406" s="21" t="str">
        <f>IF(H398=3,B399,"")</f>
        <v/>
      </c>
      <c r="K406" s="15" t="str">
        <f>IFERROR(IF(J406="","",VLOOKUP(J406,LISTAS!$F$5:$G$1004,2,0)),"0")</f>
        <v/>
      </c>
      <c r="L406" s="81"/>
    </row>
    <row r="409" spans="2:16" ht="30" customHeight="1" x14ac:dyDescent="0.25">
      <c r="B409" s="161" t="s">
        <v>75</v>
      </c>
      <c r="C409" s="79"/>
      <c r="D409" s="225" t="s">
        <v>42</v>
      </c>
      <c r="E409" s="226"/>
      <c r="F409" s="226"/>
      <c r="G409" s="227"/>
      <c r="H409" s="113"/>
      <c r="I409" s="225" t="s">
        <v>3</v>
      </c>
      <c r="J409" s="226"/>
      <c r="K409" s="226"/>
      <c r="L409" s="226"/>
    </row>
    <row r="410" spans="2:16" ht="18" customHeight="1" x14ac:dyDescent="0.25">
      <c r="B410" s="9" t="s">
        <v>15</v>
      </c>
      <c r="C410" s="9" t="s">
        <v>0</v>
      </c>
      <c r="D410" s="9" t="s">
        <v>43</v>
      </c>
      <c r="E410" s="9" t="s">
        <v>44</v>
      </c>
      <c r="F410" s="9" t="s">
        <v>77</v>
      </c>
      <c r="G410" s="9" t="s">
        <v>78</v>
      </c>
      <c r="H410" s="114"/>
      <c r="I410" s="9" t="s">
        <v>18</v>
      </c>
      <c r="J410" s="9" t="s">
        <v>15</v>
      </c>
      <c r="K410" s="9" t="s">
        <v>0</v>
      </c>
      <c r="L410" s="9" t="s">
        <v>45</v>
      </c>
    </row>
    <row r="411" spans="2:16" ht="18" customHeight="1" x14ac:dyDescent="0.25">
      <c r="B411" s="15"/>
      <c r="C411" s="15" t="str">
        <f>IFERROR(IF(B411="","",VLOOKUP(B411,LISTAS!$F$5:$G$1004,2,0)),"0")</f>
        <v/>
      </c>
      <c r="D411" s="15" t="str">
        <f>IF(H411&lt;3,"",IF(H411=3,IF(D417&lt;&gt;"",IF(H417&lt;&gt;"",IF(D417&lt;&gt;H417,IF(D417&gt;H417,"V","D"),""),""),"")))</f>
        <v/>
      </c>
      <c r="E411" s="15" t="str">
        <f>IF(H411&lt;3,"",IF(H411=3,IF(D419&lt;&gt;"",IF(H419&lt;&gt;"",IF(D419&lt;&gt;H419,IF(D419&gt;H419,"V","D"),""),""),"")))</f>
        <v/>
      </c>
      <c r="F411" s="15" t="s">
        <v>81</v>
      </c>
      <c r="G411" s="15" t="s">
        <v>81</v>
      </c>
      <c r="H411" s="117">
        <f>COUNTA(B411:B413)</f>
        <v>0</v>
      </c>
      <c r="I411" s="15" t="str">
        <f>IF(B411&lt;&gt;"",1,"")</f>
        <v/>
      </c>
      <c r="J411" s="15" t="str">
        <f>IF(I411&lt;&gt;"",P411,"")</f>
        <v/>
      </c>
      <c r="K411" s="15" t="str">
        <f>IFERROR(IF(J411="","",VLOOKUP(J411,LISTAS!$F$5:$G$1004,2,0)),"0")</f>
        <v/>
      </c>
      <c r="L411" s="119" t="str">
        <f>IF(H411=3,"OURO",IF(H411=4,"OURO",IF(H411=5,"OURO","")))</f>
        <v/>
      </c>
      <c r="M411" s="20" t="str">
        <f>IF(B411&lt;&gt;"",COUNTIF(D411:G411,"V")+(SUMIF(B417:B419,B411,D417:E419)/1000)+(SUMIF(J417:J419,B411,H417:I419)/1000)-(SUMIF(B417:B419,B411,H417:I419)/1000)-(SUMIF(J417:J419,B411,D417:E419)/1000)+0.003,"")</f>
        <v/>
      </c>
      <c r="N411" s="20" t="str">
        <f>IF(B411="","",B411)</f>
        <v/>
      </c>
      <c r="O411" s="20" t="str">
        <f>IF(B411&lt;&gt;"",LARGE(M411:M413,1),"")</f>
        <v/>
      </c>
      <c r="P411" s="20" t="str">
        <f>VLOOKUP(O411,M411:N413,2,0)</f>
        <v/>
      </c>
    </row>
    <row r="412" spans="2:16" ht="18" customHeight="1" x14ac:dyDescent="0.25">
      <c r="B412" s="15"/>
      <c r="C412" s="15" t="str">
        <f>IFERROR(IF(B412="","",VLOOKUP(B412,LISTAS!$F$5:$G$1004,2,0)),"0")</f>
        <v/>
      </c>
      <c r="D412" s="15" t="str">
        <f>IF(H411&lt;3,"",IF(H411=3,IF(D418&lt;&gt;"",IF(H418&lt;&gt;"",IF(D418&lt;&gt;H418,IF(D418&gt;H418,"V","D"),""),""),"")))</f>
        <v/>
      </c>
      <c r="E412" s="15" t="str">
        <f>IF(H411&lt;3,"",IF(H411=3,IF(D419&lt;&gt;"",IF(H419&lt;&gt;"",IF(D419&lt;&gt;H419,IF(D419&gt;H419,"D","V"),""),""),"")))</f>
        <v/>
      </c>
      <c r="F412" s="15" t="s">
        <v>81</v>
      </c>
      <c r="G412" s="15" t="s">
        <v>81</v>
      </c>
      <c r="H412" s="115"/>
      <c r="I412" s="15" t="str">
        <f>IF(B412&lt;&gt;"",2,"")</f>
        <v/>
      </c>
      <c r="J412" s="15" t="str">
        <f>IF(I412&lt;&gt;"",P412,"")</f>
        <v/>
      </c>
      <c r="K412" s="15" t="str">
        <f>IFERROR(IF(J412="","",VLOOKUP(J412,LISTAS!$F$5:$G$1004,2,0)),"0")</f>
        <v/>
      </c>
      <c r="L412" s="119" t="str">
        <f>IF(H411=3,"PRATA",IF(H411=4,"OURO",IF(H411=5,"OURO","")))</f>
        <v/>
      </c>
      <c r="M412" s="20" t="str">
        <f>IF(B412&lt;&gt;"",COUNTIF(D412:G412,"V")+(SUMIF(B417:B419,B412,D417:E419)/1000)+(SUMIF(J417:J419,B412,H417:I419)/1000)-(SUMIF(B417:B419,B412,H417:I419)/1000)-(SUMIF(J417:J419,B412,D417:E419)/1000)+0.002,"")</f>
        <v/>
      </c>
      <c r="N412" s="20" t="str">
        <f t="shared" ref="N412" si="30">IF(B412="","",B412)</f>
        <v/>
      </c>
      <c r="O412" s="20" t="str">
        <f>IF(B412&lt;&gt;"",LARGE(M411:M413,2),"")</f>
        <v/>
      </c>
      <c r="P412" s="20" t="str">
        <f>VLOOKUP(O412,M411:N413,2,0)</f>
        <v/>
      </c>
    </row>
    <row r="413" spans="2:16" ht="18" customHeight="1" x14ac:dyDescent="0.25">
      <c r="B413" s="15"/>
      <c r="C413" s="15" t="str">
        <f>IFERROR(IF(B413="","",VLOOKUP(B413,LISTAS!$F$5:$G$1004,2,0)),"0")</f>
        <v/>
      </c>
      <c r="D413" s="15" t="str">
        <f>IF(H411&lt;3,"",IF(H411=3,IF(D417&lt;&gt;"",IF(H417&lt;&gt;"",IF(D417&lt;&gt;H417,IF(D417&gt;H417,"D","V"),""),""),"")))</f>
        <v/>
      </c>
      <c r="E413" s="15" t="str">
        <f>IF(H411&lt;3,"",IF(H411=3,IF(D418&lt;&gt;"",IF(H418&lt;&gt;"",IF(D418&lt;&gt;H418,IF(D418&gt;H418,"D","V"),""),""),"")))</f>
        <v/>
      </c>
      <c r="F413" s="15" t="s">
        <v>81</v>
      </c>
      <c r="G413" s="15" t="s">
        <v>81</v>
      </c>
      <c r="H413" s="115"/>
      <c r="I413" s="15" t="str">
        <f>IF(B413&lt;&gt;"",3,"")</f>
        <v/>
      </c>
      <c r="J413" s="15" t="str">
        <f>IF(I413&lt;&gt;"",P413,"")</f>
        <v/>
      </c>
      <c r="K413" s="15" t="str">
        <f>IFERROR(IF(J413="","",VLOOKUP(J413,LISTAS!$F$5:$G$1004,2,0)),"0")</f>
        <v/>
      </c>
      <c r="L413" s="119" t="str">
        <f>IF(H411=3,"BRONZE",IF(H411=4,"PRATA",IF(H411=5,"OURO","")))</f>
        <v/>
      </c>
      <c r="M413" s="20" t="str">
        <f>IF(B413&lt;&gt;"",COUNTIF(D413:G413,"V")+(SUMIF(B417:B419,B413,D417:E419)/1000)+(SUMIF(J417:J419,B413,H417:I419)/1000)-(SUMIF(B417:B419,B413,H417:I419)/1000)-(SUMIF(J417:J419,B413,D417:E419)/1000)+0.001,"")</f>
        <v/>
      </c>
      <c r="N413" s="20" t="str">
        <f>IF(B413="","",B413)</f>
        <v/>
      </c>
      <c r="O413" s="20" t="str">
        <f>IF(B413&lt;&gt;"",LARGE(M411:M413,3),"")</f>
        <v/>
      </c>
      <c r="P413" s="20" t="str">
        <f>VLOOKUP(O413,M411:N413,2,0)</f>
        <v/>
      </c>
    </row>
    <row r="414" spans="2:16" ht="18" customHeight="1" x14ac:dyDescent="0.25">
      <c r="B414" s="79"/>
      <c r="C414" s="79"/>
      <c r="D414" s="79"/>
      <c r="E414" s="79"/>
      <c r="F414" s="79"/>
      <c r="G414" s="79"/>
      <c r="I414" s="80"/>
      <c r="J414" s="79"/>
      <c r="K414" s="81"/>
      <c r="L414" s="81"/>
    </row>
    <row r="415" spans="2:16" ht="23.25" customHeight="1" x14ac:dyDescent="0.25">
      <c r="B415" s="82" t="s">
        <v>40</v>
      </c>
      <c r="C415" s="79"/>
      <c r="D415" s="79"/>
      <c r="E415" s="79"/>
      <c r="F415" s="79"/>
      <c r="G415" s="79"/>
      <c r="H415" s="79"/>
      <c r="I415" s="79"/>
      <c r="J415" s="79"/>
      <c r="K415" s="79"/>
      <c r="L415" s="79"/>
    </row>
    <row r="416" spans="2:16" ht="18" customHeight="1" x14ac:dyDescent="0.25">
      <c r="B416" s="9" t="s">
        <v>15</v>
      </c>
      <c r="C416" s="9" t="s">
        <v>0</v>
      </c>
      <c r="D416" s="228" t="s">
        <v>41</v>
      </c>
      <c r="E416" s="229"/>
      <c r="F416" s="229"/>
      <c r="G416" s="229"/>
      <c r="H416" s="229"/>
      <c r="I416" s="230"/>
      <c r="J416" s="9" t="s">
        <v>15</v>
      </c>
      <c r="K416" s="9" t="s">
        <v>0</v>
      </c>
      <c r="L416" s="79"/>
    </row>
    <row r="417" spans="2:16" ht="18" customHeight="1" x14ac:dyDescent="0.25">
      <c r="B417" s="15" t="str">
        <f>IF(H411=3,B411,"")</f>
        <v/>
      </c>
      <c r="C417" s="15" t="str">
        <f>IFERROR(IF(B417="","",VLOOKUP(B417,LISTAS!$F$5:$G$1004,2,0)),"0")</f>
        <v/>
      </c>
      <c r="D417" s="223"/>
      <c r="E417" s="224"/>
      <c r="F417" s="223" t="s">
        <v>38</v>
      </c>
      <c r="G417" s="224"/>
      <c r="H417" s="223"/>
      <c r="I417" s="224"/>
      <c r="J417" s="21" t="str">
        <f>IF(H411=3,B413,"")</f>
        <v/>
      </c>
      <c r="K417" s="15" t="str">
        <f>IFERROR(IF(J417="","",VLOOKUP(J417,LISTAS!$F$5:$G$1004,2,0)),"0")</f>
        <v/>
      </c>
      <c r="L417" s="81"/>
    </row>
    <row r="418" spans="2:16" ht="18" customHeight="1" x14ac:dyDescent="0.25">
      <c r="B418" s="15" t="str">
        <f>IF(H411=3,B412,"")</f>
        <v/>
      </c>
      <c r="C418" s="15" t="str">
        <f>IFERROR(IF(B418="","",VLOOKUP(B418,LISTAS!$F$5:$G$1004,2,0)),"0")</f>
        <v/>
      </c>
      <c r="D418" s="223"/>
      <c r="E418" s="224"/>
      <c r="F418" s="223" t="s">
        <v>38</v>
      </c>
      <c r="G418" s="224"/>
      <c r="H418" s="223"/>
      <c r="I418" s="224"/>
      <c r="J418" s="21" t="str">
        <f>IF(H411=3,B413,"")</f>
        <v/>
      </c>
      <c r="K418" s="15" t="str">
        <f>IFERROR(IF(J418="","",VLOOKUP(J418,LISTAS!$F$5:$G$1004,2,0)),"0")</f>
        <v/>
      </c>
      <c r="L418" s="79"/>
    </row>
    <row r="419" spans="2:16" ht="18" customHeight="1" x14ac:dyDescent="0.25">
      <c r="B419" s="15" t="str">
        <f>IF(H411=3,B411,"")</f>
        <v/>
      </c>
      <c r="C419" s="15" t="str">
        <f>IFERROR(IF(B419="","",VLOOKUP(B419,LISTAS!$F$5:$G$1004,2,0)),"0")</f>
        <v/>
      </c>
      <c r="D419" s="223"/>
      <c r="E419" s="224"/>
      <c r="F419" s="223" t="s">
        <v>38</v>
      </c>
      <c r="G419" s="224"/>
      <c r="H419" s="223"/>
      <c r="I419" s="224"/>
      <c r="J419" s="21" t="str">
        <f>IF(H411=3,B412,"")</f>
        <v/>
      </c>
      <c r="K419" s="15" t="str">
        <f>IFERROR(IF(J419="","",VLOOKUP(J419,LISTAS!$F$5:$G$1004,2,0)),"0")</f>
        <v/>
      </c>
      <c r="L419" s="81"/>
    </row>
    <row r="422" spans="2:16" ht="30" customHeight="1" x14ac:dyDescent="0.25">
      <c r="B422" s="161" t="s">
        <v>76</v>
      </c>
      <c r="C422" s="79"/>
      <c r="D422" s="225" t="s">
        <v>42</v>
      </c>
      <c r="E422" s="226"/>
      <c r="F422" s="226"/>
      <c r="G422" s="227"/>
      <c r="H422" s="113"/>
      <c r="I422" s="225" t="s">
        <v>3</v>
      </c>
      <c r="J422" s="226"/>
      <c r="K422" s="226"/>
      <c r="L422" s="226"/>
    </row>
    <row r="423" spans="2:16" ht="18" customHeight="1" x14ac:dyDescent="0.25">
      <c r="B423" s="9" t="s">
        <v>15</v>
      </c>
      <c r="C423" s="9" t="s">
        <v>0</v>
      </c>
      <c r="D423" s="9" t="s">
        <v>43</v>
      </c>
      <c r="E423" s="9" t="s">
        <v>44</v>
      </c>
      <c r="F423" s="9" t="s">
        <v>77</v>
      </c>
      <c r="G423" s="9" t="s">
        <v>78</v>
      </c>
      <c r="H423" s="114"/>
      <c r="I423" s="9" t="s">
        <v>18</v>
      </c>
      <c r="J423" s="9" t="s">
        <v>15</v>
      </c>
      <c r="K423" s="9" t="s">
        <v>0</v>
      </c>
      <c r="L423" s="9" t="s">
        <v>45</v>
      </c>
    </row>
    <row r="424" spans="2:16" ht="18" customHeight="1" x14ac:dyDescent="0.25">
      <c r="B424" s="15"/>
      <c r="C424" s="15" t="str">
        <f>IFERROR(IF(B424="","",VLOOKUP(B424,LISTAS!$F$5:$G$1004,2,0)),"0")</f>
        <v/>
      </c>
      <c r="D424" s="15" t="str">
        <f>IF(H424&lt;3,"",IF(H424=3,IF(D430&lt;&gt;"",IF(H430&lt;&gt;"",IF(D430&lt;&gt;H430,IF(D430&gt;H430,"V","D"),""),""),"")))</f>
        <v/>
      </c>
      <c r="E424" s="15" t="str">
        <f>IF(H424&lt;3,"",IF(H424=3,IF(D432&lt;&gt;"",IF(H432&lt;&gt;"",IF(D432&lt;&gt;H432,IF(D432&gt;H432,"V","D"),""),""),"")))</f>
        <v/>
      </c>
      <c r="F424" s="15" t="s">
        <v>81</v>
      </c>
      <c r="G424" s="15" t="s">
        <v>81</v>
      </c>
      <c r="H424" s="117">
        <f>COUNTA(B424:B426)</f>
        <v>0</v>
      </c>
      <c r="I424" s="15" t="str">
        <f>IF(B424&lt;&gt;"",1,"")</f>
        <v/>
      </c>
      <c r="J424" s="15" t="str">
        <f>IF(I424&lt;&gt;"",P424,"")</f>
        <v/>
      </c>
      <c r="K424" s="15" t="str">
        <f>IFERROR(IF(J424="","",VLOOKUP(J424,LISTAS!$F$5:$G$1004,2,0)),"0")</f>
        <v/>
      </c>
      <c r="L424" s="119" t="str">
        <f>IF(H424=3,"OURO",IF(H424=4,"OURO",IF(H424=5,"OURO","")))</f>
        <v/>
      </c>
      <c r="M424" s="20" t="str">
        <f>IF(B424&lt;&gt;"",COUNTIF(D424:G424,"V")+(SUMIF(B430:B432,B424,D430:E432)/1000)+(SUMIF(J430:J432,B424,H430:I432)/1000)-(SUMIF(B430:B432,B424,H430:I432)/1000)-(SUMIF(J430:J432,B424,D430:E432)/1000)+0.003,"")</f>
        <v/>
      </c>
      <c r="N424" s="20" t="str">
        <f>IF(B424="","",B424)</f>
        <v/>
      </c>
      <c r="O424" s="20" t="str">
        <f>IF(B424&lt;&gt;"",LARGE(M424:M426,1),"")</f>
        <v/>
      </c>
      <c r="P424" s="20" t="str">
        <f>VLOOKUP(O424,M424:N426,2,0)</f>
        <v/>
      </c>
    </row>
    <row r="425" spans="2:16" ht="18" customHeight="1" x14ac:dyDescent="0.25">
      <c r="B425" s="15"/>
      <c r="C425" s="15" t="str">
        <f>IFERROR(IF(B425="","",VLOOKUP(B425,LISTAS!$F$5:$G$1004,2,0)),"0")</f>
        <v/>
      </c>
      <c r="D425" s="15" t="str">
        <f>IF(H424&lt;3,"",IF(H424=3,IF(D431&lt;&gt;"",IF(H431&lt;&gt;"",IF(D431&lt;&gt;H431,IF(D431&gt;H431,"V","D"),""),""),"")))</f>
        <v/>
      </c>
      <c r="E425" s="15" t="str">
        <f>IF(H424&lt;3,"",IF(H424=3,IF(D432&lt;&gt;"",IF(H432&lt;&gt;"",IF(D432&lt;&gt;H432,IF(D432&gt;H432,"D","V"),""),""),"")))</f>
        <v/>
      </c>
      <c r="F425" s="15" t="s">
        <v>81</v>
      </c>
      <c r="G425" s="15" t="s">
        <v>81</v>
      </c>
      <c r="H425" s="115"/>
      <c r="I425" s="15" t="str">
        <f>IF(B425&lt;&gt;"",2,"")</f>
        <v/>
      </c>
      <c r="J425" s="15" t="str">
        <f>IF(I425&lt;&gt;"",P425,"")</f>
        <v/>
      </c>
      <c r="K425" s="15" t="str">
        <f>IFERROR(IF(J425="","",VLOOKUP(J425,LISTAS!$F$5:$G$1004,2,0)),"0")</f>
        <v/>
      </c>
      <c r="L425" s="119" t="str">
        <f>IF(H424=3,"PRATA",IF(H424=4,"OURO",IF(H424=5,"OURO","")))</f>
        <v/>
      </c>
      <c r="M425" s="20" t="str">
        <f>IF(B425&lt;&gt;"",COUNTIF(D425:G425,"V")+(SUMIF(B430:B432,B425,D430:E432)/1000)+(SUMIF(J430:J432,B425,H430:I432)/1000)-(SUMIF(B430:B432,B425,H430:I432)/1000)-(SUMIF(J430:J432,B425,D430:E432)/1000)+0.002,"")</f>
        <v/>
      </c>
      <c r="N425" s="20" t="str">
        <f t="shared" ref="N425" si="31">IF(B425="","",B425)</f>
        <v/>
      </c>
      <c r="O425" s="20" t="str">
        <f>IF(B425&lt;&gt;"",LARGE(M424:M426,2),"")</f>
        <v/>
      </c>
      <c r="P425" s="20" t="str">
        <f>VLOOKUP(O425,M424:N426,2,0)</f>
        <v/>
      </c>
    </row>
    <row r="426" spans="2:16" ht="18" customHeight="1" x14ac:dyDescent="0.25">
      <c r="B426" s="15"/>
      <c r="C426" s="15" t="str">
        <f>IFERROR(IF(B426="","",VLOOKUP(B426,LISTAS!$F$5:$G$1004,2,0)),"0")</f>
        <v/>
      </c>
      <c r="D426" s="15" t="str">
        <f>IF(H424&lt;3,"",IF(H424=3,IF(D430&lt;&gt;"",IF(H430&lt;&gt;"",IF(D430&lt;&gt;H430,IF(D430&gt;H430,"D","V"),""),""),"")))</f>
        <v/>
      </c>
      <c r="E426" s="15" t="str">
        <f>IF(H424&lt;3,"",IF(H424=3,IF(D431&lt;&gt;"",IF(H431&lt;&gt;"",IF(D431&lt;&gt;H431,IF(D431&gt;H431,"D","V"),""),""),"")))</f>
        <v/>
      </c>
      <c r="F426" s="15" t="s">
        <v>81</v>
      </c>
      <c r="G426" s="15" t="s">
        <v>81</v>
      </c>
      <c r="H426" s="115"/>
      <c r="I426" s="15" t="str">
        <f>IF(B426&lt;&gt;"",3,"")</f>
        <v/>
      </c>
      <c r="J426" s="15" t="str">
        <f>IF(I426&lt;&gt;"",P426,"")</f>
        <v/>
      </c>
      <c r="K426" s="15" t="str">
        <f>IFERROR(IF(J426="","",VLOOKUP(J426,LISTAS!$F$5:$G$1004,2,0)),"0")</f>
        <v/>
      </c>
      <c r="L426" s="119" t="str">
        <f>IF(H424=3,"BRONZE",IF(H424=4,"PRATA",IF(H424=5,"OURO","")))</f>
        <v/>
      </c>
      <c r="M426" s="20" t="str">
        <f>IF(B426&lt;&gt;"",COUNTIF(D426:G426,"V")+(SUMIF(B430:B432,B426,D430:E432)/1000)+(SUMIF(J430:J432,B426,H430:I432)/1000)-(SUMIF(B430:B432,B426,H430:I432)/1000)-(SUMIF(J430:J432,B426,D430:E432)/1000)+0.001,"")</f>
        <v/>
      </c>
      <c r="N426" s="20" t="str">
        <f>IF(B426="","",B426)</f>
        <v/>
      </c>
      <c r="O426" s="20" t="str">
        <f>IF(B426&lt;&gt;"",LARGE(M424:M426,3),"")</f>
        <v/>
      </c>
      <c r="P426" s="20" t="str">
        <f>VLOOKUP(O426,M424:N426,2,0)</f>
        <v/>
      </c>
    </row>
    <row r="427" spans="2:16" ht="18" customHeight="1" x14ac:dyDescent="0.25">
      <c r="B427" s="79"/>
      <c r="C427" s="79"/>
      <c r="D427" s="79"/>
      <c r="E427" s="79"/>
      <c r="F427" s="79"/>
      <c r="G427" s="79"/>
      <c r="I427" s="80"/>
      <c r="J427" s="79"/>
      <c r="K427" s="81"/>
      <c r="L427" s="81"/>
    </row>
    <row r="428" spans="2:16" ht="23.25" customHeight="1" x14ac:dyDescent="0.25">
      <c r="B428" s="82" t="s">
        <v>40</v>
      </c>
      <c r="C428" s="79"/>
      <c r="D428" s="79"/>
      <c r="E428" s="79"/>
      <c r="F428" s="79"/>
      <c r="G428" s="79"/>
      <c r="H428" s="79"/>
      <c r="I428" s="79"/>
      <c r="J428" s="79"/>
      <c r="K428" s="79"/>
      <c r="L428" s="79"/>
    </row>
    <row r="429" spans="2:16" ht="18" customHeight="1" x14ac:dyDescent="0.25">
      <c r="B429" s="9" t="s">
        <v>15</v>
      </c>
      <c r="C429" s="9" t="s">
        <v>0</v>
      </c>
      <c r="D429" s="228" t="s">
        <v>41</v>
      </c>
      <c r="E429" s="229"/>
      <c r="F429" s="229"/>
      <c r="G429" s="229"/>
      <c r="H429" s="229"/>
      <c r="I429" s="230"/>
      <c r="J429" s="9" t="s">
        <v>15</v>
      </c>
      <c r="K429" s="9" t="s">
        <v>0</v>
      </c>
      <c r="L429" s="79"/>
    </row>
    <row r="430" spans="2:16" ht="18" customHeight="1" x14ac:dyDescent="0.25">
      <c r="B430" s="15" t="str">
        <f>IF(H424=3,B424,"")</f>
        <v/>
      </c>
      <c r="C430" s="15" t="str">
        <f>IFERROR(IF(B430="","",VLOOKUP(B430,LISTAS!$F$5:$G$1004,2,0)),"0")</f>
        <v/>
      </c>
      <c r="D430" s="223"/>
      <c r="E430" s="224"/>
      <c r="F430" s="223" t="s">
        <v>38</v>
      </c>
      <c r="G430" s="224"/>
      <c r="H430" s="223"/>
      <c r="I430" s="224"/>
      <c r="J430" s="21" t="str">
        <f>IF(H424=3,B426,"")</f>
        <v/>
      </c>
      <c r="K430" s="15" t="str">
        <f>IFERROR(IF(J430="","",VLOOKUP(J430,LISTAS!$F$5:$G$1004,2,0)),"0")</f>
        <v/>
      </c>
      <c r="L430" s="81"/>
    </row>
    <row r="431" spans="2:16" ht="18" customHeight="1" x14ac:dyDescent="0.25">
      <c r="B431" s="15" t="str">
        <f>IF(H424=3,B425,"")</f>
        <v/>
      </c>
      <c r="C431" s="15" t="str">
        <f>IFERROR(IF(B431="","",VLOOKUP(B431,LISTAS!$F$5:$G$1004,2,0)),"0")</f>
        <v/>
      </c>
      <c r="D431" s="223"/>
      <c r="E431" s="224"/>
      <c r="F431" s="223" t="s">
        <v>38</v>
      </c>
      <c r="G431" s="224"/>
      <c r="H431" s="223"/>
      <c r="I431" s="224"/>
      <c r="J431" s="21" t="str">
        <f>IF(H424=3,B426,"")</f>
        <v/>
      </c>
      <c r="K431" s="15" t="str">
        <f>IFERROR(IF(J431="","",VLOOKUP(J431,LISTAS!$F$5:$G$1004,2,0)),"0")</f>
        <v/>
      </c>
      <c r="L431" s="79"/>
    </row>
    <row r="432" spans="2:16" ht="18" customHeight="1" x14ac:dyDescent="0.25">
      <c r="B432" s="15" t="str">
        <f>IF(H424=3,B424,"")</f>
        <v/>
      </c>
      <c r="C432" s="15" t="str">
        <f>IFERROR(IF(B432="","",VLOOKUP(B432,LISTAS!$F$5:$G$1004,2,0)),"0")</f>
        <v/>
      </c>
      <c r="D432" s="223"/>
      <c r="E432" s="224"/>
      <c r="F432" s="223" t="s">
        <v>38</v>
      </c>
      <c r="G432" s="224"/>
      <c r="H432" s="223"/>
      <c r="I432" s="224"/>
      <c r="J432" s="21" t="str">
        <f>IF(H424=3,B425,"")</f>
        <v/>
      </c>
      <c r="K432" s="15" t="str">
        <f>IFERROR(IF(J432="","",VLOOKUP(J432,LISTAS!$F$5:$G$1004,2,0)),"0")</f>
        <v/>
      </c>
      <c r="L432" s="81"/>
    </row>
  </sheetData>
  <mergeCells count="416">
    <mergeCell ref="I58:L58"/>
    <mergeCell ref="D58:G58"/>
    <mergeCell ref="D65:I65"/>
    <mergeCell ref="D66:E66"/>
    <mergeCell ref="F66:G66"/>
    <mergeCell ref="H66:I66"/>
    <mergeCell ref="D67:E67"/>
    <mergeCell ref="F67:G67"/>
    <mergeCell ref="B2:L4"/>
    <mergeCell ref="D23:E23"/>
    <mergeCell ref="D24:E24"/>
    <mergeCell ref="D25:E25"/>
    <mergeCell ref="F16:G16"/>
    <mergeCell ref="F17:G17"/>
    <mergeCell ref="F18:G18"/>
    <mergeCell ref="I6:L6"/>
    <mergeCell ref="H16:I16"/>
    <mergeCell ref="H17:I17"/>
    <mergeCell ref="H18:I18"/>
    <mergeCell ref="H19:I19"/>
    <mergeCell ref="H20:I20"/>
    <mergeCell ref="H21:I21"/>
    <mergeCell ref="H22:I22"/>
    <mergeCell ref="H23:I23"/>
    <mergeCell ref="D91:I91"/>
    <mergeCell ref="D92:E92"/>
    <mergeCell ref="F92:G92"/>
    <mergeCell ref="H92:I92"/>
    <mergeCell ref="D93:E93"/>
    <mergeCell ref="F93:G93"/>
    <mergeCell ref="H93:I93"/>
    <mergeCell ref="D94:E94"/>
    <mergeCell ref="F94:G94"/>
    <mergeCell ref="H94:I94"/>
    <mergeCell ref="D172:E172"/>
    <mergeCell ref="F172:G172"/>
    <mergeCell ref="H172:I172"/>
    <mergeCell ref="D157:E157"/>
    <mergeCell ref="F157:G157"/>
    <mergeCell ref="H157:I157"/>
    <mergeCell ref="D158:E158"/>
    <mergeCell ref="F158:G158"/>
    <mergeCell ref="H158:I158"/>
    <mergeCell ref="D159:E159"/>
    <mergeCell ref="F159:G159"/>
    <mergeCell ref="H159:I159"/>
    <mergeCell ref="D162:G162"/>
    <mergeCell ref="I162:L162"/>
    <mergeCell ref="D169:I169"/>
    <mergeCell ref="D170:E170"/>
    <mergeCell ref="F170:G170"/>
    <mergeCell ref="H170:I170"/>
    <mergeCell ref="D171:E171"/>
    <mergeCell ref="F171:G171"/>
    <mergeCell ref="H171:I171"/>
    <mergeCell ref="F198:G198"/>
    <mergeCell ref="H198:I198"/>
    <mergeCell ref="D201:G201"/>
    <mergeCell ref="I201:L201"/>
    <mergeCell ref="D208:I208"/>
    <mergeCell ref="D214:G214"/>
    <mergeCell ref="I214:L214"/>
    <mergeCell ref="D209:E209"/>
    <mergeCell ref="F209:G209"/>
    <mergeCell ref="H209:I209"/>
    <mergeCell ref="D210:E210"/>
    <mergeCell ref="F210:G210"/>
    <mergeCell ref="H210:I210"/>
    <mergeCell ref="D211:E211"/>
    <mergeCell ref="F211:G211"/>
    <mergeCell ref="H211:I211"/>
    <mergeCell ref="F23:G23"/>
    <mergeCell ref="F24:G24"/>
    <mergeCell ref="F25:G25"/>
    <mergeCell ref="F236:G236"/>
    <mergeCell ref="H236:I236"/>
    <mergeCell ref="D237:E237"/>
    <mergeCell ref="F237:G237"/>
    <mergeCell ref="D276:E276"/>
    <mergeCell ref="D274:E274"/>
    <mergeCell ref="F274:G274"/>
    <mergeCell ref="H274:I274"/>
    <mergeCell ref="D275:E275"/>
    <mergeCell ref="F275:G275"/>
    <mergeCell ref="H275:I275"/>
    <mergeCell ref="F276:G276"/>
    <mergeCell ref="H276:I276"/>
    <mergeCell ref="D195:I195"/>
    <mergeCell ref="D196:E196"/>
    <mergeCell ref="F196:G196"/>
    <mergeCell ref="H196:I196"/>
    <mergeCell ref="D197:E197"/>
    <mergeCell ref="F197:G197"/>
    <mergeCell ref="H197:I197"/>
    <mergeCell ref="D198:E198"/>
    <mergeCell ref="D6:G6"/>
    <mergeCell ref="D15:I15"/>
    <mergeCell ref="D16:E16"/>
    <mergeCell ref="D17:E17"/>
    <mergeCell ref="D18:E18"/>
    <mergeCell ref="D19:E19"/>
    <mergeCell ref="D20:E20"/>
    <mergeCell ref="D21:E21"/>
    <mergeCell ref="D22:E22"/>
    <mergeCell ref="F19:G19"/>
    <mergeCell ref="F20:G20"/>
    <mergeCell ref="F21:G21"/>
    <mergeCell ref="F22:G22"/>
    <mergeCell ref="H24:I24"/>
    <mergeCell ref="H25:I25"/>
    <mergeCell ref="D28:G28"/>
    <mergeCell ref="I28:L28"/>
    <mergeCell ref="D36:I36"/>
    <mergeCell ref="D37:E37"/>
    <mergeCell ref="F37:G37"/>
    <mergeCell ref="H37:I37"/>
    <mergeCell ref="D38:E38"/>
    <mergeCell ref="F38:G38"/>
    <mergeCell ref="H38:I38"/>
    <mergeCell ref="D45:G45"/>
    <mergeCell ref="I45:L45"/>
    <mergeCell ref="D52:I52"/>
    <mergeCell ref="D42:E42"/>
    <mergeCell ref="F42:G42"/>
    <mergeCell ref="H42:I42"/>
    <mergeCell ref="D39:E39"/>
    <mergeCell ref="F39:G39"/>
    <mergeCell ref="H39:I39"/>
    <mergeCell ref="D40:E40"/>
    <mergeCell ref="F40:G40"/>
    <mergeCell ref="H40:I40"/>
    <mergeCell ref="D41:E41"/>
    <mergeCell ref="F41:G41"/>
    <mergeCell ref="H41:I41"/>
    <mergeCell ref="D53:E53"/>
    <mergeCell ref="F53:G53"/>
    <mergeCell ref="H53:I53"/>
    <mergeCell ref="D54:E54"/>
    <mergeCell ref="F54:G54"/>
    <mergeCell ref="H54:I54"/>
    <mergeCell ref="D55:E55"/>
    <mergeCell ref="F55:G55"/>
    <mergeCell ref="H55:I55"/>
    <mergeCell ref="D84:G84"/>
    <mergeCell ref="I84:L84"/>
    <mergeCell ref="D71:G71"/>
    <mergeCell ref="I71:L71"/>
    <mergeCell ref="D78:I78"/>
    <mergeCell ref="H67:I67"/>
    <mergeCell ref="D68:E68"/>
    <mergeCell ref="F68:G68"/>
    <mergeCell ref="H68:I68"/>
    <mergeCell ref="D79:E79"/>
    <mergeCell ref="F79:G79"/>
    <mergeCell ref="H79:I79"/>
    <mergeCell ref="D80:E80"/>
    <mergeCell ref="F80:G80"/>
    <mergeCell ref="H80:I80"/>
    <mergeCell ref="D81:E81"/>
    <mergeCell ref="F81:G81"/>
    <mergeCell ref="H81:I81"/>
    <mergeCell ref="D110:G110"/>
    <mergeCell ref="I110:L110"/>
    <mergeCell ref="D117:I117"/>
    <mergeCell ref="D97:G97"/>
    <mergeCell ref="I97:L97"/>
    <mergeCell ref="D104:I104"/>
    <mergeCell ref="D105:E105"/>
    <mergeCell ref="F105:G105"/>
    <mergeCell ref="H105:I105"/>
    <mergeCell ref="D107:E107"/>
    <mergeCell ref="D106:E106"/>
    <mergeCell ref="F106:G106"/>
    <mergeCell ref="H106:I106"/>
    <mergeCell ref="F107:G107"/>
    <mergeCell ref="H107:I107"/>
    <mergeCell ref="D118:E118"/>
    <mergeCell ref="F118:G118"/>
    <mergeCell ref="H118:I118"/>
    <mergeCell ref="D119:E119"/>
    <mergeCell ref="F119:G119"/>
    <mergeCell ref="H119:I119"/>
    <mergeCell ref="D120:E120"/>
    <mergeCell ref="F120:G120"/>
    <mergeCell ref="H120:I120"/>
    <mergeCell ref="D133:E133"/>
    <mergeCell ref="F133:G133"/>
    <mergeCell ref="H133:I133"/>
    <mergeCell ref="D123:G123"/>
    <mergeCell ref="I123:L123"/>
    <mergeCell ref="D130:I130"/>
    <mergeCell ref="D131:E131"/>
    <mergeCell ref="F131:G131"/>
    <mergeCell ref="H131:I131"/>
    <mergeCell ref="D132:E132"/>
    <mergeCell ref="F132:G132"/>
    <mergeCell ref="H132:I132"/>
    <mergeCell ref="D149:G149"/>
    <mergeCell ref="I149:L149"/>
    <mergeCell ref="D156:I156"/>
    <mergeCell ref="F145:G145"/>
    <mergeCell ref="H145:I145"/>
    <mergeCell ref="D146:E146"/>
    <mergeCell ref="F146:G146"/>
    <mergeCell ref="H146:I146"/>
    <mergeCell ref="D136:G136"/>
    <mergeCell ref="I136:L136"/>
    <mergeCell ref="D143:I143"/>
    <mergeCell ref="D144:E144"/>
    <mergeCell ref="F144:G144"/>
    <mergeCell ref="H144:I144"/>
    <mergeCell ref="D145:E145"/>
    <mergeCell ref="D188:G188"/>
    <mergeCell ref="I188:L188"/>
    <mergeCell ref="D175:G175"/>
    <mergeCell ref="I175:L175"/>
    <mergeCell ref="D182:I182"/>
    <mergeCell ref="F183:G183"/>
    <mergeCell ref="H183:I183"/>
    <mergeCell ref="D184:E184"/>
    <mergeCell ref="F184:G184"/>
    <mergeCell ref="H184:I184"/>
    <mergeCell ref="D185:E185"/>
    <mergeCell ref="F185:G185"/>
    <mergeCell ref="H185:I185"/>
    <mergeCell ref="D183:E183"/>
    <mergeCell ref="D240:G240"/>
    <mergeCell ref="I240:L240"/>
    <mergeCell ref="D247:I247"/>
    <mergeCell ref="D248:E248"/>
    <mergeCell ref="F248:G248"/>
    <mergeCell ref="H248:I248"/>
    <mergeCell ref="H237:I237"/>
    <mergeCell ref="D221:I221"/>
    <mergeCell ref="D222:E222"/>
    <mergeCell ref="F222:G222"/>
    <mergeCell ref="H222:I222"/>
    <mergeCell ref="D223:E223"/>
    <mergeCell ref="F223:G223"/>
    <mergeCell ref="H223:I223"/>
    <mergeCell ref="D224:E224"/>
    <mergeCell ref="F224:G224"/>
    <mergeCell ref="H224:I224"/>
    <mergeCell ref="I227:L227"/>
    <mergeCell ref="D227:G227"/>
    <mergeCell ref="D234:I234"/>
    <mergeCell ref="D235:E235"/>
    <mergeCell ref="F235:G235"/>
    <mergeCell ref="H235:I235"/>
    <mergeCell ref="D236:E236"/>
    <mergeCell ref="D279:G279"/>
    <mergeCell ref="I279:L279"/>
    <mergeCell ref="D286:I286"/>
    <mergeCell ref="D266:G266"/>
    <mergeCell ref="I266:L266"/>
    <mergeCell ref="D273:I273"/>
    <mergeCell ref="D253:G253"/>
    <mergeCell ref="I253:L253"/>
    <mergeCell ref="D249:E249"/>
    <mergeCell ref="F249:G249"/>
    <mergeCell ref="H249:I249"/>
    <mergeCell ref="D250:E250"/>
    <mergeCell ref="F250:G250"/>
    <mergeCell ref="H250:I250"/>
    <mergeCell ref="F263:G263"/>
    <mergeCell ref="H263:I263"/>
    <mergeCell ref="D260:I260"/>
    <mergeCell ref="D261:E261"/>
    <mergeCell ref="F261:G261"/>
    <mergeCell ref="H261:I261"/>
    <mergeCell ref="D262:E262"/>
    <mergeCell ref="F262:G262"/>
    <mergeCell ref="H262:I262"/>
    <mergeCell ref="D263:E263"/>
    <mergeCell ref="D287:E287"/>
    <mergeCell ref="F287:G287"/>
    <mergeCell ref="H287:I287"/>
    <mergeCell ref="D288:E288"/>
    <mergeCell ref="F288:G288"/>
    <mergeCell ref="H288:I288"/>
    <mergeCell ref="D289:E289"/>
    <mergeCell ref="F289:G289"/>
    <mergeCell ref="H289:I289"/>
    <mergeCell ref="D301:E301"/>
    <mergeCell ref="F301:G301"/>
    <mergeCell ref="H301:I301"/>
    <mergeCell ref="D302:E302"/>
    <mergeCell ref="F302:G302"/>
    <mergeCell ref="H302:I302"/>
    <mergeCell ref="D292:G292"/>
    <mergeCell ref="I292:L292"/>
    <mergeCell ref="D299:I299"/>
    <mergeCell ref="D300:E300"/>
    <mergeCell ref="F300:G300"/>
    <mergeCell ref="H300:I300"/>
    <mergeCell ref="D318:G318"/>
    <mergeCell ref="I318:L318"/>
    <mergeCell ref="D325:I325"/>
    <mergeCell ref="D315:E315"/>
    <mergeCell ref="F315:G315"/>
    <mergeCell ref="H315:I315"/>
    <mergeCell ref="D305:G305"/>
    <mergeCell ref="I305:L305"/>
    <mergeCell ref="D312:I312"/>
    <mergeCell ref="D313:E313"/>
    <mergeCell ref="F313:G313"/>
    <mergeCell ref="H313:I313"/>
    <mergeCell ref="D314:E314"/>
    <mergeCell ref="F314:G314"/>
    <mergeCell ref="H314:I314"/>
    <mergeCell ref="D326:E326"/>
    <mergeCell ref="F326:G326"/>
    <mergeCell ref="H326:I326"/>
    <mergeCell ref="D327:E327"/>
    <mergeCell ref="F327:G327"/>
    <mergeCell ref="H327:I327"/>
    <mergeCell ref="D328:E328"/>
    <mergeCell ref="F328:G328"/>
    <mergeCell ref="H328:I328"/>
    <mergeCell ref="D340:E340"/>
    <mergeCell ref="F340:G340"/>
    <mergeCell ref="H340:I340"/>
    <mergeCell ref="D341:E341"/>
    <mergeCell ref="F341:G341"/>
    <mergeCell ref="H341:I341"/>
    <mergeCell ref="D331:G331"/>
    <mergeCell ref="I331:L331"/>
    <mergeCell ref="D338:I338"/>
    <mergeCell ref="D339:E339"/>
    <mergeCell ref="F339:G339"/>
    <mergeCell ref="H339:I339"/>
    <mergeCell ref="D357:G357"/>
    <mergeCell ref="I357:L357"/>
    <mergeCell ref="D364:I364"/>
    <mergeCell ref="D354:E354"/>
    <mergeCell ref="F354:G354"/>
    <mergeCell ref="H354:I354"/>
    <mergeCell ref="D344:G344"/>
    <mergeCell ref="I344:L344"/>
    <mergeCell ref="D351:I351"/>
    <mergeCell ref="D352:E352"/>
    <mergeCell ref="F352:G352"/>
    <mergeCell ref="H352:I352"/>
    <mergeCell ref="D353:E353"/>
    <mergeCell ref="F353:G353"/>
    <mergeCell ref="H353:I353"/>
    <mergeCell ref="D365:E365"/>
    <mergeCell ref="F365:G365"/>
    <mergeCell ref="H365:I365"/>
    <mergeCell ref="D366:E366"/>
    <mergeCell ref="F366:G366"/>
    <mergeCell ref="H366:I366"/>
    <mergeCell ref="D367:E367"/>
    <mergeCell ref="F367:G367"/>
    <mergeCell ref="H367:I367"/>
    <mergeCell ref="D379:E379"/>
    <mergeCell ref="F379:G379"/>
    <mergeCell ref="H379:I379"/>
    <mergeCell ref="D380:E380"/>
    <mergeCell ref="F380:G380"/>
    <mergeCell ref="H380:I380"/>
    <mergeCell ref="D370:G370"/>
    <mergeCell ref="I370:L370"/>
    <mergeCell ref="D377:I377"/>
    <mergeCell ref="D378:E378"/>
    <mergeCell ref="F378:G378"/>
    <mergeCell ref="H378:I378"/>
    <mergeCell ref="D396:G396"/>
    <mergeCell ref="I396:L396"/>
    <mergeCell ref="D403:I403"/>
    <mergeCell ref="D393:E393"/>
    <mergeCell ref="F393:G393"/>
    <mergeCell ref="H393:I393"/>
    <mergeCell ref="D383:G383"/>
    <mergeCell ref="I383:L383"/>
    <mergeCell ref="D390:I390"/>
    <mergeCell ref="D391:E391"/>
    <mergeCell ref="F391:G391"/>
    <mergeCell ref="H391:I391"/>
    <mergeCell ref="D392:E392"/>
    <mergeCell ref="F392:G392"/>
    <mergeCell ref="H392:I392"/>
    <mergeCell ref="H417:I417"/>
    <mergeCell ref="D404:E404"/>
    <mergeCell ref="F404:G404"/>
    <mergeCell ref="H404:I404"/>
    <mergeCell ref="D405:E405"/>
    <mergeCell ref="F405:G405"/>
    <mergeCell ref="H405:I405"/>
    <mergeCell ref="D406:E406"/>
    <mergeCell ref="F406:G406"/>
    <mergeCell ref="H406:I406"/>
    <mergeCell ref="C5:F5"/>
    <mergeCell ref="D432:E432"/>
    <mergeCell ref="F432:G432"/>
    <mergeCell ref="H432:I432"/>
    <mergeCell ref="D422:G422"/>
    <mergeCell ref="I422:L422"/>
    <mergeCell ref="D429:I429"/>
    <mergeCell ref="D430:E430"/>
    <mergeCell ref="F430:G430"/>
    <mergeCell ref="H430:I430"/>
    <mergeCell ref="D431:E431"/>
    <mergeCell ref="F431:G431"/>
    <mergeCell ref="H431:I431"/>
    <mergeCell ref="D418:E418"/>
    <mergeCell ref="F418:G418"/>
    <mergeCell ref="H418:I418"/>
    <mergeCell ref="D419:E419"/>
    <mergeCell ref="F419:G419"/>
    <mergeCell ref="H419:I419"/>
    <mergeCell ref="D409:G409"/>
    <mergeCell ref="I409:L409"/>
    <mergeCell ref="D416:I416"/>
    <mergeCell ref="D417:E417"/>
    <mergeCell ref="F417:G417"/>
  </mergeCells>
  <phoneticPr fontId="2" type="noConversion"/>
  <conditionalFormatting sqref="L8:L12">
    <cfRule type="cellIs" dxfId="1025" priority="229" operator="equal">
      <formula>"BRONZE"</formula>
    </cfRule>
    <cfRule type="cellIs" dxfId="1024" priority="230" operator="equal">
      <formula>"PRATA"</formula>
    </cfRule>
    <cfRule type="containsText" dxfId="1023" priority="231" operator="containsText" text="OURO">
      <formula>NOT(ISERROR(SEARCH("OURO",L8)))</formula>
    </cfRule>
  </conditionalFormatting>
  <conditionalFormatting sqref="L30:L33">
    <cfRule type="cellIs" dxfId="1022" priority="1" operator="equal">
      <formula>"BRONZE"</formula>
    </cfRule>
    <cfRule type="cellIs" dxfId="1021" priority="2" operator="equal">
      <formula>"PRATA"</formula>
    </cfRule>
    <cfRule type="containsText" dxfId="1020" priority="3" operator="containsText" text="OURO">
      <formula>NOT(ISERROR(SEARCH("OURO",L30)))</formula>
    </cfRule>
  </conditionalFormatting>
  <conditionalFormatting sqref="L47:L49">
    <cfRule type="cellIs" dxfId="1019" priority="133" operator="equal">
      <formula>"BRONZE"</formula>
    </cfRule>
    <cfRule type="cellIs" dxfId="1018" priority="134" operator="equal">
      <formula>"PRATA"</formula>
    </cfRule>
    <cfRule type="containsText" dxfId="1017" priority="135" operator="containsText" text="OURO">
      <formula>NOT(ISERROR(SEARCH("OURO",L47)))</formula>
    </cfRule>
  </conditionalFormatting>
  <conditionalFormatting sqref="L60:L62">
    <cfRule type="cellIs" dxfId="1016" priority="94" operator="equal">
      <formula>"BRONZE"</formula>
    </cfRule>
    <cfRule type="cellIs" dxfId="1015" priority="95" operator="equal">
      <formula>"PRATA"</formula>
    </cfRule>
    <cfRule type="containsText" dxfId="1014" priority="96" operator="containsText" text="OURO">
      <formula>NOT(ISERROR(SEARCH("OURO",L60)))</formula>
    </cfRule>
  </conditionalFormatting>
  <conditionalFormatting sqref="L73:L75">
    <cfRule type="cellIs" dxfId="1013" priority="91" operator="equal">
      <formula>"BRONZE"</formula>
    </cfRule>
    <cfRule type="cellIs" dxfId="1012" priority="92" operator="equal">
      <formula>"PRATA"</formula>
    </cfRule>
    <cfRule type="containsText" dxfId="1011" priority="93" operator="containsText" text="OURO">
      <formula>NOT(ISERROR(SEARCH("OURO",L73)))</formula>
    </cfRule>
  </conditionalFormatting>
  <conditionalFormatting sqref="L86:L88">
    <cfRule type="cellIs" dxfId="1010" priority="88" operator="equal">
      <formula>"BRONZE"</formula>
    </cfRule>
    <cfRule type="cellIs" dxfId="1009" priority="89" operator="equal">
      <formula>"PRATA"</formula>
    </cfRule>
    <cfRule type="containsText" dxfId="1008" priority="90" operator="containsText" text="OURO">
      <formula>NOT(ISERROR(SEARCH("OURO",L86)))</formula>
    </cfRule>
  </conditionalFormatting>
  <conditionalFormatting sqref="L99:L101">
    <cfRule type="cellIs" dxfId="1007" priority="85" operator="equal">
      <formula>"BRONZE"</formula>
    </cfRule>
    <cfRule type="cellIs" dxfId="1006" priority="86" operator="equal">
      <formula>"PRATA"</formula>
    </cfRule>
    <cfRule type="containsText" dxfId="1005" priority="87" operator="containsText" text="OURO">
      <formula>NOT(ISERROR(SEARCH("OURO",L99)))</formula>
    </cfRule>
  </conditionalFormatting>
  <conditionalFormatting sqref="L112:L114">
    <cfRule type="cellIs" dxfId="1004" priority="82" operator="equal">
      <formula>"BRONZE"</formula>
    </cfRule>
    <cfRule type="cellIs" dxfId="1003" priority="83" operator="equal">
      <formula>"PRATA"</formula>
    </cfRule>
    <cfRule type="containsText" dxfId="1002" priority="84" operator="containsText" text="OURO">
      <formula>NOT(ISERROR(SEARCH("OURO",L112)))</formula>
    </cfRule>
  </conditionalFormatting>
  <conditionalFormatting sqref="L125:L127">
    <cfRule type="cellIs" dxfId="1001" priority="79" operator="equal">
      <formula>"BRONZE"</formula>
    </cfRule>
    <cfRule type="cellIs" dxfId="1000" priority="80" operator="equal">
      <formula>"PRATA"</formula>
    </cfRule>
    <cfRule type="containsText" dxfId="999" priority="81" operator="containsText" text="OURO">
      <formula>NOT(ISERROR(SEARCH("OURO",L125)))</formula>
    </cfRule>
  </conditionalFormatting>
  <conditionalFormatting sqref="L138:L140">
    <cfRule type="cellIs" dxfId="998" priority="76" operator="equal">
      <formula>"BRONZE"</formula>
    </cfRule>
    <cfRule type="cellIs" dxfId="997" priority="77" operator="equal">
      <formula>"PRATA"</formula>
    </cfRule>
    <cfRule type="containsText" dxfId="996" priority="78" operator="containsText" text="OURO">
      <formula>NOT(ISERROR(SEARCH("OURO",L138)))</formula>
    </cfRule>
  </conditionalFormatting>
  <conditionalFormatting sqref="L151:L153">
    <cfRule type="cellIs" dxfId="995" priority="73" operator="equal">
      <formula>"BRONZE"</formula>
    </cfRule>
    <cfRule type="cellIs" dxfId="994" priority="74" operator="equal">
      <formula>"PRATA"</formula>
    </cfRule>
    <cfRule type="containsText" dxfId="993" priority="75" operator="containsText" text="OURO">
      <formula>NOT(ISERROR(SEARCH("OURO",L151)))</formula>
    </cfRule>
  </conditionalFormatting>
  <conditionalFormatting sqref="L164:L166">
    <cfRule type="cellIs" dxfId="992" priority="70" operator="equal">
      <formula>"BRONZE"</formula>
    </cfRule>
    <cfRule type="cellIs" dxfId="991" priority="71" operator="equal">
      <formula>"PRATA"</formula>
    </cfRule>
    <cfRule type="containsText" dxfId="990" priority="72" operator="containsText" text="OURO">
      <formula>NOT(ISERROR(SEARCH("OURO",L164)))</formula>
    </cfRule>
  </conditionalFormatting>
  <conditionalFormatting sqref="L177:L179">
    <cfRule type="cellIs" dxfId="989" priority="67" operator="equal">
      <formula>"BRONZE"</formula>
    </cfRule>
    <cfRule type="cellIs" dxfId="988" priority="68" operator="equal">
      <formula>"PRATA"</formula>
    </cfRule>
    <cfRule type="containsText" dxfId="987" priority="69" operator="containsText" text="OURO">
      <formula>NOT(ISERROR(SEARCH("OURO",L177)))</formula>
    </cfRule>
  </conditionalFormatting>
  <conditionalFormatting sqref="L190:L192">
    <cfRule type="cellIs" dxfId="986" priority="64" operator="equal">
      <formula>"BRONZE"</formula>
    </cfRule>
    <cfRule type="cellIs" dxfId="985" priority="65" operator="equal">
      <formula>"PRATA"</formula>
    </cfRule>
    <cfRule type="containsText" dxfId="984" priority="66" operator="containsText" text="OURO">
      <formula>NOT(ISERROR(SEARCH("OURO",L190)))</formula>
    </cfRule>
  </conditionalFormatting>
  <conditionalFormatting sqref="L203:L205">
    <cfRule type="cellIs" dxfId="983" priority="61" operator="equal">
      <formula>"BRONZE"</formula>
    </cfRule>
    <cfRule type="cellIs" dxfId="982" priority="62" operator="equal">
      <formula>"PRATA"</formula>
    </cfRule>
    <cfRule type="containsText" dxfId="981" priority="63" operator="containsText" text="OURO">
      <formula>NOT(ISERROR(SEARCH("OURO",L203)))</formula>
    </cfRule>
  </conditionalFormatting>
  <conditionalFormatting sqref="L216:L218">
    <cfRule type="cellIs" dxfId="980" priority="58" operator="equal">
      <formula>"BRONZE"</formula>
    </cfRule>
    <cfRule type="cellIs" dxfId="979" priority="59" operator="equal">
      <formula>"PRATA"</formula>
    </cfRule>
    <cfRule type="containsText" dxfId="978" priority="60" operator="containsText" text="OURO">
      <formula>NOT(ISERROR(SEARCH("OURO",L216)))</formula>
    </cfRule>
  </conditionalFormatting>
  <conditionalFormatting sqref="L229:L231">
    <cfRule type="cellIs" dxfId="977" priority="55" operator="equal">
      <formula>"BRONZE"</formula>
    </cfRule>
    <cfRule type="cellIs" dxfId="976" priority="56" operator="equal">
      <formula>"PRATA"</formula>
    </cfRule>
    <cfRule type="containsText" dxfId="975" priority="57" operator="containsText" text="OURO">
      <formula>NOT(ISERROR(SEARCH("OURO",L229)))</formula>
    </cfRule>
  </conditionalFormatting>
  <conditionalFormatting sqref="L242:L244">
    <cfRule type="cellIs" dxfId="974" priority="52" operator="equal">
      <formula>"BRONZE"</formula>
    </cfRule>
    <cfRule type="cellIs" dxfId="973" priority="53" operator="equal">
      <formula>"PRATA"</formula>
    </cfRule>
    <cfRule type="containsText" dxfId="972" priority="54" operator="containsText" text="OURO">
      <formula>NOT(ISERROR(SEARCH("OURO",L242)))</formula>
    </cfRule>
  </conditionalFormatting>
  <conditionalFormatting sqref="L255:L257">
    <cfRule type="cellIs" dxfId="971" priority="49" operator="equal">
      <formula>"BRONZE"</formula>
    </cfRule>
    <cfRule type="cellIs" dxfId="970" priority="50" operator="equal">
      <formula>"PRATA"</formula>
    </cfRule>
    <cfRule type="containsText" dxfId="969" priority="51" operator="containsText" text="OURO">
      <formula>NOT(ISERROR(SEARCH("OURO",L255)))</formula>
    </cfRule>
  </conditionalFormatting>
  <conditionalFormatting sqref="L268:L270">
    <cfRule type="cellIs" dxfId="968" priority="46" operator="equal">
      <formula>"BRONZE"</formula>
    </cfRule>
    <cfRule type="cellIs" dxfId="967" priority="47" operator="equal">
      <formula>"PRATA"</formula>
    </cfRule>
    <cfRule type="containsText" dxfId="966" priority="48" operator="containsText" text="OURO">
      <formula>NOT(ISERROR(SEARCH("OURO",L268)))</formula>
    </cfRule>
  </conditionalFormatting>
  <conditionalFormatting sqref="L281:L283">
    <cfRule type="cellIs" dxfId="965" priority="43" operator="equal">
      <formula>"BRONZE"</formula>
    </cfRule>
    <cfRule type="cellIs" dxfId="964" priority="44" operator="equal">
      <formula>"PRATA"</formula>
    </cfRule>
    <cfRule type="containsText" dxfId="963" priority="45" operator="containsText" text="OURO">
      <formula>NOT(ISERROR(SEARCH("OURO",L281)))</formula>
    </cfRule>
  </conditionalFormatting>
  <conditionalFormatting sqref="L294:L296">
    <cfRule type="cellIs" dxfId="962" priority="40" operator="equal">
      <formula>"BRONZE"</formula>
    </cfRule>
    <cfRule type="cellIs" dxfId="961" priority="41" operator="equal">
      <formula>"PRATA"</formula>
    </cfRule>
    <cfRule type="containsText" dxfId="960" priority="42" operator="containsText" text="OURO">
      <formula>NOT(ISERROR(SEARCH("OURO",L294)))</formula>
    </cfRule>
  </conditionalFormatting>
  <conditionalFormatting sqref="L307:L309">
    <cfRule type="cellIs" dxfId="959" priority="37" operator="equal">
      <formula>"BRONZE"</formula>
    </cfRule>
    <cfRule type="cellIs" dxfId="958" priority="38" operator="equal">
      <formula>"PRATA"</formula>
    </cfRule>
    <cfRule type="containsText" dxfId="957" priority="39" operator="containsText" text="OURO">
      <formula>NOT(ISERROR(SEARCH("OURO",L307)))</formula>
    </cfRule>
  </conditionalFormatting>
  <conditionalFormatting sqref="L320:L322">
    <cfRule type="cellIs" dxfId="956" priority="34" operator="equal">
      <formula>"BRONZE"</formula>
    </cfRule>
    <cfRule type="cellIs" dxfId="955" priority="35" operator="equal">
      <formula>"PRATA"</formula>
    </cfRule>
    <cfRule type="containsText" dxfId="954" priority="36" operator="containsText" text="OURO">
      <formula>NOT(ISERROR(SEARCH("OURO",L320)))</formula>
    </cfRule>
  </conditionalFormatting>
  <conditionalFormatting sqref="L333:L335">
    <cfRule type="cellIs" dxfId="953" priority="31" operator="equal">
      <formula>"BRONZE"</formula>
    </cfRule>
    <cfRule type="cellIs" dxfId="952" priority="32" operator="equal">
      <formula>"PRATA"</formula>
    </cfRule>
    <cfRule type="containsText" dxfId="951" priority="33" operator="containsText" text="OURO">
      <formula>NOT(ISERROR(SEARCH("OURO",L333)))</formula>
    </cfRule>
  </conditionalFormatting>
  <conditionalFormatting sqref="L346:L348">
    <cfRule type="cellIs" dxfId="950" priority="28" operator="equal">
      <formula>"BRONZE"</formula>
    </cfRule>
    <cfRule type="cellIs" dxfId="949" priority="29" operator="equal">
      <formula>"PRATA"</formula>
    </cfRule>
    <cfRule type="containsText" dxfId="948" priority="30" operator="containsText" text="OURO">
      <formula>NOT(ISERROR(SEARCH("OURO",L346)))</formula>
    </cfRule>
  </conditionalFormatting>
  <conditionalFormatting sqref="L359:L361">
    <cfRule type="cellIs" dxfId="947" priority="25" operator="equal">
      <formula>"BRONZE"</formula>
    </cfRule>
    <cfRule type="cellIs" dxfId="946" priority="26" operator="equal">
      <formula>"PRATA"</formula>
    </cfRule>
    <cfRule type="containsText" dxfId="945" priority="27" operator="containsText" text="OURO">
      <formula>NOT(ISERROR(SEARCH("OURO",L359)))</formula>
    </cfRule>
  </conditionalFormatting>
  <conditionalFormatting sqref="L372:L374">
    <cfRule type="cellIs" dxfId="944" priority="22" operator="equal">
      <formula>"BRONZE"</formula>
    </cfRule>
    <cfRule type="cellIs" dxfId="943" priority="23" operator="equal">
      <formula>"PRATA"</formula>
    </cfRule>
    <cfRule type="containsText" dxfId="942" priority="24" operator="containsText" text="OURO">
      <formula>NOT(ISERROR(SEARCH("OURO",L372)))</formula>
    </cfRule>
  </conditionalFormatting>
  <conditionalFormatting sqref="L385:L387">
    <cfRule type="cellIs" dxfId="941" priority="19" operator="equal">
      <formula>"BRONZE"</formula>
    </cfRule>
    <cfRule type="cellIs" dxfId="940" priority="20" operator="equal">
      <formula>"PRATA"</formula>
    </cfRule>
    <cfRule type="containsText" dxfId="939" priority="21" operator="containsText" text="OURO">
      <formula>NOT(ISERROR(SEARCH("OURO",L385)))</formula>
    </cfRule>
  </conditionalFormatting>
  <conditionalFormatting sqref="L398:L400">
    <cfRule type="cellIs" dxfId="938" priority="16" operator="equal">
      <formula>"BRONZE"</formula>
    </cfRule>
    <cfRule type="cellIs" dxfId="937" priority="17" operator="equal">
      <formula>"PRATA"</formula>
    </cfRule>
    <cfRule type="containsText" dxfId="936" priority="18" operator="containsText" text="OURO">
      <formula>NOT(ISERROR(SEARCH("OURO",L398)))</formula>
    </cfRule>
  </conditionalFormatting>
  <conditionalFormatting sqref="L411:L413">
    <cfRule type="cellIs" dxfId="935" priority="13" operator="equal">
      <formula>"BRONZE"</formula>
    </cfRule>
    <cfRule type="cellIs" dxfId="934" priority="14" operator="equal">
      <formula>"PRATA"</formula>
    </cfRule>
    <cfRule type="containsText" dxfId="933" priority="15" operator="containsText" text="OURO">
      <formula>NOT(ISERROR(SEARCH("OURO",L411)))</formula>
    </cfRule>
  </conditionalFormatting>
  <conditionalFormatting sqref="L424:L426">
    <cfRule type="cellIs" dxfId="932" priority="10" operator="equal">
      <formula>"BRONZE"</formula>
    </cfRule>
    <cfRule type="cellIs" dxfId="931" priority="11" operator="equal">
      <formula>"PRATA"</formula>
    </cfRule>
    <cfRule type="containsText" dxfId="930" priority="12" operator="containsText" text="OURO">
      <formula>NOT(ISERROR(SEARCH("OURO",L424)))</formula>
    </cfRule>
  </conditionalFormatting>
  <pageMargins left="0.51181102362204722" right="0.51181102362204722" top="0.78740157480314965" bottom="0.78740157480314965" header="0.31496062992125984" footer="0.31496062992125984"/>
  <pageSetup paperSize="9" scale="60" orientation="landscape"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LISTAS!$D$10:$D$41</xm:f>
          </x14:formula1>
          <xm:sqref>G5</xm:sqref>
        </x14:dataValidation>
        <x14:dataValidation type="list" allowBlank="1" showInputMessage="1" showErrorMessage="1" xr:uid="{00000000-0002-0000-0000-000001000000}">
          <x14:formula1>
            <xm:f>LISTAS!$F$5:$F$1004</xm:f>
          </x14:formula1>
          <xm:sqref>B8:B12 B30:B33 B47:B49 B60:B62 B73:B75 B86:B88 B99:B101 B112:B114 B125:B127 B138:B140 B151:B153 B164:B166 B177:B179 B190:B192 B203:B205 B216:B218 B229:B231 B242:B244 B255:B257 B268:B270 B281:B283 B294:B296 B307:B309 B320:B322 B333:B335 B346:B348 B359:B361 B372:B374 B385:B387 B398:B400 B411:B413 B424:B426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24">
    <tabColor rgb="FFFF66FF"/>
    <pageSetUpPr fitToPage="1"/>
  </sheetPr>
  <dimension ref="B1:AW200"/>
  <sheetViews>
    <sheetView showGridLines="0" topLeftCell="AD134" zoomScale="85" zoomScaleNormal="85" workbookViewId="0">
      <selection activeCell="AR145" sqref="AR145"/>
    </sheetView>
  </sheetViews>
  <sheetFormatPr defaultColWidth="25.28515625" defaultRowHeight="16.5" x14ac:dyDescent="0.25"/>
  <cols>
    <col min="1" max="1" width="1.140625" style="1" customWidth="1"/>
    <col min="2" max="2" width="3.140625" style="1" customWidth="1"/>
    <col min="3" max="3" width="18.7109375" style="163" customWidth="1"/>
    <col min="4" max="4" width="5" style="1" customWidth="1"/>
    <col min="5" max="6" width="3.7109375" style="1" customWidth="1"/>
    <col min="7" max="7" width="18.7109375" style="173" customWidth="1"/>
    <col min="8" max="8" width="5" style="1" customWidth="1"/>
    <col min="9" max="9" width="3.7109375" style="1" customWidth="1"/>
    <col min="10" max="10" width="3.85546875" style="1" customWidth="1"/>
    <col min="11" max="11" width="26.28515625" style="173" customWidth="1"/>
    <col min="12" max="12" width="5" style="1" customWidth="1"/>
    <col min="13" max="14" width="3.7109375" style="1" customWidth="1"/>
    <col min="15" max="15" width="18.7109375" style="173" customWidth="1"/>
    <col min="16" max="16" width="5" style="1" customWidth="1"/>
    <col min="17" max="17" width="6.28515625" style="23" customWidth="1"/>
    <col min="18" max="18" width="18.7109375" style="183" customWidth="1"/>
    <col min="19" max="21" width="3.7109375" style="23" customWidth="1"/>
    <col min="22" max="22" width="18.5703125" style="183" customWidth="1"/>
    <col min="23" max="23" width="6.28515625" style="1" customWidth="1"/>
    <col min="24" max="24" width="5" style="2" customWidth="1"/>
    <col min="25" max="25" width="18.7109375" style="173" customWidth="1"/>
    <col min="26" max="27" width="3.7109375" style="1" customWidth="1"/>
    <col min="28" max="28" width="5" style="1" customWidth="1"/>
    <col min="29" max="29" width="28" style="173" customWidth="1"/>
    <col min="30" max="31" width="3.7109375" style="1" customWidth="1"/>
    <col min="32" max="32" width="5" style="1" customWidth="1"/>
    <col min="33" max="33" width="18.85546875" style="173" customWidth="1"/>
    <col min="34" max="34" width="3.7109375" style="1" customWidth="1"/>
    <col min="35" max="35" width="3.5703125" style="1" customWidth="1"/>
    <col min="36" max="36" width="5" style="1" customWidth="1"/>
    <col min="37" max="37" width="18.7109375" style="173" customWidth="1"/>
    <col min="38" max="38" width="3.28515625" style="23" customWidth="1"/>
    <col min="39" max="41" width="1.42578125" style="20" customWidth="1"/>
    <col min="42" max="42" width="9.7109375" style="1" customWidth="1"/>
    <col min="43" max="43" width="15.5703125" style="1" customWidth="1"/>
    <col min="44" max="44" width="57.28515625" style="1" customWidth="1"/>
    <col min="45" max="45" width="36.7109375" style="1" customWidth="1"/>
    <col min="46" max="16384" width="25.28515625" style="1"/>
  </cols>
  <sheetData>
    <row r="1" spans="2:49" ht="6" customHeight="1" x14ac:dyDescent="0.25"/>
    <row r="2" spans="2:49" s="3" customFormat="1" ht="60.75" customHeight="1" x14ac:dyDescent="0.25">
      <c r="B2" s="233"/>
      <c r="C2" s="233"/>
      <c r="D2" s="233"/>
      <c r="E2" s="233"/>
      <c r="F2" s="233"/>
      <c r="G2" s="233"/>
      <c r="H2" s="233"/>
      <c r="I2" s="233"/>
      <c r="J2" s="233"/>
      <c r="K2" s="233"/>
      <c r="L2" s="233"/>
      <c r="M2" s="233"/>
      <c r="N2" s="233"/>
      <c r="O2" s="280"/>
      <c r="P2" s="233"/>
      <c r="Q2" s="233"/>
      <c r="R2" s="280"/>
      <c r="S2" s="233"/>
      <c r="T2" s="233"/>
      <c r="U2" s="233"/>
      <c r="V2" s="280"/>
      <c r="W2" s="233"/>
      <c r="X2" s="233"/>
      <c r="Y2" s="280"/>
      <c r="Z2" s="233"/>
      <c r="AA2" s="233"/>
      <c r="AB2" s="233"/>
      <c r="AC2" s="233"/>
      <c r="AD2" s="233"/>
      <c r="AE2" s="233"/>
      <c r="AF2" s="233"/>
      <c r="AG2" s="233"/>
      <c r="AH2" s="233"/>
      <c r="AI2" s="233"/>
      <c r="AJ2" s="233"/>
      <c r="AK2" s="233"/>
      <c r="AL2" s="233"/>
      <c r="AM2" s="25"/>
      <c r="AN2" s="25"/>
      <c r="AO2" s="25"/>
      <c r="AP2" s="233"/>
      <c r="AQ2" s="233"/>
      <c r="AR2" s="233"/>
      <c r="AS2" s="233"/>
      <c r="AT2" s="233"/>
      <c r="AU2" s="233"/>
    </row>
    <row r="3" spans="2:49" s="3" customFormat="1" ht="60.75" customHeight="1" x14ac:dyDescent="0.25">
      <c r="B3" s="233"/>
      <c r="C3" s="233"/>
      <c r="D3" s="233"/>
      <c r="E3" s="233"/>
      <c r="F3" s="233"/>
      <c r="G3" s="233"/>
      <c r="H3" s="233"/>
      <c r="I3" s="233"/>
      <c r="J3" s="233"/>
      <c r="K3" s="233"/>
      <c r="L3" s="233"/>
      <c r="M3" s="233"/>
      <c r="N3" s="233"/>
      <c r="O3" s="280"/>
      <c r="P3" s="233"/>
      <c r="Q3" s="233"/>
      <c r="R3" s="280"/>
      <c r="S3" s="233"/>
      <c r="T3" s="233"/>
      <c r="U3" s="233"/>
      <c r="V3" s="280"/>
      <c r="W3" s="233"/>
      <c r="X3" s="233"/>
      <c r="Y3" s="280"/>
      <c r="Z3" s="233"/>
      <c r="AA3" s="233"/>
      <c r="AB3" s="233"/>
      <c r="AC3" s="233"/>
      <c r="AD3" s="233"/>
      <c r="AE3" s="233"/>
      <c r="AF3" s="233"/>
      <c r="AG3" s="233"/>
      <c r="AH3" s="233"/>
      <c r="AI3" s="233"/>
      <c r="AJ3" s="233"/>
      <c r="AK3" s="233"/>
      <c r="AL3" s="233"/>
      <c r="AM3" s="25"/>
      <c r="AN3" s="25"/>
      <c r="AO3" s="25"/>
      <c r="AP3" s="233"/>
      <c r="AQ3" s="233"/>
      <c r="AR3" s="233"/>
      <c r="AS3" s="233"/>
      <c r="AT3" s="233"/>
      <c r="AU3" s="233"/>
      <c r="AV3" s="1"/>
      <c r="AW3" s="1"/>
    </row>
    <row r="4" spans="2:49" s="3" customFormat="1" ht="13.5" customHeight="1" x14ac:dyDescent="0.25">
      <c r="B4" s="233"/>
      <c r="C4" s="233"/>
      <c r="D4" s="233"/>
      <c r="E4" s="233"/>
      <c r="F4" s="233"/>
      <c r="G4" s="233"/>
      <c r="H4" s="233"/>
      <c r="I4" s="233"/>
      <c r="J4" s="233"/>
      <c r="K4" s="233"/>
      <c r="L4" s="233"/>
      <c r="M4" s="233"/>
      <c r="N4" s="233"/>
      <c r="O4" s="280"/>
      <c r="P4" s="233"/>
      <c r="Q4" s="233"/>
      <c r="R4" s="280"/>
      <c r="S4" s="233"/>
      <c r="T4" s="233"/>
      <c r="U4" s="233"/>
      <c r="V4" s="280"/>
      <c r="W4" s="233"/>
      <c r="X4" s="233"/>
      <c r="Y4" s="280"/>
      <c r="Z4" s="233"/>
      <c r="AA4" s="233"/>
      <c r="AB4" s="233"/>
      <c r="AC4" s="233"/>
      <c r="AD4" s="233"/>
      <c r="AE4" s="233"/>
      <c r="AF4" s="233"/>
      <c r="AG4" s="233"/>
      <c r="AH4" s="233"/>
      <c r="AI4" s="233"/>
      <c r="AJ4" s="233"/>
      <c r="AK4" s="233"/>
      <c r="AL4" s="233"/>
      <c r="AM4" s="25"/>
      <c r="AN4" s="25"/>
      <c r="AO4" s="25"/>
      <c r="AP4" s="4"/>
      <c r="AQ4" s="4"/>
      <c r="AR4" s="4"/>
      <c r="AS4" s="4"/>
      <c r="AT4" s="4"/>
      <c r="AU4" s="4"/>
    </row>
    <row r="5" spans="2:49" s="3" customFormat="1" ht="30" customHeight="1" x14ac:dyDescent="0.25">
      <c r="B5" s="242" t="s">
        <v>29</v>
      </c>
      <c r="C5" s="242"/>
      <c r="D5" s="243"/>
      <c r="E5" s="40"/>
      <c r="G5" s="174"/>
      <c r="H5" s="4"/>
      <c r="K5" s="178"/>
      <c r="O5" s="178"/>
      <c r="Q5" s="24"/>
      <c r="R5" s="184"/>
      <c r="S5" s="24"/>
      <c r="T5" s="24"/>
      <c r="U5" s="24"/>
      <c r="V5" s="184"/>
      <c r="W5" s="24"/>
      <c r="X5" s="24"/>
      <c r="Y5" s="184"/>
      <c r="Z5" s="5"/>
      <c r="AB5" s="4"/>
      <c r="AC5" s="174"/>
      <c r="AG5" s="178"/>
      <c r="AK5" s="178"/>
      <c r="AL5" s="24"/>
      <c r="AM5" s="25"/>
      <c r="AN5" s="25"/>
      <c r="AO5" s="25"/>
      <c r="AP5" s="244" t="s">
        <v>29</v>
      </c>
      <c r="AQ5" s="245"/>
      <c r="AR5" s="6" t="s">
        <v>13</v>
      </c>
      <c r="AS5" s="7" t="s">
        <v>14</v>
      </c>
      <c r="AT5" s="4"/>
      <c r="AU5" s="4"/>
    </row>
    <row r="6" spans="2:49" ht="30" customHeight="1" x14ac:dyDescent="0.25">
      <c r="B6" s="247" t="s">
        <v>21</v>
      </c>
      <c r="C6" s="248"/>
      <c r="D6" s="248"/>
      <c r="E6" s="248"/>
      <c r="F6" s="248"/>
      <c r="G6" s="248"/>
      <c r="H6" s="248"/>
      <c r="I6" s="248"/>
      <c r="J6" s="248"/>
      <c r="K6" s="248"/>
      <c r="L6" s="248"/>
      <c r="M6" s="248"/>
      <c r="N6" s="248"/>
      <c r="O6" s="281"/>
      <c r="P6" s="248"/>
      <c r="Q6" s="248"/>
      <c r="R6" s="281"/>
      <c r="S6" s="248"/>
      <c r="T6" s="248"/>
      <c r="U6" s="248"/>
      <c r="V6" s="281"/>
      <c r="W6" s="248"/>
      <c r="X6" s="248"/>
      <c r="Y6" s="281"/>
      <c r="Z6" s="248"/>
      <c r="AA6" s="248"/>
      <c r="AB6" s="248"/>
      <c r="AC6" s="248"/>
      <c r="AD6" s="248"/>
      <c r="AE6" s="248"/>
      <c r="AF6" s="248"/>
      <c r="AG6" s="248"/>
      <c r="AH6" s="248"/>
      <c r="AI6" s="248"/>
      <c r="AJ6" s="248"/>
      <c r="AK6" s="248"/>
      <c r="AL6" s="248"/>
      <c r="AP6" s="246" t="s">
        <v>21</v>
      </c>
      <c r="AQ6" s="246"/>
      <c r="AR6" s="246"/>
      <c r="AS6" s="246"/>
      <c r="AT6" s="246"/>
      <c r="AU6" s="246"/>
    </row>
    <row r="7" spans="2:49" ht="28.5" customHeight="1" thickBot="1" x14ac:dyDescent="0.3">
      <c r="B7" s="73"/>
      <c r="C7" s="164"/>
      <c r="D7" s="61"/>
      <c r="E7" s="61"/>
      <c r="F7" s="61"/>
      <c r="G7" s="175"/>
      <c r="H7" s="61"/>
      <c r="I7" s="61"/>
      <c r="J7" s="61"/>
      <c r="K7" s="179"/>
      <c r="L7" s="61"/>
      <c r="M7" s="61"/>
      <c r="N7" s="61"/>
      <c r="O7" s="179"/>
      <c r="P7" s="61"/>
      <c r="Q7" s="61"/>
      <c r="R7" s="179"/>
      <c r="S7" s="61"/>
      <c r="T7" s="61"/>
      <c r="U7" s="61"/>
      <c r="V7" s="179"/>
      <c r="W7" s="61"/>
      <c r="X7" s="74"/>
      <c r="Y7" s="179"/>
      <c r="Z7" s="61"/>
      <c r="AA7" s="61"/>
      <c r="AB7" s="75"/>
      <c r="AC7" s="179"/>
      <c r="AD7" s="61"/>
      <c r="AE7" s="61"/>
      <c r="AF7" s="61"/>
      <c r="AG7" s="186"/>
      <c r="AH7" s="129"/>
      <c r="AI7" s="129"/>
      <c r="AJ7" s="61"/>
      <c r="AK7" s="179"/>
      <c r="AL7" s="61"/>
      <c r="AP7" s="228" t="s">
        <v>3</v>
      </c>
      <c r="AQ7" s="230"/>
      <c r="AR7" s="9" t="s">
        <v>15</v>
      </c>
      <c r="AS7" s="9" t="s">
        <v>0</v>
      </c>
      <c r="AT7" s="9" t="s">
        <v>16</v>
      </c>
      <c r="AU7" s="9" t="s">
        <v>17</v>
      </c>
    </row>
    <row r="8" spans="2:49" ht="18" customHeight="1" x14ac:dyDescent="0.25">
      <c r="B8" s="10">
        <v>1</v>
      </c>
      <c r="C8" s="162" t="str">
        <f>IF('13F GRP'!G5&gt;=3,'13F GRP'!J8,IF('13F GRP'!G5=2,'13F GRP'!J8,IF('13F GRP'!G5=1,'13F GRP'!J8,"")))</f>
        <v>LUIZA SARAIVA</v>
      </c>
      <c r="D8" s="234">
        <v>2</v>
      </c>
      <c r="E8" s="51">
        <f>IF(D8&lt;&gt;"",D8,"")</f>
        <v>2</v>
      </c>
      <c r="F8" s="51" t="str">
        <f>IF(D8&lt;&gt;"",IF(C8="","",C8),"")</f>
        <v>LUIZA SARAIVA</v>
      </c>
      <c r="G8" s="176">
        <f>IF(E8&lt;&gt;"",IF(E10&lt;&gt;"",SMALL(E8:E10,1),""),"")</f>
        <v>0</v>
      </c>
      <c r="H8" s="11"/>
      <c r="I8" s="11"/>
      <c r="J8" s="11"/>
      <c r="K8" s="166"/>
      <c r="L8" s="11"/>
      <c r="M8" s="12"/>
      <c r="N8" s="12"/>
      <c r="O8" s="180"/>
      <c r="P8" s="12"/>
      <c r="Q8" s="8"/>
      <c r="R8" s="182"/>
      <c r="S8" s="8"/>
      <c r="T8" s="8"/>
      <c r="U8" s="8"/>
      <c r="V8" s="182"/>
      <c r="W8" s="8"/>
      <c r="X8" s="62"/>
      <c r="Y8" s="182"/>
      <c r="Z8" s="8"/>
      <c r="AA8" s="8"/>
      <c r="AB8" s="11"/>
      <c r="AC8" s="182"/>
      <c r="AD8" s="8"/>
      <c r="AE8" s="8"/>
      <c r="AF8" s="8"/>
      <c r="AG8" s="181">
        <f>IF(AJ8&lt;&gt;"",AJ8,"")</f>
        <v>2</v>
      </c>
      <c r="AH8" s="78" t="str">
        <f>IF(AJ8&lt;&gt;"",IF(AK8="","",AK8),"")</f>
        <v>BEATRIZ TOMÉ CYRILLO</v>
      </c>
      <c r="AI8" s="51">
        <f>IF(AG8&lt;&gt;"",IF(AG10&lt;&gt;"",SMALL(AG8:AG10,1),""),"")</f>
        <v>0</v>
      </c>
      <c r="AJ8" s="234">
        <v>2</v>
      </c>
      <c r="AK8" s="162" t="str">
        <f>IF('13F GRP'!G5&gt;=3,'13F GRP'!J47,IF('13F GRP'!G5=2,IF('13F GRP'!H8=3,"",'13F GRP'!J9),IF('13F GRP'!G5=1,'13F GRP'!J10,"")))</f>
        <v>BEATRIZ TOMÉ CYRILLO</v>
      </c>
      <c r="AL8" s="63">
        <v>3</v>
      </c>
      <c r="AP8" s="13">
        <f>IF(AR8&lt;&gt;"",1,"")</f>
        <v>1</v>
      </c>
      <c r="AQ8" s="14" t="str">
        <f>IF(AP8&lt;&gt;"","LUGAR","")</f>
        <v>LUGAR</v>
      </c>
      <c r="AR8" s="15" t="str">
        <f>IF(S36&lt;&gt;"",IF(U36&lt;&gt;"",IF(S36=U36,"",IF(S36&gt;U36,R36,V36)),""),"")</f>
        <v>BEATRIZ TOMÉ CYRILLO</v>
      </c>
      <c r="AS8" s="15" t="str">
        <f>IFERROR(IF(AR8="","",VLOOKUP(AR8,LISTAS!$F$5:$G$1004,2,0)),"0")</f>
        <v>LICEU JARDIM</v>
      </c>
      <c r="AT8" s="15">
        <f t="shared" ref="AT8:AT38" si="0">IF(AP8="","",IF(AP8=1,400,IF(AP8=2,340,IF(AP8=3,300,IF(AP8=4,280,IF(AP8=5,270,IF(AP8=6,260,IF(AP8=7,250,IF(AP8=8,240,IF(AP8=9,200,IF(AP8=10,200,IF(AP8=11,200,IF(AP8=12,200,IF(AP8=13,200,IF(AP8=14,200,IF(AP8=15,200,IF(AP8=16,200,IF(AP8&gt;16,"",""))))))))))))))))))</f>
        <v>400</v>
      </c>
      <c r="AU8" s="15">
        <f>IF(AP8="","",IF($AS$5="NÃO","",IF(AP8=1,400,IF(AP8=2,340,IF(AP8=3,300,IF(AP8=4,280,IF(AP8=5,270,IF(AP8=6,260,IF(AP8=7,250,IF(AP8=8,240,IF(AP8=9,200,IF(AP8=10,200,IF(AP8=11,200,IF(AP8=12,200,IF(AP8=13,200,IF(AP8=14,200,IF(AP8=15,200,IF(AP8=16,200,IF(AP8&gt;16,"","")))))))))))))))))))</f>
        <v>400</v>
      </c>
    </row>
    <row r="9" spans="2:49" ht="18" customHeight="1" thickBot="1" x14ac:dyDescent="0.3">
      <c r="B9" s="10"/>
      <c r="C9" s="165" t="str">
        <f>IFERROR(IF(C8="","",VLOOKUP(C8,LISTAS!$F$5:$G$1004,2,0)),"0")</f>
        <v>COLÉGIO MARCONI - GRU</v>
      </c>
      <c r="D9" s="235"/>
      <c r="E9" s="51"/>
      <c r="F9" s="51"/>
      <c r="G9" s="176"/>
      <c r="H9" s="11"/>
      <c r="I9" s="11"/>
      <c r="J9" s="11"/>
      <c r="K9" s="166"/>
      <c r="L9" s="11"/>
      <c r="M9" s="12"/>
      <c r="N9" s="12"/>
      <c r="O9" s="180"/>
      <c r="P9" s="12"/>
      <c r="Q9" s="8"/>
      <c r="R9" s="182"/>
      <c r="S9" s="8"/>
      <c r="T9" s="8"/>
      <c r="U9" s="8"/>
      <c r="V9" s="182"/>
      <c r="W9" s="8"/>
      <c r="X9" s="62"/>
      <c r="Y9" s="182"/>
      <c r="Z9" s="8"/>
      <c r="AA9" s="8"/>
      <c r="AB9" s="11"/>
      <c r="AC9" s="182"/>
      <c r="AD9" s="8"/>
      <c r="AE9" s="8"/>
      <c r="AF9" s="8"/>
      <c r="AG9" s="181"/>
      <c r="AH9" s="78"/>
      <c r="AI9" s="51"/>
      <c r="AJ9" s="235"/>
      <c r="AK9" s="165" t="str">
        <f>IFERROR(IF(AK8="","",VLOOKUP(AK8,LISTAS!$F$5:$G$1004,2,0)),"0")</f>
        <v>LICEU JARDIM</v>
      </c>
      <c r="AL9" s="63"/>
      <c r="AP9" s="13">
        <f>IF(AR9&lt;&gt;"",1+COUNTIF(AP8,"1"),"")</f>
        <v>2</v>
      </c>
      <c r="AQ9" s="14" t="str">
        <f t="shared" ref="AQ9:AQ39" si="1">IF(AP9&lt;&gt;"","LUGAR","")</f>
        <v>LUGAR</v>
      </c>
      <c r="AR9" s="15" t="str">
        <f>IF(S36&lt;&gt;"",IF(U36&lt;&gt;"",IF(S36=U36,"",IF(S36&lt;U36,R36,V36)),""),"")</f>
        <v>LAURA SARAIVA</v>
      </c>
      <c r="AS9" s="15" t="str">
        <f>IFERROR(IF(AR9="","",VLOOKUP(AR9,LISTAS!$F$5:$G$1004,2,0)),"0")</f>
        <v>COLÉGIO MARCONI - GRU</v>
      </c>
      <c r="AT9" s="15">
        <f t="shared" si="0"/>
        <v>340</v>
      </c>
      <c r="AU9" s="15">
        <f t="shared" ref="AU9:AU38" si="2">IF(AP9="","",IF($AS$5="NÃO","",IF(AP9=1,400,IF(AP9=2,340,IF(AP9=3,300,IF(AP9=4,280,IF(AP9=5,270,IF(AP9=6,260,IF(AP9=7,250,IF(AP9=8,240,IF(AP9=9,200,IF(AP9=10,200,IF(AP9=11,200,IF(AP9=12,200,IF(AP9=13,200,IF(AP9=14,200,IF(AP9=15,200,IF(AP9=16,200,IF(AP9&gt;16,"","")))))))))))))))))))</f>
        <v>340</v>
      </c>
    </row>
    <row r="10" spans="2:49" ht="18" customHeight="1" x14ac:dyDescent="0.25">
      <c r="B10" s="16">
        <v>32</v>
      </c>
      <c r="C10" s="162" t="str">
        <f>IF('13F GRP'!G5&gt;=3,'13F GRP'!J424,IF('13F GRP'!G5=2,"",IF('13F GRP'!G5=1,"","")))</f>
        <v/>
      </c>
      <c r="D10" s="234">
        <v>0</v>
      </c>
      <c r="E10" s="52">
        <f>IF(D10&lt;&gt;"",D10,"")</f>
        <v>0</v>
      </c>
      <c r="F10" s="51" t="str">
        <f>IF(D10&lt;&gt;"",IF(C10="","",C10),"")</f>
        <v/>
      </c>
      <c r="G10" s="176" t="str">
        <f>VLOOKUP(G8,E8:F10,2,0)</f>
        <v/>
      </c>
      <c r="H10" s="11"/>
      <c r="I10" s="11"/>
      <c r="J10" s="11"/>
      <c r="K10" s="166"/>
      <c r="L10" s="11"/>
      <c r="M10" s="12"/>
      <c r="N10" s="12"/>
      <c r="O10" s="180"/>
      <c r="P10" s="12"/>
      <c r="Q10" s="8"/>
      <c r="R10" s="182"/>
      <c r="S10" s="8"/>
      <c r="T10" s="8"/>
      <c r="U10" s="8"/>
      <c r="V10" s="182"/>
      <c r="W10" s="8"/>
      <c r="X10" s="62"/>
      <c r="Y10" s="182"/>
      <c r="Z10" s="8"/>
      <c r="AA10" s="8"/>
      <c r="AB10" s="11"/>
      <c r="AC10" s="182"/>
      <c r="AD10" s="8"/>
      <c r="AE10" s="8"/>
      <c r="AF10" s="8"/>
      <c r="AG10" s="181">
        <f>IF(AJ10&lt;&gt;"",AJ10,"")</f>
        <v>0</v>
      </c>
      <c r="AH10" s="78" t="str">
        <f>IF(AJ10&lt;&gt;"",IF(AK10="","",AK10),"")</f>
        <v/>
      </c>
      <c r="AI10" s="55" t="str">
        <f>VLOOKUP(AI8,AG8:AH10,2,0)</f>
        <v/>
      </c>
      <c r="AJ10" s="234">
        <v>0</v>
      </c>
      <c r="AK10" s="162" t="str">
        <f>IF('13F GRP'!G5&gt;=3,'13F GRP'!J398,IF('13F GRP'!G5=2,"",IF('13F GRP'!G5=1,"","")))</f>
        <v/>
      </c>
      <c r="AL10" s="11">
        <v>30</v>
      </c>
      <c r="AP10" s="13">
        <f>IF(AR10&lt;&gt;"",1+COUNTIF(AP8:AP9,"1")+COUNTIF(AP8:AP9,"2"),"")</f>
        <v>3</v>
      </c>
      <c r="AQ10" s="14" t="str">
        <f t="shared" si="1"/>
        <v>LUGAR</v>
      </c>
      <c r="AR10" s="21" t="str">
        <f>IF(AR8&lt;&gt;"",IF(O35=AR8,O37,IF(O37=AR8,O35,IF(Y35=AR8,Y37,IF(Y37=AR8,Y35)))),"")</f>
        <v>MARINA MARTINS MEDRANO</v>
      </c>
      <c r="AS10" s="15" t="str">
        <f>IFERROR(IF(AR10="","",VLOOKUP(AR10,LISTAS!$F$5:$G$1004,2,0)),"0")</f>
        <v>COLEGIO PETROPOLIS</v>
      </c>
      <c r="AT10" s="15">
        <f t="shared" si="0"/>
        <v>300</v>
      </c>
      <c r="AU10" s="15">
        <f t="shared" si="2"/>
        <v>300</v>
      </c>
    </row>
    <row r="11" spans="2:49" ht="18" customHeight="1" thickBot="1" x14ac:dyDescent="0.3">
      <c r="B11" s="16"/>
      <c r="C11" s="165" t="str">
        <f>IF($C10="","",VLOOKUP($C10,LISTAS!$F$5:$G$964,2,0))</f>
        <v/>
      </c>
      <c r="D11" s="235"/>
      <c r="E11" s="128"/>
      <c r="F11" s="51"/>
      <c r="G11" s="176"/>
      <c r="H11" s="11"/>
      <c r="I11" s="11"/>
      <c r="J11" s="11"/>
      <c r="K11" s="166"/>
      <c r="L11" s="11"/>
      <c r="M11" s="12"/>
      <c r="N11" s="12"/>
      <c r="O11" s="180"/>
      <c r="P11" s="12"/>
      <c r="Q11" s="8"/>
      <c r="R11" s="182"/>
      <c r="S11" s="8"/>
      <c r="T11" s="8"/>
      <c r="U11" s="8"/>
      <c r="V11" s="182"/>
      <c r="W11" s="8"/>
      <c r="X11" s="62"/>
      <c r="Y11" s="182"/>
      <c r="Z11" s="8"/>
      <c r="AA11" s="8"/>
      <c r="AB11" s="11"/>
      <c r="AC11" s="182"/>
      <c r="AD11" s="8"/>
      <c r="AE11" s="8"/>
      <c r="AF11" s="8"/>
      <c r="AG11" s="181"/>
      <c r="AH11" s="78"/>
      <c r="AI11" s="123"/>
      <c r="AJ11" s="235"/>
      <c r="AK11" s="165" t="str">
        <f>IFERROR(IF(AK10="","",VLOOKUP(AK10,LISTAS!$F$5:$G$1004,2,0)),"0")</f>
        <v/>
      </c>
      <c r="AL11" s="11"/>
      <c r="AP11" s="13">
        <f>IF(AR11&lt;&gt;"",1+COUNTIF(AP8:AP10,"1")+COUNTIF(AP8:AP10,"2")+COUNTIF(AP8:AP10,"3"),"")</f>
        <v>4</v>
      </c>
      <c r="AQ11" s="14" t="str">
        <f t="shared" si="1"/>
        <v>LUGAR</v>
      </c>
      <c r="AR11" s="21" t="str">
        <f>IF(AR9&lt;&gt;"",IF(O35=AR9,O37,IF(O37=AR9,O35,IF(Y35=AR9,Y37,IF(Y37=AR9,Y35)))),"")</f>
        <v>LUIZA SARAIVA</v>
      </c>
      <c r="AS11" s="15" t="str">
        <f>IFERROR(IF(AR11="","",VLOOKUP(AR11,LISTAS!$F$5:$G$1004,2,0)),"0")</f>
        <v>COLÉGIO MARCONI - GRU</v>
      </c>
      <c r="AT11" s="15">
        <f t="shared" si="0"/>
        <v>280</v>
      </c>
      <c r="AU11" s="15">
        <f t="shared" si="2"/>
        <v>280</v>
      </c>
    </row>
    <row r="12" spans="2:49" ht="18" customHeight="1" x14ac:dyDescent="0.25">
      <c r="B12" s="16"/>
      <c r="C12" s="166"/>
      <c r="D12" s="11"/>
      <c r="E12" s="11"/>
      <c r="F12" s="17"/>
      <c r="G12" s="162" t="str">
        <f>IF(D8&lt;&gt;"",IF(D10&lt;&gt;"",IF(D8=D10,"",IF(D8&gt;D10,C8,C10)),""),"")</f>
        <v>LUIZA SARAIVA</v>
      </c>
      <c r="H12" s="234">
        <v>2</v>
      </c>
      <c r="I12" s="51">
        <f>IF(H12&lt;&gt;"",H12,"")</f>
        <v>2</v>
      </c>
      <c r="J12" s="51" t="str">
        <f>IF(H12&lt;&gt;"",IF(G12="","",G12),"")</f>
        <v>LUIZA SARAIVA</v>
      </c>
      <c r="K12" s="176">
        <f>IF(I12&lt;&gt;"",IF(I14&lt;&gt;"",SMALL(I12:J14,1),""),"")</f>
        <v>0</v>
      </c>
      <c r="L12" s="11"/>
      <c r="M12" s="11"/>
      <c r="N12" s="11"/>
      <c r="O12" s="166"/>
      <c r="P12" s="11"/>
      <c r="Q12" s="8"/>
      <c r="R12" s="182"/>
      <c r="S12" s="8"/>
      <c r="T12" s="8"/>
      <c r="U12" s="8"/>
      <c r="V12" s="182"/>
      <c r="W12" s="8"/>
      <c r="X12" s="62"/>
      <c r="Y12" s="182"/>
      <c r="Z12" s="8"/>
      <c r="AA12" s="8"/>
      <c r="AB12" s="11"/>
      <c r="AC12" s="182"/>
      <c r="AD12" s="8"/>
      <c r="AE12" s="67"/>
      <c r="AF12" s="234">
        <v>2</v>
      </c>
      <c r="AG12" s="162" t="str">
        <f>IF(AJ8&lt;&gt;"",IF(AJ10&lt;&gt;"",IF(AJ8=AJ10,"",IF(AJ8&gt;AJ10,AK8,AK10)),""),"")</f>
        <v>BEATRIZ TOMÉ CYRILLO</v>
      </c>
      <c r="AH12" s="65"/>
      <c r="AI12" s="8"/>
      <c r="AJ12" s="11"/>
      <c r="AK12" s="166"/>
      <c r="AL12" s="11"/>
      <c r="AP12" s="13" t="str">
        <f>IF(AR12&lt;&gt;"",1+COUNTIF(AP8:AP11,"1")+COUNTIF(AP8:AP11,"2")+COUNTIF(AP8:AP11,"3")+COUNTIF(AP8:AP11,"4"),"")</f>
        <v/>
      </c>
      <c r="AQ12" s="14" t="str">
        <f t="shared" si="1"/>
        <v/>
      </c>
      <c r="AR12" s="21" t="str">
        <f>IF(AR8&lt;&gt;"",IF(K20=AR8,K22,IF(K22=AR8,K20,IF(K50=AR8,K52,IF(K52=AR8,K50,IF(AC20=AR8,AC22,IF(AC22=AR8,AC20,IF(AC50=AR8,AC52,IF(AC52=AR8,AC50)))))))),"")</f>
        <v/>
      </c>
      <c r="AS12" s="15" t="str">
        <f>IFERROR(IF(AR12="","",VLOOKUP(AR12,LISTAS!$F$5:$G$1004,2,0)),"0")</f>
        <v/>
      </c>
      <c r="AT12" s="15" t="str">
        <f t="shared" si="0"/>
        <v/>
      </c>
      <c r="AU12" s="15" t="str">
        <f t="shared" si="2"/>
        <v/>
      </c>
    </row>
    <row r="13" spans="2:49" ht="18" customHeight="1" thickBot="1" x14ac:dyDescent="0.3">
      <c r="B13" s="16"/>
      <c r="C13" s="166"/>
      <c r="D13" s="11"/>
      <c r="E13" s="11"/>
      <c r="F13" s="17"/>
      <c r="G13" s="165" t="str">
        <f>IFERROR(IF(G12="","",VLOOKUP(G12,LISTAS!$F$5:$G$1004,2,0)),"0")</f>
        <v>COLÉGIO MARCONI - GRU</v>
      </c>
      <c r="H13" s="235"/>
      <c r="I13" s="51"/>
      <c r="J13" s="51"/>
      <c r="K13" s="176"/>
      <c r="L13" s="11"/>
      <c r="M13" s="11"/>
      <c r="N13" s="11"/>
      <c r="O13" s="166"/>
      <c r="P13" s="11"/>
      <c r="Q13" s="8"/>
      <c r="R13" s="182"/>
      <c r="S13" s="8"/>
      <c r="T13" s="8"/>
      <c r="U13" s="8"/>
      <c r="V13" s="182"/>
      <c r="W13" s="8"/>
      <c r="X13" s="62"/>
      <c r="Y13" s="182"/>
      <c r="Z13" s="8"/>
      <c r="AA13" s="8"/>
      <c r="AB13" s="11"/>
      <c r="AC13" s="182"/>
      <c r="AD13" s="8"/>
      <c r="AE13" s="67"/>
      <c r="AF13" s="235"/>
      <c r="AG13" s="165" t="str">
        <f>IFERROR(IF(AG12="","",VLOOKUP(AG12,LISTAS!$F$5:$G$1004,2,0)),"0")</f>
        <v>LICEU JARDIM</v>
      </c>
      <c r="AH13" s="65"/>
      <c r="AI13" s="8"/>
      <c r="AJ13" s="11"/>
      <c r="AK13" s="166"/>
      <c r="AL13" s="11"/>
      <c r="AP13" s="13">
        <f>IF(AR13&lt;&gt;"",1+COUNTIF(AP8:AP12,"1")+COUNTIF(AP8:AP12,"2")+COUNTIF(AP8:AP12,"3")+COUNTIF(AP8:AP12,"4")+COUNTIF(AP8:AP12,"5"),"")</f>
        <v>5</v>
      </c>
      <c r="AQ13" s="14" t="str">
        <f t="shared" si="1"/>
        <v>LUGAR</v>
      </c>
      <c r="AR13" s="21" t="str">
        <f>IF(AR9&lt;&gt;"",IF(K20=AR9,K22,IF(K22=AR9,K20,IF(K50=AR9,K52,IF(K52=AR9,K50,IF(AC20=AR9,AC22,IF(AC22=AR9,AC20,IF(AC50=AR9,AC52,IF(AC52=AR9,AC50)))))))),"")</f>
        <v>NATÁLIA PAIVA BRANCALHÃO</v>
      </c>
      <c r="AS13" s="15" t="str">
        <f>IFERROR(IF(AR13="","",VLOOKUP(AR13,LISTAS!$F$5:$G$1004,2,0)),"0")</f>
        <v>LICEU JARDIM</v>
      </c>
      <c r="AT13" s="15">
        <f t="shared" si="0"/>
        <v>270</v>
      </c>
      <c r="AU13" s="15">
        <f t="shared" si="2"/>
        <v>270</v>
      </c>
    </row>
    <row r="14" spans="2:49" ht="18" customHeight="1" x14ac:dyDescent="0.25">
      <c r="B14" s="16"/>
      <c r="C14" s="166"/>
      <c r="D14" s="11"/>
      <c r="E14" s="18"/>
      <c r="F14" s="19"/>
      <c r="G14" s="162" t="str">
        <f>IF(D16&lt;&gt;"",IF(D18&lt;&gt;"",IF(D16=D18,"",IF(D16&gt;D18,C16,C18)),""),"")</f>
        <v/>
      </c>
      <c r="H14" s="234">
        <v>0</v>
      </c>
      <c r="I14" s="52">
        <f>IF(H14&lt;&gt;"",H14,"")</f>
        <v>0</v>
      </c>
      <c r="J14" s="51" t="str">
        <f>IF(H14&lt;&gt;"",IF(G14="","",G14),"")</f>
        <v/>
      </c>
      <c r="K14" s="176" t="str">
        <f>VLOOKUP(K12,I12:J14,2,0)</f>
        <v/>
      </c>
      <c r="L14" s="11"/>
      <c r="M14" s="11"/>
      <c r="N14" s="11"/>
      <c r="O14" s="166"/>
      <c r="P14" s="11"/>
      <c r="Q14" s="8"/>
      <c r="R14" s="182"/>
      <c r="S14" s="8"/>
      <c r="T14" s="8"/>
      <c r="U14" s="8"/>
      <c r="V14" s="182"/>
      <c r="W14" s="8"/>
      <c r="X14" s="62"/>
      <c r="Y14" s="182"/>
      <c r="Z14" s="8"/>
      <c r="AA14" s="8"/>
      <c r="AB14" s="11"/>
      <c r="AC14" s="182"/>
      <c r="AD14" s="65"/>
      <c r="AE14" s="68"/>
      <c r="AF14" s="234">
        <v>0</v>
      </c>
      <c r="AG14" s="162" t="str">
        <f>IF(AJ16&lt;&gt;"",IF(AJ18&lt;&gt;"",IF(AJ16=AJ18,"",IF(AJ16&gt;AJ18,AK16,AK18)),""),"")</f>
        <v/>
      </c>
      <c r="AH14" s="66"/>
      <c r="AI14" s="8"/>
      <c r="AJ14" s="11"/>
      <c r="AK14" s="166"/>
      <c r="AL14" s="11"/>
      <c r="AP14" s="13" t="str">
        <f>IF(AR14&lt;&gt;"",1+COUNTIF(AP8:AP13,"1")+COUNTIF(AP8:AP13,"2")+COUNTIF(AP8:AP13,"3")+COUNTIF(AP8:AP13,"4")+COUNTIF(AP8:AP13,"5")+COUNTIF(AP8:AP13,"6"),"")</f>
        <v/>
      </c>
      <c r="AQ14" s="14" t="str">
        <f t="shared" si="1"/>
        <v/>
      </c>
      <c r="AR14" s="21" t="str">
        <f>IF(AR10&lt;&gt;"",IF(K20=AR10,K22,IF(K22=AR10,K20,IF(K50=AR10,K52,IF(K52=AR10,K50,IF(AC20=AR10,AC22,IF(AC22=AR10,AC20,IF(AC50=AR10,AC52,IF(AC52=AR10,AC50)))))))),"")</f>
        <v/>
      </c>
      <c r="AS14" s="15" t="str">
        <f>IFERROR(IF(AR14="","",VLOOKUP(AR14,LISTAS!$F$5:$G$1004,2,0)),"0")</f>
        <v/>
      </c>
      <c r="AT14" s="15" t="str">
        <f t="shared" si="0"/>
        <v/>
      </c>
      <c r="AU14" s="15" t="str">
        <f t="shared" si="2"/>
        <v/>
      </c>
    </row>
    <row r="15" spans="2:49" ht="18" customHeight="1" thickBot="1" x14ac:dyDescent="0.3">
      <c r="B15" s="16"/>
      <c r="C15" s="166"/>
      <c r="D15" s="11"/>
      <c r="E15" s="18"/>
      <c r="F15" s="11"/>
      <c r="G15" s="165" t="str">
        <f>IFERROR(IF(G14="","",VLOOKUP(G14,LISTAS!$F$5:$G$1004,2,0)),"0")</f>
        <v/>
      </c>
      <c r="H15" s="235"/>
      <c r="I15" s="54"/>
      <c r="J15" s="51"/>
      <c r="K15" s="176"/>
      <c r="L15" s="11"/>
      <c r="M15" s="11"/>
      <c r="N15" s="11"/>
      <c r="O15" s="166"/>
      <c r="P15" s="11"/>
      <c r="Q15" s="8"/>
      <c r="R15" s="182"/>
      <c r="S15" s="8"/>
      <c r="T15" s="8"/>
      <c r="U15" s="8"/>
      <c r="V15" s="182"/>
      <c r="W15" s="8"/>
      <c r="X15" s="62"/>
      <c r="Y15" s="182"/>
      <c r="Z15" s="8"/>
      <c r="AA15" s="8"/>
      <c r="AB15" s="11"/>
      <c r="AC15" s="182"/>
      <c r="AD15" s="65"/>
      <c r="AE15" s="8"/>
      <c r="AF15" s="235"/>
      <c r="AG15" s="165" t="str">
        <f>IFERROR(IF(AG14="","",VLOOKUP(AG14,LISTAS!$F$5:$G$1004,2,0)),"0")</f>
        <v/>
      </c>
      <c r="AH15" s="8"/>
      <c r="AI15" s="69"/>
      <c r="AJ15" s="11"/>
      <c r="AK15" s="166"/>
      <c r="AL15" s="11"/>
      <c r="AP15" s="13" t="str">
        <f>IF(AR15&lt;&gt;"",1+COUNTIF(AP8:AP14,"1")+COUNTIF(AP8:AP14,"2")+COUNTIF(AP8:AP14,"3")+COUNTIF(AP8:AP14,"4")+COUNTIF(AP8:AP14,"5")+COUNTIF(AP8:AP14,"6")+COUNTIF(AP8:AP14,"7"),"")</f>
        <v/>
      </c>
      <c r="AQ15" s="14" t="str">
        <f t="shared" si="1"/>
        <v/>
      </c>
      <c r="AR15" s="21" t="str">
        <f>IF(AR11&lt;&gt;"",IF(K20=AR11,K22,IF(K22=AR11,K20,IF(K50=AR11,K52,IF(K52=AR11,K50,IF(AC20=AR11,AC22,IF(AC22=AR11,AC20,IF(AC50=AR11,AC52,IF(AC52=AR11,AC50)))))))),"")</f>
        <v/>
      </c>
      <c r="AS15" s="15" t="str">
        <f>IFERROR(IF(AR15="","",VLOOKUP(AR15,LISTAS!$F$5:$G$1004,2,0)),"0")</f>
        <v/>
      </c>
      <c r="AT15" s="15" t="str">
        <f t="shared" si="0"/>
        <v/>
      </c>
      <c r="AU15" s="15" t="str">
        <f t="shared" si="2"/>
        <v/>
      </c>
    </row>
    <row r="16" spans="2:49" ht="18" customHeight="1" x14ac:dyDescent="0.25">
      <c r="B16" s="16">
        <v>17</v>
      </c>
      <c r="C16" s="162" t="str">
        <f>IF('13F GRP'!G5&gt;=3,'13F GRP'!J229,IF('13F GRP'!G5=2,"",IF('13F GRP'!G5=1,"","")))</f>
        <v/>
      </c>
      <c r="D16" s="234">
        <v>0</v>
      </c>
      <c r="E16" s="56">
        <f>IF(D16&lt;&gt;"",D16,"")</f>
        <v>0</v>
      </c>
      <c r="F16" s="51" t="str">
        <f>IF(D16&lt;&gt;"",IF(C16="","",C16),"")</f>
        <v/>
      </c>
      <c r="G16" s="176">
        <f>IF(E16&lt;&gt;"",IF(E18&lt;&gt;"",SMALL(E16:E18,1),""),"")</f>
        <v>0</v>
      </c>
      <c r="H16" s="11"/>
      <c r="I16" s="18"/>
      <c r="J16" s="11"/>
      <c r="K16" s="166"/>
      <c r="L16" s="11"/>
      <c r="M16" s="11"/>
      <c r="N16" s="11"/>
      <c r="O16" s="166"/>
      <c r="P16" s="11"/>
      <c r="Q16" s="8"/>
      <c r="R16" s="182"/>
      <c r="S16" s="8"/>
      <c r="T16" s="8"/>
      <c r="U16" s="8"/>
      <c r="V16" s="182"/>
      <c r="W16" s="8"/>
      <c r="X16" s="62"/>
      <c r="Y16" s="182"/>
      <c r="Z16" s="8"/>
      <c r="AA16" s="8"/>
      <c r="AB16" s="11"/>
      <c r="AC16" s="182"/>
      <c r="AD16" s="65"/>
      <c r="AE16" s="8"/>
      <c r="AF16" s="8"/>
      <c r="AG16" s="181">
        <f>IF(AJ16&lt;&gt;"",AJ16,"")</f>
        <v>0</v>
      </c>
      <c r="AH16" s="78" t="str">
        <f>IF(AJ16&lt;&gt;"",IF(AK16="","",AK16),"")</f>
        <v/>
      </c>
      <c r="AI16" s="53">
        <f>IF(AG16&lt;&gt;"",IF(AG18&lt;&gt;"",SMALL(AG16:AG18,1),""),"")</f>
        <v>0</v>
      </c>
      <c r="AJ16" s="234">
        <v>0</v>
      </c>
      <c r="AK16" s="162" t="str">
        <f>IF('13F GRP'!G5&gt;=3,'13F GRP'!J190,IF('13F GRP'!G5=2,"",IF('13F GRP'!G5=1,"","")))</f>
        <v/>
      </c>
      <c r="AL16" s="11">
        <v>14</v>
      </c>
      <c r="AP16" s="13" t="str">
        <f>IF(AR16&lt;&gt;"",1+COUNTIF(AP8:AP15,"1")+COUNTIF(AP8:AP15,"2")+COUNTIF(AP8:AP15,"3")+COUNTIF(AP8:AP15,"4")+COUNTIF(AP8:AP15,"5")+COUNTIF(AP8:AP15,"6")+COUNTIF(AP8:AP15,"7")+COUNTIF(AP8:AP15,"8"),"")</f>
        <v/>
      </c>
      <c r="AQ16" s="14" t="str">
        <f t="shared" si="1"/>
        <v/>
      </c>
      <c r="AR16" s="21" t="str">
        <f>IF(AR8&lt;&gt;"",IF(G12=AR8,G14,IF(G14=AR8,G12,IF(G28=AR8,G30,IF(G30=AR8,G28,IF(AG12=AR8,AG14,IF(AG14=AR8,AG12,IF(AG28=AR8,AG30,IF(AG30=AR8,AG28,IF(G42=AR8,G44,IF(G44=AR8,G42,IF(G58=AR8,G60,IF(G60=AR8,G58,IF(AG42=AR8,AG44,IF(AG44=AR8,AG42,IF(AG58=AR8,AG60,IF(AG60=AR8,AG58)))))))))))))))),"")</f>
        <v/>
      </c>
      <c r="AS16" s="15" t="str">
        <f>IFERROR(IF(AR16="","",VLOOKUP(AR16,LISTAS!$F$5:$G$1004,2,0)),"0")</f>
        <v/>
      </c>
      <c r="AT16" s="15" t="str">
        <f t="shared" si="0"/>
        <v/>
      </c>
      <c r="AU16" s="15" t="str">
        <f t="shared" si="2"/>
        <v/>
      </c>
    </row>
    <row r="17" spans="2:47" ht="18" customHeight="1" thickBot="1" x14ac:dyDescent="0.3">
      <c r="B17" s="16"/>
      <c r="C17" s="165" t="str">
        <f>IFERROR(IF(C16="","",VLOOKUP(C16,LISTAS!$F$5:$G$1004,2,0)),"0")</f>
        <v/>
      </c>
      <c r="D17" s="235"/>
      <c r="E17" s="57"/>
      <c r="F17" s="51"/>
      <c r="G17" s="176"/>
      <c r="H17" s="11"/>
      <c r="I17" s="18"/>
      <c r="J17" s="11"/>
      <c r="K17" s="166"/>
      <c r="L17" s="11"/>
      <c r="M17" s="11"/>
      <c r="N17" s="11"/>
      <c r="O17" s="166"/>
      <c r="P17" s="11"/>
      <c r="Q17" s="8"/>
      <c r="R17" s="182"/>
      <c r="S17" s="8"/>
      <c r="T17" s="8"/>
      <c r="U17" s="8"/>
      <c r="V17" s="182"/>
      <c r="W17" s="8"/>
      <c r="X17" s="62"/>
      <c r="Y17" s="182"/>
      <c r="Z17" s="8"/>
      <c r="AA17" s="8"/>
      <c r="AB17" s="11"/>
      <c r="AC17" s="182"/>
      <c r="AD17" s="65"/>
      <c r="AE17" s="8"/>
      <c r="AF17" s="8"/>
      <c r="AG17" s="181"/>
      <c r="AH17" s="78"/>
      <c r="AI17" s="124"/>
      <c r="AJ17" s="235"/>
      <c r="AK17" s="165" t="str">
        <f>IFERROR(IF(AK16="","",VLOOKUP(AK16,LISTAS!$F$5:$G$1004,2,0)),"0")</f>
        <v/>
      </c>
      <c r="AL17" s="11"/>
      <c r="AP17" s="13" t="str">
        <f>IF(AR17&lt;&gt;"",1+COUNTIF(AP8:AP16,"1")+COUNTIF(AP8:AP16,"2")+COUNTIF(AP8:AP16,"3")+COUNTIF(AP8:AP16,"4")+COUNTIF(AP8:AP16,"5")+COUNTIF(AP8:AP16,"6")+COUNTIF(AP8:AP16,"7")+COUNTIF(AP8:AP16,"8")+COUNTIF(AP8:AP16,"9"),"")</f>
        <v/>
      </c>
      <c r="AQ17" s="14" t="str">
        <f t="shared" si="1"/>
        <v/>
      </c>
      <c r="AR17" s="21" t="str">
        <f>IF(AR9&lt;&gt;"",IF(G12=AR9,G14,IF(G14=AR9,G12,IF(G28=AR9,G30,IF(G30=AR9,G28,IF(AG12=AR9,AG14,IF(AG14=AR9,AG12,IF(AG28=AR9,AG30,IF(AG30=AR9,AG28,IF(G42=AR9,G44,IF(G44=AR9,G42,IF(G58=AR9,G60,IF(G60=AR9,G58,IF(AG42=AR9,AG44,IF(AG44=AR9,AG42,IF(AG58=AR9,AG60,IF(AG60=AR9,AG58)))))))))))))))),"")</f>
        <v/>
      </c>
      <c r="AS17" s="15" t="str">
        <f>IFERROR(IF(AR17="","",VLOOKUP(AR17,LISTAS!$F$5:$G$1004,2,0)),"0")</f>
        <v/>
      </c>
      <c r="AT17" s="15" t="str">
        <f t="shared" si="0"/>
        <v/>
      </c>
      <c r="AU17" s="15" t="str">
        <f t="shared" si="2"/>
        <v/>
      </c>
    </row>
    <row r="18" spans="2:47" ht="18" customHeight="1" x14ac:dyDescent="0.25">
      <c r="B18" s="16">
        <v>16</v>
      </c>
      <c r="C18" s="162" t="str">
        <f>IF('13F GRP'!G5&gt;=3,'13F GRP'!J216,IF('13F GRP'!G5=2,"",IF('13F GRP'!G5=1,"","")))</f>
        <v/>
      </c>
      <c r="D18" s="234">
        <v>0</v>
      </c>
      <c r="E18" s="57">
        <f>IF(D18&lt;&gt;"",D18,"")</f>
        <v>0</v>
      </c>
      <c r="F18" s="51" t="str">
        <f>IF(D18&lt;&gt;"",IF(C18="","",C18),"")</f>
        <v/>
      </c>
      <c r="G18" s="176" t="str">
        <f>VLOOKUP(G16,E16:F18,2,0)</f>
        <v/>
      </c>
      <c r="H18" s="11"/>
      <c r="I18" s="18"/>
      <c r="J18" s="11"/>
      <c r="K18" s="166"/>
      <c r="L18" s="11"/>
      <c r="M18" s="11"/>
      <c r="N18" s="11"/>
      <c r="O18" s="166"/>
      <c r="P18" s="11"/>
      <c r="Q18" s="8"/>
      <c r="R18" s="182"/>
      <c r="S18" s="8"/>
      <c r="T18" s="8"/>
      <c r="U18" s="8"/>
      <c r="V18" s="182"/>
      <c r="W18" s="8"/>
      <c r="X18" s="62"/>
      <c r="Y18" s="182"/>
      <c r="Z18" s="8"/>
      <c r="AA18" s="8"/>
      <c r="AB18" s="11"/>
      <c r="AC18" s="182"/>
      <c r="AD18" s="65"/>
      <c r="AE18" s="8"/>
      <c r="AF18" s="8"/>
      <c r="AG18" s="181">
        <f>IF(AJ18&lt;&gt;"",AJ18,"")</f>
        <v>0</v>
      </c>
      <c r="AH18" s="78" t="str">
        <f>IF(AJ18&lt;&gt;"",IF(AK18="","",AK18),"")</f>
        <v/>
      </c>
      <c r="AI18" s="76" t="str">
        <f>VLOOKUP(AI16,AG16:AH18,2,0)</f>
        <v/>
      </c>
      <c r="AJ18" s="234">
        <v>0</v>
      </c>
      <c r="AK18" s="162" t="str">
        <f>IF('13F GRP'!G5&gt;=3,'13F GRP'!J255,IF('13F GRP'!G5=2,"",IF('13F GRP'!G5=1,"","")))</f>
        <v/>
      </c>
      <c r="AL18" s="11">
        <v>19</v>
      </c>
      <c r="AP18" s="13" t="str">
        <f>IF(AR18&lt;&gt;"",1+COUNTIF(AP8:AP17,"1")+COUNTIF(AP8:AP17,"2")+COUNTIF(AP8:AP17,"3")+COUNTIF(AP8:AP17,"4")+COUNTIF(AP8:AP17,"5")+COUNTIF(AP8:AP17,"6")+COUNTIF(AP8:AP17,"7")+COUNTIF(AP8:AP17,"8")+COUNTIF(AP8:AP17,"9")+COUNTIF(AP8:AP17,"10"),"")</f>
        <v/>
      </c>
      <c r="AQ18" s="14" t="str">
        <f t="shared" si="1"/>
        <v/>
      </c>
      <c r="AR18" s="21" t="str">
        <f>IF(AR10&lt;&gt;"",IF(G12=AR10,G14,IF(G14=AR10,G12,IF(G28=AR10,G30,IF(G30=AR10,G28,IF(AG12=AR10,AG14,IF(AG14=AR10,AG12,IF(AG28=AR10,AG30,IF(AG30=AR10,AG28,IF(G42=AR10,G44,IF(G44=AR10,G42,IF(G58=AR10,G60,IF(G60=AR10,G58,IF(AG42=AR10,AG44,IF(AG44=AR10,AG42,IF(AG58=AR10,AG60,IF(AG60=AR10,AG58)))))))))))))))),"")</f>
        <v/>
      </c>
      <c r="AS18" s="15" t="str">
        <f>IFERROR(IF(AR18="","",VLOOKUP(AR18,LISTAS!$F$5:$G$1004,2,0)),"0")</f>
        <v/>
      </c>
      <c r="AT18" s="15" t="str">
        <f t="shared" si="0"/>
        <v/>
      </c>
      <c r="AU18" s="15" t="str">
        <f t="shared" si="2"/>
        <v/>
      </c>
    </row>
    <row r="19" spans="2:47" ht="18" customHeight="1" thickBot="1" x14ac:dyDescent="0.3">
      <c r="B19" s="16"/>
      <c r="C19" s="165" t="str">
        <f>IFERROR(IF(C18="","",VLOOKUP(C18,LISTAS!$F$5:$G$1004,2,0)),"0")</f>
        <v/>
      </c>
      <c r="D19" s="235"/>
      <c r="E19" s="51"/>
      <c r="F19" s="51"/>
      <c r="G19" s="176"/>
      <c r="H19" s="11"/>
      <c r="I19" s="18"/>
      <c r="J19" s="11"/>
      <c r="K19" s="166"/>
      <c r="L19" s="11"/>
      <c r="M19" s="11"/>
      <c r="N19" s="11"/>
      <c r="O19" s="166"/>
      <c r="P19" s="11"/>
      <c r="Q19" s="8"/>
      <c r="R19" s="182"/>
      <c r="S19" s="8"/>
      <c r="T19" s="8"/>
      <c r="U19" s="8"/>
      <c r="V19" s="182"/>
      <c r="W19" s="8"/>
      <c r="X19" s="62"/>
      <c r="Y19" s="182"/>
      <c r="Z19" s="8"/>
      <c r="AA19" s="8"/>
      <c r="AB19" s="11"/>
      <c r="AC19" s="182"/>
      <c r="AD19" s="65"/>
      <c r="AE19" s="8"/>
      <c r="AF19" s="8"/>
      <c r="AG19" s="181"/>
      <c r="AH19" s="78"/>
      <c r="AI19" s="51"/>
      <c r="AJ19" s="235"/>
      <c r="AK19" s="165" t="str">
        <f>IFERROR(IF(AK18="","",VLOOKUP(AK18,LISTAS!$F$5:$G$1004,2,0)),"0")</f>
        <v/>
      </c>
      <c r="AL19" s="11"/>
      <c r="AP19" s="13" t="str">
        <f>IF(AR19&lt;&gt;"",1+COUNTIF(AP8:AP18,"1")+COUNTIF(AP8:AP18,"2")+COUNTIF(AP8:AP18,"3")+COUNTIF(AP8:AP18,"4")+COUNTIF(AP8:AP18,"5")+COUNTIF(AP8:AP18,"6")+COUNTIF(AP8:AP18,"7")+COUNTIF(AP8:AP18,"8")+COUNTIF(AP8:AP18,"9")+COUNTIF(AP8:AP18,"10")+COUNTIF(AP8:AP18,"11"),"")</f>
        <v/>
      </c>
      <c r="AQ19" s="14" t="str">
        <f t="shared" si="1"/>
        <v/>
      </c>
      <c r="AR19" s="21" t="str">
        <f>IF(AR11&lt;&gt;"",IF(G12=AR11,G14,IF(G14=AR11,G12,IF(G28=AR11,G30,IF(G30=AR11,G28,IF(AG12=AR11,AG14,IF(AG14=AR11,AG12,IF(AG28=AR11,AG30,IF(AG30=AR11,AG28,IF(G42=AR11,G44,IF(G44=AR11,G42,IF(G58=AR11,G60,IF(G60=AR11,G58,IF(AG42=AR11,AG44,IF(AG44=AR11,AG42,IF(AG58=AR11,AG60,IF(AG60=AR11,AG58)))))))))))))))),"")</f>
        <v/>
      </c>
      <c r="AS19" s="15" t="str">
        <f>IFERROR(IF(AR19="","",VLOOKUP(AR19,LISTAS!$F$5:$G$1004,2,0)),"0")</f>
        <v/>
      </c>
      <c r="AT19" s="15" t="str">
        <f t="shared" si="0"/>
        <v/>
      </c>
      <c r="AU19" s="15" t="str">
        <f t="shared" si="2"/>
        <v/>
      </c>
    </row>
    <row r="20" spans="2:47" ht="18" customHeight="1" x14ac:dyDescent="0.25">
      <c r="B20" s="16"/>
      <c r="C20" s="166"/>
      <c r="D20" s="11"/>
      <c r="E20" s="51"/>
      <c r="F20" s="51"/>
      <c r="G20" s="176"/>
      <c r="H20" s="11"/>
      <c r="I20" s="18"/>
      <c r="J20" s="11"/>
      <c r="K20" s="162" t="str">
        <f>IF(H12&lt;&gt;"",IF(H14&lt;&gt;"",IF(H12=H14,"",IF(H12&gt;H14,G12,G14)),""),"")</f>
        <v>LUIZA SARAIVA</v>
      </c>
      <c r="L20" s="234">
        <v>2</v>
      </c>
      <c r="M20" s="51">
        <f>IF(L20&lt;&gt;"",L20,"")</f>
        <v>2</v>
      </c>
      <c r="N20" s="51" t="str">
        <f>IF(L20&lt;&gt;"",IF(K20="","",K20),"")</f>
        <v>LUIZA SARAIVA</v>
      </c>
      <c r="O20" s="176">
        <f>IF(M20&lt;&gt;"",IF(M22&lt;&gt;"",SMALL(M20:N22,1),""),"")</f>
        <v>0</v>
      </c>
      <c r="P20" s="11"/>
      <c r="Q20" s="8"/>
      <c r="R20" s="202"/>
      <c r="S20" s="202"/>
      <c r="T20" s="202" t="s">
        <v>21</v>
      </c>
      <c r="U20" s="202"/>
      <c r="V20" s="202"/>
      <c r="W20" s="8"/>
      <c r="X20" s="62"/>
      <c r="Y20" s="182"/>
      <c r="Z20" s="8"/>
      <c r="AA20" s="8"/>
      <c r="AB20" s="234">
        <v>2</v>
      </c>
      <c r="AC20" s="162" t="str">
        <f>IF(AF12&lt;&gt;"",IF(AF14&lt;&gt;"",IF(AF12=AF14,"",IF(AF12&gt;AF14,AG12,AG14)),""),"")</f>
        <v>BEATRIZ TOMÉ CYRILLO</v>
      </c>
      <c r="AD20" s="112"/>
      <c r="AE20" s="8"/>
      <c r="AF20" s="8"/>
      <c r="AG20" s="182"/>
      <c r="AH20" s="8"/>
      <c r="AI20" s="8"/>
      <c r="AJ20" s="11"/>
      <c r="AK20" s="166"/>
      <c r="AL20" s="11"/>
      <c r="AM20" s="23"/>
      <c r="AN20" s="23"/>
      <c r="AO20" s="23"/>
      <c r="AP20" s="13" t="str">
        <f>IF(AR20&lt;&gt;"",1+COUNTIF(AP8:AP19,"1")+COUNTIF(AP8:AP19,"2")+COUNTIF(AP8:AP19,"3")+COUNTIF(AP8:AP19,"4")+COUNTIF(AP8:AP19,"5")+COUNTIF(AP8:AP19,"6")+COUNTIF(AP8:AP19,"7")+COUNTIF(AP8:AP19,"8")+COUNTIF(AP8:AP19,"9")+COUNTIF(AP8:AP19,"10")+COUNTIF(AP8:AP19,"11")+COUNTIF(AP8:AP19,"12"),"")</f>
        <v/>
      </c>
      <c r="AQ20" s="14" t="str">
        <f t="shared" si="1"/>
        <v/>
      </c>
      <c r="AR20" s="21" t="str">
        <f>IF(AR12&lt;&gt;"",IF(G12=AR12,G14,IF(G14=AR12,G12,IF(G28=AR12,G30,IF(G30=AR12,G28,IF(AG12=AR12,AG14,IF(AG14=AR12,AG12,IF(AG28=AR12,AG30,IF(AG30=AR12,AG28,IF(G42=AR12,G44,IF(G44=AR12,G42,IF(G58=AR12,G60,IF(G60=AR12,G58,IF(AG42=AR12,AG44,IF(AG44=AR12,AG42,IF(AG58=AR12,AG60,IF(AG60=AR12,AG58)))))))))))))))),"")</f>
        <v/>
      </c>
      <c r="AS20" s="15" t="str">
        <f>IFERROR(IF(AR20="","",VLOOKUP(AR20,LISTAS!$F$5:$G$1004,2,0)),"0")</f>
        <v/>
      </c>
      <c r="AT20" s="15" t="str">
        <f t="shared" si="0"/>
        <v/>
      </c>
      <c r="AU20" s="15" t="str">
        <f t="shared" si="2"/>
        <v/>
      </c>
    </row>
    <row r="21" spans="2:47" ht="18" customHeight="1" thickBot="1" x14ac:dyDescent="0.3">
      <c r="B21" s="16"/>
      <c r="C21" s="166"/>
      <c r="D21" s="11"/>
      <c r="E21" s="11"/>
      <c r="F21" s="11"/>
      <c r="G21" s="166"/>
      <c r="H21" s="11"/>
      <c r="I21" s="18"/>
      <c r="J21" s="11"/>
      <c r="K21" s="165" t="str">
        <f>IFERROR(IF(K20="","",VLOOKUP(K20,LISTAS!$F$5:$G$1004,2,0)),"0")</f>
        <v>COLÉGIO MARCONI - GRU</v>
      </c>
      <c r="L21" s="235"/>
      <c r="M21" s="51"/>
      <c r="N21" s="51"/>
      <c r="O21" s="176"/>
      <c r="P21" s="11"/>
      <c r="Q21" s="8"/>
      <c r="R21" s="202"/>
      <c r="S21" s="202"/>
      <c r="T21" s="202" t="s">
        <v>29</v>
      </c>
      <c r="U21" s="202"/>
      <c r="V21" s="202"/>
      <c r="W21" s="8"/>
      <c r="X21" s="62"/>
      <c r="Y21" s="182"/>
      <c r="Z21" s="8"/>
      <c r="AA21" s="8"/>
      <c r="AB21" s="235"/>
      <c r="AC21" s="165" t="str">
        <f>IFERROR(IF(AC20="","",VLOOKUP(AC20,LISTAS!$F$5:$G$1004,2,0)),"0")</f>
        <v>LICEU JARDIM</v>
      </c>
      <c r="AD21" s="8"/>
      <c r="AE21" s="69"/>
      <c r="AF21" s="8"/>
      <c r="AG21" s="182"/>
      <c r="AH21" s="8"/>
      <c r="AI21" s="8"/>
      <c r="AJ21" s="11"/>
      <c r="AK21" s="166"/>
      <c r="AL21" s="11"/>
      <c r="AM21" s="23"/>
      <c r="AN21" s="23"/>
      <c r="AO21" s="23"/>
      <c r="AP21" s="13" t="str">
        <f>IF(AR21&lt;&gt;"",1+COUNTIF(AP8:AP20,"1")+COUNTIF(AP8:AP20,"2")+COUNTIF(AP8:AP20,"3")+COUNTIF(AP8:AP20,"4")+COUNTIF(AP8:AP20,"5")+COUNTIF(AP8:AP20,"6")+COUNTIF(AP8:AP20,"7")+COUNTIF(AP8:AP20,"8")+COUNTIF(AP8:AP20,"9")+COUNTIF(AP8:AP20,"10")+COUNTIF(AP8:AP20,"11")+COUNTIF(AP8:AP20,"12")+COUNTIF(AP8:AP20,"13"),"")</f>
        <v/>
      </c>
      <c r="AQ21" s="14" t="str">
        <f t="shared" si="1"/>
        <v/>
      </c>
      <c r="AR21" s="21" t="str">
        <f>IF(AR13&lt;&gt;"",IF(G12=AR13,G14,IF(G14=AR13,G12,IF(G28=AR13,G30,IF(G30=AR13,G28,IF(AG12=AR13,AG14,IF(AG14=AR13,AG12,IF(AG28=AR13,AG30,IF(AG30=AR13,AG28,IF(G42=AR13,G44,IF(G44=AR13,G42,IF(G58=AR13,G60,IF(G60=AR13,G58,IF(AG42=AR13,AG44,IF(AG44=AR13,AG42,IF(AG58=AR13,AG60,IF(AG60=AR13,AG58)))))))))))))))),"")</f>
        <v/>
      </c>
      <c r="AS21" s="15" t="str">
        <f>IFERROR(IF(AR21="","",VLOOKUP(AR21,LISTAS!$F$5:$G$1004,2,0)),"0")</f>
        <v/>
      </c>
      <c r="AT21" s="15" t="str">
        <f t="shared" si="0"/>
        <v/>
      </c>
      <c r="AU21" s="15" t="str">
        <f t="shared" si="2"/>
        <v/>
      </c>
    </row>
    <row r="22" spans="2:47" ht="18" customHeight="1" x14ac:dyDescent="0.25">
      <c r="B22" s="16"/>
      <c r="C22" s="166"/>
      <c r="D22" s="11"/>
      <c r="E22" s="11"/>
      <c r="F22" s="11"/>
      <c r="G22" s="166"/>
      <c r="H22" s="11"/>
      <c r="I22" s="18"/>
      <c r="J22" s="19"/>
      <c r="K22" s="162" t="str">
        <f>IF(H28&lt;&gt;"",IF(H30&lt;&gt;"",IF(H28=H30,"",IF(H28&gt;H30,G28,G30)),""),"")</f>
        <v/>
      </c>
      <c r="L22" s="234">
        <v>0</v>
      </c>
      <c r="M22" s="52">
        <f>IF(L22&lt;&gt;"",L22,"")</f>
        <v>0</v>
      </c>
      <c r="N22" s="51" t="str">
        <f>IF(L22&lt;&gt;"",IF(K22="","",K22),"")</f>
        <v/>
      </c>
      <c r="O22" s="176" t="str">
        <f>VLOOKUP(O20,M20:N22,2,0)</f>
        <v/>
      </c>
      <c r="P22" s="11"/>
      <c r="Q22" s="8"/>
      <c r="R22" s="182"/>
      <c r="S22" s="8"/>
      <c r="T22" s="8"/>
      <c r="U22" s="8"/>
      <c r="V22" s="182"/>
      <c r="W22" s="8"/>
      <c r="X22" s="62"/>
      <c r="Y22" s="182"/>
      <c r="Z22" s="65"/>
      <c r="AA22" s="68"/>
      <c r="AB22" s="234">
        <v>0</v>
      </c>
      <c r="AC22" s="162" t="str">
        <f>IF(AF28&lt;&gt;"",IF(AF30&lt;&gt;"",IF(AF28=AF30,"",IF(AF28&gt;AF30,AG28,AG30)),""),"")</f>
        <v/>
      </c>
      <c r="AD22" s="8"/>
      <c r="AE22" s="69"/>
      <c r="AF22" s="8"/>
      <c r="AG22" s="182"/>
      <c r="AH22" s="8"/>
      <c r="AI22" s="8"/>
      <c r="AJ22" s="11"/>
      <c r="AK22" s="166"/>
      <c r="AL22" s="11"/>
      <c r="AP22" s="13" t="str">
        <f>IF(AR22&lt;&gt;"",1+COUNTIF(AP8:AP21,"1")+COUNTIF(AP8:AP21,"2")+COUNTIF(AP8:AP21,"3")+COUNTIF(AP8:AP21,"4")+COUNTIF(AP8:AP21,"5")+COUNTIF(AP8:AP21,"6")+COUNTIF(AP8:AP21,"7")+COUNTIF(AP8:AP21,"8")+COUNTIF(AP8:AP21,"9")+COUNTIF(AP8:AP21,"10")+COUNTIF(AP8:AP21,"11")+COUNTIF(AP8:AP21,"12")+COUNTIF(AP8:AP21,"13")+COUNTIF(AP8:AP21,"14"),"")</f>
        <v/>
      </c>
      <c r="AQ22" s="14" t="str">
        <f t="shared" si="1"/>
        <v/>
      </c>
      <c r="AR22" s="21" t="str">
        <f>IF(AR14&lt;&gt;"",IF(G12=AR14,G14,IF(G14=AR14,G12,IF(G28=AR14,G30,IF(G30=AR14,G28,IF(AG12=AR14,AG14,IF(AG14=AR14,AG12,IF(AG28=AR14,AG30,IF(AG30=AR14,AG28,IF(G42=AR14,G44,IF(G44=AR14,G42,IF(G58=AR14,G60,IF(G60=AR14,G58,IF(AG42=AR14,AG44,IF(AG44=AR14,AG42,IF(AG58=AR14,AG60,IF(AG60=AR14,AG58)))))))))))))))),"")</f>
        <v/>
      </c>
      <c r="AS22" s="15" t="str">
        <f>IFERROR(IF(AR22="","",VLOOKUP(AR22,LISTAS!$F$5:$G$1004,2,0)),"0")</f>
        <v/>
      </c>
      <c r="AT22" s="15" t="str">
        <f t="shared" si="0"/>
        <v/>
      </c>
      <c r="AU22" s="15" t="str">
        <f t="shared" si="2"/>
        <v/>
      </c>
    </row>
    <row r="23" spans="2:47" ht="18" customHeight="1" thickBot="1" x14ac:dyDescent="0.3">
      <c r="B23" s="16"/>
      <c r="C23" s="166"/>
      <c r="D23" s="11"/>
      <c r="E23" s="11"/>
      <c r="F23" s="11"/>
      <c r="G23" s="166"/>
      <c r="H23" s="11"/>
      <c r="I23" s="18"/>
      <c r="J23" s="11"/>
      <c r="K23" s="165" t="str">
        <f>IFERROR(IF(K22="","",VLOOKUP(K22,LISTAS!$F$5:$G$1004,2,0)),"0")</f>
        <v/>
      </c>
      <c r="L23" s="235"/>
      <c r="M23" s="54"/>
      <c r="N23" s="51"/>
      <c r="O23" s="176"/>
      <c r="P23" s="11"/>
      <c r="Q23" s="8"/>
      <c r="R23" s="182"/>
      <c r="S23" s="8"/>
      <c r="T23" s="8"/>
      <c r="U23" s="8"/>
      <c r="V23" s="182"/>
      <c r="W23" s="8"/>
      <c r="X23" s="62"/>
      <c r="Y23" s="182"/>
      <c r="Z23" s="65"/>
      <c r="AA23" s="8"/>
      <c r="AB23" s="235"/>
      <c r="AC23" s="165" t="str">
        <f>IFERROR(IF(AC22="","",VLOOKUP(AC22,LISTAS!$F$5:$G$1004,2,0)),"0")</f>
        <v/>
      </c>
      <c r="AD23" s="8"/>
      <c r="AE23" s="69"/>
      <c r="AF23" s="8"/>
      <c r="AG23" s="182"/>
      <c r="AH23" s="8"/>
      <c r="AI23" s="8"/>
      <c r="AJ23" s="11"/>
      <c r="AK23" s="166"/>
      <c r="AL23" s="11"/>
      <c r="AP23" s="13" t="str">
        <f>IF(AR23&lt;&gt;"",1+COUNTIF(AP8:AP22,"1")+COUNTIF(AP8:AP22,"2")+COUNTIF(AP8:AP22,"3")+COUNTIF(AP8:AP22,"4")+COUNTIF(AP8:AP22,"5")+COUNTIF(AP8:AP22,"6")+COUNTIF(AP8:AP22,"7")+COUNTIF(AP8:AP22,"8")+COUNTIF(AP8:AP22,"9")+COUNTIF(AP8:AP22,"10")+COUNTIF(AP8:AP22,"11")+COUNTIF(AP8:AP22,"12")+COUNTIF(AP8:AP22,"13")+COUNTIF(AP8:AP22,"14")+COUNTIF(AP8:AP22,"15"),"")</f>
        <v/>
      </c>
      <c r="AQ23" s="14" t="str">
        <f t="shared" si="1"/>
        <v/>
      </c>
      <c r="AR23" s="21" t="str">
        <f>IF(AR15&lt;&gt;"",IF(G12=AR15,G14,IF(G14=AR15,G12,IF(G28=AR15,G30,IF(G30=AR15,G28,IF(AG12=AR15,AG14,IF(AG14=AR15,AG12,IF(AG28=AR15,AG30,IF(AG30=AR15,AG28,IF(G42=AR15,G44,IF(G44=AR15,G42,IF(G58=AR15,G60,IF(G60=AR15,G58,IF(AG42=AR15,AG44,IF(AG44=AR15,AG42,IF(AG58=AR15,AG60,IF(AG60=AR15,AG58)))))))))))))))),"")</f>
        <v/>
      </c>
      <c r="AS23" s="15" t="str">
        <f>IFERROR(IF(AR23="","",VLOOKUP(AR23,LISTAS!$F$5:$G$1004,2,0)),"0")</f>
        <v/>
      </c>
      <c r="AT23" s="15" t="str">
        <f t="shared" si="0"/>
        <v/>
      </c>
      <c r="AU23" s="15" t="str">
        <f t="shared" si="2"/>
        <v/>
      </c>
    </row>
    <row r="24" spans="2:47" ht="18" customHeight="1" x14ac:dyDescent="0.25">
      <c r="B24" s="16">
        <v>9</v>
      </c>
      <c r="C24" s="162" t="str">
        <f>IF('13F GRP'!G5&gt;=3,'13F GRP'!J125,IF('13F GRP'!G5=2,"",IF('13F GRP'!G5=1,"","")))</f>
        <v/>
      </c>
      <c r="D24" s="234">
        <v>0</v>
      </c>
      <c r="E24" s="51">
        <f>IF(D24&lt;&gt;"",D24,"")</f>
        <v>0</v>
      </c>
      <c r="F24" s="51" t="str">
        <f>IF(D24&lt;&gt;"",IF(C24="","",C24),"")</f>
        <v/>
      </c>
      <c r="G24" s="176">
        <f>IF(E24&lt;&gt;"",IF(E26&lt;&gt;"",SMALL(E24:E26,1),""),"")</f>
        <v>0</v>
      </c>
      <c r="H24" s="11"/>
      <c r="I24" s="18"/>
      <c r="J24" s="11"/>
      <c r="K24" s="166"/>
      <c r="L24" s="11"/>
      <c r="M24" s="54"/>
      <c r="N24" s="51"/>
      <c r="O24" s="176"/>
      <c r="P24" s="11"/>
      <c r="Q24" s="8"/>
      <c r="R24" s="182"/>
      <c r="S24" s="8"/>
      <c r="T24" s="8"/>
      <c r="U24" s="8"/>
      <c r="V24" s="182"/>
      <c r="W24" s="8"/>
      <c r="X24" s="62"/>
      <c r="Y24" s="182"/>
      <c r="Z24" s="65"/>
      <c r="AA24" s="8"/>
      <c r="AB24" s="11"/>
      <c r="AC24" s="182"/>
      <c r="AD24" s="8"/>
      <c r="AE24" s="69"/>
      <c r="AF24" s="8"/>
      <c r="AG24" s="181">
        <f>IF(AJ24&lt;&gt;"",AJ24,"")</f>
        <v>0</v>
      </c>
      <c r="AH24" s="78" t="str">
        <f>IF(AJ24&lt;&gt;"",IF(AK24="","",AK24),"")</f>
        <v/>
      </c>
      <c r="AI24" s="51">
        <f>IF(AG24&lt;&gt;"",IF(AG26&lt;&gt;"",SMALL(AG24:AG26,1),""),"")</f>
        <v>0</v>
      </c>
      <c r="AJ24" s="234">
        <v>0</v>
      </c>
      <c r="AK24" s="162" t="str">
        <f>IF('13F GRP'!G5&gt;=3,'13F GRP'!J294,IF('13F GRP'!G5=2,"",IF('13F GRP'!G5=1,"","")))</f>
        <v/>
      </c>
      <c r="AL24" s="11">
        <v>22</v>
      </c>
      <c r="AP24" s="13" t="str">
        <f>IF(AR24&lt;&gt;"",1+COUNTIF(AP8:AP23,"1")+COUNTIF(AP8:AP23,"2")+COUNTIF(AP8:AP23,"3")+COUNTIF(AP8:AP23,"4")+COUNTIF(AP8:AP23,"5")+COUNTIF(AP8:AP23,"6")+COUNTIF(AP8:AP23,"7")+COUNTIF(AP8:AP23,"8")+COUNTIF(AP8:AP23,"9")+COUNTIF(AP8:AP23,"10")+COUNTIF(AP8:AP23,"11")+COUNTIF(AP8:AP23,"12")+COUNTIF(AP8:AP23,"13")+COUNTIF(AP8:AP23,"14")+COUNTIF(AP8:AP23,"15")+COUNTIF(AP8:AP23,"16"),"")</f>
        <v/>
      </c>
      <c r="AQ24" s="14" t="str">
        <f t="shared" si="1"/>
        <v/>
      </c>
      <c r="AR24" s="21" t="str">
        <f>IF(AR8&lt;&gt;"",IF(C8=AR8,G10,IF(C10=AR8,G10,IF(C16=AR8,G18,IF(C18=AR8,G18,IF(C38=AR8,G40,IF(C40=AR8,G40,IF(C46=AR8,G48,IF(C48=AR8,G48,IF(C24=AR8,G26,IF(C26=AR8,G26,IF(C32=AR8,G34,IF(C34=AR8,G34,IF(C54=AR8,G56,IF(C56=AR8,G56,IF(C62=AR8,G64,IF(C64=AR8,G64,IF(AK8=AR8,AI10,IF(AK10=AR8,AI10,IF(AK16=AR8,AI18,IF(AK18=AR8,AI18,IF(AK38=AR8,AI40,IF(AK40=AR8,AI40,IF(AK46=AR8,AI48,IF(AK48=AR8,AI48,IF(AK24=AR8,AI26,IF(AK26=AR8,AI26,IF(AK32=AR8,AI34,IF(AK34=AR8,AI34,IF(AK54=AR8,AI56,IF(AK56=AR8,AI56,IF(AK62=AR8,AI64,IF(AK64=AR8,AI64)))))))))))))))))))))))))))))))),"")</f>
        <v/>
      </c>
      <c r="AS24" s="15" t="str">
        <f>IFERROR(IF(AR24="","",VLOOKUP(AR24,LISTAS!$F$5:$G$1004,2,0)),"0")</f>
        <v/>
      </c>
      <c r="AT24" s="15" t="str">
        <f t="shared" si="0"/>
        <v/>
      </c>
      <c r="AU24" s="15" t="str">
        <f t="shared" si="2"/>
        <v/>
      </c>
    </row>
    <row r="25" spans="2:47" ht="18" customHeight="1" thickBot="1" x14ac:dyDescent="0.3">
      <c r="B25" s="16"/>
      <c r="C25" s="165" t="str">
        <f>IFERROR(IF(C24="","",VLOOKUP(C24,LISTAS!$F$5:$G$1004,2,0)),"0")</f>
        <v/>
      </c>
      <c r="D25" s="235"/>
      <c r="E25" s="51"/>
      <c r="F25" s="51"/>
      <c r="G25" s="176"/>
      <c r="H25" s="11"/>
      <c r="I25" s="18"/>
      <c r="J25" s="11"/>
      <c r="K25" s="166"/>
      <c r="L25" s="11"/>
      <c r="M25" s="18"/>
      <c r="N25" s="11"/>
      <c r="O25" s="166"/>
      <c r="P25" s="11"/>
      <c r="Q25" s="8"/>
      <c r="R25" s="182"/>
      <c r="S25" s="8"/>
      <c r="T25" s="8"/>
      <c r="U25" s="8"/>
      <c r="V25" s="182"/>
      <c r="W25" s="8"/>
      <c r="X25" s="62"/>
      <c r="Y25" s="182"/>
      <c r="Z25" s="65"/>
      <c r="AA25" s="8"/>
      <c r="AB25" s="11"/>
      <c r="AC25" s="182"/>
      <c r="AD25" s="8"/>
      <c r="AE25" s="69"/>
      <c r="AF25" s="8"/>
      <c r="AG25" s="181"/>
      <c r="AH25" s="78"/>
      <c r="AI25" s="51"/>
      <c r="AJ25" s="235"/>
      <c r="AK25" s="165" t="str">
        <f>IFERROR(IF(AK24="","",VLOOKUP(AK24,LISTAS!$F$5:$G$1004,2,0)),"0")</f>
        <v/>
      </c>
      <c r="AL25" s="11"/>
      <c r="AP25" s="13" t="str">
        <f>IF(AR25&lt;&gt;"",1+COUNTIF(AP8:AP24,"1")+COUNTIF(AP8:AP24,"2")+COUNTIF(AP8:AP24,"3")+COUNTIF(AP8:AP24,"4")+COUNTIF(AP8:AP24,"5")+COUNTIF(AP8:AP24,"6")+COUNTIF(AP8:AP24,"7")+COUNTIF(AP8:AP24,"8")+COUNTIF(AP8:AP24,"9")+COUNTIF(AP8:AP24,"10")+COUNTIF(AP8:AP24,"11")+COUNTIF(AP8:AP24,"12")+COUNTIF(AP8:AP24,"13")+COUNTIF(AP8:AP24,"14")+COUNTIF(AP8:AP24,"15")+COUNTIF(AP8:AP24,"16")+COUNTIF(AP8:AP24,"17"),"")</f>
        <v/>
      </c>
      <c r="AQ25" s="14" t="str">
        <f t="shared" si="1"/>
        <v/>
      </c>
      <c r="AR25" s="21" t="str">
        <f>IF(AR9&lt;&gt;"",IF(C8=AR9,G10,IF(C10=AR9,G10,IF(C16=AR9,G18,IF(C18=AR9,G18,IF(C38=AR9,G40,IF(C40=AR9,G40,IF(C46=AR9,G48,IF(C48=AR9,G48,IF(C24=AR9,G26,IF(C26=AR9,G26,IF(C32=AR9,G34,IF(C34=AR9,G34,IF(C54=AR9,G56,IF(C56=AR9,G56,IF(C62=AR9,G64,IF(C64=AR9,G64,IF(AK8=AR9,AI10,IF(AK10=AR9,AI10,IF(AK16=AR9,AI18,IF(AK18=AR9,AI18,IF(AK38=AR9,AI40,IF(AK40=AR9,AI40,IF(AK46=AR9,AI48,IF(AK48=AR9,AI48,IF(AK24=AR9,AI26,IF(AK26=AR9,AI26,IF(AK32=AR9,AI34,IF(AK34=AR9,AI34,IF(AK54=AR9,AI56,IF(AK56=AR9,AI56,IF(AK62=AR9,AI64,IF(AK64=AR9,AI64)))))))))))))))))))))))))))))))),"")</f>
        <v/>
      </c>
      <c r="AS25" s="15" t="str">
        <f>IFERROR(IF(AR25="","",VLOOKUP(AR25,LISTAS!$F$5:$G$1004,2,0)),"0")</f>
        <v/>
      </c>
      <c r="AT25" s="15" t="str">
        <f t="shared" si="0"/>
        <v/>
      </c>
      <c r="AU25" s="15" t="str">
        <f t="shared" si="2"/>
        <v/>
      </c>
    </row>
    <row r="26" spans="2:47" ht="18" customHeight="1" x14ac:dyDescent="0.25">
      <c r="B26" s="16">
        <v>24</v>
      </c>
      <c r="C26" s="162" t="str">
        <f>IF('13F GRP'!G5&gt;=3,'13F GRP'!J320,IF('13F GRP'!G5=2,"",IF('13F GRP'!G5=1,"","")))</f>
        <v/>
      </c>
      <c r="D26" s="234">
        <v>0</v>
      </c>
      <c r="E26" s="52">
        <f>IF(D26&lt;&gt;"",D26,"")</f>
        <v>0</v>
      </c>
      <c r="F26" s="51" t="str">
        <f>IF(D26&lt;&gt;"",IF(C26="","",C26),"")</f>
        <v/>
      </c>
      <c r="G26" s="176" t="str">
        <f>VLOOKUP(G24,E24:F26,2,0)</f>
        <v/>
      </c>
      <c r="H26" s="11"/>
      <c r="I26" s="18"/>
      <c r="J26" s="11"/>
      <c r="K26" s="166"/>
      <c r="L26" s="11"/>
      <c r="M26" s="18"/>
      <c r="N26" s="11"/>
      <c r="O26" s="166"/>
      <c r="P26" s="11"/>
      <c r="Q26" s="8"/>
      <c r="R26" s="182"/>
      <c r="S26" s="8"/>
      <c r="T26" s="8"/>
      <c r="U26" s="8"/>
      <c r="V26" s="182"/>
      <c r="W26" s="8"/>
      <c r="X26" s="62"/>
      <c r="Y26" s="182"/>
      <c r="Z26" s="65"/>
      <c r="AA26" s="8"/>
      <c r="AB26" s="11"/>
      <c r="AC26" s="182"/>
      <c r="AD26" s="8"/>
      <c r="AE26" s="69"/>
      <c r="AF26" s="8"/>
      <c r="AG26" s="181">
        <f>IF(AJ26&lt;&gt;"",AJ26,"")</f>
        <v>0</v>
      </c>
      <c r="AH26" s="78" t="str">
        <f>IF(AJ26&lt;&gt;"",IF(AK26="","",AK26),"")</f>
        <v/>
      </c>
      <c r="AI26" s="55" t="str">
        <f>VLOOKUP(AI24,AG24:AH26,2,0)</f>
        <v/>
      </c>
      <c r="AJ26" s="234">
        <v>0</v>
      </c>
      <c r="AK26" s="162" t="str">
        <f>IF('13F GRP'!G5&gt;=3,'13F GRP'!J151,IF('13F GRP'!G5=2,"",IF('13F GRP'!G5=1,"","")))</f>
        <v/>
      </c>
      <c r="AL26" s="11">
        <v>11</v>
      </c>
      <c r="AM26" s="23"/>
      <c r="AN26" s="23"/>
      <c r="AO26" s="23"/>
      <c r="AP26" s="13" t="str">
        <f>IF(AR26&lt;&gt;"",1+COUNTIF(AP8:AP25,"1")+COUNTIF(AP8:AP25,"2")+COUNTIF(AP8:AP25,"3")+COUNTIF(AP8:AP25,"4")+COUNTIF(AP8:AP25,"5")+COUNTIF(AP8:AP25,"6")+COUNTIF(AP8:AP25,"7")+COUNTIF(AP8:AP25,"8")+COUNTIF(AP8:AP25,"9")+COUNTIF(AP8:AP25,"10")+COUNTIF(AP8:AP25,"11")+COUNTIF(AP8:AP25,"12")+COUNTIF(AP8:AP25,"13")+COUNTIF(AP8:AP25,"14")+COUNTIF(AP8:AP25,"15")+COUNTIF(AP8:AP25,"16")+COUNTIF(AP8:AP25,"17")+COUNTIF(AP8:AP25,"18"),"")</f>
        <v/>
      </c>
      <c r="AQ26" s="14" t="str">
        <f t="shared" si="1"/>
        <v/>
      </c>
      <c r="AR26" s="21" t="str">
        <f>IF(AR10&lt;&gt;"",IF(C8=AR10,G10,IF(C10=AR10,G10,IF(C16=AR10,G18,IF(C18=AR10,G18,IF(C38=AR10,G40,IF(C40=AR10,G40,IF(C46=AR10,G48,IF(C48=AR10,G48,IF(C24=AR10,G26,IF(C26=AR10,G26,IF(C32=AR10,G34,IF(C34=AR10,G34,IF(C54=AR10,G56,IF(C56=AR10,G56,IF(C62=AR10,G64,IF(C64=AR10,G64,IF(AK8=AR10,AI10,IF(AK10=AR10,AI10,IF(AK16=AR10,AI18,IF(AK18=AR10,AI18,IF(AK38=AR10,AI40,IF(AK40=AR10,AI40,IF(AK46=AR10,AI48,IF(AK48=AR10,AI48,IF(AK24=AR10,AI26,IF(AK26=AR10,AI26,IF(AK32=AR10,AI34,IF(AK34=AR10,AI34,IF(AK54=AR10,AI56,IF(AK56=AR10,AI56,IF(AK62=AR10,AI64,IF(AK64=AR10,AI64)))))))))))))))))))))))))))))))),"")</f>
        <v/>
      </c>
      <c r="AS26" s="15" t="str">
        <f>IFERROR(IF(AR26="","",VLOOKUP(AR26,LISTAS!$F$5:$G$1004,2,0)),"0")</f>
        <v/>
      </c>
      <c r="AT26" s="15" t="str">
        <f t="shared" si="0"/>
        <v/>
      </c>
      <c r="AU26" s="15" t="str">
        <f t="shared" si="2"/>
        <v/>
      </c>
    </row>
    <row r="27" spans="2:47" ht="18" customHeight="1" thickBot="1" x14ac:dyDescent="0.3">
      <c r="B27" s="16"/>
      <c r="C27" s="165" t="str">
        <f>IFERROR(IF(C26="","",VLOOKUP(C26,LISTAS!$F$5:$G$1004,2,0)),"0")</f>
        <v/>
      </c>
      <c r="D27" s="235"/>
      <c r="E27" s="128"/>
      <c r="F27" s="51"/>
      <c r="G27" s="176"/>
      <c r="H27" s="11"/>
      <c r="I27" s="18"/>
      <c r="J27" s="11"/>
      <c r="K27" s="166"/>
      <c r="L27" s="11"/>
      <c r="M27" s="18"/>
      <c r="N27" s="11"/>
      <c r="O27" s="166"/>
      <c r="P27" s="11"/>
      <c r="Q27" s="8"/>
      <c r="R27" s="182"/>
      <c r="S27" s="8"/>
      <c r="T27" s="8"/>
      <c r="U27" s="8"/>
      <c r="V27" s="182"/>
      <c r="W27" s="8"/>
      <c r="X27" s="62"/>
      <c r="Y27" s="182"/>
      <c r="Z27" s="65"/>
      <c r="AA27" s="8"/>
      <c r="AB27" s="11"/>
      <c r="AC27" s="182"/>
      <c r="AD27" s="8"/>
      <c r="AE27" s="69"/>
      <c r="AF27" s="8"/>
      <c r="AG27" s="181"/>
      <c r="AH27" s="78"/>
      <c r="AI27" s="123"/>
      <c r="AJ27" s="235"/>
      <c r="AK27" s="165" t="str">
        <f>IFERROR(IF(AK26="","",VLOOKUP(AK26,LISTAS!$F$5:$G$1004,2,0)),"0")</f>
        <v/>
      </c>
      <c r="AL27" s="11"/>
      <c r="AP27" s="13" t="str">
        <f>IF(AR27&lt;&gt;"",1+COUNTIF(AP8:AP26,"1")+COUNTIF(AP8:AP26,"2")+COUNTIF(AP8:AP26,"3")+COUNTIF(AP8:AP26,"4")+COUNTIF(AP8:AP26,"5")+COUNTIF(AP8:AP26,"6")+COUNTIF(AP8:AP26,"7")+COUNTIF(AP8:AP26,"8")+COUNTIF(AP8:AP26,"9")+COUNTIF(AP8:AP26,"10")+COUNTIF(AP8:AP26,"11")+COUNTIF(AP8:AP26,"12")+COUNTIF(AP8:AP26,"13")+COUNTIF(AP8:AP26,"14")+COUNTIF(AP8:AP26,"15")+COUNTIF(AP8:AP26,"16")+COUNTIF(AP8:AP26,"17")+COUNTIF(AP8:AP26,"18")+COUNTIF(AP8:AP26,"19"),"")</f>
        <v/>
      </c>
      <c r="AQ27" s="14" t="str">
        <f t="shared" si="1"/>
        <v/>
      </c>
      <c r="AR27" s="21" t="str">
        <f>IF(AR11&lt;&gt;"",IF(C8=AR11,G10,IF(C10=AR11,G10,IF(C16=AR11,G18,IF(C18=AR11,G18,IF(C38=AR11,G40,IF(C40=AR11,G40,IF(C46=AR11,G48,IF(C48=AR11,G48,IF(C24=AR11,G26,IF(C26=AR11,G26,IF(C32=AR11,G34,IF(C34=AR11,G34,IF(C54=AR11,G56,IF(C56=AR11,G56,IF(C62=AR11,G64,IF(C64=AR11,G64,IF(AK8=AR11,AI10,IF(AK10=AR11,AI10,IF(AK16=AR11,AI18,IF(AK18=AR11,AI18,IF(AK38=AR11,AI40,IF(AK40=AR11,AI40,IF(AK46=AR11,AI48,IF(AK48=AR11,AI48,IF(AK24=AR11,AI26,IF(AK26=AR11,AI26,IF(AK32=AR11,AI34,IF(AK34=AR11,AI34,IF(AK54=AR11,AI56,IF(AK56=AR11,AI56,IF(AK62=AR11,AI64,IF(AK64=AR11,AI64)))))))))))))))))))))))))))))))),"")</f>
        <v/>
      </c>
      <c r="AS27" s="15" t="str">
        <f>IFERROR(IF(AR27="","",VLOOKUP(AR27,LISTAS!$F$5:$G$1004,2,0)),"0")</f>
        <v/>
      </c>
      <c r="AT27" s="15" t="str">
        <f t="shared" si="0"/>
        <v/>
      </c>
      <c r="AU27" s="15" t="str">
        <f t="shared" si="2"/>
        <v/>
      </c>
    </row>
    <row r="28" spans="2:47" ht="18" customHeight="1" x14ac:dyDescent="0.25">
      <c r="B28" s="16"/>
      <c r="C28" s="166"/>
      <c r="D28" s="11"/>
      <c r="E28" s="11"/>
      <c r="F28" s="17"/>
      <c r="G28" s="162" t="str">
        <f>IF(D24&lt;&gt;"",IF(D26&lt;&gt;"",IF(D24=D26,"",IF(D24&gt;D26,C24,C26)),""),"")</f>
        <v/>
      </c>
      <c r="H28" s="234">
        <v>0</v>
      </c>
      <c r="I28" s="56">
        <f>IF(H28&lt;&gt;"",H28,"")</f>
        <v>0</v>
      </c>
      <c r="J28" s="51" t="str">
        <f>IF(H28&lt;&gt;"",IF(G28="","",G28),"")</f>
        <v/>
      </c>
      <c r="K28" s="176">
        <f>IF(I28&lt;&gt;"",IF(I30&lt;&gt;"",SMALL(I28:J30,1),""),"")</f>
        <v>0</v>
      </c>
      <c r="L28" s="11"/>
      <c r="M28" s="18"/>
      <c r="N28" s="11"/>
      <c r="O28" s="166"/>
      <c r="P28" s="11"/>
      <c r="Q28" s="8"/>
      <c r="R28" s="182"/>
      <c r="S28" s="8"/>
      <c r="T28" s="8"/>
      <c r="U28" s="8"/>
      <c r="V28" s="182"/>
      <c r="W28" s="8"/>
      <c r="X28" s="62"/>
      <c r="Y28" s="182"/>
      <c r="Z28" s="65"/>
      <c r="AA28" s="8"/>
      <c r="AB28" s="11"/>
      <c r="AC28" s="182"/>
      <c r="AD28" s="8"/>
      <c r="AE28" s="17"/>
      <c r="AF28" s="234">
        <v>0</v>
      </c>
      <c r="AG28" s="162" t="str">
        <f>IF(AJ24&lt;&gt;"",IF(AJ26&lt;&gt;"",IF(AJ24=AJ26,"",IF(AJ24&gt;AJ26,AK24,AK26)),""),"")</f>
        <v/>
      </c>
      <c r="AH28" s="65"/>
      <c r="AI28" s="8"/>
      <c r="AJ28" s="11"/>
      <c r="AK28" s="166"/>
      <c r="AL28" s="11"/>
      <c r="AP28" s="13" t="str">
        <f>IF(AR28&lt;&gt;"",1+COUNTIF(AP8:AP27,"1")+COUNTIF(AP8:AP27,"2")+COUNTIF(AP8:AP27,"3")+COUNTIF(AP8:AP27,"4")+COUNTIF(AP8:AP27,"5")+COUNTIF(AP8:AP27,"6")+COUNTIF(AP8:AP27,"7")+COUNTIF(AP8:AP27,"8")+COUNTIF(AP8:AP27,"9")+COUNTIF(AP8:AP27,"10")+COUNTIF(AP8:AP27,"11")+COUNTIF(AP8:AP27,"12")+COUNTIF(AP8:AP27,"13")+COUNTIF(AP8:AP27,"14")+COUNTIF(AP8:AP27,"15")+COUNTIF(AP8:AP27,"16")+COUNTIF(AP8:AP27,"17")+COUNTIF(AP8:AP27,"18")+COUNTIF(AP8:AP27,"19")+COUNTIF(AP8:AP27,"20"),"")</f>
        <v/>
      </c>
      <c r="AQ28" s="14" t="str">
        <f t="shared" si="1"/>
        <v/>
      </c>
      <c r="AR28" s="21" t="str">
        <f>IF(AR12&lt;&gt;"",IF(C8=AR12,G10,IF(C10=AR12,G10,IF(C16=AR12,G18,IF(C18=AR12,G18,IF(C38=AR12,G40,IF(C40=AR12,G40,IF(C46=AR12,G48,IF(C48=AR12,G48,IF(C24=AR12,G26,IF(C26=AR12,G26,IF(C32=AR12,G34,IF(C34=AR12,G34,IF(C54=AR12,G56,IF(C56=AR12,G56,IF(C62=AR12,G64,IF(C64=AR12,G64,IF(AK8=AR12,AI10,IF(AK10=AR12,AI10,IF(AK16=AR12,AI18,IF(AK18=AR12,AI18,IF(AK38=AR12,AI40,IF(AK40=AR12,AI40,IF(AK46=AR12,AI48,IF(AK48=AR12,AI48,IF(AK24=AR12,AI26,IF(AK26=AR12,AI26,IF(AK32=AR12,AI34,IF(AK34=AR12,AI34,IF(AK54=AR12,AI56,IF(AK56=AR12,AI56,IF(AK62=AR12,AI64,IF(AK64=AR12,AI64)))))))))))))))))))))))))))))))),"")</f>
        <v/>
      </c>
      <c r="AS28" s="15" t="str">
        <f>IFERROR(IF(AR28="","",VLOOKUP(AR28,LISTAS!$F$5:$G$1004,2,0)),"0")</f>
        <v/>
      </c>
      <c r="AT28" s="15" t="str">
        <f t="shared" si="0"/>
        <v/>
      </c>
      <c r="AU28" s="15" t="str">
        <f t="shared" si="2"/>
        <v/>
      </c>
    </row>
    <row r="29" spans="2:47" ht="18" customHeight="1" thickBot="1" x14ac:dyDescent="0.3">
      <c r="B29" s="16"/>
      <c r="C29" s="166"/>
      <c r="D29" s="11"/>
      <c r="E29" s="11"/>
      <c r="F29" s="17"/>
      <c r="G29" s="165" t="str">
        <f>IFERROR(IF(G28="","",VLOOKUP(G28,LISTAS!$F$5:$G$1004,2,0)),"0")</f>
        <v/>
      </c>
      <c r="H29" s="235"/>
      <c r="I29" s="57"/>
      <c r="J29" s="51"/>
      <c r="K29" s="176"/>
      <c r="L29" s="11"/>
      <c r="M29" s="18"/>
      <c r="N29" s="11"/>
      <c r="O29" s="166"/>
      <c r="P29" s="11"/>
      <c r="Q29" s="8"/>
      <c r="R29" s="182"/>
      <c r="S29" s="8"/>
      <c r="T29" s="8"/>
      <c r="U29" s="8"/>
      <c r="V29" s="182"/>
      <c r="W29" s="8"/>
      <c r="X29" s="62"/>
      <c r="Y29" s="182"/>
      <c r="Z29" s="65"/>
      <c r="AA29" s="8"/>
      <c r="AB29" s="11"/>
      <c r="AC29" s="182"/>
      <c r="AD29" s="8"/>
      <c r="AE29" s="122"/>
      <c r="AF29" s="235"/>
      <c r="AG29" s="165" t="str">
        <f>IFERROR(IF(AG28="","",VLOOKUP(AG28,LISTAS!$F$5:$G$1004,2,0)),"0")</f>
        <v/>
      </c>
      <c r="AH29" s="65"/>
      <c r="AI29" s="8"/>
      <c r="AJ29" s="11"/>
      <c r="AK29" s="166"/>
      <c r="AL29" s="11"/>
      <c r="AP29" s="13" t="str">
        <f>IF(AR29&lt;&gt;"",1+COUNTIF(AP8:AP28,"1")+COUNTIF(AP8:AP28,"2")+COUNTIF(AP8:AP28,"3")+COUNTIF(AP8:AP28,"4")+COUNTIF(AP8:AP28,"5")+COUNTIF(AP8:AP28,"6")+COUNTIF(AP8:AP28,"7")+COUNTIF(AP8:AP28,"8")+COUNTIF(AP8:AP28,"9")+COUNTIF(AP8:AP28,"10")+COUNTIF(AP8:AP28,"11")+COUNTIF(AP8:AP28,"12")+COUNTIF(AP8:AP28,"13")+COUNTIF(AP8:AP28,"14")+COUNTIF(AP8:AP28,"15")+COUNTIF(AP8:AP28,"16")+COUNTIF(AP8:AP28,"17")+COUNTIF(AP8:AP28,"18")+COUNTIF(AP8:AP28,"19")+COUNTIF(AP8:AP28,"20")+COUNTIF(AP8:AP28,"21"),"")</f>
        <v/>
      </c>
      <c r="AQ29" s="14" t="str">
        <f t="shared" si="1"/>
        <v/>
      </c>
      <c r="AR29" s="21" t="str">
        <f>IF(AR13&lt;&gt;"",IF(C8=AR13,G10,IF(C10=AR13,G10,IF(C16=AR13,G18,IF(C18=AR13,G18,IF(C38=AR13,G40,IF(C40=AR13,G40,IF(C46=AR13,G48,IF(C48=AR13,G48,IF(C24=AR13,G26,IF(C26=AR13,G26,IF(C32=AR13,G34,IF(C34=AR13,G34,IF(C54=AR13,G56,IF(C56=AR13,G56,IF(C62=AR13,G64,IF(C64=AR13,G64,IF(AK8=AR13,AI10,IF(AK10=AR13,AI10,IF(AK16=AR13,AI18,IF(AK18=AR13,AI18,IF(AK38=AR13,AI40,IF(AK40=AR13,AI40,IF(AK46=AR13,AI48,IF(AK48=AR13,AI48,IF(AK24=AR13,AI26,IF(AK26=AR13,AI26,IF(AK32=AR13,AI34,IF(AK34=AR13,AI34,IF(AK54=AR13,AI56,IF(AK56=AR13,AI56,IF(AK62=AR13,AI64,IF(AK64=AR13,AI64)))))))))))))))))))))))))))))))),"")</f>
        <v/>
      </c>
      <c r="AS29" s="15" t="str">
        <f>IFERROR(IF(AR29="","",VLOOKUP(AR29,LISTAS!$F$5:$G$1004,2,0)),"0")</f>
        <v/>
      </c>
      <c r="AT29" s="15" t="str">
        <f t="shared" si="0"/>
        <v/>
      </c>
      <c r="AU29" s="15" t="str">
        <f t="shared" si="2"/>
        <v/>
      </c>
    </row>
    <row r="30" spans="2:47" ht="18" customHeight="1" x14ac:dyDescent="0.25">
      <c r="B30" s="16"/>
      <c r="C30" s="166"/>
      <c r="D30" s="11"/>
      <c r="E30" s="18"/>
      <c r="F30" s="19"/>
      <c r="G30" s="162" t="str">
        <f>IF(D32&lt;&gt;"",IF(D34&lt;&gt;"",IF(D32=D34,"",IF(D32&gt;D34,C32,C34)),""),"")</f>
        <v/>
      </c>
      <c r="H30" s="234">
        <v>0</v>
      </c>
      <c r="I30" s="57">
        <f>IF(H30&lt;&gt;"",H30,"")</f>
        <v>0</v>
      </c>
      <c r="J30" s="51" t="str">
        <f>IF(H30&lt;&gt;"",IF(G30="","",G30),"")</f>
        <v/>
      </c>
      <c r="K30" s="176" t="str">
        <f>VLOOKUP(K28,I28:J30,2,0)</f>
        <v/>
      </c>
      <c r="L30" s="11"/>
      <c r="M30" s="18"/>
      <c r="N30" s="11"/>
      <c r="O30" s="166"/>
      <c r="P30" s="11"/>
      <c r="Q30" s="8"/>
      <c r="R30" s="182"/>
      <c r="S30" s="8"/>
      <c r="T30" s="8"/>
      <c r="U30" s="8"/>
      <c r="V30" s="182"/>
      <c r="W30" s="8"/>
      <c r="X30" s="62"/>
      <c r="Y30" s="182"/>
      <c r="Z30" s="65"/>
      <c r="AA30" s="8"/>
      <c r="AB30" s="11"/>
      <c r="AC30" s="182"/>
      <c r="AD30" s="8"/>
      <c r="AE30" s="64"/>
      <c r="AF30" s="234">
        <v>0</v>
      </c>
      <c r="AG30" s="162" t="str">
        <f>IF(AJ32&lt;&gt;"",IF(AJ34&lt;&gt;"",IF(AJ32=AJ34,"",IF(AJ32&gt;AJ34,AK32,AK34)),""),"")</f>
        <v/>
      </c>
      <c r="AH30" s="66"/>
      <c r="AI30" s="8"/>
      <c r="AJ30" s="11"/>
      <c r="AK30" s="166"/>
      <c r="AL30" s="11"/>
      <c r="AP30" s="13" t="str">
        <f>IF(AR30&lt;&gt;"",1+COUNTIF(AP8:AP29,"1")+COUNTIF(AP8:AP29,"2")+COUNTIF(AP8:AP29,"3")+COUNTIF(AP8:AP29,"4")+COUNTIF(AP8:AP29,"5")+COUNTIF(AP8:AP29,"6")+COUNTIF(AP8:AP29,"7")+COUNTIF(AP8:AP29,"8")+COUNTIF(AP8:AP29,"9")+COUNTIF(AP8:AP29,"10")+COUNTIF(AP8:AP29,"11")+COUNTIF(AP8:AP29,"12")+COUNTIF(AP8:AP29,"13")+COUNTIF(AP8:AP29,"14")+COUNTIF(AP8:AP29,"15")+COUNTIF(AP8:AP29,"16")+COUNTIF(AP8:AP29,"17")+COUNTIF(AP8:AP29,"18")+COUNTIF(AP8:AP29,"19")+COUNTIF(AP8:AP29,"20")+COUNTIF(AP8:AP29,"21")+COUNTIF(AP8:AP29,"22"),"")</f>
        <v/>
      </c>
      <c r="AQ30" s="14" t="str">
        <f t="shared" si="1"/>
        <v/>
      </c>
      <c r="AR30" s="21" t="str">
        <f>IF(AR14&lt;&gt;"",IF(C8=AR14,G10,IF(C10=AR14,G10,IF(C16=AR14,G18,IF(C18=AR14,G18,IF(C38=AR14,G40,IF(C40=AR14,G40,IF(C46=AR14,G48,IF(C48=AR14,G48,IF(C24=AR14,G26,IF(C26=AR14,G26,IF(C32=AR14,G34,IF(C34=AR14,G34,IF(C54=AR14,G56,IF(C56=AR14,G56,IF(C62=AR14,G64,IF(C64=AR14,G64,IF(AK8=AR14,AI10,IF(AK10=AR14,AI10,IF(AK16=AR14,AI18,IF(AK18=AR14,AI18,IF(AK38=AR14,AI40,IF(AK40=AR14,AI40,IF(AK46=AR14,AI48,IF(AK48=AR14,AI48,IF(AK24=AR14,AI26,IF(AK26=AR14,AI26,IF(AK32=AR14,AI34,IF(AK34=AR14,AI34,IF(AK54=AR14,AI56,IF(AK56=AR14,AI56,IF(AK62=AR14,AI64,IF(AK64=AR14,AI64)))))))))))))))))))))))))))))))),"")</f>
        <v/>
      </c>
      <c r="AS30" s="15" t="str">
        <f>IFERROR(IF(AR30="","",VLOOKUP(AR30,LISTAS!$F$5:$G$1004,2,0)),"0")</f>
        <v/>
      </c>
      <c r="AT30" s="15" t="str">
        <f t="shared" si="0"/>
        <v/>
      </c>
      <c r="AU30" s="15" t="str">
        <f t="shared" si="2"/>
        <v/>
      </c>
    </row>
    <row r="31" spans="2:47" ht="18" customHeight="1" thickBot="1" x14ac:dyDescent="0.3">
      <c r="B31" s="16"/>
      <c r="C31" s="166"/>
      <c r="D31" s="11"/>
      <c r="E31" s="18"/>
      <c r="F31" s="11"/>
      <c r="G31" s="165" t="str">
        <f>IFERROR(IF(G30="","",VLOOKUP(G30,LISTAS!$F$5:$G$1004,2,0)),"0")</f>
        <v/>
      </c>
      <c r="H31" s="235"/>
      <c r="I31" s="51"/>
      <c r="J31" s="51"/>
      <c r="K31" s="176"/>
      <c r="L31" s="11"/>
      <c r="M31" s="18"/>
      <c r="N31" s="11"/>
      <c r="O31" s="166"/>
      <c r="P31" s="11"/>
      <c r="Q31" s="8"/>
      <c r="R31" s="182"/>
      <c r="S31" s="8"/>
      <c r="T31" s="8"/>
      <c r="U31" s="8"/>
      <c r="V31" s="182"/>
      <c r="W31" s="8"/>
      <c r="X31" s="62"/>
      <c r="Y31" s="182"/>
      <c r="Z31" s="65"/>
      <c r="AA31" s="8"/>
      <c r="AB31" s="11"/>
      <c r="AC31" s="182"/>
      <c r="AD31" s="8"/>
      <c r="AE31" s="8"/>
      <c r="AF31" s="235"/>
      <c r="AG31" s="165" t="str">
        <f>IFERROR(IF(AG30="","",VLOOKUP(AG30,LISTAS!$F$5:$G$1004,2,0)),"0")</f>
        <v/>
      </c>
      <c r="AH31" s="8"/>
      <c r="AI31" s="69"/>
      <c r="AJ31" s="11"/>
      <c r="AK31" s="166"/>
      <c r="AL31" s="11"/>
      <c r="AP31" s="13" t="str">
        <f>IF(AR31&lt;&gt;"",1+COUNTIF(AP8:AP30,"1")+COUNTIF(AP8:AP30,"2")+COUNTIF(AP8:AP30,"3")+COUNTIF(AP8:AP30,"4")+COUNTIF(AP8:AP30,"5")+COUNTIF(AP8:AP30,"6")+COUNTIF(AP8:AP30,"7")+COUNTIF(AP8:AP30,"8")+COUNTIF(AP8:AP30,"9")+COUNTIF(AP8:AP30,"10")+COUNTIF(AP8:AP30,"11")+COUNTIF(AP8:AP30,"12")+COUNTIF(AP8:AP30,"13")+COUNTIF(AP8:AP30,"14")+COUNTIF(AP8:AP30,"15")+COUNTIF(AP8:AP30,"16")+COUNTIF(AP8:AP30,"17")+COUNTIF(AP8:AP30,"18")+COUNTIF(AP8:AP30,"19")+COUNTIF(AP8:AP30,"20")+COUNTIF(AP8:AP30,"21")+COUNTIF(AP8:AP30,"22")+COUNTIF(AP8:AP30,"23"),"")</f>
        <v/>
      </c>
      <c r="AQ31" s="14" t="str">
        <f t="shared" si="1"/>
        <v/>
      </c>
      <c r="AR31" s="21" t="str">
        <f>IF(AR15&lt;&gt;"",IF(C8=AR15,G10,IF(C10=AR15,G10,IF(C16=AR15,G18,IF(C18=AR15,G18,IF(C38=AR15,G40,IF(C40=AR15,G40,IF(C46=AR15,G48,IF(C48=AR15,G48,IF(C24=AR15,G26,IF(C26=AR15,G26,IF(C32=AR15,G34,IF(C34=AR15,G34,IF(C54=AR15,G56,IF(C56=AR15,G56,IF(C62=AR15,G64,IF(C64=AR15,G64,IF(AK8=AR15,AI10,IF(AK10=AR15,AI10,IF(AK16=AR15,AI18,IF(AK18=AR15,AI18,IF(AK38=AR15,AI40,IF(AK40=AR15,AI40,IF(AK46=AR15,AI48,IF(AK48=AR15,AI48,IF(AK24=AR15,AI26,IF(AK26=AR15,AI26,IF(AK32=AR15,AI34,IF(AK34=AR15,AI34,IF(AK54=AR15,AI56,IF(AK56=AR15,AI56,IF(AK62=AR15,AI64,IF(AK64=AR15,AI64)))))))))))))))))))))))))))))))),"")</f>
        <v/>
      </c>
      <c r="AS31" s="15" t="str">
        <f>IFERROR(IF(AR31="","",VLOOKUP(AR31,LISTAS!$F$5:$G$1004,2,0)),"0")</f>
        <v/>
      </c>
      <c r="AT31" s="15" t="str">
        <f t="shared" si="0"/>
        <v/>
      </c>
      <c r="AU31" s="15" t="str">
        <f t="shared" si="2"/>
        <v/>
      </c>
    </row>
    <row r="32" spans="2:47" ht="18" customHeight="1" x14ac:dyDescent="0.25">
      <c r="B32" s="16">
        <v>25</v>
      </c>
      <c r="C32" s="162" t="str">
        <f>IF('13F GRP'!G5&gt;=3,'13F GRP'!J333,IF('13F GRP'!G5=2,"",IF('13F GRP'!G5=1,"","")))</f>
        <v/>
      </c>
      <c r="D32" s="234">
        <v>0</v>
      </c>
      <c r="E32" s="56">
        <f>IF(D32&lt;&gt;"",D32,"")</f>
        <v>0</v>
      </c>
      <c r="F32" s="51" t="str">
        <f>IF(D32&lt;&gt;"",IF(C32="","",C32),"")</f>
        <v/>
      </c>
      <c r="G32" s="176">
        <f>IF(E32&lt;&gt;"",IF(E34&lt;&gt;"",SMALL(E32:E34,1),""),"")</f>
        <v>0</v>
      </c>
      <c r="H32" s="11"/>
      <c r="I32" s="11"/>
      <c r="J32" s="11"/>
      <c r="K32" s="166"/>
      <c r="L32" s="11"/>
      <c r="M32" s="18"/>
      <c r="N32" s="11"/>
      <c r="O32" s="166"/>
      <c r="P32" s="11"/>
      <c r="Q32" s="8"/>
      <c r="R32" s="182"/>
      <c r="S32" s="8"/>
      <c r="T32" s="8"/>
      <c r="U32" s="8"/>
      <c r="V32" s="182"/>
      <c r="W32" s="8"/>
      <c r="X32" s="62"/>
      <c r="Y32" s="182"/>
      <c r="Z32" s="65"/>
      <c r="AA32" s="8"/>
      <c r="AB32" s="11"/>
      <c r="AC32" s="182"/>
      <c r="AD32" s="8"/>
      <c r="AE32" s="8"/>
      <c r="AF32" s="8"/>
      <c r="AG32" s="181">
        <f>IF(AJ32&lt;&gt;"",AJ32,"")</f>
        <v>0</v>
      </c>
      <c r="AH32" s="78" t="str">
        <f>IF(AJ32&lt;&gt;"",IF(AK32="","",AK32),"")</f>
        <v/>
      </c>
      <c r="AI32" s="53">
        <f>IF(AG32&lt;&gt;"",IF(AG34&lt;&gt;"",SMALL(AG32:AG34,1),""),"")</f>
        <v>0</v>
      </c>
      <c r="AJ32" s="234">
        <v>0</v>
      </c>
      <c r="AK32" s="162" t="str">
        <f>IF('13F GRP'!G5&gt;=3,'13F GRP'!J359,IF('13F GRP'!G5=2,"",IF('13F GRP'!G5=1,"","")))</f>
        <v/>
      </c>
      <c r="AL32" s="11">
        <v>27</v>
      </c>
      <c r="AP32" s="13" t="str">
        <f>IF(AR32&lt;&gt;"",1+COUNTIF(AP8:AP31,"1")+COUNTIF(AP8:AP31,"2")+COUNTIF(AP8:AP31,"3")+COUNTIF(AP8:AP31,"4")+COUNTIF(AP8:AP31,"5")+COUNTIF(AP8:AP31,"6")+COUNTIF(AP8:AP31,"7")+COUNTIF(AP8:AP31,"8")+COUNTIF(AP8:AP31,"9")+COUNTIF(AP8:AP31,"10")+COUNTIF(AP8:AP31,"11")+COUNTIF(AP8:AP31,"12")+COUNTIF(AP8:AP31,"13")+COUNTIF(AP8:AP31,"14")+COUNTIF(AP8:AP31,"15")+COUNTIF(AP8:AP31,"16")+COUNTIF(AP8:AP31,"17")+COUNTIF(AP8:AP31,"18")+COUNTIF(AP8:AP31,"19")+COUNTIF(AP8:AP31,"20")+COUNTIF(AP8:AP31,"21")+COUNTIF(AP8:AP31,"22")+COUNTIF(AP8:AP31,"23")+COUNTIF(AP8:AP31,"24"),"")</f>
        <v/>
      </c>
      <c r="AQ32" s="14" t="str">
        <f t="shared" si="1"/>
        <v/>
      </c>
      <c r="AR32" s="21" t="str">
        <f>IF(AR16&lt;&gt;"",IF(C8=AR16,G10,IF(C10=AR16,G10,IF(C16=AR16,G18,IF(C18=AR16,G18,IF(C38=AR16,G40,IF(C40=AR16,G40,IF(C46=AR16,G48,IF(C48=AR16,G48,IF(C24=AR16,G26,IF(C26=AR16,G26,IF(C32=AR16,G34,IF(C34=AR16,G34,IF(C54=AR16,G56,IF(C56=AR16,G56,IF(C62=AR16,G64,IF(C64=AR16,G64,IF(AK8=AR16,AI10,IF(AK10=AR16,AI10,IF(AK16=AR16,AI18,IF(AK18=AR16,AI18,IF(AK38=AR16,AI40,IF(AK40=AR16,AI40,IF(AK46=AR16,AI48,IF(AK48=AR16,AI48,IF(AK24=AR16,AI26,IF(AK26=AR16,AI26,IF(AK32=AR16,AI34,IF(AK34=AR16,AI34,IF(AK54=AR16,AI56,IF(AK56=AR16,AI56,IF(AK62=AR16,AI64,IF(AK64=AR16,AI64)))))))))))))))))))))))))))))))),"")</f>
        <v/>
      </c>
      <c r="AS32" s="15" t="str">
        <f>IFERROR(IF(AR32="","",VLOOKUP(AR32,LISTAS!$F$5:$G$1004,2,0)),"0")</f>
        <v/>
      </c>
      <c r="AT32" s="15" t="str">
        <f t="shared" si="0"/>
        <v/>
      </c>
      <c r="AU32" s="15" t="str">
        <f t="shared" si="2"/>
        <v/>
      </c>
    </row>
    <row r="33" spans="2:47" ht="18" customHeight="1" thickBot="1" x14ac:dyDescent="0.3">
      <c r="B33" s="16"/>
      <c r="C33" s="165" t="str">
        <f>IFERROR(IF(C32="","",VLOOKUP(C32,LISTAS!$F$5:$G$1004,2,0)),"0")</f>
        <v/>
      </c>
      <c r="D33" s="235"/>
      <c r="E33" s="57"/>
      <c r="F33" s="51"/>
      <c r="G33" s="176"/>
      <c r="H33" s="11"/>
      <c r="I33" s="11"/>
      <c r="J33" s="11"/>
      <c r="K33" s="166"/>
      <c r="L33" s="11"/>
      <c r="M33" s="18"/>
      <c r="N33" s="11"/>
      <c r="O33" s="166"/>
      <c r="P33" s="11"/>
      <c r="Q33" s="8"/>
      <c r="R33" s="182"/>
      <c r="S33" s="8"/>
      <c r="T33" s="8"/>
      <c r="U33" s="8"/>
      <c r="V33" s="182"/>
      <c r="W33" s="8"/>
      <c r="X33" s="62"/>
      <c r="Y33" s="182"/>
      <c r="Z33" s="65"/>
      <c r="AA33" s="8"/>
      <c r="AB33" s="11"/>
      <c r="AC33" s="182"/>
      <c r="AD33" s="8"/>
      <c r="AE33" s="8"/>
      <c r="AF33" s="8"/>
      <c r="AG33" s="181"/>
      <c r="AH33" s="78"/>
      <c r="AI33" s="124"/>
      <c r="AJ33" s="235"/>
      <c r="AK33" s="165" t="str">
        <f>IFERROR(IF(AK32="","",VLOOKUP(AK32,LISTAS!$F$5:$G$1004,2,0)),"0")</f>
        <v/>
      </c>
      <c r="AL33" s="11"/>
      <c r="AP33" s="13" t="str">
        <f>IF(AR33&lt;&gt;"",1+COUNTIF(AP8:AP32,"1")+COUNTIF(AP8:AP32,"2")+COUNTIF(AP8:AP32,"3")+COUNTIF(AP8:AP32,"4")+COUNTIF(AP8:AP32,"5")+COUNTIF(AP8:AP32,"6")+COUNTIF(AP8:AP32,"7")+COUNTIF(AP8:AP32,"8")+COUNTIF(AP8:AP32,"9")+COUNTIF(AP8:AP32,"10")+COUNTIF(AP8:AP32,"11")+COUNTIF(AP8:AP32,"12")+COUNTIF(AP8:AP32,"13")+COUNTIF(AP8:AP32,"14")+COUNTIF(AP8:AP32,"15")+COUNTIF(AP8:AP32,"16")+COUNTIF(AP8:AP32,"17")+COUNTIF(AP8:AP32,"18")+COUNTIF(AP8:AP32,"19")+COUNTIF(AP8:AP32,"20")+COUNTIF(AP8:AP32,"21")+COUNTIF(AP8:AP32,"22")+COUNTIF(AP8:AP32,"23")+COUNTIF(AP8:AP32,"24")+COUNTIF(AP8:AP32,"25"),"")</f>
        <v/>
      </c>
      <c r="AQ33" s="14" t="str">
        <f t="shared" si="1"/>
        <v/>
      </c>
      <c r="AR33" s="21" t="str">
        <f>IF(AR17&lt;&gt;"",IF(C8=AR17,G10,IF(C10=AR17,G10,IF(C16=AR17,G18,IF(C18=AR17,G18,IF(C38=AR17,G40,IF(C40=AR17,G40,IF(C46=AR17,G48,IF(C48=AR17,G48,IF(C24=AR17,G26,IF(C26=AR17,G26,IF(C32=AR17,G34,IF(C34=AR17,G34,IF(C54=AR17,G56,IF(C56=AR17,G56,IF(C62=AR17,G64,IF(C64=AR17,G64,IF(AK8=AR17,AI10,IF(AK10=AR17,AI10,IF(AK16=AR17,AI18,IF(AK18=AR17,AI18,IF(AK38=AR17,AI40,IF(AK40=AR17,AI40,IF(AK46=AR17,AI48,IF(AK48=AR17,AI48,IF(AK24=AR17,AI26,IF(AK26=AR17,AI26,IF(AK32=AR17,AI34,IF(AK34=AR17,AI34,IF(AK54=AR17,AI56,IF(AK56=AR17,AI56,IF(AK62=AR17,AI64,IF(AK64=AR17,AI64)))))))))))))))))))))))))))))))),"")</f>
        <v/>
      </c>
      <c r="AS33" s="15" t="str">
        <f>IFERROR(IF(AR33="","",VLOOKUP(AR33,LISTAS!$F$5:$G$1004,2,0)),"0")</f>
        <v/>
      </c>
      <c r="AT33" s="15" t="str">
        <f t="shared" si="0"/>
        <v/>
      </c>
      <c r="AU33" s="15" t="str">
        <f t="shared" si="2"/>
        <v/>
      </c>
    </row>
    <row r="34" spans="2:47" ht="18" customHeight="1" thickBot="1" x14ac:dyDescent="0.3">
      <c r="B34" s="16">
        <v>8</v>
      </c>
      <c r="C34" s="162" t="str">
        <f>IF('13F GRP'!G5&gt;=3,'13F GRP'!J112,IF('13F GRP'!G5=2,"",IF('13F GRP'!G5=1,"","")))</f>
        <v/>
      </c>
      <c r="D34" s="234">
        <v>0</v>
      </c>
      <c r="E34" s="57">
        <f>IF(D34&lt;&gt;"",D34,"")</f>
        <v>0</v>
      </c>
      <c r="F34" s="51" t="str">
        <f>IF(D34&lt;&gt;"",IF(C34="","",C34),"")</f>
        <v/>
      </c>
      <c r="G34" s="176" t="str">
        <f>VLOOKUP(G32,E32:F34,2,0)</f>
        <v/>
      </c>
      <c r="H34" s="11"/>
      <c r="I34" s="11"/>
      <c r="J34" s="11"/>
      <c r="K34" s="166"/>
      <c r="L34" s="11"/>
      <c r="M34" s="18"/>
      <c r="N34" s="11"/>
      <c r="O34" s="166"/>
      <c r="P34" s="11"/>
      <c r="Q34" s="8"/>
      <c r="R34" s="277" t="s">
        <v>37</v>
      </c>
      <c r="S34" s="236"/>
      <c r="T34" s="236"/>
      <c r="U34" s="236"/>
      <c r="V34" s="277"/>
      <c r="W34" s="8"/>
      <c r="X34" s="62"/>
      <c r="Y34" s="182"/>
      <c r="Z34" s="65"/>
      <c r="AA34" s="8"/>
      <c r="AB34" s="11"/>
      <c r="AC34" s="182"/>
      <c r="AD34" s="8"/>
      <c r="AE34" s="8"/>
      <c r="AF34" s="8"/>
      <c r="AG34" s="181">
        <f>IF(AJ34&lt;&gt;"",AJ34,"")</f>
        <v>0</v>
      </c>
      <c r="AH34" s="78" t="str">
        <f>IF(AJ34&lt;&gt;"",IF(AK34="","",AK34),"")</f>
        <v/>
      </c>
      <c r="AI34" s="125" t="str">
        <f>VLOOKUP(AI32,AG32:AH34,2,0)</f>
        <v/>
      </c>
      <c r="AJ34" s="234">
        <v>0</v>
      </c>
      <c r="AK34" s="162" t="str">
        <f>IF('13F GRP'!G5&gt;=3,'13F GRP'!J86,IF('13F GRP'!G5=2,"",IF('13F GRP'!G5=1,"","")))</f>
        <v/>
      </c>
      <c r="AL34" s="11">
        <v>6</v>
      </c>
      <c r="AP34" s="13" t="str">
        <f>IF(AR34&lt;&gt;"",1+COUNTIF(AP8:AP33,"1")+COUNTIF(AP8:AP33,"2")+COUNTIF(AP8:AP33,"3")+COUNTIF(AP8:AP33,"4")+COUNTIF(AP8:AP33,"5")+COUNTIF(AP8:AP33,"6")+COUNTIF(AP8:AP33,"7")+COUNTIF(AP8:AP33,"8")+COUNTIF(AP8:AP33,"9")+COUNTIF(AP8:AP33,"10")+COUNTIF(AP8:AP33,"11")+COUNTIF(AP8:AP33,"12")+COUNTIF(AP8:AP33,"13")+COUNTIF(AP8:AP33,"14")+COUNTIF(AP8:AP33,"15")+COUNTIF(AP8:AP33,"16")+COUNTIF(AP8:AP33,"17")+COUNTIF(AP8:AP33,"18")+COUNTIF(AP8:AP33,"19")+COUNTIF(AP8:AP33,"20")+COUNTIF(AP8:AP33,"21")+COUNTIF(AP8:AP33,"22")+COUNTIF(AP8:AP33,"23")+COUNTIF(AP8:AP33,"24")+COUNTIF(AP8:AP33,"25")+COUNTIF(AP8:AP33,"26"),"")</f>
        <v/>
      </c>
      <c r="AQ34" s="14" t="str">
        <f t="shared" si="1"/>
        <v/>
      </c>
      <c r="AR34" s="21" t="str">
        <f>IF(AR18&lt;&gt;"",IF(C8=AR18,G10,IF(C10=AR18,G10,IF(C16=AR18,G18,IF(C18=AR18,G18,IF(C38=AR18,G40,IF(C40=AR18,G40,IF(C46=AR18,G48,IF(C48=AR18,G48,IF(C24=AR18,G26,IF(C26=AR18,G26,IF(C32=AR18,G34,IF(C34=AR18,G34,IF(C54=AR18,G56,IF(C56=AR18,G56,IF(C62=AR18,G64,IF(C64=AR18,G64,IF(AK8=AR18,AI10,IF(AK10=AR18,AI10,IF(AK16=AR18,AI18,IF(AK18=AR18,AI18,IF(AK38=AR18,AI40,IF(AK40=AR18,AI40,IF(AK46=AR18,AI48,IF(AK48=AR18,AI48,IF(AK24=AR18,AI26,IF(AK26=AR18,AI26,IF(AK32=AR18,AI34,IF(AK34=AR18,AI34,IF(AK54=AR18,AI56,IF(AK56=AR18,AI56,IF(AK62=AR18,AI64,IF(AK64=AR18,AI64)))))))))))))))))))))))))))))))),"")</f>
        <v/>
      </c>
      <c r="AS34" s="15" t="str">
        <f>IFERROR(IF(AR34="","",VLOOKUP(AR34,LISTAS!$F$5:$G$1004,2,0)),"0")</f>
        <v/>
      </c>
      <c r="AT34" s="15" t="str">
        <f t="shared" si="0"/>
        <v/>
      </c>
      <c r="AU34" s="15" t="str">
        <f t="shared" si="2"/>
        <v/>
      </c>
    </row>
    <row r="35" spans="2:47" ht="18" customHeight="1" thickBot="1" x14ac:dyDescent="0.3">
      <c r="B35" s="16"/>
      <c r="C35" s="165" t="str">
        <f>IFERROR(IF(C34="","",VLOOKUP(C34,LISTAS!$F$5:$G$1004,2,0)),"0")</f>
        <v/>
      </c>
      <c r="D35" s="235"/>
      <c r="E35" s="51"/>
      <c r="F35" s="51"/>
      <c r="G35" s="176"/>
      <c r="H35" s="11"/>
      <c r="I35" s="11"/>
      <c r="J35" s="11"/>
      <c r="K35" s="166"/>
      <c r="L35" s="11"/>
      <c r="M35" s="18"/>
      <c r="N35" s="11"/>
      <c r="O35" s="162" t="str">
        <f>IF(L20&lt;&gt;"",IF(L22&lt;&gt;"",IF(L20=L22,"",IF(L20&gt;L22,K20,K22)),""),"")</f>
        <v>LUIZA SARAIVA</v>
      </c>
      <c r="P35" s="234">
        <v>0</v>
      </c>
      <c r="Q35" s="8"/>
      <c r="R35" s="167"/>
      <c r="S35" s="71"/>
      <c r="T35" s="71"/>
      <c r="U35" s="71"/>
      <c r="V35" s="167"/>
      <c r="W35" s="8"/>
      <c r="X35" s="234">
        <v>1</v>
      </c>
      <c r="Y35" s="162" t="str">
        <f>IF(AB20&lt;&gt;"",IF(AB22&lt;&gt;"",IF(AB20=AB22,"",IF(AB20&gt;AB22,AC20,AC22)),""),"")</f>
        <v>BEATRIZ TOMÉ CYRILLO</v>
      </c>
      <c r="Z35" s="65"/>
      <c r="AA35" s="8"/>
      <c r="AB35" s="11"/>
      <c r="AC35" s="182"/>
      <c r="AD35" s="8"/>
      <c r="AE35" s="8"/>
      <c r="AF35" s="8"/>
      <c r="AG35" s="181"/>
      <c r="AH35" s="78"/>
      <c r="AI35" s="51"/>
      <c r="AJ35" s="235"/>
      <c r="AK35" s="165" t="str">
        <f>IFERROR(IF(AK34="","",VLOOKUP(AK34,LISTAS!$F$5:$G$1004,2,0)),"0")</f>
        <v/>
      </c>
      <c r="AL35" s="11"/>
      <c r="AP35" s="13" t="str">
        <f>IF(AR35&lt;&gt;"",1+COUNTIF(AP8:AP34,"1")+COUNTIF(AP8:AP34,"2")+COUNTIF(AP8:AP34,"3")+COUNTIF(AP8:AP34,"4")+COUNTIF(AP8:AP34,"5")+COUNTIF(AP8:AP34,"6")+COUNTIF(AP8:AP34,"7")+COUNTIF(AP8:AP34,"8")+COUNTIF(AP8:AP34,"9")+COUNTIF(AP8:AP34,"10")+COUNTIF(AP8:AP34,"11")+COUNTIF(AP8:AP34,"12")+COUNTIF(AP8:AP34,"13")+COUNTIF(AP8:AP34,"14")+COUNTIF(AP8:AP34,"15")+COUNTIF(AP8:AP34,"16")+COUNTIF(AP8:AP34,"17")+COUNTIF(AP8:AP34,"18")+COUNTIF(AP8:AP34,"19")+COUNTIF(AP8:AP34,"20")+COUNTIF(AP8:AP34,"21")+COUNTIF(AP8:AP34,"22")+COUNTIF(AP8:AP34,"23")+COUNTIF(AP8:AP34,"24")+COUNTIF(AP8:AP34,"25")+COUNTIF(AP8:AP34,"26")+COUNTIF(AP8:AP34,"27"),"")</f>
        <v/>
      </c>
      <c r="AQ35" s="14" t="str">
        <f t="shared" si="1"/>
        <v/>
      </c>
      <c r="AR35" s="21" t="str">
        <f>IF(AR19&lt;&gt;"",IF(C8=AR19,G10,IF(C10=AR19,G10,IF(C16=AR19,G18,IF(C18=AR19,G18,IF(C38=AR19,G40,IF(C40=AR19,G40,IF(C46=AR19,G48,IF(C48=AR19,G48,IF(C24=AR19,G26,IF(C26=AR19,G26,IF(C32=AR19,G34,IF(C34=AR19,G34,IF(C54=AR19,G56,IF(C56=AR19,G56,IF(C62=AR19,G64,IF(C64=AR19,G64,IF(AK8=AR19,AI10,IF(AK10=AR19,AI10,IF(AK16=AR19,AI18,IF(AK18=AR19,AI18,IF(AK38=AR19,AI40,IF(AK40=AR19,AI40,IF(AK46=AR19,AI48,IF(AK48=AR19,AI48,IF(AK24=AR19,AI26,IF(AK26=AR19,AI26,IF(AK32=AR19,AI34,IF(AK34=AR19,AI34,IF(AK54=AR19,AI56,IF(AK56=AR19,AI56,IF(AK62=AR19,AI64,IF(AK64=AR19,AI64)))))))))))))))))))))))))))))))),"")</f>
        <v/>
      </c>
      <c r="AS35" s="15" t="str">
        <f>IFERROR(IF(AR35="","",VLOOKUP(AR35,LISTAS!$F$5:$G$1004,2,0)),"0")</f>
        <v/>
      </c>
      <c r="AT35" s="15" t="str">
        <f t="shared" si="0"/>
        <v/>
      </c>
      <c r="AU35" s="15" t="str">
        <f t="shared" si="2"/>
        <v/>
      </c>
    </row>
    <row r="36" spans="2:47" ht="18" customHeight="1" thickBot="1" x14ac:dyDescent="0.3">
      <c r="B36" s="16"/>
      <c r="C36" s="166"/>
      <c r="D36" s="11"/>
      <c r="E36" s="11"/>
      <c r="F36" s="11"/>
      <c r="G36" s="166"/>
      <c r="H36" s="11"/>
      <c r="I36" s="11"/>
      <c r="J36" s="11"/>
      <c r="K36" s="166"/>
      <c r="L36" s="11"/>
      <c r="M36" s="18"/>
      <c r="N36" s="11"/>
      <c r="O36" s="165" t="str">
        <f>IFERROR(IF(O35="","",VLOOKUP(O35,LISTAS!$F$5:$G$1004,2,0)),"0")</f>
        <v>COLÉGIO MARCONI - GRU</v>
      </c>
      <c r="P36" s="235"/>
      <c r="Q36" s="8"/>
      <c r="R36" s="162" t="str">
        <f>IF(P35&lt;&gt;"",IF(P37&lt;&gt;"",IF(P35=P37,"",IF(P35&gt;P37,O35,O37)),""),"")</f>
        <v>LAURA SARAIVA</v>
      </c>
      <c r="S36" s="234">
        <v>0</v>
      </c>
      <c r="T36" s="237" t="s">
        <v>38</v>
      </c>
      <c r="U36" s="234">
        <v>1</v>
      </c>
      <c r="V36" s="162" t="str">
        <f>IF(X35&lt;&gt;"",IF(X37&lt;&gt;"",IF(X35=X37,"",IF(X35&gt;X37,Y35,Y37)),""),"")</f>
        <v>BEATRIZ TOMÉ CYRILLO</v>
      </c>
      <c r="W36" s="112"/>
      <c r="X36" s="235"/>
      <c r="Y36" s="165" t="str">
        <f>IFERROR(IF(Y35="","",VLOOKUP(Y35,LISTAS!$F$5:$G$1004,2,0)),"0")</f>
        <v>LICEU JARDIM</v>
      </c>
      <c r="Z36" s="112"/>
      <c r="AA36" s="8"/>
      <c r="AB36" s="11"/>
      <c r="AC36" s="182"/>
      <c r="AD36" s="8"/>
      <c r="AE36" s="8"/>
      <c r="AF36" s="8"/>
      <c r="AG36" s="182"/>
      <c r="AH36" s="8"/>
      <c r="AI36" s="8"/>
      <c r="AJ36" s="11"/>
      <c r="AK36" s="166"/>
      <c r="AL36" s="11"/>
      <c r="AP36" s="13" t="str">
        <f>IF(AR36&lt;&gt;"",1+COUNTIF(AP8:AP35,"1")+COUNTIF(AP8:AP35,"2")+COUNTIF(AP8:AP35,"3")+COUNTIF(AP8:AP35,"4")+COUNTIF(AP8:AP35,"5")+COUNTIF(AP8:AP35,"6")+COUNTIF(AP8:AP35,"7")+COUNTIF(AP8:AP35,"8")+COUNTIF(AP8:AP35,"9")+COUNTIF(AP8:AP35,"10")+COUNTIF(AP8:AP35,"11")+COUNTIF(AP8:AP35,"12")+COUNTIF(AP8:AP35,"13")+COUNTIF(AP8:AP35,"14")+COUNTIF(AP8:AP35,"15")+COUNTIF(AP8:AP35,"16")+COUNTIF(AP8:AP35,"17")+COUNTIF(AP8:AP35,"18")+COUNTIF(AP8:AP35,"19")+COUNTIF(AP8:AP35,"20")+COUNTIF(AP8:AP35,"21")+COUNTIF(AP8:AP35,"22")+COUNTIF(AP8:AP35,"23")+COUNTIF(AP8:AP35,"24")+COUNTIF(AP8:AP35,"25")+COUNTIF(AP8:AP35,"26")+COUNTIF(AP8:AP35,"27")+COUNTIF(AP8:AP35,"28"),"")</f>
        <v/>
      </c>
      <c r="AQ36" s="14" t="str">
        <f t="shared" si="1"/>
        <v/>
      </c>
      <c r="AR36" s="21" t="str">
        <f>IF(AR20&lt;&gt;"",IF(C8=AR20,G10,IF(C10=AR20,G10,IF(C16=AR20,G18,IF(C18=AR20,G18,IF(C38=AR20,G40,IF(C40=AR20,G40,IF(C46=AR20,G48,IF(C48=AR20,G48,IF(C24=AR20,G26,IF(C26=AR20,G26,IF(C32=AR20,G34,IF(C34=AR20,G34,IF(C54=AR20,G56,IF(C56=AR20,G56,IF(C62=AR20,G64,IF(C64=AR20,G64,IF(AK8=AR20,AI10,IF(AK10=AR20,AI10,IF(AK16=AR20,AI18,IF(AK18=AR20,AI18,IF(AK38=AR20,AI40,IF(AK40=AR20,AI40,IF(AK46=AR20,AI48,IF(AK48=AR20,AI48,IF(AK24=AR20,AI26,IF(AK26=AR20,AI26,IF(AK32=AR20,AI34,IF(AK34=AR20,AI34,IF(AK54=AR20,AI56,IF(AK56=AR20,AI56,IF(AK62=AR20,AI64,IF(AK64=AR20,AI64)))))))))))))))))))))))))))))))),"")</f>
        <v/>
      </c>
      <c r="AS36" s="15" t="str">
        <f>IFERROR(IF(AR36="","",VLOOKUP(AR36,LISTAS!$F$5:$G$1004,2,0)),"0")</f>
        <v/>
      </c>
      <c r="AT36" s="15" t="str">
        <f t="shared" si="0"/>
        <v/>
      </c>
      <c r="AU36" s="15" t="str">
        <f t="shared" si="2"/>
        <v/>
      </c>
    </row>
    <row r="37" spans="2:47" ht="18" customHeight="1" thickBot="1" x14ac:dyDescent="0.3">
      <c r="B37" s="16"/>
      <c r="C37" s="166"/>
      <c r="D37" s="11"/>
      <c r="E37" s="11"/>
      <c r="F37" s="11"/>
      <c r="G37" s="166"/>
      <c r="H37" s="11"/>
      <c r="I37" s="11"/>
      <c r="J37" s="11"/>
      <c r="K37" s="166"/>
      <c r="L37" s="11"/>
      <c r="M37" s="18"/>
      <c r="N37" s="19"/>
      <c r="O37" s="162" t="str">
        <f>IF(L50&lt;&gt;"",IF(L52&lt;&gt;"",IF(L50=L52,"",IF(L50&gt;L52,K50,K52)),""),"")</f>
        <v>LAURA SARAIVA</v>
      </c>
      <c r="P37" s="234">
        <v>1</v>
      </c>
      <c r="Q37" s="72"/>
      <c r="R37" s="165" t="str">
        <f>IFERROR(IF(R36="","",VLOOKUP(R36,LISTAS!$F$5:$G$1004,2,0)),"0")</f>
        <v>COLÉGIO MARCONI - GRU</v>
      </c>
      <c r="S37" s="235"/>
      <c r="T37" s="237"/>
      <c r="U37" s="235"/>
      <c r="V37" s="165" t="str">
        <f>IFERROR(IF(V36="","",VLOOKUP(V36,LISTAS!$F$5:$G$1004,2,0)),"0")</f>
        <v>LICEU JARDIM</v>
      </c>
      <c r="W37" s="66"/>
      <c r="X37" s="234">
        <v>0</v>
      </c>
      <c r="Y37" s="162" t="str">
        <f>IF(AB50&lt;&gt;"",IF(AB52&lt;&gt;"",IF(AB50=AB52,"",IF(AB50&gt;AB52,AC50,AC52)),""),"")</f>
        <v>MARINA MARTINS MEDRANO</v>
      </c>
      <c r="Z37" s="66"/>
      <c r="AA37" s="8"/>
      <c r="AB37" s="11"/>
      <c r="AC37" s="182"/>
      <c r="AD37" s="8"/>
      <c r="AE37" s="8"/>
      <c r="AF37" s="8"/>
      <c r="AG37" s="182"/>
      <c r="AH37" s="8"/>
      <c r="AI37" s="8"/>
      <c r="AJ37" s="11"/>
      <c r="AK37" s="166"/>
      <c r="AL37" s="11"/>
      <c r="AP37" s="13" t="str">
        <f>IF(AR37&lt;&gt;"",1+COUNTIF(AP8:AP36,"1")+COUNTIF(AP8:AP36,"2")+COUNTIF(AP8:AP36,"3")+COUNTIF(AP8:AP36,"4")+COUNTIF(AP8:AP36,"5")+COUNTIF(AP8:AP36,"6")+COUNTIF(AP8:AP36,"7")+COUNTIF(AP8:AP36,"8")+COUNTIF(AP8:AP36,"9")+COUNTIF(AP8:AP36,"10")+COUNTIF(AP8:AP36,"11")+COUNTIF(AP8:AP36,"12")+COUNTIF(AP8:AP36,"13")+COUNTIF(AP8:AP36,"14")+COUNTIF(AP8:AP36,"15")+COUNTIF(AP8:AP36,"16")+COUNTIF(AP8:AP36,"17")+COUNTIF(AP8:AP36,"18")+COUNTIF(AP8:AP36,"19")+COUNTIF(AP8:AP36,"20")+COUNTIF(AP8:AP36,"21")+COUNTIF(AP8:AP36,"22")+COUNTIF(AP8:AP36,"23")+COUNTIF(AP8:AP36,"24")+COUNTIF(AP8:AP36,"25")+COUNTIF(AP8:AP36,"26")+COUNTIF(AP8:AP36,"27")+COUNTIF(AP8:AP36,"28")+COUNTIF(AP8:AP36,"29"),"")</f>
        <v/>
      </c>
      <c r="AQ37" s="14" t="str">
        <f t="shared" si="1"/>
        <v/>
      </c>
      <c r="AR37" s="21" t="str">
        <f>IF(AR21&lt;&gt;"",IF(C8=AR21,G10,IF(C10=AR21,G10,IF(C16=AR21,G18,IF(C18=AR21,G18,IF(C38=AR21,G40,IF(C40=AR21,G40,IF(C46=AR21,G48,IF(C48=AR21,G48,IF(C24=AR21,G26,IF(C26=AR21,G26,IF(C32=AR21,G34,IF(C34=AR21,G34,IF(C54=AR21,G56,IF(C56=AR21,G56,IF(C62=AR21,G64,IF(C64=AR21,G64,IF(AK8=AR21,AI10,IF(AK10=AR21,AI10,IF(AK16=AR21,AI18,IF(AK18=AR21,AI18,IF(AK38=AR21,AI40,IF(AK40=AR21,AI40,IF(AK46=AR21,AI48,IF(AK48=AR21,AI48,IF(AK24=AR21,AI26,IF(AK26=AR21,AI26,IF(AK32=AR21,AI34,IF(AK34=AR21,AI34,IF(AK54=AR21,AI56,IF(AK56=AR21,AI56,IF(AK62=AR21,AI64,IF(AK64=AR21,AI64)))))))))))))))))))))))))))))))),"")</f>
        <v/>
      </c>
      <c r="AS37" s="15" t="str">
        <f>IFERROR(IF(AR37="","",VLOOKUP(AR37,LISTAS!$F$5:$G$1004,2,0)),"0")</f>
        <v/>
      </c>
      <c r="AT37" s="15" t="str">
        <f t="shared" si="0"/>
        <v/>
      </c>
      <c r="AU37" s="15" t="str">
        <f t="shared" si="2"/>
        <v/>
      </c>
    </row>
    <row r="38" spans="2:47" ht="18" customHeight="1" thickBot="1" x14ac:dyDescent="0.3">
      <c r="B38" s="16">
        <v>5</v>
      </c>
      <c r="C38" s="162" t="str">
        <f>IF('13F GRP'!G5&gt;=3,'13F GRP'!J73,IF('13F GRP'!G5=2,"",IF('13F GRP'!G5=1,'13F GRP'!J12,"")))</f>
        <v>LAURA SARAIVA</v>
      </c>
      <c r="D38" s="234">
        <v>2</v>
      </c>
      <c r="E38" s="51">
        <f>IF(D38&lt;&gt;"",D38,"")</f>
        <v>2</v>
      </c>
      <c r="F38" s="51" t="str">
        <f>IF(D38&lt;&gt;"",IF(C38="","",C38),"")</f>
        <v>LAURA SARAIVA</v>
      </c>
      <c r="G38" s="176">
        <f>IF(E38&lt;&gt;"",IF(E40&lt;&gt;"",SMALL(E38:E40,1),""),"")</f>
        <v>0</v>
      </c>
      <c r="H38" s="11"/>
      <c r="I38" s="11"/>
      <c r="J38" s="11"/>
      <c r="K38" s="166"/>
      <c r="L38" s="11"/>
      <c r="M38" s="18"/>
      <c r="N38" s="8"/>
      <c r="O38" s="165" t="str">
        <f>IFERROR(IF(O37="","",VLOOKUP(O37,LISTAS!$F$5:$G$1004,2,0)),"0")</f>
        <v>COLÉGIO MARCONI - GRU</v>
      </c>
      <c r="P38" s="235"/>
      <c r="Q38" s="60"/>
      <c r="R38" s="182"/>
      <c r="S38" s="8"/>
      <c r="T38" s="8"/>
      <c r="U38" s="8"/>
      <c r="V38" s="182"/>
      <c r="W38" s="8"/>
      <c r="X38" s="235"/>
      <c r="Y38" s="165" t="str">
        <f>IFERROR(IF(Y37="","",VLOOKUP(Y37,LISTAS!$F$5:$G$1004,2,0)),"0")</f>
        <v>COLEGIO PETROPOLIS</v>
      </c>
      <c r="Z38" s="65"/>
      <c r="AA38" s="8"/>
      <c r="AB38" s="11"/>
      <c r="AC38" s="182"/>
      <c r="AD38" s="8"/>
      <c r="AE38" s="8"/>
      <c r="AF38" s="8"/>
      <c r="AG38" s="181">
        <f>IF(AJ38&lt;&gt;"",AJ38,"")</f>
        <v>0</v>
      </c>
      <c r="AH38" s="78" t="str">
        <f>IF(AJ38&lt;&gt;"",IF(AK38="","",AK38),"")</f>
        <v/>
      </c>
      <c r="AI38" s="51">
        <f>IF(AG38&lt;&gt;"",IF(AG40&lt;&gt;"",SMALL(AG38:AG40,1),""),"")</f>
        <v>0</v>
      </c>
      <c r="AJ38" s="234">
        <v>0</v>
      </c>
      <c r="AK38" s="162" t="str">
        <f>IF('13F GRP'!G5&gt;=3,'13F GRP'!J99,IF('13F GRP'!G5=2,"",IF('13F GRP'!G5=1,"","")))</f>
        <v/>
      </c>
      <c r="AL38" s="11">
        <v>7</v>
      </c>
      <c r="AP38" s="13" t="str">
        <f>IF(AR38&lt;&gt;"",1+COUNTIF(AP8:AP37,"1")+COUNTIF(AP8:AP37,"2")+COUNTIF(AP8:AP37,"3")+COUNTIF(AP8:AP37,"4")+COUNTIF(AP8:AP37,"5")+COUNTIF(AP8:AP37,"6")+COUNTIF(AP8:AP37,"7")+COUNTIF(AP8:AP37,"8")+COUNTIF(AP8:AP37,"9")+COUNTIF(AP8:AP37,"10")+COUNTIF(AP8:AP37,"11")+COUNTIF(AP8:AP37,"12")+COUNTIF(AP8:AP37,"13")+COUNTIF(AP8:AP37,"14")+COUNTIF(AP8:AP37,"15")+COUNTIF(AP8:AP37,"16")+COUNTIF(AP8:AP37,"17")+COUNTIF(AP8:AP37,"18")+COUNTIF(AP8:AP37,"19")+COUNTIF(AP8:AP37,"20")+COUNTIF(AP8:AP37,"21")+COUNTIF(AP8:AP37,"22")+COUNTIF(AP8:AP37,"23")+COUNTIF(AP8:AP37,"24")+COUNTIF(AP8:AP37,"25")+COUNTIF(AP8:AP37,"26")+COUNTIF(AP8:AP37,"27")+COUNTIF(AP8:AP37,"28")+COUNTIF(AP8:AP37,"29")+COUNTIF(AP8:AP37,"30"),"")</f>
        <v/>
      </c>
      <c r="AQ38" s="14" t="str">
        <f t="shared" si="1"/>
        <v/>
      </c>
      <c r="AR38" s="21" t="str">
        <f>IF(AR22&lt;&gt;"",IF(C8=AR22,G10,IF(C10=AR22,G10,IF(C16=AR22,G18,IF(C18=AR22,G18,IF(C38=AR22,G40,IF(C40=AR22,G40,IF(C46=AR22,G48,IF(C48=AR22,G48,IF(C24=AR22,G26,IF(C26=AR22,G26,IF(C32=AR22,G34,IF(C34=AR22,G34,IF(C54=AR22,G56,IF(C56=AR22,G56,IF(C62=AR22,G64,IF(C64=AR22,G64,IF(AK8=AR22,AI10,IF(AK10=AR22,AI10,IF(AK16=AR22,AI18,IF(AK18=AR22,AI18,IF(AK38=AR22,AI40,IF(AK40=AR22,AI40,IF(AK46=AR22,AI48,IF(AK48=AR22,AI48,IF(AK24=AR22,AI26,IF(AK26=AR22,AI26,IF(AK32=AR22,AI34,IF(AK34=AR22,AI34,IF(AK54=AR22,AI56,IF(AK56=AR22,AI56,IF(AK62=AR22,AI64,IF(AK64=AR22,AI64)))))))))))))))))))))))))))))))),"")</f>
        <v/>
      </c>
      <c r="AS38" s="15" t="str">
        <f>IFERROR(IF(AR38="","",VLOOKUP(AR38,LISTAS!$F$5:$G$1004,2,0)),"0")</f>
        <v/>
      </c>
      <c r="AT38" s="15" t="str">
        <f t="shared" si="0"/>
        <v/>
      </c>
      <c r="AU38" s="15" t="str">
        <f t="shared" si="2"/>
        <v/>
      </c>
    </row>
    <row r="39" spans="2:47" ht="18" customHeight="1" thickBot="1" x14ac:dyDescent="0.3">
      <c r="B39" s="16"/>
      <c r="C39" s="165" t="str">
        <f>IFERROR(IF(C38="","",VLOOKUP(C38,LISTAS!$F$5:$G$1004,2,0)),"0")</f>
        <v>COLÉGIO MARCONI - GRU</v>
      </c>
      <c r="D39" s="235"/>
      <c r="E39" s="51"/>
      <c r="F39" s="51"/>
      <c r="G39" s="176"/>
      <c r="H39" s="11"/>
      <c r="I39" s="11"/>
      <c r="J39" s="11"/>
      <c r="K39" s="166"/>
      <c r="L39" s="11"/>
      <c r="M39" s="54"/>
      <c r="N39" s="78"/>
      <c r="O39" s="181"/>
      <c r="P39" s="78"/>
      <c r="Q39" s="78"/>
      <c r="R39" s="182"/>
      <c r="S39" s="8"/>
      <c r="T39" s="8"/>
      <c r="U39" s="8"/>
      <c r="V39" s="182"/>
      <c r="W39" s="8"/>
      <c r="X39" s="62"/>
      <c r="Y39" s="182"/>
      <c r="Z39" s="65"/>
      <c r="AA39" s="8"/>
      <c r="AB39" s="11"/>
      <c r="AC39" s="182"/>
      <c r="AD39" s="8"/>
      <c r="AE39" s="8"/>
      <c r="AF39" s="8"/>
      <c r="AG39" s="181"/>
      <c r="AH39" s="78"/>
      <c r="AI39" s="51"/>
      <c r="AJ39" s="235"/>
      <c r="AK39" s="165" t="str">
        <f>IFERROR(IF(AK38="","",VLOOKUP(AK38,LISTAS!$F$5:$G$1004,2,0)),"0")</f>
        <v/>
      </c>
      <c r="AL39" s="11"/>
      <c r="AP39" s="13" t="str">
        <f>IF(AR39&lt;&gt;"",1+COUNTIF(AP8:AP38,"1")+COUNTIF(AP8:AP38,"2")+COUNTIF(AP8:AP38,"3")+COUNTIF(AP8:AP38,"4")+COUNTIF(AP8:AP38,"5")+COUNTIF(AP8:AP38,"6")+COUNTIF(AP8:AP38,"7")+COUNTIF(AP8:AP38,"8")+COUNTIF(AP8:AP38,"9")+COUNTIF(AP8:AP38,"10")+COUNTIF(AP8:AP38,"11")+COUNTIF(AP8:AP38,"12")+COUNTIF(AP8:AP38,"13")+COUNTIF(AP8:AP38,"14")+COUNTIF(AP8:AP38,"15")+COUNTIF(AP8:AP38,"16")+COUNTIF(AP8:AP38,"17")+COUNTIF(AP8:AP38,"18")+COUNTIF(AP8:AP38,"19")+COUNTIF(AP8:AP38,"20")+COUNTIF(AP8:AP38,"21")+COUNTIF(AP8:AP38,"22")+COUNTIF(AP8:AP38,"23")+COUNTIF(AP8:AP38,"24")+COUNTIF(AP8:AP38,"25")+COUNTIF(AP8:AP38,"26")+COUNTIF(AP8:AP38,"27")+COUNTIF(AP8:AP38,"28")+COUNTIF(AP8:AP38,"29")+COUNTIF(AP8:AP38,"30")+COUNTIF(AP8:AP38,"31"),"")</f>
        <v/>
      </c>
      <c r="AQ39" s="14" t="str">
        <f t="shared" si="1"/>
        <v/>
      </c>
      <c r="AR39" s="21" t="str">
        <f>IF(AR23&lt;&gt;"",IF(C8=AR23,G10,IF(C10=AR23,G10,IF(C16=AR23,G18,IF(C18=AR23,G18,IF(C38=AR23,G40,IF(C40=AR23,G40,IF(C46=AR23,G48,IF(C48=AR23,G48,IF(C24=AR23,G26,IF(C26=AR23,G26,IF(C32=AR23,G34,IF(C34=AR23,G34,IF(C54=AR23,G56,IF(C56=AR23,G56,IF(C62=AR23,G64,IF(C64=AR23,G64,IF(AK8=AR23,AI10,IF(AK10=AR23,AI10,IF(AK16=AR23,AI18,IF(AK18=AR23,AI18,IF(AK38=AR23,AI40,IF(AK40=AR23,AI40,IF(AK46=AR23,AI48,IF(AK48=AR23,AI48,IF(AK24=AR23,AI26,IF(AK26=AR23,AI26,IF(AK32=AR23,AI34,IF(AK34=AR23,AI34,IF(AK54=AR23,AI56,IF(AK56=AR23,AI56,IF(AK62=AR23,AI64,IF(AK64=AR23,AI64)))))))))))))))))))))))))))))))),"")</f>
        <v/>
      </c>
      <c r="AS39" s="15" t="str">
        <f>IFERROR(IF(AR39="","",VLOOKUP(AR39,LISTAS!$F$5:$G$1004,2,0)),"0")</f>
        <v/>
      </c>
      <c r="AT39" s="15" t="str">
        <f>IF(AP39="","",IF(AP39=1,400,IF(AP39=2,340,IF(AP39=3,300,IF(AP39=4,280,IF(AP39=5,270,IF(AP39=6,260,IF(AP39=7,250,IF(AP39=8,240,IF(AP39=9,200,IF(AP39=10,200,IF(AP39=11,200,IF(AP39=12,200,IF(AP39=13,200,IF(AP39=14,200,IF(AP39=15,200,IF(AP39=16,200,IF(AP39&gt;16,"",""))))))))))))))))))</f>
        <v/>
      </c>
      <c r="AU39" s="15" t="str">
        <f>IF(AP39="","",IF($AS$5="NÃO","",IF(AP39=1,400,IF(AP39=2,340,IF(AP39=3,300,IF(AP39=4,280,IF(AP39=5,270,IF(AP39=6,260,IF(AP39=7,250,IF(AP39=8,240,IF(AP39=9,200,IF(AP39=10,200,IF(AP39=11,200,IF(AP39=12,200,IF(AP39=13,200,IF(AP39=14,200,IF(AP39=15,200,IF(AP39=16,200,IF(AP39&gt;16,"","")))))))))))))))))))</f>
        <v/>
      </c>
    </row>
    <row r="40" spans="2:47" ht="18" customHeight="1" x14ac:dyDescent="0.25">
      <c r="B40" s="16">
        <v>28</v>
      </c>
      <c r="C40" s="162" t="str">
        <f>IF('13F GRP'!G5&gt;=3,'13F GRP'!J372,IF('13F GRP'!G5=2,"",IF('13F GRP'!G5=1,"","")))</f>
        <v/>
      </c>
      <c r="D40" s="234">
        <v>0</v>
      </c>
      <c r="E40" s="52">
        <f>IF(D40&lt;&gt;"",D40,"")</f>
        <v>0</v>
      </c>
      <c r="F40" s="51" t="str">
        <f>IF(D40&lt;&gt;"",IF(C40="","",C40),"")</f>
        <v/>
      </c>
      <c r="G40" s="176" t="str">
        <f>VLOOKUP(G38,E38:F40,2,0)</f>
        <v/>
      </c>
      <c r="H40" s="11"/>
      <c r="I40" s="11"/>
      <c r="J40" s="11"/>
      <c r="K40" s="166"/>
      <c r="L40" s="11"/>
      <c r="M40" s="54"/>
      <c r="N40" s="51">
        <f>IF(P35&lt;&gt;"",P35,"")</f>
        <v>0</v>
      </c>
      <c r="O40" s="176" t="str">
        <f>IF(P35&lt;&gt;"",O35,"")</f>
        <v>LUIZA SARAIVA</v>
      </c>
      <c r="P40" s="51">
        <f>IF(N40&lt;&gt;"",IF(N42&lt;&gt;"",LARGE(N40:N42,1),""),"")</f>
        <v>1</v>
      </c>
      <c r="Q40" s="78"/>
      <c r="R40" s="182"/>
      <c r="S40" s="8"/>
      <c r="T40" s="8"/>
      <c r="U40" s="8"/>
      <c r="V40" s="182"/>
      <c r="W40" s="8"/>
      <c r="X40" s="62"/>
      <c r="Y40" s="182"/>
      <c r="Z40" s="65"/>
      <c r="AA40" s="8"/>
      <c r="AB40" s="11"/>
      <c r="AC40" s="182"/>
      <c r="AD40" s="8"/>
      <c r="AE40" s="8"/>
      <c r="AF40" s="8"/>
      <c r="AG40" s="181">
        <f>IF(AJ40&lt;&gt;"",AJ40,"")</f>
        <v>0</v>
      </c>
      <c r="AH40" s="78" t="str">
        <f>IF(AJ40&lt;&gt;"",IF(AK40="","",AK40),"")</f>
        <v/>
      </c>
      <c r="AI40" s="55" t="str">
        <f>VLOOKUP(AI38,AG38:AH40,2,0)</f>
        <v/>
      </c>
      <c r="AJ40" s="234">
        <v>0</v>
      </c>
      <c r="AK40" s="162" t="str">
        <f>IF('13F GRP'!G5&gt;=3,'13F GRP'!J346,IF('13F GRP'!G5=2,"",IF('13F GRP'!G5=1,"","")))</f>
        <v/>
      </c>
      <c r="AL40" s="11">
        <v>26</v>
      </c>
    </row>
    <row r="41" spans="2:47" ht="18" customHeight="1" thickBot="1" x14ac:dyDescent="0.3">
      <c r="B41" s="16"/>
      <c r="C41" s="165" t="str">
        <f>IFERROR(IF(C40="","",VLOOKUP(C40,LISTAS!$F$5:$G$1004,2,0)),"0")</f>
        <v/>
      </c>
      <c r="D41" s="235"/>
      <c r="E41" s="128"/>
      <c r="F41" s="51"/>
      <c r="G41" s="176"/>
      <c r="H41" s="11"/>
      <c r="I41" s="11"/>
      <c r="J41" s="11"/>
      <c r="K41" s="166"/>
      <c r="L41" s="11"/>
      <c r="M41" s="54"/>
      <c r="N41" s="51"/>
      <c r="O41" s="176"/>
      <c r="P41" s="51"/>
      <c r="Q41" s="78"/>
      <c r="R41" s="182"/>
      <c r="S41" s="8"/>
      <c r="T41" s="8"/>
      <c r="U41" s="8"/>
      <c r="V41" s="182"/>
      <c r="W41" s="8"/>
      <c r="X41" s="62"/>
      <c r="Y41" s="182"/>
      <c r="Z41" s="65"/>
      <c r="AA41" s="8"/>
      <c r="AB41" s="11"/>
      <c r="AC41" s="182"/>
      <c r="AD41" s="8"/>
      <c r="AE41" s="8"/>
      <c r="AF41" s="8"/>
      <c r="AG41" s="181"/>
      <c r="AH41" s="78"/>
      <c r="AI41" s="123"/>
      <c r="AJ41" s="235"/>
      <c r="AK41" s="165" t="str">
        <f>IFERROR(IF(AK40="","",VLOOKUP(AK40,LISTAS!$F$5:$G$1004,2,0)),"0")</f>
        <v/>
      </c>
      <c r="AL41" s="11"/>
    </row>
    <row r="42" spans="2:47" x14ac:dyDescent="0.25">
      <c r="B42" s="16"/>
      <c r="C42" s="166"/>
      <c r="D42" s="11"/>
      <c r="E42" s="11"/>
      <c r="F42" s="17"/>
      <c r="G42" s="162" t="str">
        <f>IF(D38&lt;&gt;"",IF(D40&lt;&gt;"",IF(D38=D40,"",IF(D38&gt;D40,C38,C40)),""),"")</f>
        <v>LAURA SARAIVA</v>
      </c>
      <c r="H42" s="234">
        <v>2</v>
      </c>
      <c r="I42" s="51">
        <f>IF(H42&lt;&gt;"",H42,"")</f>
        <v>2</v>
      </c>
      <c r="J42" s="51" t="str">
        <f>IF(H42&lt;&gt;"",IF(G42="","",G42),"")</f>
        <v>LAURA SARAIVA</v>
      </c>
      <c r="K42" s="176">
        <f>IF(I42&lt;&gt;"",IF(I44&lt;&gt;"",SMALL(I42:J44,1),""),"")</f>
        <v>0</v>
      </c>
      <c r="L42" s="11"/>
      <c r="M42" s="54"/>
      <c r="N42" s="51">
        <f>IF(P37&lt;&gt;"",P37,"")</f>
        <v>1</v>
      </c>
      <c r="O42" s="176" t="str">
        <f>IF(P37&lt;&gt;"",O37,"")</f>
        <v>LAURA SARAIVA</v>
      </c>
      <c r="P42" s="51" t="str">
        <f>VLOOKUP(P40,N40:O42,2,0)</f>
        <v>LAURA SARAIVA</v>
      </c>
      <c r="Q42" s="78"/>
      <c r="R42" s="182"/>
      <c r="S42" s="8"/>
      <c r="T42" s="8"/>
      <c r="U42" s="8"/>
      <c r="V42" s="182"/>
      <c r="W42" s="8"/>
      <c r="X42" s="62"/>
      <c r="Y42" s="182"/>
      <c r="Z42" s="65"/>
      <c r="AA42" s="8"/>
      <c r="AB42" s="11"/>
      <c r="AC42" s="182"/>
      <c r="AD42" s="8"/>
      <c r="AE42" s="67"/>
      <c r="AF42" s="234">
        <v>0</v>
      </c>
      <c r="AG42" s="162" t="str">
        <f>IF(AJ38&lt;&gt;"",IF(AJ40&lt;&gt;"",IF(AJ38=AJ40,"",IF(AJ38&gt;AJ40,AK38,AK40)),""),"")</f>
        <v/>
      </c>
      <c r="AH42" s="65"/>
      <c r="AI42" s="8"/>
      <c r="AJ42" s="11"/>
      <c r="AK42" s="166"/>
      <c r="AL42" s="11"/>
    </row>
    <row r="43" spans="2:47" ht="30.75" thickBot="1" x14ac:dyDescent="0.3">
      <c r="B43" s="16"/>
      <c r="C43" s="166"/>
      <c r="D43" s="11"/>
      <c r="E43" s="11"/>
      <c r="F43" s="17"/>
      <c r="G43" s="165" t="str">
        <f>IFERROR(IF(G42="","",VLOOKUP(G42,LISTAS!$F$5:$G$1004,2,0)),"0")</f>
        <v>COLÉGIO MARCONI - GRU</v>
      </c>
      <c r="H43" s="235"/>
      <c r="I43" s="51"/>
      <c r="J43" s="51"/>
      <c r="K43" s="176"/>
      <c r="L43" s="11"/>
      <c r="M43" s="54"/>
      <c r="N43" s="51"/>
      <c r="O43" s="176"/>
      <c r="P43" s="51"/>
      <c r="Q43" s="78"/>
      <c r="R43" s="182"/>
      <c r="S43" s="8"/>
      <c r="T43" s="8"/>
      <c r="U43" s="8"/>
      <c r="V43" s="182"/>
      <c r="W43" s="8"/>
      <c r="X43" s="62"/>
      <c r="Y43" s="182"/>
      <c r="Z43" s="65"/>
      <c r="AA43" s="8"/>
      <c r="AB43" s="11"/>
      <c r="AC43" s="182"/>
      <c r="AD43" s="8"/>
      <c r="AE43" s="67"/>
      <c r="AF43" s="235"/>
      <c r="AG43" s="165" t="str">
        <f>IFERROR(IF(AG42="","",VLOOKUP(AG42,LISTAS!$F$5:$G$1004,2,0)),"0")</f>
        <v/>
      </c>
      <c r="AH43" s="65"/>
      <c r="AI43" s="8"/>
      <c r="AJ43" s="11"/>
      <c r="AK43" s="166"/>
      <c r="AL43" s="11"/>
    </row>
    <row r="44" spans="2:47" ht="18" customHeight="1" x14ac:dyDescent="0.25">
      <c r="B44" s="16"/>
      <c r="C44" s="166"/>
      <c r="D44" s="11"/>
      <c r="E44" s="18"/>
      <c r="F44" s="19"/>
      <c r="G44" s="162" t="str">
        <f>IF(D46&lt;&gt;"",IF(D48&lt;&gt;"",IF(D46=D48,"",IF(D46&gt;D48,C46,C48)),""),"")</f>
        <v/>
      </c>
      <c r="H44" s="234">
        <v>0</v>
      </c>
      <c r="I44" s="52">
        <f>IF(H44&lt;&gt;"",H44,"")</f>
        <v>0</v>
      </c>
      <c r="J44" s="51" t="str">
        <f>IF(H44&lt;&gt;"",IF(G44="","",G44),"")</f>
        <v/>
      </c>
      <c r="K44" s="176" t="str">
        <f>VLOOKUP(K42,I42:J44,2,0)</f>
        <v/>
      </c>
      <c r="L44" s="11"/>
      <c r="M44" s="54"/>
      <c r="N44" s="51">
        <f>IF(P35&lt;&gt;"",P35,"")</f>
        <v>0</v>
      </c>
      <c r="O44" s="176" t="str">
        <f>IF(P35&lt;&gt;"",O35,"")</f>
        <v>LUIZA SARAIVA</v>
      </c>
      <c r="P44" s="51">
        <f>IF(N44&lt;&gt;"",IF(N46&lt;&gt;"",SMALL(N44:N46,1),""),"")</f>
        <v>0</v>
      </c>
      <c r="Q44" s="78"/>
      <c r="R44" s="182"/>
      <c r="S44" s="8"/>
      <c r="T44" s="8"/>
      <c r="U44" s="8"/>
      <c r="V44" s="182"/>
      <c r="W44" s="8"/>
      <c r="X44" s="62"/>
      <c r="Y44" s="182"/>
      <c r="Z44" s="65"/>
      <c r="AA44" s="8"/>
      <c r="AB44" s="11"/>
      <c r="AC44" s="182"/>
      <c r="AD44" s="65"/>
      <c r="AE44" s="68"/>
      <c r="AF44" s="234">
        <v>0</v>
      </c>
      <c r="AG44" s="162" t="str">
        <f>IF(AJ46&lt;&gt;"",IF(AJ48&lt;&gt;"",IF(AJ46=AJ48,"",IF(AJ46&gt;AJ48,AK46,AK48)),""),"")</f>
        <v/>
      </c>
      <c r="AH44" s="66"/>
      <c r="AI44" s="8"/>
      <c r="AJ44" s="11"/>
      <c r="AK44" s="166"/>
      <c r="AL44" s="11"/>
    </row>
    <row r="45" spans="2:47" ht="18" customHeight="1" thickBot="1" x14ac:dyDescent="0.3">
      <c r="B45" s="16"/>
      <c r="C45" s="166"/>
      <c r="D45" s="11"/>
      <c r="E45" s="18"/>
      <c r="F45" s="11"/>
      <c r="G45" s="165" t="str">
        <f>IFERROR(IF(G44="","",VLOOKUP(G44,LISTAS!$F$5:$G$1004,2,0)),"0")</f>
        <v/>
      </c>
      <c r="H45" s="235"/>
      <c r="I45" s="54"/>
      <c r="J45" s="51"/>
      <c r="K45" s="176"/>
      <c r="L45" s="11"/>
      <c r="M45" s="54"/>
      <c r="N45" s="51"/>
      <c r="O45" s="176"/>
      <c r="P45" s="51"/>
      <c r="Q45" s="78"/>
      <c r="R45" s="182"/>
      <c r="S45" s="8"/>
      <c r="T45" s="8"/>
      <c r="U45" s="8"/>
      <c r="V45" s="182"/>
      <c r="W45" s="8"/>
      <c r="X45" s="62"/>
      <c r="Y45" s="182"/>
      <c r="Z45" s="8"/>
      <c r="AA45" s="69"/>
      <c r="AB45" s="11"/>
      <c r="AC45" s="182"/>
      <c r="AD45" s="65"/>
      <c r="AE45" s="8"/>
      <c r="AF45" s="235"/>
      <c r="AG45" s="165" t="str">
        <f>IFERROR(IF(AG44="","",VLOOKUP(AG44,LISTAS!$F$5:$G$1004,2,0)),"0")</f>
        <v/>
      </c>
      <c r="AH45" s="8"/>
      <c r="AI45" s="69"/>
      <c r="AJ45" s="11"/>
      <c r="AK45" s="166"/>
      <c r="AL45" s="11"/>
    </row>
    <row r="46" spans="2:47" ht="18" customHeight="1" x14ac:dyDescent="0.25">
      <c r="B46" s="16">
        <v>12</v>
      </c>
      <c r="C46" s="162" t="str">
        <f>IF('13F GRP'!G5&gt;=3,'13F GRP'!J164,IF('13F GRP'!G5=2,"",IF('13F GRP'!G5=1,"","")))</f>
        <v/>
      </c>
      <c r="D46" s="234">
        <v>0</v>
      </c>
      <c r="E46" s="56">
        <f>IF(D46&lt;&gt;"",D46,"")</f>
        <v>0</v>
      </c>
      <c r="F46" s="51" t="str">
        <f>IF(D46&lt;&gt;"",IF(C46="","",C46),"")</f>
        <v/>
      </c>
      <c r="G46" s="176">
        <f>IF(E46&lt;&gt;"",IF(E48&lt;&gt;"",SMALL(E46:E48,1),""),"")</f>
        <v>0</v>
      </c>
      <c r="H46" s="51"/>
      <c r="I46" s="54"/>
      <c r="J46" s="51"/>
      <c r="K46" s="176"/>
      <c r="L46" s="11"/>
      <c r="M46" s="54"/>
      <c r="N46" s="51">
        <f>IF(P37&lt;&gt;"",P37,"")</f>
        <v>1</v>
      </c>
      <c r="O46" s="176" t="str">
        <f>IF(P37&lt;&gt;"",O37,"")</f>
        <v>LAURA SARAIVA</v>
      </c>
      <c r="P46" s="51" t="str">
        <f>VLOOKUP(P44,N44:O46,2,0)</f>
        <v>LUIZA SARAIVA</v>
      </c>
      <c r="Q46" s="78"/>
      <c r="R46" s="182"/>
      <c r="S46" s="8"/>
      <c r="T46" s="8"/>
      <c r="U46" s="8"/>
      <c r="V46" s="182"/>
      <c r="W46" s="8"/>
      <c r="X46" s="62"/>
      <c r="Y46" s="182"/>
      <c r="Z46" s="8"/>
      <c r="AA46" s="69"/>
      <c r="AB46" s="11"/>
      <c r="AC46" s="182"/>
      <c r="AD46" s="65"/>
      <c r="AE46" s="8"/>
      <c r="AF46" s="8"/>
      <c r="AG46" s="181">
        <f>IF(AJ46&lt;&gt;"",AJ46,"")</f>
        <v>0</v>
      </c>
      <c r="AH46" s="78" t="str">
        <f>IF(AJ46&lt;&gt;"",IF(AK46="","",AK46),"")</f>
        <v/>
      </c>
      <c r="AI46" s="53">
        <f>IF(AG46&lt;&gt;"",IF(AG48&lt;&gt;"",SMALL(AG46:AG48,1),""),"")</f>
        <v>0</v>
      </c>
      <c r="AJ46" s="234">
        <v>0</v>
      </c>
      <c r="AK46" s="162" t="str">
        <f>IF('13F GRP'!G5&gt;=3,'13F GRP'!J138,IF('13F GRP'!G5=2,"",IF('13F GRP'!G5=1,"","")))</f>
        <v/>
      </c>
      <c r="AL46" s="11">
        <v>10</v>
      </c>
    </row>
    <row r="47" spans="2:47" ht="18" customHeight="1" thickBot="1" x14ac:dyDescent="0.3">
      <c r="B47" s="16"/>
      <c r="C47" s="165" t="str">
        <f>IFERROR(IF(C46="","",VLOOKUP(C46,LISTAS!$F$5:$G$1004,2,0)),"0")</f>
        <v/>
      </c>
      <c r="D47" s="235"/>
      <c r="E47" s="57"/>
      <c r="F47" s="51"/>
      <c r="G47" s="176"/>
      <c r="H47" s="51"/>
      <c r="I47" s="54"/>
      <c r="J47" s="11"/>
      <c r="K47" s="166"/>
      <c r="L47" s="11"/>
      <c r="M47" s="54"/>
      <c r="N47" s="51"/>
      <c r="O47" s="176"/>
      <c r="P47" s="51"/>
      <c r="Q47" s="78"/>
      <c r="R47" s="182"/>
      <c r="S47" s="8"/>
      <c r="T47" s="8"/>
      <c r="U47" s="8"/>
      <c r="V47" s="182"/>
      <c r="W47" s="8"/>
      <c r="X47" s="62"/>
      <c r="Y47" s="182"/>
      <c r="Z47" s="8"/>
      <c r="AA47" s="69"/>
      <c r="AB47" s="11"/>
      <c r="AC47" s="182"/>
      <c r="AD47" s="65"/>
      <c r="AE47" s="8"/>
      <c r="AF47" s="8"/>
      <c r="AG47" s="181"/>
      <c r="AH47" s="78"/>
      <c r="AI47" s="124"/>
      <c r="AJ47" s="235"/>
      <c r="AK47" s="165" t="str">
        <f>IFERROR(IF(AK46="","",VLOOKUP(AK46,LISTAS!$F$5:$G$1004,2,0)),"0")</f>
        <v/>
      </c>
      <c r="AL47" s="11"/>
    </row>
    <row r="48" spans="2:47" ht="18" customHeight="1" x14ac:dyDescent="0.25">
      <c r="B48" s="16">
        <v>21</v>
      </c>
      <c r="C48" s="162" t="str">
        <f>IF('13F GRP'!G5&gt;=3,'13F GRP'!J281,IF('13F GRP'!G5=2,"",IF('13F GRP'!G5=1,"","")))</f>
        <v/>
      </c>
      <c r="D48" s="234">
        <v>0</v>
      </c>
      <c r="E48" s="57">
        <f>IF(D48&lt;&gt;"",D48,"")</f>
        <v>0</v>
      </c>
      <c r="F48" s="51" t="str">
        <f>IF(D48&lt;&gt;"",IF(C48="","",C48),"")</f>
        <v/>
      </c>
      <c r="G48" s="176" t="str">
        <f>VLOOKUP(G46,E46:F48,2,0)</f>
        <v/>
      </c>
      <c r="H48" s="51"/>
      <c r="I48" s="54"/>
      <c r="J48" s="11"/>
      <c r="K48" s="166"/>
      <c r="L48" s="11"/>
      <c r="M48" s="54"/>
      <c r="N48" s="51"/>
      <c r="O48" s="176"/>
      <c r="P48" s="51"/>
      <c r="Q48" s="78"/>
      <c r="R48" s="182"/>
      <c r="S48" s="8"/>
      <c r="T48" s="8"/>
      <c r="U48" s="8"/>
      <c r="V48" s="182"/>
      <c r="W48" s="8"/>
      <c r="X48" s="62"/>
      <c r="Y48" s="182"/>
      <c r="Z48" s="8"/>
      <c r="AA48" s="69"/>
      <c r="AB48" s="11"/>
      <c r="AC48" s="182"/>
      <c r="AD48" s="65"/>
      <c r="AE48" s="8"/>
      <c r="AF48" s="8"/>
      <c r="AG48" s="181">
        <f>IF(AJ48&lt;&gt;"",AJ48,"")</f>
        <v>0</v>
      </c>
      <c r="AH48" s="78" t="str">
        <f>IF(AJ48&lt;&gt;"",IF(AK48="","",AK48),"")</f>
        <v/>
      </c>
      <c r="AI48" s="125" t="str">
        <f>VLOOKUP(AI46,AG46:AH48,2,0)</f>
        <v/>
      </c>
      <c r="AJ48" s="234">
        <v>0</v>
      </c>
      <c r="AK48" s="162" t="str">
        <f>IF('13F GRP'!G5&gt;=3,'13F GRP'!J307,IF('13F GRP'!G5=2,"",IF('13F GRP'!G5=1,"","")))</f>
        <v/>
      </c>
      <c r="AL48" s="11">
        <v>23</v>
      </c>
    </row>
    <row r="49" spans="2:41" ht="18" customHeight="1" thickBot="1" x14ac:dyDescent="0.3">
      <c r="B49" s="16"/>
      <c r="C49" s="165" t="str">
        <f>IFERROR(IF(C48="","",VLOOKUP(C48,LISTAS!$F$5:$G$1004,2,0)),"0")</f>
        <v/>
      </c>
      <c r="D49" s="235"/>
      <c r="E49" s="51"/>
      <c r="F49" s="51"/>
      <c r="G49" s="176"/>
      <c r="H49" s="51"/>
      <c r="I49" s="54"/>
      <c r="J49" s="11"/>
      <c r="K49" s="166"/>
      <c r="L49" s="11"/>
      <c r="M49" s="54"/>
      <c r="N49" s="51"/>
      <c r="O49" s="176"/>
      <c r="P49" s="51"/>
      <c r="Q49" s="78"/>
      <c r="R49" s="182"/>
      <c r="S49" s="8"/>
      <c r="T49" s="8"/>
      <c r="U49" s="8"/>
      <c r="V49" s="182"/>
      <c r="W49" s="8"/>
      <c r="X49" s="62"/>
      <c r="Y49" s="182"/>
      <c r="Z49" s="8"/>
      <c r="AA49" s="69"/>
      <c r="AB49" s="11"/>
      <c r="AC49" s="182"/>
      <c r="AD49" s="65"/>
      <c r="AE49" s="8"/>
      <c r="AF49" s="8"/>
      <c r="AG49" s="181"/>
      <c r="AH49" s="78"/>
      <c r="AI49" s="51"/>
      <c r="AJ49" s="235"/>
      <c r="AK49" s="165" t="str">
        <f>IFERROR(IF(AK48="","",VLOOKUP(AK48,LISTAS!$F$5:$G$1004,2,0)),"0")</f>
        <v/>
      </c>
      <c r="AL49" s="11"/>
    </row>
    <row r="50" spans="2:41" ht="18" customHeight="1" x14ac:dyDescent="0.25">
      <c r="B50" s="16"/>
      <c r="C50" s="166"/>
      <c r="D50" s="11"/>
      <c r="E50" s="11"/>
      <c r="F50" s="11"/>
      <c r="G50" s="166"/>
      <c r="H50" s="11"/>
      <c r="I50" s="18"/>
      <c r="J50" s="11"/>
      <c r="K50" s="162" t="str">
        <f>IF(H42&lt;&gt;"",IF(H44&lt;&gt;"",IF(H42=H44,"",IF(H42&gt;H44,G42,G44)),""),"")</f>
        <v>LAURA SARAIVA</v>
      </c>
      <c r="L50" s="234">
        <v>1</v>
      </c>
      <c r="M50" s="56">
        <f>IF(L50&lt;&gt;"",L50,"")</f>
        <v>1</v>
      </c>
      <c r="N50" s="51" t="str">
        <f>IF(L50&lt;&gt;"",IF(K50="","",K50),"")</f>
        <v>LAURA SARAIVA</v>
      </c>
      <c r="O50" s="176">
        <f>IF(M50&lt;&gt;"",IF(M52&lt;&gt;"",SMALL(M50:N52,1),""),"")</f>
        <v>0</v>
      </c>
      <c r="P50" s="51"/>
      <c r="Q50" s="78"/>
      <c r="R50" s="182"/>
      <c r="S50" s="8"/>
      <c r="T50" s="8"/>
      <c r="U50" s="8"/>
      <c r="V50" s="182"/>
      <c r="W50" s="8"/>
      <c r="X50" s="62"/>
      <c r="Y50" s="182"/>
      <c r="Z50" s="8"/>
      <c r="AA50" s="70"/>
      <c r="AB50" s="234">
        <v>0</v>
      </c>
      <c r="AC50" s="162" t="str">
        <f>IF(AF42&lt;&gt;"",IF(AF44&lt;&gt;"",IF(AF42=AF44,"",IF(AF42&gt;AF44,AG42,AG44)),""),"")</f>
        <v/>
      </c>
      <c r="AD50" s="112"/>
      <c r="AE50" s="8"/>
      <c r="AF50" s="8"/>
      <c r="AG50" s="182"/>
      <c r="AH50" s="8"/>
      <c r="AI50" s="8"/>
      <c r="AJ50" s="11"/>
      <c r="AK50" s="166"/>
      <c r="AL50" s="11"/>
    </row>
    <row r="51" spans="2:41" ht="18" customHeight="1" thickBot="1" x14ac:dyDescent="0.3">
      <c r="B51" s="16"/>
      <c r="C51" s="166"/>
      <c r="D51" s="11"/>
      <c r="E51" s="11"/>
      <c r="F51" s="11"/>
      <c r="G51" s="166"/>
      <c r="H51" s="11"/>
      <c r="I51" s="18"/>
      <c r="J51" s="11"/>
      <c r="K51" s="165" t="str">
        <f>IFERROR(IF(K50="","",VLOOKUP(K50,LISTAS!$F$5:$G$1004,2,0)),"0")</f>
        <v>COLÉGIO MARCONI - GRU</v>
      </c>
      <c r="L51" s="235"/>
      <c r="M51" s="57"/>
      <c r="N51" s="51"/>
      <c r="O51" s="176"/>
      <c r="P51" s="51"/>
      <c r="Q51" s="78"/>
      <c r="R51" s="182"/>
      <c r="S51" s="8"/>
      <c r="T51" s="8"/>
      <c r="U51" s="8"/>
      <c r="V51" s="182"/>
      <c r="W51" s="8"/>
      <c r="X51" s="62"/>
      <c r="Y51" s="182"/>
      <c r="Z51" s="8"/>
      <c r="AA51" s="8"/>
      <c r="AB51" s="235"/>
      <c r="AC51" s="165" t="str">
        <f>IFERROR(IF(AC50="","",VLOOKUP(AC50,LISTAS!$F$5:$G$1004,2,0)),"0")</f>
        <v/>
      </c>
      <c r="AD51" s="8"/>
      <c r="AE51" s="69"/>
      <c r="AF51" s="8"/>
      <c r="AG51" s="182"/>
      <c r="AH51" s="8"/>
      <c r="AI51" s="8"/>
      <c r="AJ51" s="11"/>
      <c r="AK51" s="166"/>
      <c r="AL51" s="11"/>
    </row>
    <row r="52" spans="2:41" ht="18" customHeight="1" x14ac:dyDescent="0.25">
      <c r="B52" s="16"/>
      <c r="C52" s="166"/>
      <c r="D52" s="11"/>
      <c r="E52" s="11"/>
      <c r="F52" s="11"/>
      <c r="G52" s="166"/>
      <c r="H52" s="11"/>
      <c r="I52" s="18"/>
      <c r="J52" s="19"/>
      <c r="K52" s="162" t="str">
        <f>IF(H58&lt;&gt;"",IF(H60&lt;&gt;"",IF(H58=H60,"",IF(H58&gt;H60,G58,G60)),""),"")</f>
        <v>NATÁLIA PAIVA BRANCALHÃO</v>
      </c>
      <c r="L52" s="234">
        <v>0</v>
      </c>
      <c r="M52" s="57">
        <f>IF(L52&lt;&gt;"",L52,"")</f>
        <v>0</v>
      </c>
      <c r="N52" s="51" t="str">
        <f>IF(L52&lt;&gt;"",IF(K52="","",K52),"")</f>
        <v>NATÁLIA PAIVA BRANCALHÃO</v>
      </c>
      <c r="O52" s="176" t="str">
        <f>VLOOKUP(O50,M50:N52,2,0)</f>
        <v>NATÁLIA PAIVA BRANCALHÃO</v>
      </c>
      <c r="P52" s="51"/>
      <c r="Q52" s="78"/>
      <c r="R52" s="182"/>
      <c r="S52" s="8"/>
      <c r="T52" s="8"/>
      <c r="U52" s="8"/>
      <c r="V52" s="182"/>
      <c r="W52" s="8"/>
      <c r="X52" s="62"/>
      <c r="Y52" s="182"/>
      <c r="Z52" s="8"/>
      <c r="AA52" s="8"/>
      <c r="AB52" s="234">
        <v>2</v>
      </c>
      <c r="AC52" s="162" t="str">
        <f>IF(AF58&lt;&gt;"",IF(AF60&lt;&gt;"",IF(AF58=AF60,"",IF(AF58&gt;AF60,AG58,AG60)),""),"")</f>
        <v>MARINA MARTINS MEDRANO</v>
      </c>
      <c r="AD52" s="8"/>
      <c r="AE52" s="69"/>
      <c r="AF52" s="8"/>
      <c r="AG52" s="182"/>
      <c r="AH52" s="8"/>
      <c r="AI52" s="8"/>
      <c r="AJ52" s="11"/>
      <c r="AK52" s="166"/>
      <c r="AL52" s="11"/>
    </row>
    <row r="53" spans="2:41" ht="18" customHeight="1" thickBot="1" x14ac:dyDescent="0.3">
      <c r="B53" s="16"/>
      <c r="C53" s="166"/>
      <c r="D53" s="11"/>
      <c r="E53" s="11"/>
      <c r="F53" s="11"/>
      <c r="G53" s="166"/>
      <c r="H53" s="11"/>
      <c r="I53" s="18"/>
      <c r="J53" s="11"/>
      <c r="K53" s="165" t="str">
        <f>IFERROR(IF(K52="","",VLOOKUP(K52,LISTAS!$F$5:$G$1004,2,0)),"0")</f>
        <v>LICEU JARDIM</v>
      </c>
      <c r="L53" s="235"/>
      <c r="M53" s="51"/>
      <c r="N53" s="51"/>
      <c r="O53" s="176"/>
      <c r="P53" s="51"/>
      <c r="Q53" s="78"/>
      <c r="R53" s="182"/>
      <c r="S53" s="8"/>
      <c r="T53" s="8"/>
      <c r="U53" s="8"/>
      <c r="V53" s="182"/>
      <c r="W53" s="8"/>
      <c r="X53" s="62"/>
      <c r="Y53" s="182"/>
      <c r="Z53" s="8"/>
      <c r="AA53" s="8"/>
      <c r="AB53" s="235"/>
      <c r="AC53" s="165" t="str">
        <f>IFERROR(IF(AC52="","",VLOOKUP(AC52,LISTAS!$F$5:$G$1004,2,0)),"0")</f>
        <v>COLEGIO PETROPOLIS</v>
      </c>
      <c r="AD53" s="8"/>
      <c r="AE53" s="69"/>
      <c r="AF53" s="8"/>
      <c r="AG53" s="182"/>
      <c r="AH53" s="8"/>
      <c r="AI53" s="8"/>
      <c r="AJ53" s="11"/>
      <c r="AK53" s="166"/>
      <c r="AL53" s="11"/>
    </row>
    <row r="54" spans="2:41" ht="18" customHeight="1" x14ac:dyDescent="0.25">
      <c r="B54" s="16">
        <v>20</v>
      </c>
      <c r="C54" s="162" t="str">
        <f>IF('13F GRP'!G5&gt;=3,'13F GRP'!J268,IF('13F GRP'!G5=2,"",IF('13F GRP'!G5=1,"","")))</f>
        <v/>
      </c>
      <c r="D54" s="234">
        <v>0</v>
      </c>
      <c r="E54" s="51">
        <f>IF(D54&lt;&gt;"",D54,"")</f>
        <v>0</v>
      </c>
      <c r="F54" s="51" t="str">
        <f>IF(D54&lt;&gt;"",IF(C54="","",C54),"")</f>
        <v/>
      </c>
      <c r="G54" s="176">
        <f>IF(E54&lt;&gt;"",IF(E56&lt;&gt;"",SMALL(E54:E56,1),""),"")</f>
        <v>0</v>
      </c>
      <c r="H54" s="51"/>
      <c r="I54" s="54"/>
      <c r="J54" s="51"/>
      <c r="K54" s="176"/>
      <c r="L54" s="51"/>
      <c r="M54" s="51"/>
      <c r="N54" s="11"/>
      <c r="O54" s="166"/>
      <c r="P54" s="11"/>
      <c r="Q54" s="8"/>
      <c r="R54" s="182"/>
      <c r="S54" s="8"/>
      <c r="T54" s="8"/>
      <c r="U54" s="8"/>
      <c r="V54" s="182"/>
      <c r="W54" s="8"/>
      <c r="X54" s="62"/>
      <c r="Y54" s="182"/>
      <c r="Z54" s="8"/>
      <c r="AA54" s="8"/>
      <c r="AB54" s="11"/>
      <c r="AC54" s="182"/>
      <c r="AD54" s="8"/>
      <c r="AE54" s="69"/>
      <c r="AF54" s="8"/>
      <c r="AG54" s="181">
        <f>IF(AJ54&lt;&gt;"",AJ54,"")</f>
        <v>0</v>
      </c>
      <c r="AH54" s="78" t="str">
        <f>IF(AJ54&lt;&gt;"",IF(AK54="","",AK54),"")</f>
        <v/>
      </c>
      <c r="AI54" s="51">
        <f>IF(AG54&lt;&gt;"",IF(AG56&lt;&gt;"",SMALL(AG54:AG56,1),""),"")</f>
        <v>0</v>
      </c>
      <c r="AJ54" s="234">
        <v>0</v>
      </c>
      <c r="AK54" s="162" t="str">
        <f>IF('13F GRP'!G5&gt;=3,'13F GRP'!J203,IF('13F GRP'!G5=2,"",IF('13F GRP'!G5=1,"","")))</f>
        <v/>
      </c>
      <c r="AL54" s="11">
        <v>15</v>
      </c>
    </row>
    <row r="55" spans="2:41" ht="18" customHeight="1" thickBot="1" x14ac:dyDescent="0.3">
      <c r="B55" s="16"/>
      <c r="C55" s="165" t="str">
        <f>IFERROR(IF(C54="","",VLOOKUP(C54,LISTAS!$F$5:$G$1004,2,0)),"0")</f>
        <v/>
      </c>
      <c r="D55" s="235"/>
      <c r="E55" s="51"/>
      <c r="F55" s="51"/>
      <c r="G55" s="176"/>
      <c r="H55" s="51"/>
      <c r="I55" s="54"/>
      <c r="J55" s="51"/>
      <c r="K55" s="176"/>
      <c r="L55" s="51"/>
      <c r="M55" s="51"/>
      <c r="N55" s="11"/>
      <c r="O55" s="166"/>
      <c r="P55" s="11"/>
      <c r="Q55" s="8"/>
      <c r="R55" s="182"/>
      <c r="S55" s="8"/>
      <c r="T55" s="8"/>
      <c r="U55" s="8"/>
      <c r="V55" s="182"/>
      <c r="W55" s="8"/>
      <c r="X55" s="62"/>
      <c r="Y55" s="182"/>
      <c r="Z55" s="8"/>
      <c r="AA55" s="8"/>
      <c r="AB55" s="11"/>
      <c r="AC55" s="182"/>
      <c r="AD55" s="8"/>
      <c r="AE55" s="69"/>
      <c r="AF55" s="8"/>
      <c r="AG55" s="181"/>
      <c r="AH55" s="78"/>
      <c r="AI55" s="51"/>
      <c r="AJ55" s="235"/>
      <c r="AK55" s="165" t="str">
        <f>IFERROR(IF(AK54="","",VLOOKUP(AK54,LISTAS!$F$5:$G$1004,2,0)),"0")</f>
        <v/>
      </c>
      <c r="AL55" s="11"/>
    </row>
    <row r="56" spans="2:41" ht="18" customHeight="1" x14ac:dyDescent="0.25">
      <c r="B56" s="16">
        <v>13</v>
      </c>
      <c r="C56" s="162" t="str">
        <f>IF('13F GRP'!G5&gt;=3,'13F GRP'!J177,IF('13F GRP'!G5=2,"",IF('13F GRP'!G5=1,"","")))</f>
        <v/>
      </c>
      <c r="D56" s="234">
        <v>0</v>
      </c>
      <c r="E56" s="52">
        <f>IF(D56&lt;&gt;"",D56,"")</f>
        <v>0</v>
      </c>
      <c r="F56" s="51" t="str">
        <f>IF(D56&lt;&gt;"",IF(C56="","",C56),"")</f>
        <v/>
      </c>
      <c r="G56" s="176" t="str">
        <f>VLOOKUP(G54,E54:F56,2,0)</f>
        <v/>
      </c>
      <c r="H56" s="51"/>
      <c r="I56" s="54"/>
      <c r="J56" s="51"/>
      <c r="K56" s="176"/>
      <c r="L56" s="51"/>
      <c r="M56" s="51"/>
      <c r="N56" s="11"/>
      <c r="O56" s="166"/>
      <c r="P56" s="11"/>
      <c r="Q56" s="8"/>
      <c r="R56" s="182"/>
      <c r="S56" s="8"/>
      <c r="T56" s="8"/>
      <c r="U56" s="8"/>
      <c r="V56" s="182"/>
      <c r="W56" s="8"/>
      <c r="X56" s="62"/>
      <c r="Y56" s="182"/>
      <c r="Z56" s="8"/>
      <c r="AA56" s="8"/>
      <c r="AB56" s="11"/>
      <c r="AC56" s="182"/>
      <c r="AD56" s="8"/>
      <c r="AE56" s="69"/>
      <c r="AF56" s="8"/>
      <c r="AG56" s="181">
        <f>IF(AJ56&lt;&gt;"",AJ56,"")</f>
        <v>0</v>
      </c>
      <c r="AH56" s="78" t="str">
        <f>IF(AJ56&lt;&gt;"",IF(AK56="","",AK56),"")</f>
        <v/>
      </c>
      <c r="AI56" s="55" t="str">
        <f>VLOOKUP(AI54,AG54:AH56,2,0)</f>
        <v/>
      </c>
      <c r="AJ56" s="234">
        <v>0</v>
      </c>
      <c r="AK56" s="162" t="str">
        <f>IF('13F GRP'!G5&gt;=3,'13F GRP'!J242,IF('13F GRP'!G5=2,"",IF('13F GRP'!G5=1,"","")))</f>
        <v/>
      </c>
      <c r="AL56" s="11">
        <v>18</v>
      </c>
      <c r="AN56" s="23"/>
      <c r="AO56" s="23"/>
    </row>
    <row r="57" spans="2:41" ht="18" customHeight="1" thickBot="1" x14ac:dyDescent="0.3">
      <c r="B57" s="16"/>
      <c r="C57" s="165" t="str">
        <f>IFERROR(IF(C56="","",VLOOKUP(C56,LISTAS!$F$5:$G$1004,2,0)),"0")</f>
        <v/>
      </c>
      <c r="D57" s="235"/>
      <c r="E57" s="128"/>
      <c r="F57" s="51"/>
      <c r="G57" s="176"/>
      <c r="H57" s="51"/>
      <c r="I57" s="54"/>
      <c r="J57" s="51"/>
      <c r="K57" s="176"/>
      <c r="L57" s="51"/>
      <c r="M57" s="51"/>
      <c r="N57" s="11"/>
      <c r="O57" s="166"/>
      <c r="P57" s="11"/>
      <c r="Q57" s="8"/>
      <c r="R57" s="182"/>
      <c r="S57" s="8"/>
      <c r="T57" s="8"/>
      <c r="U57" s="8"/>
      <c r="V57" s="182"/>
      <c r="W57" s="8"/>
      <c r="X57" s="62"/>
      <c r="Y57" s="182"/>
      <c r="Z57" s="8"/>
      <c r="AA57" s="8"/>
      <c r="AB57" s="11"/>
      <c r="AC57" s="182"/>
      <c r="AD57" s="8"/>
      <c r="AE57" s="69"/>
      <c r="AF57" s="8"/>
      <c r="AG57" s="181"/>
      <c r="AH57" s="126"/>
      <c r="AI57" s="51"/>
      <c r="AJ57" s="235"/>
      <c r="AK57" s="165" t="str">
        <f>IFERROR(IF(AK56="","",VLOOKUP(AK56,LISTAS!$F$5:$G$1004,2,0)),"0")</f>
        <v/>
      </c>
      <c r="AL57" s="11"/>
      <c r="AM57" s="23"/>
      <c r="AN57" s="23"/>
      <c r="AO57" s="23"/>
    </row>
    <row r="58" spans="2:41" ht="18" customHeight="1" x14ac:dyDescent="0.25">
      <c r="B58" s="16"/>
      <c r="C58" s="166"/>
      <c r="D58" s="11"/>
      <c r="E58" s="11"/>
      <c r="F58" s="17"/>
      <c r="G58" s="162" t="str">
        <f>IF(D54&lt;&gt;"",IF(D56&lt;&gt;"",IF(D54=D56,"",IF(D54&gt;D56,C54,C56)),""),"")</f>
        <v/>
      </c>
      <c r="H58" s="234">
        <v>0</v>
      </c>
      <c r="I58" s="56">
        <f>IF(H58&lt;&gt;"",H58,"")</f>
        <v>0</v>
      </c>
      <c r="J58" s="51" t="str">
        <f>IF(H58&lt;&gt;"",IF(G58="","",G58),"")</f>
        <v/>
      </c>
      <c r="K58" s="176">
        <f>IF(I58&lt;&gt;"",IF(I60&lt;&gt;"",SMALL(I58:J60,1),""),"")</f>
        <v>0</v>
      </c>
      <c r="L58" s="51"/>
      <c r="M58" s="51"/>
      <c r="N58" s="11"/>
      <c r="O58" s="166"/>
      <c r="P58" s="11"/>
      <c r="Q58" s="8"/>
      <c r="R58" s="182"/>
      <c r="S58" s="8"/>
      <c r="T58" s="8"/>
      <c r="U58" s="8"/>
      <c r="V58" s="182"/>
      <c r="W58" s="8"/>
      <c r="X58" s="62"/>
      <c r="Y58" s="182"/>
      <c r="Z58" s="8"/>
      <c r="AA58" s="8"/>
      <c r="AB58" s="11"/>
      <c r="AC58" s="182"/>
      <c r="AD58" s="8"/>
      <c r="AE58" s="69"/>
      <c r="AF58" s="234">
        <v>0</v>
      </c>
      <c r="AG58" s="162" t="str">
        <f>IF(AJ54&lt;&gt;"",IF(AJ56&lt;&gt;"",IF(AJ54=AJ56,"",IF(AJ54&gt;AJ56,AK54,AK56)),""),"")</f>
        <v/>
      </c>
      <c r="AH58" s="65"/>
      <c r="AI58" s="8"/>
      <c r="AJ58" s="11"/>
      <c r="AK58" s="166"/>
      <c r="AL58" s="11"/>
      <c r="AM58" s="23"/>
    </row>
    <row r="59" spans="2:41" ht="18" customHeight="1" thickBot="1" x14ac:dyDescent="0.3">
      <c r="B59" s="16"/>
      <c r="C59" s="166"/>
      <c r="D59" s="11"/>
      <c r="E59" s="11"/>
      <c r="F59" s="17"/>
      <c r="G59" s="165" t="str">
        <f>IFERROR(IF(G58="","",VLOOKUP(G58,LISTAS!$F$5:$G$1004,2,0)),"0")</f>
        <v/>
      </c>
      <c r="H59" s="235"/>
      <c r="I59" s="57"/>
      <c r="J59" s="51"/>
      <c r="K59" s="176"/>
      <c r="L59" s="51"/>
      <c r="M59" s="51"/>
      <c r="N59" s="11"/>
      <c r="O59" s="166"/>
      <c r="P59" s="11"/>
      <c r="Q59" s="8"/>
      <c r="R59" s="182"/>
      <c r="S59" s="8"/>
      <c r="T59" s="8"/>
      <c r="U59" s="8"/>
      <c r="V59" s="182"/>
      <c r="W59" s="8"/>
      <c r="X59" s="62"/>
      <c r="Y59" s="182"/>
      <c r="Z59" s="8"/>
      <c r="AA59" s="8"/>
      <c r="AB59" s="11"/>
      <c r="AC59" s="182"/>
      <c r="AD59" s="8"/>
      <c r="AE59" s="70"/>
      <c r="AF59" s="235"/>
      <c r="AG59" s="165" t="str">
        <f>IFERROR(IF(AG58="","",VLOOKUP(AG58,LISTAS!$F$5:$G$1004,2,0)),"0")</f>
        <v/>
      </c>
      <c r="AH59" s="65"/>
      <c r="AI59" s="8"/>
      <c r="AJ59" s="11"/>
      <c r="AK59" s="166"/>
      <c r="AL59" s="11"/>
    </row>
    <row r="60" spans="2:41" ht="18" customHeight="1" x14ac:dyDescent="0.25">
      <c r="B60" s="16"/>
      <c r="C60" s="166"/>
      <c r="D60" s="11"/>
      <c r="E60" s="18"/>
      <c r="F60" s="19"/>
      <c r="G60" s="162" t="str">
        <f>IF(D62&lt;&gt;"",IF(D64&lt;&gt;"",IF(D62=D64,"",IF(D62&gt;D64,C62,C64)),""),"")</f>
        <v>NATÁLIA PAIVA BRANCALHÃO</v>
      </c>
      <c r="H60" s="234">
        <v>2</v>
      </c>
      <c r="I60" s="57">
        <f>IF(H60&lt;&gt;"",H60,"")</f>
        <v>2</v>
      </c>
      <c r="J60" s="51" t="str">
        <f>IF(H60&lt;&gt;"",IF(G60="","",G60),"")</f>
        <v>NATÁLIA PAIVA BRANCALHÃO</v>
      </c>
      <c r="K60" s="176" t="str">
        <f>VLOOKUP(K58,I58:J60,2,0)</f>
        <v/>
      </c>
      <c r="L60" s="51"/>
      <c r="M60" s="51"/>
      <c r="N60" s="11"/>
      <c r="O60" s="166"/>
      <c r="P60" s="11"/>
      <c r="Q60" s="8"/>
      <c r="R60" s="182"/>
      <c r="S60" s="8"/>
      <c r="T60" s="8"/>
      <c r="U60" s="8"/>
      <c r="V60" s="182"/>
      <c r="W60" s="8"/>
      <c r="X60" s="62"/>
      <c r="Y60" s="182"/>
      <c r="Z60" s="8"/>
      <c r="AA60" s="8"/>
      <c r="AB60" s="11"/>
      <c r="AC60" s="182"/>
      <c r="AD60" s="8"/>
      <c r="AE60" s="64"/>
      <c r="AF60" s="234">
        <v>2</v>
      </c>
      <c r="AG60" s="162" t="str">
        <f>IF(AJ62&lt;&gt;"",IF(AJ64&lt;&gt;"",IF(AJ62=AJ64,"",IF(AJ62&gt;AJ64,AK62,AK64)),""),"")</f>
        <v>MARINA MARTINS MEDRANO</v>
      </c>
      <c r="AH60" s="66"/>
      <c r="AI60" s="8"/>
      <c r="AJ60" s="11"/>
      <c r="AK60" s="166"/>
      <c r="AL60" s="11"/>
    </row>
    <row r="61" spans="2:41" ht="18" customHeight="1" thickBot="1" x14ac:dyDescent="0.3">
      <c r="B61" s="16"/>
      <c r="C61" s="166"/>
      <c r="D61" s="11"/>
      <c r="E61" s="18"/>
      <c r="F61" s="11"/>
      <c r="G61" s="165" t="str">
        <f>IFERROR(IF(G60="","",VLOOKUP(G60,LISTAS!$F$5:$G$1004,2,0)),"0")</f>
        <v>LICEU JARDIM</v>
      </c>
      <c r="H61" s="235"/>
      <c r="I61" s="51"/>
      <c r="J61" s="51"/>
      <c r="K61" s="176"/>
      <c r="L61" s="51"/>
      <c r="M61" s="51"/>
      <c r="N61" s="11"/>
      <c r="O61" s="166"/>
      <c r="P61" s="11"/>
      <c r="Q61" s="8"/>
      <c r="R61" s="182"/>
      <c r="S61" s="8"/>
      <c r="T61" s="8"/>
      <c r="U61" s="8"/>
      <c r="V61" s="182"/>
      <c r="W61" s="8"/>
      <c r="X61" s="62"/>
      <c r="Y61" s="182"/>
      <c r="Z61" s="8"/>
      <c r="AA61" s="8"/>
      <c r="AB61" s="11"/>
      <c r="AC61" s="182"/>
      <c r="AD61" s="8"/>
      <c r="AE61" s="8"/>
      <c r="AF61" s="235"/>
      <c r="AG61" s="165" t="str">
        <f>IFERROR(IF(AG60="","",VLOOKUP(AG60,LISTAS!$F$5:$G$1004,2,0)),"0")</f>
        <v>COLEGIO PETROPOLIS</v>
      </c>
      <c r="AH61" s="8"/>
      <c r="AI61" s="69"/>
      <c r="AJ61" s="11"/>
      <c r="AK61" s="166"/>
      <c r="AL61" s="11"/>
    </row>
    <row r="62" spans="2:41" ht="18" customHeight="1" x14ac:dyDescent="0.25">
      <c r="B62" s="16">
        <v>29</v>
      </c>
      <c r="C62" s="162" t="str">
        <f>IF('13F GRP'!G5&gt;=3,'13F GRP'!J385,IF('13F GRP'!G5=2,"",IF('13F GRP'!G5=1,"","")))</f>
        <v/>
      </c>
      <c r="D62" s="234">
        <v>0</v>
      </c>
      <c r="E62" s="56">
        <f>IF(D62&lt;&gt;"",D62,"")</f>
        <v>0</v>
      </c>
      <c r="F62" s="51" t="str">
        <f>IF(D62&lt;&gt;"",IF(C62="","",C62),"")</f>
        <v/>
      </c>
      <c r="G62" s="176">
        <f>IF(E62&lt;&gt;"",IF(E64&lt;&gt;"",SMALL(E62:E64,1),""),"")</f>
        <v>0</v>
      </c>
      <c r="H62" s="51"/>
      <c r="I62" s="51"/>
      <c r="J62" s="51"/>
      <c r="K62" s="176"/>
      <c r="L62" s="51"/>
      <c r="M62" s="51"/>
      <c r="N62" s="11"/>
      <c r="O62" s="166"/>
      <c r="P62" s="11"/>
      <c r="Q62" s="8"/>
      <c r="R62" s="182"/>
      <c r="S62" s="8"/>
      <c r="T62" s="8"/>
      <c r="U62" s="8"/>
      <c r="V62" s="182"/>
      <c r="W62" s="8"/>
      <c r="X62" s="62"/>
      <c r="Y62" s="182"/>
      <c r="Z62" s="8"/>
      <c r="AA62" s="8"/>
      <c r="AB62" s="11"/>
      <c r="AC62" s="182"/>
      <c r="AD62" s="8"/>
      <c r="AE62" s="8"/>
      <c r="AF62" s="8"/>
      <c r="AG62" s="181">
        <f>IF(AJ62&lt;&gt;"",AJ62,"")</f>
        <v>0</v>
      </c>
      <c r="AH62" s="78" t="str">
        <f>IF(AJ62&lt;&gt;"",IF(AK62="","",AK62),"")</f>
        <v/>
      </c>
      <c r="AI62" s="53">
        <f>IF(AG62&lt;&gt;"",IF(AG64&lt;&gt;"",SMALL(AG62:AG64,1),""),"")</f>
        <v>0</v>
      </c>
      <c r="AJ62" s="234">
        <v>0</v>
      </c>
      <c r="AK62" s="185" t="str">
        <f>IF('13F GRP'!G5&gt;=3,'13F GRP'!J411,IF('13F GRP'!G5=2,"",IF('13F GRP'!G5=1,"","")))</f>
        <v/>
      </c>
      <c r="AL62" s="11">
        <v>31</v>
      </c>
    </row>
    <row r="63" spans="2:41" ht="18" customHeight="1" thickBot="1" x14ac:dyDescent="0.3">
      <c r="B63" s="16"/>
      <c r="C63" s="165" t="str">
        <f>IFERROR(IF(C62="","",VLOOKUP(C62,LISTAS!$F$5:$G$1004,2,0)),"0")</f>
        <v/>
      </c>
      <c r="D63" s="235"/>
      <c r="E63" s="57"/>
      <c r="F63" s="51"/>
      <c r="G63" s="176"/>
      <c r="H63" s="51"/>
      <c r="I63" s="51"/>
      <c r="J63" s="51"/>
      <c r="K63" s="166"/>
      <c r="L63" s="11"/>
      <c r="M63" s="11"/>
      <c r="N63" s="11"/>
      <c r="O63" s="166"/>
      <c r="P63" s="11"/>
      <c r="Q63" s="8"/>
      <c r="R63" s="182"/>
      <c r="S63" s="8"/>
      <c r="T63" s="8"/>
      <c r="U63" s="8"/>
      <c r="V63" s="182"/>
      <c r="W63" s="8"/>
      <c r="X63" s="62"/>
      <c r="Y63" s="182"/>
      <c r="Z63" s="8"/>
      <c r="AA63" s="8"/>
      <c r="AB63" s="11"/>
      <c r="AC63" s="182"/>
      <c r="AD63" s="8"/>
      <c r="AE63" s="8"/>
      <c r="AF63" s="8"/>
      <c r="AG63" s="181"/>
      <c r="AH63" s="78"/>
      <c r="AI63" s="77"/>
      <c r="AJ63" s="235"/>
      <c r="AK63" s="165" t="str">
        <f>IFERROR(IF(AK62="","",VLOOKUP(AK62,LISTAS!$F$5:$G$1004,2,0)),"0")</f>
        <v/>
      </c>
      <c r="AL63" s="11"/>
    </row>
    <row r="64" spans="2:41" ht="18" customHeight="1" x14ac:dyDescent="0.25">
      <c r="B64" s="16">
        <v>4</v>
      </c>
      <c r="C64" s="162" t="str">
        <f>IF('13F GRP'!G5&gt;=3,'13F GRP'!J60,IF('13F GRP'!G5=2,IF('13F GRP'!H8=3,"",'13F GRP'!J31),IF('13F GRP'!G5=1,'13F GRP'!J11,"")))</f>
        <v>NATÁLIA PAIVA BRANCALHÃO</v>
      </c>
      <c r="D64" s="234">
        <v>2</v>
      </c>
      <c r="E64" s="57">
        <f>IF(D64&lt;&gt;"",D64,"")</f>
        <v>2</v>
      </c>
      <c r="F64" s="51" t="str">
        <f>IF(D64&lt;&gt;"",IF(C64="","",C64),"")</f>
        <v>NATÁLIA PAIVA BRANCALHÃO</v>
      </c>
      <c r="G64" s="176" t="str">
        <f>VLOOKUP(G62,E62:F64,2,0)</f>
        <v/>
      </c>
      <c r="H64" s="51"/>
      <c r="I64" s="51"/>
      <c r="J64" s="51"/>
      <c r="K64" s="166"/>
      <c r="L64" s="11"/>
      <c r="M64" s="11"/>
      <c r="N64" s="11"/>
      <c r="O64" s="166"/>
      <c r="P64" s="11"/>
      <c r="Q64" s="8"/>
      <c r="R64" s="182"/>
      <c r="S64" s="8"/>
      <c r="T64" s="8"/>
      <c r="U64" s="8"/>
      <c r="V64" s="182"/>
      <c r="W64" s="8"/>
      <c r="X64" s="62"/>
      <c r="Y64" s="182"/>
      <c r="Z64" s="8"/>
      <c r="AA64" s="8"/>
      <c r="AB64" s="11"/>
      <c r="AC64" s="182"/>
      <c r="AD64" s="8"/>
      <c r="AE64" s="8"/>
      <c r="AF64" s="8"/>
      <c r="AG64" s="181">
        <f>IF(AJ64&lt;&gt;"",AJ64,"")</f>
        <v>2</v>
      </c>
      <c r="AH64" s="78" t="str">
        <f>IF(AJ64&lt;&gt;"",IF(AK64="","",AK64),"")</f>
        <v>MARINA MARTINS MEDRANO</v>
      </c>
      <c r="AI64" s="76" t="str">
        <f>VLOOKUP(AI62,AG62:AH64,2,0)</f>
        <v/>
      </c>
      <c r="AJ64" s="234">
        <v>2</v>
      </c>
      <c r="AK64" s="162" t="str">
        <f>IF('13F GRP'!G5&gt;=3,'13F GRP'!J30,IF('13F GRP'!G5=2,IF('13F GRP'!H8=3,'13F GRP'!J30,'13F GRP'!J30),IF('13F GRP'!G5=1,'13F GRP'!J9,"")))</f>
        <v>MARINA MARTINS MEDRANO</v>
      </c>
      <c r="AL64" s="11">
        <v>2</v>
      </c>
    </row>
    <row r="65" spans="2:47" ht="18" customHeight="1" thickBot="1" x14ac:dyDescent="0.3">
      <c r="B65" s="16"/>
      <c r="C65" s="165" t="str">
        <f>IFERROR(IF(C64="","",VLOOKUP(C64,LISTAS!$F$5:$G$1004,2,0)),"0")</f>
        <v>LICEU JARDIM</v>
      </c>
      <c r="D65" s="235"/>
      <c r="E65" s="51"/>
      <c r="F65" s="51"/>
      <c r="G65" s="176"/>
      <c r="H65" s="51"/>
      <c r="I65" s="51"/>
      <c r="J65" s="51"/>
      <c r="K65" s="166"/>
      <c r="L65" s="11"/>
      <c r="M65" s="11"/>
      <c r="N65" s="11"/>
      <c r="O65" s="166"/>
      <c r="P65" s="11"/>
      <c r="Q65" s="8"/>
      <c r="R65" s="182"/>
      <c r="S65" s="8"/>
      <c r="T65" s="8"/>
      <c r="U65" s="8"/>
      <c r="V65" s="182"/>
      <c r="W65" s="8"/>
      <c r="X65" s="62"/>
      <c r="Y65" s="182"/>
      <c r="Z65" s="8"/>
      <c r="AA65" s="8"/>
      <c r="AB65" s="11"/>
      <c r="AC65" s="182"/>
      <c r="AD65" s="8"/>
      <c r="AE65" s="8"/>
      <c r="AF65" s="8"/>
      <c r="AG65" s="181"/>
      <c r="AH65" s="78"/>
      <c r="AI65" s="51"/>
      <c r="AJ65" s="235"/>
      <c r="AK65" s="165" t="str">
        <f>IFERROR(IF(AK64="","",VLOOKUP(AK64,LISTAS!$F$5:$G$1004,2,0)),"0")</f>
        <v>COLEGIO PETROPOLIS</v>
      </c>
      <c r="AL65" s="11"/>
    </row>
    <row r="66" spans="2:47" ht="18" customHeight="1" x14ac:dyDescent="0.25">
      <c r="B66" s="16"/>
      <c r="C66" s="167"/>
      <c r="D66" s="71"/>
      <c r="E66" s="127"/>
      <c r="F66" s="127"/>
      <c r="G66" s="177"/>
      <c r="H66" s="127"/>
      <c r="I66" s="127"/>
      <c r="J66" s="127"/>
      <c r="K66" s="167"/>
      <c r="L66" s="71"/>
      <c r="M66" s="71"/>
      <c r="N66" s="71"/>
      <c r="O66" s="167"/>
      <c r="P66" s="71"/>
      <c r="Q66" s="8"/>
      <c r="R66" s="182"/>
      <c r="S66" s="8"/>
      <c r="T66" s="8"/>
      <c r="U66" s="8"/>
      <c r="V66" s="182"/>
      <c r="W66" s="8"/>
      <c r="X66" s="62"/>
      <c r="Y66" s="182"/>
      <c r="Z66" s="8"/>
      <c r="AA66" s="8"/>
      <c r="AB66" s="11"/>
      <c r="AC66" s="182"/>
      <c r="AD66" s="8"/>
      <c r="AE66" s="8"/>
      <c r="AF66" s="8"/>
      <c r="AG66" s="181"/>
      <c r="AH66" s="78"/>
      <c r="AI66" s="78"/>
      <c r="AJ66" s="71"/>
      <c r="AK66" s="167"/>
      <c r="AL66" s="11"/>
    </row>
    <row r="67" spans="2:47" ht="18" customHeight="1" x14ac:dyDescent="0.25">
      <c r="B67" s="11"/>
      <c r="C67" s="167"/>
      <c r="D67" s="71"/>
      <c r="E67" s="71"/>
      <c r="F67" s="71"/>
      <c r="G67" s="167"/>
      <c r="H67" s="71"/>
      <c r="I67" s="71"/>
      <c r="J67" s="71"/>
      <c r="K67" s="167"/>
      <c r="L67" s="71"/>
      <c r="M67" s="71"/>
      <c r="N67" s="71"/>
      <c r="O67" s="167"/>
      <c r="P67" s="71"/>
      <c r="Q67" s="8"/>
      <c r="R67" s="182"/>
      <c r="S67" s="8"/>
      <c r="T67" s="8"/>
      <c r="U67" s="8"/>
      <c r="V67" s="182"/>
      <c r="W67" s="8"/>
      <c r="X67" s="62"/>
      <c r="Y67" s="182"/>
      <c r="Z67" s="8"/>
      <c r="AA67" s="8"/>
      <c r="AB67" s="11"/>
      <c r="AC67" s="182"/>
      <c r="AD67" s="8"/>
      <c r="AE67" s="8"/>
      <c r="AF67" s="8"/>
      <c r="AG67" s="182"/>
      <c r="AH67" s="8"/>
      <c r="AI67" s="8"/>
      <c r="AJ67" s="71"/>
      <c r="AK67" s="167"/>
      <c r="AL67" s="11"/>
    </row>
    <row r="68" spans="2:47" ht="18" customHeight="1" x14ac:dyDescent="0.25">
      <c r="B68" s="22"/>
      <c r="C68" s="168"/>
      <c r="D68" s="22"/>
      <c r="E68" s="22"/>
      <c r="F68" s="22"/>
      <c r="G68" s="168"/>
      <c r="H68" s="22"/>
      <c r="I68" s="22"/>
      <c r="J68" s="22"/>
      <c r="K68" s="168"/>
      <c r="L68" s="22"/>
      <c r="M68" s="22"/>
      <c r="N68" s="22"/>
      <c r="O68" s="168"/>
      <c r="P68" s="22"/>
      <c r="W68" s="22"/>
      <c r="X68" s="22"/>
      <c r="Y68" s="168"/>
      <c r="Z68" s="22"/>
      <c r="AA68" s="22"/>
      <c r="AB68" s="22"/>
      <c r="AC68" s="168"/>
      <c r="AD68" s="22"/>
      <c r="AE68" s="22"/>
      <c r="AF68" s="22"/>
      <c r="AG68" s="168"/>
      <c r="AH68" s="22"/>
      <c r="AI68" s="22"/>
      <c r="AJ68" s="22"/>
      <c r="AK68" s="168"/>
    </row>
    <row r="69" spans="2:47" ht="18" customHeight="1" x14ac:dyDescent="0.25">
      <c r="B69" s="22"/>
      <c r="C69" s="168"/>
      <c r="D69" s="22"/>
      <c r="E69" s="22"/>
      <c r="F69" s="22"/>
      <c r="G69" s="168"/>
      <c r="H69" s="22"/>
      <c r="I69" s="22"/>
      <c r="J69" s="22"/>
      <c r="K69" s="168"/>
      <c r="L69" s="22"/>
      <c r="M69" s="22"/>
      <c r="N69" s="22"/>
      <c r="O69" s="168"/>
      <c r="P69" s="22"/>
      <c r="W69" s="22"/>
      <c r="X69" s="22"/>
      <c r="Y69" s="168"/>
      <c r="Z69" s="22"/>
      <c r="AA69" s="22"/>
      <c r="AB69" s="22"/>
      <c r="AC69" s="168"/>
      <c r="AD69" s="22"/>
      <c r="AE69" s="22"/>
      <c r="AF69" s="22"/>
      <c r="AG69" s="168"/>
      <c r="AH69" s="22"/>
      <c r="AI69" s="22"/>
      <c r="AJ69" s="22"/>
      <c r="AK69" s="168"/>
    </row>
    <row r="70" spans="2:47" ht="30" customHeight="1" x14ac:dyDescent="0.25">
      <c r="B70" s="249" t="s">
        <v>20</v>
      </c>
      <c r="C70" s="250"/>
      <c r="D70" s="250"/>
      <c r="E70" s="250"/>
      <c r="F70" s="250"/>
      <c r="G70" s="250"/>
      <c r="H70" s="250"/>
      <c r="I70" s="250"/>
      <c r="J70" s="250"/>
      <c r="K70" s="250"/>
      <c r="L70" s="250"/>
      <c r="M70" s="250"/>
      <c r="N70" s="250"/>
      <c r="O70" s="279"/>
      <c r="P70" s="250"/>
      <c r="Q70" s="250"/>
      <c r="R70" s="279"/>
      <c r="S70" s="250"/>
      <c r="T70" s="250"/>
      <c r="U70" s="250"/>
      <c r="V70" s="279"/>
      <c r="W70" s="250"/>
      <c r="X70" s="250"/>
      <c r="Y70" s="279"/>
      <c r="Z70" s="250"/>
      <c r="AA70" s="250"/>
      <c r="AB70" s="250"/>
      <c r="AC70" s="250"/>
      <c r="AD70" s="250"/>
      <c r="AE70" s="250"/>
      <c r="AF70" s="250"/>
      <c r="AG70" s="250"/>
      <c r="AH70" s="250"/>
      <c r="AI70" s="250"/>
      <c r="AJ70" s="250"/>
      <c r="AK70" s="250"/>
      <c r="AL70" s="250"/>
      <c r="AP70" s="240" t="s">
        <v>4</v>
      </c>
      <c r="AQ70" s="240"/>
      <c r="AR70" s="240"/>
      <c r="AS70" s="240"/>
      <c r="AT70" s="240"/>
      <c r="AU70" s="240"/>
    </row>
    <row r="71" spans="2:47" ht="18" customHeight="1" thickBot="1" x14ac:dyDescent="0.3">
      <c r="B71" s="73"/>
      <c r="C71" s="164"/>
      <c r="D71" s="61"/>
      <c r="E71" s="61"/>
      <c r="F71" s="61"/>
      <c r="G71" s="175"/>
      <c r="H71" s="61"/>
      <c r="I71" s="61"/>
      <c r="J71" s="61"/>
      <c r="K71" s="179"/>
      <c r="L71" s="61"/>
      <c r="M71" s="61"/>
      <c r="N71" s="61"/>
      <c r="O71" s="179"/>
      <c r="P71" s="61"/>
      <c r="Q71" s="61"/>
      <c r="R71" s="179"/>
      <c r="S71" s="61"/>
      <c r="T71" s="61"/>
      <c r="U71" s="61"/>
      <c r="V71" s="179"/>
      <c r="W71" s="61"/>
      <c r="X71" s="74"/>
      <c r="Y71" s="179"/>
      <c r="Z71" s="61"/>
      <c r="AA71" s="61"/>
      <c r="AB71" s="75"/>
      <c r="AC71" s="179"/>
      <c r="AD71" s="61"/>
      <c r="AE71" s="61"/>
      <c r="AF71" s="61"/>
      <c r="AG71" s="179"/>
      <c r="AH71" s="61"/>
      <c r="AI71" s="61"/>
      <c r="AJ71" s="61"/>
      <c r="AK71" s="179"/>
      <c r="AL71" s="61"/>
      <c r="AP71" s="228" t="s">
        <v>3</v>
      </c>
      <c r="AQ71" s="230"/>
      <c r="AR71" s="9" t="s">
        <v>15</v>
      </c>
      <c r="AS71" s="9" t="s">
        <v>0</v>
      </c>
      <c r="AT71" s="9" t="s">
        <v>16</v>
      </c>
      <c r="AU71" s="9" t="s">
        <v>17</v>
      </c>
    </row>
    <row r="72" spans="2:47" ht="18" customHeight="1" x14ac:dyDescent="0.25">
      <c r="B72" s="10">
        <v>1</v>
      </c>
      <c r="C72" s="169" t="str">
        <f>IF('13F GRP'!G5&gt;=3,'13F GRP'!J9,IF('13F GRP'!G5=2,IF('13F GRP'!H8=3,'13F GRP'!J9,'13F GRP'!J10),IF('13F GRP'!G5=1,"","")))</f>
        <v>AMANDA SOPHIA PIROZZI</v>
      </c>
      <c r="D72" s="234">
        <v>2</v>
      </c>
      <c r="E72" s="51">
        <f>IF(D72&lt;&gt;"",D72,"")</f>
        <v>2</v>
      </c>
      <c r="F72" s="51" t="str">
        <f>IF(D72&lt;&gt;"",IF(C72="","",C72),"")</f>
        <v>AMANDA SOPHIA PIROZZI</v>
      </c>
      <c r="G72" s="176">
        <f>IF(E72&lt;&gt;"",IF(E74&lt;&gt;"",SMALL(E72:E74,1),""),"")</f>
        <v>0</v>
      </c>
      <c r="H72" s="11"/>
      <c r="I72" s="11"/>
      <c r="J72" s="11"/>
      <c r="K72" s="166"/>
      <c r="L72" s="11"/>
      <c r="M72" s="12"/>
      <c r="N72" s="12"/>
      <c r="O72" s="180"/>
      <c r="P72" s="12"/>
      <c r="Q72" s="8"/>
      <c r="R72" s="182"/>
      <c r="S72" s="8"/>
      <c r="T72" s="8"/>
      <c r="U72" s="8"/>
      <c r="V72" s="182"/>
      <c r="W72" s="8"/>
      <c r="X72" s="62"/>
      <c r="Y72" s="182"/>
      <c r="Z72" s="8"/>
      <c r="AA72" s="8"/>
      <c r="AB72" s="11"/>
      <c r="AC72" s="182"/>
      <c r="AD72" s="8"/>
      <c r="AE72" s="8"/>
      <c r="AF72" s="8"/>
      <c r="AG72" s="181">
        <f>IF(AJ72&lt;&gt;"",AJ72,"")</f>
        <v>2</v>
      </c>
      <c r="AH72" s="78" t="str">
        <f>IF(AJ72&lt;&gt;"",IF(AK72="","",AK72),"")</f>
        <v>NATHALIA IERVOLINO COLLETTI</v>
      </c>
      <c r="AI72" s="51">
        <f>IF(AG72&lt;&gt;"",IF(AG74&lt;&gt;"",SMALL(AG72:AG74,1),""),"")</f>
        <v>0</v>
      </c>
      <c r="AJ72" s="234">
        <v>2</v>
      </c>
      <c r="AK72" s="169" t="str">
        <f>IF('13F GRP'!G5&gt;=3,'13F GRP'!J48,IF('13F GRP'!G5=2,IF('13F GRP'!H8=3,"",'13F GRP'!J11),IF('13F GRP'!G5=1,"","")))</f>
        <v>NATHALIA IERVOLINO COLLETTI</v>
      </c>
      <c r="AL72" s="63">
        <v>3</v>
      </c>
      <c r="AP72" s="13">
        <f>IF(AR72&lt;&gt;"",1,"")</f>
        <v>1</v>
      </c>
      <c r="AQ72" s="14" t="str">
        <f>IF(AP72&lt;&gt;"","LUGAR","")</f>
        <v>LUGAR</v>
      </c>
      <c r="AR72" s="15" t="str">
        <f>IF(S100&lt;&gt;"",IF(U100&lt;&gt;"",IF(S100=U100,"",IF(S100&gt;U100,R100,V100)),""),"")</f>
        <v>LAMAR ANDRAWES</v>
      </c>
      <c r="AS72" s="15" t="str">
        <f>IFERROR(IF(AR72="","",VLOOKUP(AR72,LISTAS!$F$5:$G$1004,2,0)),"0")</f>
        <v>ABACO IPIRANGA</v>
      </c>
      <c r="AT72" s="15">
        <f>IF(AP72="","",IF(AP72=1,180,IF(AP72=2,170,IF(AP72=3,150,IF(AP72=4,140,IF(AP72=5,135,IF(AP72=6,130,IF(AP72=7,120,IF(AP72=8,110,IF(AP72=9,105,IF(AP72=10,105,IF(AP72=11,105,IF(AP72=12,105,IF(AP72=13,105,IF(AP72=14,105,IF(AP72=15,105,IF(AP72=16,105,IF(AP72&gt;16,"",""))))))))))))))))))</f>
        <v>180</v>
      </c>
      <c r="AU72" s="15">
        <f>IF(AP72="","",IF($AS$5="NÃO","",IF(AP72=1,180,IF(AP72=2,170,IF(AP72=3,150,IF(AP72=4,140,IF(AP72=5,135,IF(AP72=6,130,IF(AP72=7,120,IF(AP72=8,110,IF(AP72=9,105,IF(AP72=10,105,IF(AP72=11,105,IF(AP72=12,105,IF(AP72=13,105,IF(AP72=14,105,IF(AP72=15,105,IF(AP72=16,105,IF(AP72&gt;16,"","")))))))))))))))))))</f>
        <v>180</v>
      </c>
    </row>
    <row r="73" spans="2:47" ht="18" customHeight="1" thickBot="1" x14ac:dyDescent="0.3">
      <c r="B73" s="10"/>
      <c r="C73" s="170" t="str">
        <f>IFERROR(IF(C72="","",VLOOKUP(C72,LISTAS!$F$5:$G$1004,2,0)),"0")</f>
        <v>LICEU JARDIM</v>
      </c>
      <c r="D73" s="235"/>
      <c r="E73" s="51"/>
      <c r="F73" s="51"/>
      <c r="G73" s="176"/>
      <c r="H73" s="11"/>
      <c r="I73" s="11"/>
      <c r="J73" s="11"/>
      <c r="K73" s="166"/>
      <c r="L73" s="11"/>
      <c r="M73" s="12"/>
      <c r="N73" s="12"/>
      <c r="O73" s="180"/>
      <c r="P73" s="12"/>
      <c r="Q73" s="8"/>
      <c r="R73" s="182"/>
      <c r="S73" s="8"/>
      <c r="T73" s="8"/>
      <c r="U73" s="8"/>
      <c r="V73" s="182"/>
      <c r="W73" s="8"/>
      <c r="X73" s="62"/>
      <c r="Y73" s="182"/>
      <c r="Z73" s="8"/>
      <c r="AA73" s="8"/>
      <c r="AB73" s="11"/>
      <c r="AC73" s="182"/>
      <c r="AD73" s="8"/>
      <c r="AE73" s="8"/>
      <c r="AF73" s="8"/>
      <c r="AG73" s="181"/>
      <c r="AH73" s="78"/>
      <c r="AI73" s="51"/>
      <c r="AJ73" s="235"/>
      <c r="AK73" s="170" t="str">
        <f>IFERROR(IF(AK72="","",VLOOKUP(AK72,LISTAS!$F$5:$G$1004,2,0)),"0")</f>
        <v>COLÉGIO ARBOS DE SÃO BERNARDO DO CAMPO</v>
      </c>
      <c r="AL73" s="63"/>
      <c r="AP73" s="13">
        <f>IF(AR73&lt;&gt;"",1+COUNTIF(AP72,"1"),"")</f>
        <v>2</v>
      </c>
      <c r="AQ73" s="14" t="str">
        <f t="shared" ref="AQ73:AQ103" si="3">IF(AP73&lt;&gt;"","LUGAR","")</f>
        <v>LUGAR</v>
      </c>
      <c r="AR73" s="15" t="str">
        <f>IF(S100&lt;&gt;"",IF(U100&lt;&gt;"",IF(S100=U100,"",IF(S100&lt;U100,R100,V100)),""),"")</f>
        <v>MARIA PIETRA FURUKAVA MONTEIRO</v>
      </c>
      <c r="AS73" s="15" t="str">
        <f>IFERROR(IF(AR73="","",VLOOKUP(AR73,LISTAS!$F$5:$G$1004,2,0)),"0")</f>
        <v>COLÉGIO SÃO MAURO</v>
      </c>
      <c r="AT73" s="15">
        <f t="shared" ref="AT73:AT102" si="4">IF(AP73="","",IF(AP73=1,180,IF(AP73=2,170,IF(AP73=3,150,IF(AP73=4,140,IF(AP73=5,135,IF(AP73=6,130,IF(AP73=7,120,IF(AP73=8,110,IF(AP73=9,105,IF(AP73=10,105,IF(AP73=11,105,IF(AP73=12,105,IF(AP73=13,105,IF(AP73=14,105,IF(AP73=15,105,IF(AP73=16,105,IF(AP73&gt;16,"",""))))))))))))))))))</f>
        <v>170</v>
      </c>
      <c r="AU73" s="15">
        <f t="shared" ref="AU73:AU102" si="5">IF(AP73="","",IF($AS$5="NÃO","",IF(AP73=1,180,IF(AP73=2,170,IF(AP73=3,150,IF(AP73=4,140,IF(AP73=5,135,IF(AP73=6,130,IF(AP73=7,120,IF(AP73=8,110,IF(AP73=9,105,IF(AP73=10,105,IF(AP73=11,105,IF(AP73=12,105,IF(AP73=13,105,IF(AP73=14,105,IF(AP73=15,105,IF(AP73=16,105,IF(AP73&gt;16,"","")))))))))))))))))))</f>
        <v>170</v>
      </c>
    </row>
    <row r="74" spans="2:47" ht="18" customHeight="1" x14ac:dyDescent="0.25">
      <c r="B74" s="16">
        <v>32</v>
      </c>
      <c r="C74" s="169" t="str">
        <f>IF('13F GRP'!G5&gt;=3,'13F GRP'!J425,IF('13F GRP'!G5=2,"",IF('13F GRP'!G5=1,"","")))</f>
        <v/>
      </c>
      <c r="D74" s="234">
        <v>0</v>
      </c>
      <c r="E74" s="52">
        <f>IF(D74&lt;&gt;"",D74,"")</f>
        <v>0</v>
      </c>
      <c r="F74" s="51" t="str">
        <f>IF(D74&lt;&gt;"",IF(C74="","",C74),"")</f>
        <v/>
      </c>
      <c r="G74" s="176" t="str">
        <f>VLOOKUP(G72,E72:F74,2,0)</f>
        <v/>
      </c>
      <c r="H74" s="11"/>
      <c r="I74" s="11"/>
      <c r="J74" s="11"/>
      <c r="K74" s="166"/>
      <c r="L74" s="11"/>
      <c r="M74" s="12"/>
      <c r="N74" s="12"/>
      <c r="O74" s="180"/>
      <c r="P74" s="12"/>
      <c r="Q74" s="8"/>
      <c r="R74" s="182"/>
      <c r="S74" s="8"/>
      <c r="T74" s="8"/>
      <c r="U74" s="8"/>
      <c r="V74" s="182"/>
      <c r="W74" s="8"/>
      <c r="X74" s="62"/>
      <c r="Y74" s="182"/>
      <c r="Z74" s="8"/>
      <c r="AA74" s="8"/>
      <c r="AB74" s="11"/>
      <c r="AC74" s="182"/>
      <c r="AD74" s="8"/>
      <c r="AE74" s="8"/>
      <c r="AF74" s="8"/>
      <c r="AG74" s="181">
        <f>IF(AJ74&lt;&gt;"",AJ74,"")</f>
        <v>0</v>
      </c>
      <c r="AH74" s="78" t="str">
        <f>IF(AJ74&lt;&gt;"",IF(AK74="","",AK74),"")</f>
        <v/>
      </c>
      <c r="AI74" s="55" t="str">
        <f>VLOOKUP(AI72,AG72:AH74,2,0)</f>
        <v/>
      </c>
      <c r="AJ74" s="234">
        <v>0</v>
      </c>
      <c r="AK74" s="169" t="str">
        <f>IF('13F GRP'!G5&gt;=3,'13F GRP'!J399,IF('13F GRP'!G5=2,"",IF('13F GRP'!G5=1,"","")))</f>
        <v/>
      </c>
      <c r="AL74" s="11">
        <v>30</v>
      </c>
      <c r="AP74" s="13">
        <f>IF(AR74&lt;&gt;"",1+COUNTIF(AP72:AP73,"1")+COUNTIF(AP72:AP73,"2"),"")</f>
        <v>3</v>
      </c>
      <c r="AQ74" s="14" t="str">
        <f t="shared" si="3"/>
        <v>LUGAR</v>
      </c>
      <c r="AR74" s="21" t="str">
        <f>IF(AR72&lt;&gt;"",IF(O99=AR72,O101,IF(O101=AR72,O99,IF(Y99=AR72,Y101,IF(Y101=AR72,Y99)))),"")</f>
        <v>NATHALIA IERVOLINO COLLETTI</v>
      </c>
      <c r="AS74" s="15" t="str">
        <f>IFERROR(IF(AR74="","",VLOOKUP(AR74,LISTAS!$F$5:$G$1004,2,0)),"0")</f>
        <v>COLÉGIO ARBOS DE SÃO BERNARDO DO CAMPO</v>
      </c>
      <c r="AT74" s="15">
        <f t="shared" si="4"/>
        <v>150</v>
      </c>
      <c r="AU74" s="15">
        <f t="shared" si="5"/>
        <v>150</v>
      </c>
    </row>
    <row r="75" spans="2:47" ht="18" customHeight="1" thickBot="1" x14ac:dyDescent="0.3">
      <c r="B75" s="16"/>
      <c r="C75" s="170" t="str">
        <f>IFERROR(IF(C74="","",VLOOKUP(C74,LISTAS!$F$5:$G$1004,2,0)),"0")</f>
        <v/>
      </c>
      <c r="D75" s="235"/>
      <c r="E75" s="128"/>
      <c r="F75" s="51"/>
      <c r="G75" s="176"/>
      <c r="H75" s="11"/>
      <c r="I75" s="11"/>
      <c r="J75" s="11"/>
      <c r="K75" s="166"/>
      <c r="L75" s="11"/>
      <c r="M75" s="12"/>
      <c r="N75" s="12"/>
      <c r="O75" s="180"/>
      <c r="P75" s="12"/>
      <c r="Q75" s="8"/>
      <c r="R75" s="182"/>
      <c r="S75" s="8"/>
      <c r="T75" s="8"/>
      <c r="U75" s="8"/>
      <c r="V75" s="182"/>
      <c r="W75" s="8"/>
      <c r="X75" s="62"/>
      <c r="Y75" s="182"/>
      <c r="Z75" s="8"/>
      <c r="AA75" s="8"/>
      <c r="AB75" s="11"/>
      <c r="AC75" s="182"/>
      <c r="AD75" s="8"/>
      <c r="AE75" s="8"/>
      <c r="AF75" s="8"/>
      <c r="AG75" s="181"/>
      <c r="AH75" s="78"/>
      <c r="AI75" s="123"/>
      <c r="AJ75" s="235"/>
      <c r="AK75" s="170" t="str">
        <f>IFERROR(IF(AK74="","",VLOOKUP(AK74,LISTAS!$F$5:$G$1004,2,0)),"0")</f>
        <v/>
      </c>
      <c r="AL75" s="11"/>
      <c r="AP75" s="13">
        <f>IF(AR75&lt;&gt;"",1+COUNTIF(AP72:AP74,"1")+COUNTIF(AP72:AP74,"2")+COUNTIF(AP72:AP74,"3"),"")</f>
        <v>4</v>
      </c>
      <c r="AQ75" s="14" t="str">
        <f t="shared" si="3"/>
        <v>LUGAR</v>
      </c>
      <c r="AR75" s="21" t="str">
        <f>IF(AR73&lt;&gt;"",IF(O99=AR73,O101,IF(O101=AR73,O99,IF(Y99=AR73,Y101,IF(Y101=AR73,Y99)))),"")</f>
        <v>AMANDA SOPHIA PIROZZI</v>
      </c>
      <c r="AS75" s="15" t="str">
        <f>IFERROR(IF(AR75="","",VLOOKUP(AR75,LISTAS!$F$5:$G$1004,2,0)),"0")</f>
        <v>LICEU JARDIM</v>
      </c>
      <c r="AT75" s="15">
        <f t="shared" si="4"/>
        <v>140</v>
      </c>
      <c r="AU75" s="15">
        <f t="shared" si="5"/>
        <v>140</v>
      </c>
    </row>
    <row r="76" spans="2:47" ht="18" customHeight="1" x14ac:dyDescent="0.25">
      <c r="B76" s="16"/>
      <c r="C76" s="166"/>
      <c r="D76" s="11"/>
      <c r="E76" s="11"/>
      <c r="F76" s="17"/>
      <c r="G76" s="169" t="str">
        <f>IF(D72&lt;&gt;"",IF(D74&lt;&gt;"",IF(D72=D74,"",IF(D72&gt;D74,C72,C74)),""),"")</f>
        <v>AMANDA SOPHIA PIROZZI</v>
      </c>
      <c r="H76" s="234">
        <v>2</v>
      </c>
      <c r="I76" s="51">
        <f>IF(H76&lt;&gt;"",H76,"")</f>
        <v>2</v>
      </c>
      <c r="J76" s="51" t="str">
        <f>IF(H76&lt;&gt;"",IF(G76="","",G76),"")</f>
        <v>AMANDA SOPHIA PIROZZI</v>
      </c>
      <c r="K76" s="176">
        <f>IF(I76&lt;&gt;"",IF(I78&lt;&gt;"",SMALL(I76:J78,1),""),"")</f>
        <v>0</v>
      </c>
      <c r="L76" s="11"/>
      <c r="M76" s="11"/>
      <c r="N76" s="11"/>
      <c r="O76" s="166"/>
      <c r="P76" s="11"/>
      <c r="Q76" s="8"/>
      <c r="R76" s="182"/>
      <c r="S76" s="8"/>
      <c r="T76" s="8"/>
      <c r="U76" s="8"/>
      <c r="V76" s="182"/>
      <c r="W76" s="8"/>
      <c r="X76" s="62"/>
      <c r="Y76" s="182"/>
      <c r="Z76" s="8"/>
      <c r="AA76" s="8"/>
      <c r="AB76" s="11"/>
      <c r="AC76" s="182"/>
      <c r="AD76" s="8"/>
      <c r="AE76" s="67"/>
      <c r="AF76" s="234">
        <v>2</v>
      </c>
      <c r="AG76" s="169" t="str">
        <f>IF(AJ72&lt;&gt;"",IF(AJ74&lt;&gt;"",IF(AJ72=AJ74,"",IF(AJ72&gt;AJ74,AK72,AK74)),""),"")</f>
        <v>NATHALIA IERVOLINO COLLETTI</v>
      </c>
      <c r="AH76" s="65"/>
      <c r="AI76" s="8"/>
      <c r="AJ76" s="11"/>
      <c r="AK76" s="166"/>
      <c r="AL76" s="11"/>
      <c r="AP76" s="13" t="str">
        <f>IF(AR76&lt;&gt;"",1+COUNTIF(AP72:AP75,"1")+COUNTIF(AP72:AP75,"2")+COUNTIF(AP72:AP75,"3")+COUNTIF(AP72:AP75,"4"),"")</f>
        <v/>
      </c>
      <c r="AQ76" s="14" t="str">
        <f t="shared" si="3"/>
        <v/>
      </c>
      <c r="AR76" s="21" t="str">
        <f>IF(AR72&lt;&gt;"",IF(K84=AR72,K86,IF(K86=AR72,K84,IF(K114=AR72,K116,IF(K116=AR72,K114,IF(AC84=AR72,AC86,IF(AC86=AR72,AC84,IF(AC114=AR72,AC116,IF(AC116=AR72,AC114)))))))),"")</f>
        <v/>
      </c>
      <c r="AS76" s="15" t="str">
        <f>IFERROR(IF(AR76="","",VLOOKUP(AR76,LISTAS!$F$5:$G$1004,2,0)),"0")</f>
        <v/>
      </c>
      <c r="AT76" s="15" t="str">
        <f t="shared" si="4"/>
        <v/>
      </c>
      <c r="AU76" s="15" t="str">
        <f t="shared" si="5"/>
        <v/>
      </c>
    </row>
    <row r="77" spans="2:47" ht="18" customHeight="1" thickBot="1" x14ac:dyDescent="0.3">
      <c r="B77" s="16"/>
      <c r="C77" s="166"/>
      <c r="D77" s="11"/>
      <c r="E77" s="11"/>
      <c r="F77" s="17"/>
      <c r="G77" s="170" t="str">
        <f>IFERROR(IF(G76="","",VLOOKUP(G76,LISTAS!$F$5:$G$1004,2,0)),"0")</f>
        <v>LICEU JARDIM</v>
      </c>
      <c r="H77" s="235"/>
      <c r="I77" s="51"/>
      <c r="J77" s="51"/>
      <c r="K77" s="176"/>
      <c r="L77" s="11"/>
      <c r="M77" s="11"/>
      <c r="N77" s="11"/>
      <c r="O77" s="166"/>
      <c r="P77" s="11"/>
      <c r="Q77" s="8"/>
      <c r="R77" s="182"/>
      <c r="S77" s="8"/>
      <c r="T77" s="8"/>
      <c r="U77" s="8"/>
      <c r="V77" s="182"/>
      <c r="W77" s="8"/>
      <c r="X77" s="62"/>
      <c r="Y77" s="182"/>
      <c r="Z77" s="8"/>
      <c r="AA77" s="8"/>
      <c r="AB77" s="11"/>
      <c r="AC77" s="182"/>
      <c r="AD77" s="8"/>
      <c r="AE77" s="67"/>
      <c r="AF77" s="235"/>
      <c r="AG77" s="170" t="str">
        <f>IFERROR(IF(AG76="","",VLOOKUP(AG76,LISTAS!$F$5:$G$1004,2,0)),"0")</f>
        <v>COLÉGIO ARBOS DE SÃO BERNARDO DO CAMPO</v>
      </c>
      <c r="AH77" s="65"/>
      <c r="AI77" s="8"/>
      <c r="AJ77" s="11"/>
      <c r="AK77" s="166"/>
      <c r="AL77" s="11"/>
      <c r="AP77" s="13">
        <f>IF(AR77&lt;&gt;"",1+COUNTIF(AP72:AP76,"1")+COUNTIF(AP72:AP76,"2")+COUNTIF(AP72:AP76,"3")+COUNTIF(AP72:AP76,"4")+COUNTIF(AP72:AP76,"5"),"")</f>
        <v>5</v>
      </c>
      <c r="AQ77" s="14" t="str">
        <f t="shared" si="3"/>
        <v>LUGAR</v>
      </c>
      <c r="AR77" s="21" t="str">
        <f>IF(AR73&lt;&gt;"",IF(K84=AR73,K86,IF(K86=AR73,K84,IF(K114=AR73,K116,IF(K116=AR73,K114,IF(AC84=AR73,AC86,IF(AC86=AR73,AC84,IF(AC114=AR73,AC116,IF(AC116=AR73,AC114)))))))),"")</f>
        <v>LARA BERSANO BENTO</v>
      </c>
      <c r="AS77" s="15" t="str">
        <f>IFERROR(IF(AR77="","",VLOOKUP(AR77,LISTAS!$F$5:$G$1004,2,0)),"0")</f>
        <v>COLÉGIO ARBOS SÃO CAETANO DO SUL</v>
      </c>
      <c r="AT77" s="15">
        <f t="shared" si="4"/>
        <v>135</v>
      </c>
      <c r="AU77" s="15">
        <f t="shared" si="5"/>
        <v>135</v>
      </c>
    </row>
    <row r="78" spans="2:47" x14ac:dyDescent="0.25">
      <c r="B78" s="16"/>
      <c r="C78" s="166"/>
      <c r="D78" s="11"/>
      <c r="E78" s="18"/>
      <c r="F78" s="19"/>
      <c r="G78" s="169" t="str">
        <f>IF(D80&lt;&gt;"",IF(D82&lt;&gt;"",IF(D80=D82,"",IF(D80&gt;D82,C80,C82)),""),"")</f>
        <v/>
      </c>
      <c r="H78" s="234">
        <v>0</v>
      </c>
      <c r="I78" s="52">
        <f>IF(H78&lt;&gt;"",H78,"")</f>
        <v>0</v>
      </c>
      <c r="J78" s="51" t="str">
        <f>IF(H78&lt;&gt;"",IF(G78="","",G78),"")</f>
        <v/>
      </c>
      <c r="K78" s="176" t="str">
        <f>VLOOKUP(K76,I76:J78,2,0)</f>
        <v/>
      </c>
      <c r="L78" s="11"/>
      <c r="M78" s="11"/>
      <c r="N78" s="11"/>
      <c r="O78" s="166"/>
      <c r="P78" s="11"/>
      <c r="Q78" s="8"/>
      <c r="R78" s="182"/>
      <c r="S78" s="8"/>
      <c r="T78" s="8"/>
      <c r="U78" s="8"/>
      <c r="V78" s="182"/>
      <c r="W78" s="8"/>
      <c r="X78" s="62"/>
      <c r="Y78" s="182"/>
      <c r="Z78" s="8"/>
      <c r="AA78" s="8"/>
      <c r="AB78" s="11"/>
      <c r="AC78" s="182"/>
      <c r="AD78" s="65"/>
      <c r="AE78" s="68"/>
      <c r="AF78" s="234">
        <v>0</v>
      </c>
      <c r="AG78" s="169" t="str">
        <f>IF(AJ80&lt;&gt;"",IF(AJ82&lt;&gt;"",IF(AJ80=AJ82,"",IF(AJ80&gt;AJ82,AK80,AK82)),""),"")</f>
        <v/>
      </c>
      <c r="AH78" s="66"/>
      <c r="AI78" s="8"/>
      <c r="AJ78" s="11"/>
      <c r="AK78" s="166"/>
      <c r="AL78" s="11"/>
      <c r="AP78" s="13" t="str">
        <f>IF(AR78&lt;&gt;"",1+COUNTIF(AP72:AP77,"1")+COUNTIF(AP72:AP77,"2")+COUNTIF(AP72:AP77,"3")+COUNTIF(AP72:AP77,"4")+COUNTIF(AP72:AP77,"5")+COUNTIF(AP72:AP77,"6"),"")</f>
        <v/>
      </c>
      <c r="AQ78" s="14" t="str">
        <f t="shared" si="3"/>
        <v/>
      </c>
      <c r="AR78" s="21" t="str">
        <f>IF(AR74&lt;&gt;"",IF(K84=AR74,K86,IF(K86=AR74,K84,IF(K114=AR74,K116,IF(K116=AR74,K114,IF(AC84=AR74,AC86,IF(AC86=AR74,AC84,IF(AC114=AR74,AC116,IF(AC116=AR74,AC114)))))))),"")</f>
        <v/>
      </c>
      <c r="AS78" s="15" t="str">
        <f>IFERROR(IF(AR78="","",VLOOKUP(AR78,LISTAS!$F$5:$G$1004,2,0)),"0")</f>
        <v/>
      </c>
      <c r="AT78" s="15" t="str">
        <f t="shared" si="4"/>
        <v/>
      </c>
      <c r="AU78" s="15" t="str">
        <f t="shared" si="5"/>
        <v/>
      </c>
    </row>
    <row r="79" spans="2:47" ht="17.25" thickBot="1" x14ac:dyDescent="0.3">
      <c r="B79" s="16"/>
      <c r="C79" s="166"/>
      <c r="D79" s="11"/>
      <c r="E79" s="18"/>
      <c r="F79" s="11"/>
      <c r="G79" s="170" t="str">
        <f>IFERROR(IF(G78="","",VLOOKUP(G78,LISTAS!$F$5:$G$1004,2,0)),"0")</f>
        <v/>
      </c>
      <c r="H79" s="235"/>
      <c r="I79" s="54"/>
      <c r="J79" s="51"/>
      <c r="K79" s="176"/>
      <c r="L79" s="11"/>
      <c r="M79" s="11"/>
      <c r="N79" s="11"/>
      <c r="O79" s="166"/>
      <c r="P79" s="11"/>
      <c r="Q79" s="8"/>
      <c r="R79" s="182"/>
      <c r="S79" s="8"/>
      <c r="T79" s="8"/>
      <c r="U79" s="8"/>
      <c r="V79" s="182"/>
      <c r="W79" s="8"/>
      <c r="X79" s="62"/>
      <c r="Y79" s="182"/>
      <c r="Z79" s="8"/>
      <c r="AA79" s="8"/>
      <c r="AB79" s="11"/>
      <c r="AC79" s="182"/>
      <c r="AD79" s="65"/>
      <c r="AE79" s="8"/>
      <c r="AF79" s="235"/>
      <c r="AG79" s="170" t="str">
        <f>IFERROR(IF(AG78="","",VLOOKUP(AG78,LISTAS!$F$5:$G$1004,2,0)),"0")</f>
        <v/>
      </c>
      <c r="AH79" s="8"/>
      <c r="AI79" s="69"/>
      <c r="AJ79" s="11"/>
      <c r="AK79" s="166"/>
      <c r="AL79" s="11"/>
      <c r="AP79" s="13" t="str">
        <f>IF(AR79&lt;&gt;"",1+COUNTIF(AP72:AP78,"1")+COUNTIF(AP72:AP78,"2")+COUNTIF(AP72:AP78,"3")+COUNTIF(AP72:AP78,"4")+COUNTIF(AP72:AP78,"5")+COUNTIF(AP72:AP78,"6")+COUNTIF(AP72:AP78,"7"),"")</f>
        <v/>
      </c>
      <c r="AQ79" s="14" t="str">
        <f t="shared" si="3"/>
        <v/>
      </c>
      <c r="AR79" s="21" t="str">
        <f>IF(AR75&lt;&gt;"",IF(K84=AR75,K86,IF(K86=AR75,K84,IF(K114=AR75,K116,IF(K116=AR75,K114,IF(AC84=AR75,AC86,IF(AC86=AR75,AC84,IF(AC114=AR75,AC116,IF(AC116=AR75,AC114)))))))),"")</f>
        <v/>
      </c>
      <c r="AS79" s="15" t="str">
        <f>IFERROR(IF(AR79="","",VLOOKUP(AR79,LISTAS!$F$5:$G$1004,2,0)),"0")</f>
        <v/>
      </c>
      <c r="AT79" s="15" t="str">
        <f t="shared" si="4"/>
        <v/>
      </c>
      <c r="AU79" s="15" t="str">
        <f t="shared" si="5"/>
        <v/>
      </c>
    </row>
    <row r="80" spans="2:47" ht="18" customHeight="1" x14ac:dyDescent="0.25">
      <c r="B80" s="16">
        <v>17</v>
      </c>
      <c r="C80" s="169" t="str">
        <f>IF('13F GRP'!G5&gt;=3,'13F GRP'!J230,IF('13F GRP'!G5=2,"",IF('13F GRP'!G5=1,"","")))</f>
        <v/>
      </c>
      <c r="D80" s="234">
        <v>0</v>
      </c>
      <c r="E80" s="56">
        <f>IF(D80&lt;&gt;"",D80,"")</f>
        <v>0</v>
      </c>
      <c r="F80" s="51" t="str">
        <f>IF(D80&lt;&gt;"",IF(C80="","",C80),"")</f>
        <v/>
      </c>
      <c r="G80" s="176">
        <f>IF(E80&lt;&gt;"",IF(E82&lt;&gt;"",SMALL(E80:E82,1),""),"")</f>
        <v>0</v>
      </c>
      <c r="H80" s="11"/>
      <c r="I80" s="18"/>
      <c r="J80" s="11"/>
      <c r="K80" s="166"/>
      <c r="L80" s="11"/>
      <c r="M80" s="11"/>
      <c r="N80" s="11"/>
      <c r="O80" s="166"/>
      <c r="P80" s="11"/>
      <c r="Q80" s="8"/>
      <c r="R80" s="182"/>
      <c r="S80" s="8"/>
      <c r="T80" s="8"/>
      <c r="U80" s="8"/>
      <c r="V80" s="182"/>
      <c r="W80" s="8"/>
      <c r="X80" s="62"/>
      <c r="Y80" s="182"/>
      <c r="Z80" s="8"/>
      <c r="AA80" s="8"/>
      <c r="AB80" s="11"/>
      <c r="AC80" s="182"/>
      <c r="AD80" s="65"/>
      <c r="AE80" s="8"/>
      <c r="AF80" s="8"/>
      <c r="AG80" s="181">
        <f>IF(AJ80&lt;&gt;"",AJ80,"")</f>
        <v>0</v>
      </c>
      <c r="AH80" s="78" t="str">
        <f>IF(AJ80&lt;&gt;"",IF(AK80="","",AK80),"")</f>
        <v/>
      </c>
      <c r="AI80" s="53">
        <f>IF(AG80&lt;&gt;"",IF(AG82&lt;&gt;"",SMALL(AG80:AG82,1),""),"")</f>
        <v>0</v>
      </c>
      <c r="AJ80" s="234">
        <v>0</v>
      </c>
      <c r="AK80" s="169" t="str">
        <f>IF('13F GRP'!G5&gt;=3,'13F GRP'!J191,IF('13F GRP'!G5=2,"",IF('13F GRP'!G5=1,"","")))</f>
        <v/>
      </c>
      <c r="AL80" s="11">
        <v>14</v>
      </c>
      <c r="AP80" s="13" t="str">
        <f>IF(AR80&lt;&gt;"",1+COUNTIF(AP72:AP79,"1")+COUNTIF(AP72:AP79,"2")+COUNTIF(AP72:AP79,"3")+COUNTIF(AP72:AP79,"4")+COUNTIF(AP72:AP79,"5")+COUNTIF(AP72:AP79,"6")+COUNTIF(AP72:AP79,"7")+COUNTIF(AP72:AP79,"8"),"")</f>
        <v/>
      </c>
      <c r="AQ80" s="14" t="str">
        <f t="shared" si="3"/>
        <v/>
      </c>
      <c r="AR80" s="21" t="str">
        <f>IF(AR72&lt;&gt;"",IF(G76=AR72,G78,IF(G78=AR72,G76,IF(G92=AR72,G94,IF(G94=AR72,G92,IF(AG76=AR72,AG78,IF(AG78=AR72,AG76,IF(AG92=AR72,AG94,IF(AG94=AR72,AG92,IF(G106=AR72,G108,IF(G108=AR72,G106,IF(G122=AR72,G124,IF(G124=AR72,G122,IF(AG106=AR72,AG108,IF(AG108=AR72,AG106,IF(AG122=AR72,AG124,IF(AG124=AR72,AG122)))))))))))))))),"")</f>
        <v/>
      </c>
      <c r="AS80" s="15" t="str">
        <f>IFERROR(IF(AR80="","",VLOOKUP(AR80,LISTAS!$F$5:$G$1004,2,0)),"0")</f>
        <v/>
      </c>
      <c r="AT80" s="15" t="str">
        <f t="shared" si="4"/>
        <v/>
      </c>
      <c r="AU80" s="15" t="str">
        <f t="shared" si="5"/>
        <v/>
      </c>
    </row>
    <row r="81" spans="2:47" ht="18" customHeight="1" thickBot="1" x14ac:dyDescent="0.3">
      <c r="B81" s="16"/>
      <c r="C81" s="170" t="str">
        <f>IFERROR(IF(C80="","",VLOOKUP(C80,LISTAS!$F$5:$G$1004,2,0)),"0")</f>
        <v/>
      </c>
      <c r="D81" s="235"/>
      <c r="E81" s="57"/>
      <c r="F81" s="51"/>
      <c r="G81" s="176"/>
      <c r="H81" s="11"/>
      <c r="I81" s="18"/>
      <c r="J81" s="11"/>
      <c r="K81" s="166"/>
      <c r="L81" s="11"/>
      <c r="M81" s="11"/>
      <c r="N81" s="11"/>
      <c r="O81" s="166"/>
      <c r="P81" s="11"/>
      <c r="Q81" s="8"/>
      <c r="R81" s="182"/>
      <c r="S81" s="8"/>
      <c r="T81" s="8"/>
      <c r="U81" s="8"/>
      <c r="V81" s="182"/>
      <c r="W81" s="8"/>
      <c r="X81" s="62"/>
      <c r="Y81" s="182"/>
      <c r="Z81" s="8"/>
      <c r="AA81" s="8"/>
      <c r="AB81" s="11"/>
      <c r="AC81" s="182"/>
      <c r="AD81" s="65"/>
      <c r="AE81" s="8"/>
      <c r="AF81" s="8"/>
      <c r="AG81" s="181"/>
      <c r="AH81" s="78"/>
      <c r="AI81" s="124"/>
      <c r="AJ81" s="235"/>
      <c r="AK81" s="170" t="str">
        <f>IFERROR(IF(AK80="","",VLOOKUP(AK80,LISTAS!$F$5:$G$1004,2,0)),"0")</f>
        <v/>
      </c>
      <c r="AL81" s="11"/>
      <c r="AP81" s="13" t="str">
        <f>IF(AR81&lt;&gt;"",1+COUNTIF(AP72:AP80,"1")+COUNTIF(AP72:AP80,"2")+COUNTIF(AP72:AP80,"3")+COUNTIF(AP72:AP80,"4")+COUNTIF(AP72:AP80,"5")+COUNTIF(AP72:AP80,"6")+COUNTIF(AP72:AP80,"7")+COUNTIF(AP72:AP80,"8")+COUNTIF(AP72:AP80,"9"),"")</f>
        <v/>
      </c>
      <c r="AQ81" s="14" t="str">
        <f t="shared" si="3"/>
        <v/>
      </c>
      <c r="AR81" s="21" t="str">
        <f>IF(AR73&lt;&gt;"",IF(G76=AR73,G78,IF(G78=AR73,G76,IF(G92=AR73,G94,IF(G94=AR73,G92,IF(AG76=AR73,AG78,IF(AG78=AR73,AG76,IF(AG92=AR73,AG94,IF(AG94=AR73,AG92,IF(G106=AR73,G108,IF(G108=AR73,G106,IF(G122=AR73,G124,IF(G124=AR73,G122,IF(AG106=AR73,AG108,IF(AG108=AR73,AG106,IF(AG122=AR73,AG124,IF(AG124=AR73,AG122)))))))))))))))),"")</f>
        <v/>
      </c>
      <c r="AS81" s="15" t="str">
        <f>IFERROR(IF(AR81="","",VLOOKUP(AR81,LISTAS!$F$5:$G$1004,2,0)),"0")</f>
        <v/>
      </c>
      <c r="AT81" s="15" t="str">
        <f t="shared" si="4"/>
        <v/>
      </c>
      <c r="AU81" s="15" t="str">
        <f t="shared" si="5"/>
        <v/>
      </c>
    </row>
    <row r="82" spans="2:47" ht="18" customHeight="1" x14ac:dyDescent="0.25">
      <c r="B82" s="16">
        <v>16</v>
      </c>
      <c r="C82" s="169" t="str">
        <f>IF('13F GRP'!G5&gt;=3,'13F GRP'!J217,IF('13F GRP'!G5=2,"",IF('13F GRP'!G5=1,"","")))</f>
        <v/>
      </c>
      <c r="D82" s="234">
        <v>0</v>
      </c>
      <c r="E82" s="57">
        <f>IF(D82&lt;&gt;"",D82,"")</f>
        <v>0</v>
      </c>
      <c r="F82" s="51" t="str">
        <f>IF(D82&lt;&gt;"",IF(C82="","",C82),"")</f>
        <v/>
      </c>
      <c r="G82" s="176" t="str">
        <f>VLOOKUP(G80,E80:F82,2,0)</f>
        <v/>
      </c>
      <c r="H82" s="11"/>
      <c r="I82" s="18"/>
      <c r="J82" s="11"/>
      <c r="K82" s="166"/>
      <c r="L82" s="11"/>
      <c r="M82" s="11"/>
      <c r="N82" s="11"/>
      <c r="O82" s="166"/>
      <c r="P82" s="11"/>
      <c r="Q82" s="8"/>
      <c r="R82" s="182"/>
      <c r="S82" s="8"/>
      <c r="T82" s="8"/>
      <c r="U82" s="8"/>
      <c r="V82" s="182"/>
      <c r="W82" s="8"/>
      <c r="X82" s="62"/>
      <c r="Y82" s="182"/>
      <c r="Z82" s="8"/>
      <c r="AA82" s="8"/>
      <c r="AB82" s="11"/>
      <c r="AC82" s="182"/>
      <c r="AD82" s="65"/>
      <c r="AE82" s="8"/>
      <c r="AF82" s="8"/>
      <c r="AG82" s="181">
        <f>IF(AJ82&lt;&gt;"",AJ82,"")</f>
        <v>0</v>
      </c>
      <c r="AH82" s="78" t="str">
        <f>IF(AJ82&lt;&gt;"",IF(AK82="","",AK82),"")</f>
        <v/>
      </c>
      <c r="AI82" s="76" t="str">
        <f>VLOOKUP(AI80,AG80:AH82,2,0)</f>
        <v/>
      </c>
      <c r="AJ82" s="234">
        <v>0</v>
      </c>
      <c r="AK82" s="169" t="str">
        <f>IF('13F GRP'!G5&gt;=3,'13F GRP'!J256,IF('13F GRP'!G5=2,"",IF('13F GRP'!G5=1,"","")))</f>
        <v/>
      </c>
      <c r="AL82" s="11">
        <v>19</v>
      </c>
      <c r="AP82" s="13" t="str">
        <f>IF(AR82&lt;&gt;"",1+COUNTIF(AP72:AP81,"1")+COUNTIF(AP72:AP81,"2")+COUNTIF(AP72:AP81,"3")+COUNTIF(AP72:AP81,"4")+COUNTIF(AP72:AP81,"5")+COUNTIF(AP72:AP81,"6")+COUNTIF(AP72:AP81,"7")+COUNTIF(AP72:AP81,"8")+COUNTIF(AP72:AP81,"9")+COUNTIF(AP72:AP81,"10"),"")</f>
        <v/>
      </c>
      <c r="AQ82" s="14" t="str">
        <f t="shared" si="3"/>
        <v/>
      </c>
      <c r="AR82" s="21" t="str">
        <f>IF(AR74&lt;&gt;"",IF(G76=AR74,G78,IF(G78=AR74,G76,IF(G92=AR74,G94,IF(G94=AR74,G92,IF(AG76=AR74,AG78,IF(AG78=AR74,AG76,IF(AG92=AR74,AG94,IF(AG94=AR74,AG92,IF(G106=AR74,G108,IF(G108=AR74,G106,IF(G122=AR74,G124,IF(G124=AR74,G122,IF(AG106=AR74,AG108,IF(AG108=AR74,AG106,IF(AG122=AR74,AG124,IF(AG124=AR74,AG122)))))))))))))))),"")</f>
        <v/>
      </c>
      <c r="AS82" s="15" t="str">
        <f>IFERROR(IF(AR82="","",VLOOKUP(AR82,LISTAS!$F$5:$G$1004,2,0)),"0")</f>
        <v/>
      </c>
      <c r="AT82" s="15" t="str">
        <f t="shared" si="4"/>
        <v/>
      </c>
      <c r="AU82" s="15" t="str">
        <f t="shared" si="5"/>
        <v/>
      </c>
    </row>
    <row r="83" spans="2:47" ht="18" customHeight="1" thickBot="1" x14ac:dyDescent="0.3">
      <c r="B83" s="16"/>
      <c r="C83" s="170" t="str">
        <f>IFERROR(IF(C82="","",VLOOKUP(C82,LISTAS!$F$5:$G$1004,2,0)),"0")</f>
        <v/>
      </c>
      <c r="D83" s="235"/>
      <c r="E83" s="51"/>
      <c r="F83" s="51"/>
      <c r="G83" s="176"/>
      <c r="H83" s="11"/>
      <c r="I83" s="18"/>
      <c r="J83" s="11"/>
      <c r="K83" s="166"/>
      <c r="L83" s="11"/>
      <c r="M83" s="11"/>
      <c r="N83" s="11"/>
      <c r="O83" s="166"/>
      <c r="P83" s="11"/>
      <c r="Q83" s="8"/>
      <c r="R83" s="182"/>
      <c r="S83" s="8"/>
      <c r="T83" s="8"/>
      <c r="U83" s="8"/>
      <c r="V83" s="182"/>
      <c r="W83" s="8"/>
      <c r="X83" s="62"/>
      <c r="Y83" s="182"/>
      <c r="Z83" s="8"/>
      <c r="AA83" s="8"/>
      <c r="AB83" s="11"/>
      <c r="AC83" s="182"/>
      <c r="AD83" s="65"/>
      <c r="AE83" s="8"/>
      <c r="AF83" s="8"/>
      <c r="AG83" s="181"/>
      <c r="AH83" s="78"/>
      <c r="AI83" s="51"/>
      <c r="AJ83" s="235"/>
      <c r="AK83" s="170" t="str">
        <f>IFERROR(IF(AK82="","",VLOOKUP(AK82,LISTAS!$F$5:$G$1004,2,0)),"0")</f>
        <v/>
      </c>
      <c r="AL83" s="11"/>
      <c r="AP83" s="13" t="str">
        <f>IF(AR83&lt;&gt;"",1+COUNTIF(AP72:AP82,"1")+COUNTIF(AP72:AP82,"2")+COUNTIF(AP72:AP82,"3")+COUNTIF(AP72:AP82,"4")+COUNTIF(AP72:AP82,"5")+COUNTIF(AP72:AP82,"6")+COUNTIF(AP72:AP82,"7")+COUNTIF(AP72:AP82,"8")+COUNTIF(AP72:AP82,"9")+COUNTIF(AP72:AP82,"10")+COUNTIF(AP72:AP82,"11"),"")</f>
        <v/>
      </c>
      <c r="AQ83" s="14" t="str">
        <f t="shared" si="3"/>
        <v/>
      </c>
      <c r="AR83" s="21" t="str">
        <f>IF(AR75&lt;&gt;"",IF(G76=AR75,G78,IF(G78=AR75,G76,IF(G92=AR75,G94,IF(G94=AR75,G92,IF(AG76=AR75,AG78,IF(AG78=AR75,AG76,IF(AG92=AR75,AG94,IF(AG94=AR75,AG92,IF(G106=AR75,G108,IF(G108=AR75,G106,IF(G122=AR75,G124,IF(G124=AR75,G122,IF(AG106=AR75,AG108,IF(AG108=AR75,AG106,IF(AG122=AR75,AG124,IF(AG124=AR75,AG122)))))))))))))))),"")</f>
        <v/>
      </c>
      <c r="AS83" s="15" t="str">
        <f>IFERROR(IF(AR83="","",VLOOKUP(AR83,LISTAS!$F$5:$G$1004,2,0)),"0")</f>
        <v/>
      </c>
      <c r="AT83" s="15" t="str">
        <f t="shared" si="4"/>
        <v/>
      </c>
      <c r="AU83" s="15" t="str">
        <f t="shared" si="5"/>
        <v/>
      </c>
    </row>
    <row r="84" spans="2:47" ht="18" customHeight="1" x14ac:dyDescent="0.25">
      <c r="B84" s="16"/>
      <c r="C84" s="166"/>
      <c r="D84" s="11"/>
      <c r="E84" s="11"/>
      <c r="F84" s="11"/>
      <c r="G84" s="166"/>
      <c r="H84" s="11"/>
      <c r="I84" s="18"/>
      <c r="J84" s="11"/>
      <c r="K84" s="169" t="str">
        <f>IF(H76&lt;&gt;"",IF(H78&lt;&gt;"",IF(H76=H78,"",IF(H76&gt;H78,G76,G78)),""),"")</f>
        <v>AMANDA SOPHIA PIROZZI</v>
      </c>
      <c r="L84" s="234">
        <v>2</v>
      </c>
      <c r="M84" s="51">
        <f>IF(L84&lt;&gt;"",L84,"")</f>
        <v>2</v>
      </c>
      <c r="N84" s="51" t="str">
        <f>IF(L84&lt;&gt;"",IF(K84="","",K84),"")</f>
        <v>AMANDA SOPHIA PIROZZI</v>
      </c>
      <c r="O84" s="176">
        <f>IF(M84&lt;&gt;"",IF(M86&lt;&gt;"",SMALL(M84:N86,1),""),"")</f>
        <v>0</v>
      </c>
      <c r="P84" s="11"/>
      <c r="Q84" s="8"/>
      <c r="R84" s="202"/>
      <c r="S84" s="202"/>
      <c r="T84" s="202" t="s">
        <v>86</v>
      </c>
      <c r="U84" s="202"/>
      <c r="V84" s="202"/>
      <c r="W84" s="8"/>
      <c r="X84" s="62"/>
      <c r="Y84" s="182"/>
      <c r="Z84" s="8"/>
      <c r="AA84" s="8"/>
      <c r="AB84" s="234">
        <v>2</v>
      </c>
      <c r="AC84" s="169" t="str">
        <f>IF(AF76&lt;&gt;"",IF(AF78&lt;&gt;"",IF(AF76=AF78,"",IF(AF76&gt;AF78,AG76,AG78)),""),"")</f>
        <v>NATHALIA IERVOLINO COLLETTI</v>
      </c>
      <c r="AD84" s="112"/>
      <c r="AE84" s="8"/>
      <c r="AF84" s="8"/>
      <c r="AG84" s="182"/>
      <c r="AH84" s="8"/>
      <c r="AI84" s="8"/>
      <c r="AJ84" s="11"/>
      <c r="AK84" s="166"/>
      <c r="AL84" s="11"/>
      <c r="AP84" s="13" t="str">
        <f>IF(AR84&lt;&gt;"",1+COUNTIF(AP72:AP83,"1")+COUNTIF(AP72:AP83,"2")+COUNTIF(AP72:AP83,"3")+COUNTIF(AP72:AP83,"4")+COUNTIF(AP72:AP83,"5")+COUNTIF(AP72:AP83,"6")+COUNTIF(AP72:AP83,"7")+COUNTIF(AP72:AP83,"8")+COUNTIF(AP72:AP83,"9")+COUNTIF(AP72:AP83,"10")+COUNTIF(AP72:AP83,"11")+COUNTIF(AP72:AP83,"12"),"")</f>
        <v/>
      </c>
      <c r="AQ84" s="14" t="str">
        <f t="shared" si="3"/>
        <v/>
      </c>
      <c r="AR84" s="21" t="str">
        <f>IF(AR76&lt;&gt;"",IF(G76=AR76,G78,IF(G78=AR76,G76,IF(G92=AR76,G94,IF(G94=AR76,G92,IF(AG76=AR76,AG78,IF(AG78=AR76,AG76,IF(AG92=AR76,AG94,IF(AG94=AR76,AG92,IF(G106=AR76,G108,IF(G108=AR76,G106,IF(G122=AR76,G124,IF(G124=AR76,G122,IF(AG106=AR76,AG108,IF(AG108=AR76,AG106,IF(AG122=AR76,AG124,IF(AG124=AR76,AG122)))))))))))))))),"")</f>
        <v/>
      </c>
      <c r="AS84" s="15" t="str">
        <f>IFERROR(IF(AR84="","",VLOOKUP(AR84,LISTAS!$F$5:$G$1004,2,0)),"0")</f>
        <v/>
      </c>
      <c r="AT84" s="15" t="str">
        <f t="shared" si="4"/>
        <v/>
      </c>
      <c r="AU84" s="15" t="str">
        <f t="shared" si="5"/>
        <v/>
      </c>
    </row>
    <row r="85" spans="2:47" ht="18" customHeight="1" thickBot="1" x14ac:dyDescent="0.3">
      <c r="B85" s="16"/>
      <c r="C85" s="166"/>
      <c r="D85" s="11"/>
      <c r="E85" s="11"/>
      <c r="F85" s="11"/>
      <c r="G85" s="166"/>
      <c r="H85" s="11"/>
      <c r="I85" s="18"/>
      <c r="J85" s="11"/>
      <c r="K85" s="170" t="str">
        <f>IFERROR(IF(K84="","",VLOOKUP(K84,LISTAS!$F$5:$G$1004,2,0)),"0")</f>
        <v>LICEU JARDIM</v>
      </c>
      <c r="L85" s="235"/>
      <c r="M85" s="51"/>
      <c r="N85" s="51"/>
      <c r="O85" s="176"/>
      <c r="P85" s="11"/>
      <c r="Q85" s="8"/>
      <c r="R85" s="202"/>
      <c r="S85" s="202"/>
      <c r="T85" s="202" t="s">
        <v>29</v>
      </c>
      <c r="U85" s="202"/>
      <c r="V85" s="202"/>
      <c r="W85" s="8"/>
      <c r="X85" s="62"/>
      <c r="Y85" s="182"/>
      <c r="Z85" s="8"/>
      <c r="AA85" s="8"/>
      <c r="AB85" s="235"/>
      <c r="AC85" s="170" t="str">
        <f>IFERROR(IF(AC84="","",VLOOKUP(AC84,LISTAS!$F$5:$G$1004,2,0)),"0")</f>
        <v>COLÉGIO ARBOS DE SÃO BERNARDO DO CAMPO</v>
      </c>
      <c r="AD85" s="8"/>
      <c r="AE85" s="69"/>
      <c r="AF85" s="8"/>
      <c r="AG85" s="182"/>
      <c r="AH85" s="8"/>
      <c r="AI85" s="8"/>
      <c r="AJ85" s="11"/>
      <c r="AK85" s="166"/>
      <c r="AL85" s="11"/>
      <c r="AP85" s="13" t="str">
        <f>IF(AR85&lt;&gt;"",1+COUNTIF(AP72:AP84,"1")+COUNTIF(AP72:AP84,"2")+COUNTIF(AP72:AP84,"3")+COUNTIF(AP72:AP84,"4")+COUNTIF(AP72:AP84,"5")+COUNTIF(AP72:AP84,"6")+COUNTIF(AP72:AP84,"7")+COUNTIF(AP72:AP84,"8")+COUNTIF(AP72:AP84,"9")+COUNTIF(AP72:AP84,"10")+COUNTIF(AP72:AP84,"11")+COUNTIF(AP72:AP84,"12")+COUNTIF(AP72:AP84,"13"),"")</f>
        <v/>
      </c>
      <c r="AQ85" s="14" t="str">
        <f t="shared" si="3"/>
        <v/>
      </c>
      <c r="AR85" s="21" t="str">
        <f>IF(AR77&lt;&gt;"",IF(G76=AR77,G78,IF(G78=AR77,G76,IF(G92=AR77,G94,IF(G94=AR77,G92,IF(AG76=AR77,AG78,IF(AG78=AR77,AG76,IF(AG92=AR77,AG94,IF(AG94=AR77,AG92,IF(G106=AR77,G108,IF(G108=AR77,G106,IF(G122=AR77,G124,IF(G124=AR77,G122,IF(AG106=AR77,AG108,IF(AG108=AR77,AG106,IF(AG122=AR77,AG124,IF(AG124=AR77,AG122)))))))))))))))),"")</f>
        <v/>
      </c>
      <c r="AS85" s="15" t="str">
        <f>IFERROR(IF(AR85="","",VLOOKUP(AR85,LISTAS!$F$5:$G$1004,2,0)),"0")</f>
        <v/>
      </c>
      <c r="AT85" s="15" t="str">
        <f t="shared" si="4"/>
        <v/>
      </c>
      <c r="AU85" s="15" t="str">
        <f t="shared" si="5"/>
        <v/>
      </c>
    </row>
    <row r="86" spans="2:47" ht="18" customHeight="1" x14ac:dyDescent="0.25">
      <c r="B86" s="16"/>
      <c r="C86" s="166"/>
      <c r="D86" s="11"/>
      <c r="E86" s="11"/>
      <c r="F86" s="11"/>
      <c r="G86" s="166"/>
      <c r="H86" s="11"/>
      <c r="I86" s="18"/>
      <c r="J86" s="19"/>
      <c r="K86" s="169" t="str">
        <f>IF(H92&lt;&gt;"",IF(H94&lt;&gt;"",IF(H92=H94,"",IF(H92&gt;H94,G92,G94)),""),"")</f>
        <v/>
      </c>
      <c r="L86" s="234">
        <v>0</v>
      </c>
      <c r="M86" s="52">
        <f>IF(L86&lt;&gt;"",L86,"")</f>
        <v>0</v>
      </c>
      <c r="N86" s="51" t="str">
        <f>IF(L86&lt;&gt;"",IF(K86="","",K86),"")</f>
        <v/>
      </c>
      <c r="O86" s="176" t="str">
        <f>VLOOKUP(O84,M84:N86,2,0)</f>
        <v/>
      </c>
      <c r="P86" s="11"/>
      <c r="Q86" s="8"/>
      <c r="R86" s="182"/>
      <c r="S86" s="8"/>
      <c r="T86" s="8"/>
      <c r="U86" s="8"/>
      <c r="V86" s="182"/>
      <c r="W86" s="8"/>
      <c r="X86" s="62"/>
      <c r="Y86" s="182"/>
      <c r="Z86" s="65"/>
      <c r="AA86" s="68"/>
      <c r="AB86" s="234">
        <v>0</v>
      </c>
      <c r="AC86" s="169" t="str">
        <f>IF(AF92&lt;&gt;"",IF(AF94&lt;&gt;"",IF(AF92=AF94,"",IF(AF92&gt;AF94,AG92,AG94)),""),"")</f>
        <v/>
      </c>
      <c r="AD86" s="8"/>
      <c r="AE86" s="69"/>
      <c r="AF86" s="8"/>
      <c r="AG86" s="182"/>
      <c r="AH86" s="8"/>
      <c r="AI86" s="8"/>
      <c r="AJ86" s="11"/>
      <c r="AK86" s="166"/>
      <c r="AL86" s="11"/>
      <c r="AP86" s="13" t="str">
        <f>IF(AR86&lt;&gt;"",1+COUNTIF(AP72:AP85,"1")+COUNTIF(AP72:AP85,"2")+COUNTIF(AP72:AP85,"3")+COUNTIF(AP72:AP85,"4")+COUNTIF(AP72:AP85,"5")+COUNTIF(AP72:AP85,"6")+COUNTIF(AP72:AP85,"7")+COUNTIF(AP72:AP85,"8")+COUNTIF(AP72:AP85,"9")+COUNTIF(AP72:AP85,"10")+COUNTIF(AP72:AP85,"11")+COUNTIF(AP72:AP85,"12")+COUNTIF(AP72:AP85,"13")+COUNTIF(AP72:AP85,"14"),"")</f>
        <v/>
      </c>
      <c r="AQ86" s="14" t="str">
        <f t="shared" si="3"/>
        <v/>
      </c>
      <c r="AR86" s="21" t="str">
        <f>IF(AR78&lt;&gt;"",IF(G76=AR78,G78,IF(G78=AR78,G76,IF(G92=AR78,G94,IF(G94=AR78,G92,IF(AG76=AR78,AG78,IF(AG78=AR78,AG76,IF(AG92=AR78,AG94,IF(AG94=AR78,AG92,IF(G106=AR78,G108,IF(G108=AR78,G106,IF(G122=AR78,G124,IF(G124=AR78,G122,IF(AG106=AR78,AG108,IF(AG108=AR78,AG106,IF(AG122=AR78,AG124,IF(AG124=AR78,AG122)))))))))))))))),"")</f>
        <v/>
      </c>
      <c r="AS86" s="15" t="str">
        <f>IFERROR(IF(AR86="","",VLOOKUP(AR86,LISTAS!$F$5:$G$1004,2,0)),"0")</f>
        <v/>
      </c>
      <c r="AT86" s="15" t="str">
        <f t="shared" si="4"/>
        <v/>
      </c>
      <c r="AU86" s="15" t="str">
        <f t="shared" si="5"/>
        <v/>
      </c>
    </row>
    <row r="87" spans="2:47" ht="18" customHeight="1" thickBot="1" x14ac:dyDescent="0.3">
      <c r="B87" s="16"/>
      <c r="C87" s="166"/>
      <c r="D87" s="11"/>
      <c r="E87" s="11"/>
      <c r="F87" s="11"/>
      <c r="G87" s="166"/>
      <c r="H87" s="11"/>
      <c r="I87" s="18"/>
      <c r="J87" s="11"/>
      <c r="K87" s="170" t="str">
        <f>IFERROR(IF(K86="","",VLOOKUP(K86,LISTAS!$F$5:$G$1004,2,0)),"0")</f>
        <v/>
      </c>
      <c r="L87" s="235"/>
      <c r="M87" s="54"/>
      <c r="N87" s="51"/>
      <c r="O87" s="176"/>
      <c r="P87" s="11"/>
      <c r="Q87" s="8"/>
      <c r="R87" s="182"/>
      <c r="S87" s="8"/>
      <c r="T87" s="8"/>
      <c r="U87" s="8"/>
      <c r="V87" s="182"/>
      <c r="W87" s="8"/>
      <c r="X87" s="62"/>
      <c r="Y87" s="182"/>
      <c r="Z87" s="65"/>
      <c r="AA87" s="8"/>
      <c r="AB87" s="235"/>
      <c r="AC87" s="170" t="str">
        <f>IFERROR(IF(AC86="","",VLOOKUP(AC86,LISTAS!$F$5:$G$1004,2,0)),"0")</f>
        <v/>
      </c>
      <c r="AD87" s="8"/>
      <c r="AE87" s="69"/>
      <c r="AF87" s="8"/>
      <c r="AG87" s="182"/>
      <c r="AH87" s="8"/>
      <c r="AI87" s="8"/>
      <c r="AJ87" s="11"/>
      <c r="AK87" s="166"/>
      <c r="AL87" s="11"/>
      <c r="AP87" s="13" t="str">
        <f>IF(AR87&lt;&gt;"",1+COUNTIF(AP72:AP86,"1")+COUNTIF(AP72:AP86,"2")+COUNTIF(AP72:AP86,"3")+COUNTIF(AP72:AP86,"4")+COUNTIF(AP72:AP86,"5")+COUNTIF(AP72:AP86,"6")+COUNTIF(AP72:AP86,"7")+COUNTIF(AP72:AP86,"8")+COUNTIF(AP72:AP86,"9")+COUNTIF(AP72:AP86,"10")+COUNTIF(AP72:AP86,"11")+COUNTIF(AP72:AP86,"12")+COUNTIF(AP72:AP86,"13")+COUNTIF(AP72:AP86,"14")+COUNTIF(AP72:AP86,"15"),"")</f>
        <v/>
      </c>
      <c r="AQ87" s="14" t="str">
        <f t="shared" si="3"/>
        <v/>
      </c>
      <c r="AR87" s="21" t="str">
        <f>IF(AR79&lt;&gt;"",IF(G76=AR79,G78,IF(G78=AR79,G76,IF(G92=AR79,G94,IF(G94=AR79,G92,IF(AG76=AR79,AG78,IF(AG78=AR79,AG76,IF(AG92=AR79,AG94,IF(AG94=AR79,AG92,IF(G106=AR79,G108,IF(G108=AR79,G106,IF(G122=AR79,G124,IF(G124=AR79,G122,IF(AG106=AR79,AG108,IF(AG108=AR79,AG106,IF(AG122=AR79,AG124,IF(AG124=AR79,AG122)))))))))))))))),"")</f>
        <v/>
      </c>
      <c r="AS87" s="15" t="str">
        <f>IFERROR(IF(AR87="","",VLOOKUP(AR87,LISTAS!$F$5:$G$1004,2,0)),"0")</f>
        <v/>
      </c>
      <c r="AT87" s="15" t="str">
        <f t="shared" si="4"/>
        <v/>
      </c>
      <c r="AU87" s="15" t="str">
        <f t="shared" si="5"/>
        <v/>
      </c>
    </row>
    <row r="88" spans="2:47" ht="18" customHeight="1" x14ac:dyDescent="0.25">
      <c r="B88" s="16">
        <v>9</v>
      </c>
      <c r="C88" s="169" t="str">
        <f>IF('13F GRP'!G5&gt;=3,'13F GRP'!J126,IF('13F GRP'!G5=2,"",IF('13F GRP'!G5=1,"","")))</f>
        <v/>
      </c>
      <c r="D88" s="234">
        <v>0</v>
      </c>
      <c r="E88" s="51">
        <f>IF(D88&lt;&gt;"",D88,"")</f>
        <v>0</v>
      </c>
      <c r="F88" s="51" t="str">
        <f>IF(D88&lt;&gt;"",IF(C88="","",C88),"")</f>
        <v/>
      </c>
      <c r="G88" s="176">
        <f>IF(E88&lt;&gt;"",IF(E90&lt;&gt;"",SMALL(E88:E90,1),""),"")</f>
        <v>0</v>
      </c>
      <c r="H88" s="51"/>
      <c r="I88" s="18"/>
      <c r="J88" s="11"/>
      <c r="K88" s="166"/>
      <c r="L88" s="11"/>
      <c r="M88" s="54"/>
      <c r="N88" s="51"/>
      <c r="O88" s="176"/>
      <c r="P88" s="11"/>
      <c r="Q88" s="8"/>
      <c r="R88" s="182"/>
      <c r="S88" s="8"/>
      <c r="T88" s="8"/>
      <c r="U88" s="8"/>
      <c r="V88" s="182"/>
      <c r="W88" s="8"/>
      <c r="X88" s="62"/>
      <c r="Y88" s="182"/>
      <c r="Z88" s="65"/>
      <c r="AA88" s="8"/>
      <c r="AB88" s="11"/>
      <c r="AC88" s="182"/>
      <c r="AD88" s="8"/>
      <c r="AE88" s="69"/>
      <c r="AF88" s="78"/>
      <c r="AG88" s="181">
        <f>IF(AJ88&lt;&gt;"",AJ88,"")</f>
        <v>0</v>
      </c>
      <c r="AH88" s="78" t="str">
        <f>IF(AJ88&lt;&gt;"",IF(AK88="","",AK88),"")</f>
        <v/>
      </c>
      <c r="AI88" s="51">
        <f>IF(AG88&lt;&gt;"",IF(AG90&lt;&gt;"",SMALL(AG88:AG90,1),""),"")</f>
        <v>0</v>
      </c>
      <c r="AJ88" s="234">
        <v>0</v>
      </c>
      <c r="AK88" s="169" t="str">
        <f>IF('13F GRP'!G5&gt;=3,'13F GRP'!J295,IF('13F GRP'!G5=2,"",IF('13F GRP'!G5=1,"","")))</f>
        <v/>
      </c>
      <c r="AL88" s="11">
        <v>22</v>
      </c>
      <c r="AP88" s="13" t="str">
        <f>IF(AR88&lt;&gt;"",1+COUNTIF(AP72:AP87,"1")+COUNTIF(AP72:AP87,"2")+COUNTIF(AP72:AP87,"3")+COUNTIF(AP72:AP87,"4")+COUNTIF(AP72:AP87,"5")+COUNTIF(AP72:AP87,"6")+COUNTIF(AP72:AP87,"7")+COUNTIF(AP72:AP87,"8")+COUNTIF(AP72:AP87,"9")+COUNTIF(AP72:AP87,"10")+COUNTIF(AP72:AP87,"11")+COUNTIF(AP72:AP87,"12")+COUNTIF(AP72:AP87,"13")+COUNTIF(AP72:AP87,"14")+COUNTIF(AP72:AP87,"15")+COUNTIF(AP72:AP87,"16"),"")</f>
        <v/>
      </c>
      <c r="AQ88" s="14" t="str">
        <f t="shared" si="3"/>
        <v/>
      </c>
      <c r="AR88" s="21" t="str">
        <f>IF(AR72&lt;&gt;"",IF(C72=AR72,G74,IF(C74=AR72,G74,IF(C80=AR72,G82,IF(C82=AR72,G82,IF(C102=AR72,G104,IF(C104=AR72,G104,IF(C110=AR72,G112,IF(C112=AR72,G112,IF(C88=AR72,G90,IF(C90=AR72,G90,IF(C96=AR72,G98,IF(C98=AR72,G98,IF(C118=AR72,G120,IF(C120=AR72,G120,IF(C126=AR72,G128,IF(C128=AR72,G128,IF(AK72=AR72,AI74,IF(AK74=AR72,AI74,IF(AK80=AR72,AI82,IF(AK82=AR72,AI82,IF(AK102=AR72,AI104,IF(AK104=AR72,AI104,IF(AK110=AR72,AI112,IF(AK112=AR72,AI112,IF(AK88=AR72,AI90,IF(AK90=AR72,AI90,IF(AK96=AR72,AI98,IF(AK98=AR72,AI98,IF(AK118=AR72,AI120,IF(AK120=AR72,AI120,IF(AK126=AR72,AI128,IF(AK128=AR72,AI128)))))))))))))))))))))))))))))))),"")</f>
        <v/>
      </c>
      <c r="AS88" s="15" t="str">
        <f>IFERROR(IF(AR88="","",VLOOKUP(AR88,LISTAS!$F$5:$G$1004,2,0)),"0")</f>
        <v/>
      </c>
      <c r="AT88" s="15" t="str">
        <f t="shared" si="4"/>
        <v/>
      </c>
      <c r="AU88" s="15" t="str">
        <f t="shared" si="5"/>
        <v/>
      </c>
    </row>
    <row r="89" spans="2:47" ht="18" customHeight="1" thickBot="1" x14ac:dyDescent="0.3">
      <c r="B89" s="16"/>
      <c r="C89" s="170" t="str">
        <f>IFERROR(IF(C88="","",VLOOKUP(C88,LISTAS!$F$5:$G$1004,2,0)),"0")</f>
        <v/>
      </c>
      <c r="D89" s="235"/>
      <c r="E89" s="51"/>
      <c r="F89" s="51"/>
      <c r="G89" s="176"/>
      <c r="H89" s="51"/>
      <c r="I89" s="18"/>
      <c r="J89" s="11"/>
      <c r="K89" s="166"/>
      <c r="L89" s="11"/>
      <c r="M89" s="18"/>
      <c r="N89" s="11"/>
      <c r="O89" s="166"/>
      <c r="P89" s="11"/>
      <c r="Q89" s="8"/>
      <c r="R89" s="182"/>
      <c r="S89" s="8"/>
      <c r="T89" s="8"/>
      <c r="U89" s="8"/>
      <c r="V89" s="182"/>
      <c r="W89" s="8"/>
      <c r="X89" s="62"/>
      <c r="Y89" s="182"/>
      <c r="Z89" s="65"/>
      <c r="AA89" s="8"/>
      <c r="AB89" s="11"/>
      <c r="AC89" s="182"/>
      <c r="AD89" s="8"/>
      <c r="AE89" s="69"/>
      <c r="AF89" s="78"/>
      <c r="AG89" s="181"/>
      <c r="AH89" s="78"/>
      <c r="AI89" s="51"/>
      <c r="AJ89" s="235"/>
      <c r="AK89" s="170" t="str">
        <f>IFERROR(IF(AK88="","",VLOOKUP(AK88,LISTAS!$F$5:$G$1004,2,0)),"0")</f>
        <v/>
      </c>
      <c r="AL89" s="11"/>
      <c r="AP89" s="13" t="str">
        <f>IF(AR89&lt;&gt;"",1+COUNTIF(AP72:AP88,"1")+COUNTIF(AP72:AP88,"2")+COUNTIF(AP72:AP88,"3")+COUNTIF(AP72:AP88,"4")+COUNTIF(AP72:AP88,"5")+COUNTIF(AP72:AP88,"6")+COUNTIF(AP72:AP88,"7")+COUNTIF(AP72:AP88,"8")+COUNTIF(AP72:AP88,"9")+COUNTIF(AP72:AP88,"10")+COUNTIF(AP72:AP88,"11")+COUNTIF(AP72:AP88,"12")+COUNTIF(AP72:AP88,"13")+COUNTIF(AP72:AP88,"14")+COUNTIF(AP72:AP88,"15")+COUNTIF(AP72:AP88,"16")+COUNTIF(AP72:AP88,"17"),"")</f>
        <v/>
      </c>
      <c r="AQ89" s="14" t="str">
        <f t="shared" si="3"/>
        <v/>
      </c>
      <c r="AR89" s="21" t="str">
        <f>IF(AR73&lt;&gt;"",IF(C72=AR73,G74,IF(C74=AR73,G74,IF(C80=AR73,G82,IF(C82=AR73,G82,IF(C102=AR73,G104,IF(C104=AR73,G104,IF(C110=AR73,G112,IF(C112=AR73,G112,IF(C88=AR73,G90,IF(C90=AR73,G90,IF(C96=AR73,G98,IF(C98=AR73,G98,IF(C118=AR73,G120,IF(C120=AR73,G120,IF(C126=AR73,G128,IF(C128=AR73,G128,IF(AK72=AR73,AI74,IF(AK74=AR73,AI74,IF(AK80=AR73,AI82,IF(AK82=AR73,AI82,IF(AK102=AR73,AI104,IF(AK104=AR73,AI104,IF(AK110=AR73,AI112,IF(AK112=AR73,AI112,IF(AK88=AR73,AI90,IF(AK90=AR73,AI90,IF(AK96=AR73,AI98,IF(AK98=AR73,AI98,IF(AK118=AR73,AI120,IF(AK120=AR73,AI120,IF(AK126=AR73,AI128,IF(AK128=AR73,AI128)))))))))))))))))))))))))))))))),"")</f>
        <v/>
      </c>
      <c r="AS89" s="15" t="str">
        <f>IFERROR(IF(AR89="","",VLOOKUP(AR89,LISTAS!$F$5:$G$1004,2,0)),"0")</f>
        <v/>
      </c>
      <c r="AT89" s="15" t="str">
        <f t="shared" si="4"/>
        <v/>
      </c>
      <c r="AU89" s="15" t="str">
        <f t="shared" si="5"/>
        <v/>
      </c>
    </row>
    <row r="90" spans="2:47" ht="18" customHeight="1" x14ac:dyDescent="0.25">
      <c r="B90" s="16">
        <v>24</v>
      </c>
      <c r="C90" s="169" t="str">
        <f>IF('13F GRP'!G5&gt;=3,'13F GRP'!J321,IF('13F GRP'!G5=2,"",IF('13F GRP'!G5=1,"","")))</f>
        <v/>
      </c>
      <c r="D90" s="234">
        <v>0</v>
      </c>
      <c r="E90" s="52">
        <f>IF(D90&lt;&gt;"",D90,"")</f>
        <v>0</v>
      </c>
      <c r="F90" s="51" t="str">
        <f>IF(D90&lt;&gt;"",IF(C90="","",C90),"")</f>
        <v/>
      </c>
      <c r="G90" s="176" t="str">
        <f>VLOOKUP(G88,E88:F90,2,0)</f>
        <v/>
      </c>
      <c r="H90" s="51"/>
      <c r="I90" s="18"/>
      <c r="J90" s="11"/>
      <c r="K90" s="166"/>
      <c r="L90" s="11"/>
      <c r="M90" s="18"/>
      <c r="N90" s="11"/>
      <c r="O90" s="166"/>
      <c r="P90" s="11"/>
      <c r="Q90" s="8"/>
      <c r="R90" s="182"/>
      <c r="S90" s="8"/>
      <c r="T90" s="8"/>
      <c r="U90" s="8"/>
      <c r="V90" s="182"/>
      <c r="W90" s="8"/>
      <c r="X90" s="62"/>
      <c r="Y90" s="182"/>
      <c r="Z90" s="65"/>
      <c r="AA90" s="8"/>
      <c r="AB90" s="11"/>
      <c r="AC90" s="182"/>
      <c r="AD90" s="8"/>
      <c r="AE90" s="69"/>
      <c r="AF90" s="78"/>
      <c r="AG90" s="181">
        <f>IF(AJ90&lt;&gt;"",AJ90,"")</f>
        <v>0</v>
      </c>
      <c r="AH90" s="78" t="str">
        <f>IF(AJ90&lt;&gt;"",IF(AK90="","",AK90),"")</f>
        <v/>
      </c>
      <c r="AI90" s="55" t="str">
        <f>VLOOKUP(AI88,AG88:AH90,2,0)</f>
        <v/>
      </c>
      <c r="AJ90" s="234">
        <v>0</v>
      </c>
      <c r="AK90" s="169" t="str">
        <f>IF('13F GRP'!G5&gt;=3,'13F GRP'!J152,IF('13F GRP'!G5=2,"",IF('13F GRP'!G5=1,"","")))</f>
        <v/>
      </c>
      <c r="AL90" s="11">
        <v>11</v>
      </c>
      <c r="AP90" s="13" t="str">
        <f>IF(AR90&lt;&gt;"",1+COUNTIF(AP72:AP89,"1")+COUNTIF(AP72:AP89,"2")+COUNTIF(AP72:AP89,"3")+COUNTIF(AP72:AP89,"4")+COUNTIF(AP72:AP89,"5")+COUNTIF(AP72:AP89,"6")+COUNTIF(AP72:AP89,"7")+COUNTIF(AP72:AP89,"8")+COUNTIF(AP72:AP89,"9")+COUNTIF(AP72:AP89,"10")+COUNTIF(AP72:AP89,"11")+COUNTIF(AP72:AP89,"12")+COUNTIF(AP72:AP89,"13")+COUNTIF(AP72:AP89,"14")+COUNTIF(AP72:AP89,"15")+COUNTIF(AP72:AP89,"16")+COUNTIF(AP72:AP89,"17")+COUNTIF(AP72:AP89,"18"),"")</f>
        <v/>
      </c>
      <c r="AQ90" s="14" t="str">
        <f t="shared" si="3"/>
        <v/>
      </c>
      <c r="AR90" s="21" t="str">
        <f>IF(AR74&lt;&gt;"",IF(C72=AR74,G74,IF(C74=AR74,G74,IF(C80=AR74,G82,IF(C82=AR74,G82,IF(C102=AR74,G104,IF(C104=AR74,G104,IF(C110=AR74,G112,IF(C112=AR74,G112,IF(C88=AR74,G90,IF(C90=AR74,G90,IF(C96=AR74,G98,IF(C98=AR74,G98,IF(C118=AR74,G120,IF(C120=AR74,G120,IF(C126=AR74,G128,IF(C128=AR74,G128,IF(AK72=AR74,AI74,IF(AK74=AR74,AI74,IF(AK80=AR74,AI82,IF(AK82=AR74,AI82,IF(AK102=AR74,AI104,IF(AK104=AR74,AI104,IF(AK110=AR74,AI112,IF(AK112=AR74,AI112,IF(AK88=AR74,AI90,IF(AK90=AR74,AI90,IF(AK96=AR74,AI98,IF(AK98=AR74,AI98,IF(AK118=AR74,AI120,IF(AK120=AR74,AI120,IF(AK126=AR74,AI128,IF(AK128=AR74,AI128)))))))))))))))))))))))))))))))),"")</f>
        <v/>
      </c>
      <c r="AS90" s="15" t="str">
        <f>IFERROR(IF(AR90="","",VLOOKUP(AR90,LISTAS!$F$5:$G$1004,2,0)),"0")</f>
        <v/>
      </c>
      <c r="AT90" s="15" t="str">
        <f t="shared" si="4"/>
        <v/>
      </c>
      <c r="AU90" s="15" t="str">
        <f t="shared" si="5"/>
        <v/>
      </c>
    </row>
    <row r="91" spans="2:47" ht="18" customHeight="1" thickBot="1" x14ac:dyDescent="0.3">
      <c r="B91" s="16"/>
      <c r="C91" s="170" t="str">
        <f>IFERROR(IF(C90="","",VLOOKUP(C90,LISTAS!$F$5:$G$1004,2,0)),"0")</f>
        <v/>
      </c>
      <c r="D91" s="235"/>
      <c r="E91" s="128"/>
      <c r="F91" s="51"/>
      <c r="G91" s="176"/>
      <c r="H91" s="51"/>
      <c r="I91" s="18"/>
      <c r="J91" s="11"/>
      <c r="K91" s="166"/>
      <c r="L91" s="11"/>
      <c r="M91" s="18"/>
      <c r="N91" s="11"/>
      <c r="O91" s="166"/>
      <c r="P91" s="11"/>
      <c r="Q91" s="8"/>
      <c r="R91" s="182"/>
      <c r="S91" s="8"/>
      <c r="T91" s="8"/>
      <c r="U91" s="8"/>
      <c r="V91" s="182"/>
      <c r="W91" s="8"/>
      <c r="X91" s="62"/>
      <c r="Y91" s="182"/>
      <c r="Z91" s="65"/>
      <c r="AA91" s="8"/>
      <c r="AB91" s="11"/>
      <c r="AC91" s="182"/>
      <c r="AD91" s="8"/>
      <c r="AE91" s="69"/>
      <c r="AF91" s="78"/>
      <c r="AG91" s="181"/>
      <c r="AH91" s="78"/>
      <c r="AI91" s="123"/>
      <c r="AJ91" s="235"/>
      <c r="AK91" s="170" t="str">
        <f>IFERROR(IF(AK90="","",VLOOKUP(AK90,LISTAS!$F$5:$G$1004,2,0)),"0")</f>
        <v/>
      </c>
      <c r="AL91" s="11"/>
      <c r="AP91" s="13" t="str">
        <f>IF(AR91&lt;&gt;"",1+COUNTIF(AP72:AP90,"1")+COUNTIF(AP72:AP90,"2")+COUNTIF(AP72:AP90,"3")+COUNTIF(AP72:AP90,"4")+COUNTIF(AP72:AP90,"5")+COUNTIF(AP72:AP90,"6")+COUNTIF(AP72:AP90,"7")+COUNTIF(AP72:AP90,"8")+COUNTIF(AP72:AP90,"9")+COUNTIF(AP72:AP90,"10")+COUNTIF(AP72:AP90,"11")+COUNTIF(AP72:AP90,"12")+COUNTIF(AP72:AP90,"13")+COUNTIF(AP72:AP90,"14")+COUNTIF(AP72:AP90,"15")+COUNTIF(AP72:AP90,"16")+COUNTIF(AP72:AP90,"17")+COUNTIF(AP72:AP90,"18")+COUNTIF(AP72:AP90,"19"),"")</f>
        <v/>
      </c>
      <c r="AQ91" s="14" t="str">
        <f t="shared" si="3"/>
        <v/>
      </c>
      <c r="AR91" s="21" t="str">
        <f>IF(AR75&lt;&gt;"",IF(C72=AR75,G74,IF(C74=AR75,G74,IF(C80=AR75,G82,IF(C82=AR75,G82,IF(C102=AR75,G104,IF(C104=AR75,G104,IF(C110=AR75,G112,IF(C112=AR75,G112,IF(C88=AR75,G90,IF(C90=AR75,G90,IF(C96=AR75,G98,IF(C98=AR75,G98,IF(C118=AR75,G120,IF(C120=AR75,G120,IF(C126=AR75,G128,IF(C128=AR75,G128,IF(AK72=AR75,AI74,IF(AK74=AR75,AI74,IF(AK80=AR75,AI82,IF(AK82=AR75,AI82,IF(AK102=AR75,AI104,IF(AK104=AR75,AI104,IF(AK110=AR75,AI112,IF(AK112=AR75,AI112,IF(AK88=AR75,AI90,IF(AK90=AR75,AI90,IF(AK96=AR75,AI98,IF(AK98=AR75,AI98,IF(AK118=AR75,AI120,IF(AK120=AR75,AI120,IF(AK126=AR75,AI128,IF(AK128=AR75,AI128)))))))))))))))))))))))))))))))),"")</f>
        <v/>
      </c>
      <c r="AS91" s="15" t="str">
        <f>IFERROR(IF(AR91="","",VLOOKUP(AR91,LISTAS!$F$5:$G$1004,2,0)),"0")</f>
        <v/>
      </c>
      <c r="AT91" s="15" t="str">
        <f t="shared" si="4"/>
        <v/>
      </c>
      <c r="AU91" s="15" t="str">
        <f t="shared" si="5"/>
        <v/>
      </c>
    </row>
    <row r="92" spans="2:47" ht="18" customHeight="1" x14ac:dyDescent="0.25">
      <c r="B92" s="16"/>
      <c r="C92" s="166"/>
      <c r="D92" s="11"/>
      <c r="E92" s="11"/>
      <c r="F92" s="17"/>
      <c r="G92" s="169" t="str">
        <f>IF(D88&lt;&gt;"",IF(D90&lt;&gt;"",IF(D88=D90,"",IF(D88&gt;D90,C88,C90)),""),"")</f>
        <v/>
      </c>
      <c r="H92" s="234">
        <v>0</v>
      </c>
      <c r="I92" s="56">
        <f>IF(H92&lt;&gt;"",H92,"")</f>
        <v>0</v>
      </c>
      <c r="J92" s="51" t="str">
        <f>IF(H92&lt;&gt;"",IF(G92="","",G92),"")</f>
        <v/>
      </c>
      <c r="K92" s="176">
        <f>IF(I92&lt;&gt;"",IF(I94&lt;&gt;"",SMALL(I92:J94,1),""),"")</f>
        <v>0</v>
      </c>
      <c r="L92" s="51"/>
      <c r="M92" s="18"/>
      <c r="N92" s="11"/>
      <c r="O92" s="166"/>
      <c r="P92" s="11"/>
      <c r="Q92" s="8"/>
      <c r="R92" s="182"/>
      <c r="S92" s="8"/>
      <c r="T92" s="8"/>
      <c r="U92" s="8"/>
      <c r="V92" s="182"/>
      <c r="W92" s="8"/>
      <c r="X92" s="62"/>
      <c r="Y92" s="182"/>
      <c r="Z92" s="65"/>
      <c r="AA92" s="8"/>
      <c r="AB92" s="11"/>
      <c r="AC92" s="182"/>
      <c r="AD92" s="8"/>
      <c r="AE92" s="17"/>
      <c r="AF92" s="234">
        <v>0</v>
      </c>
      <c r="AG92" s="169" t="str">
        <f>IF(AJ88&lt;&gt;"",IF(AJ90&lt;&gt;"",IF(AJ88=AJ90,"",IF(AJ88&gt;AJ90,AK88,AK90)),""),"")</f>
        <v/>
      </c>
      <c r="AH92" s="65"/>
      <c r="AI92" s="8"/>
      <c r="AJ92" s="11"/>
      <c r="AK92" s="166"/>
      <c r="AL92" s="11"/>
      <c r="AN92" s="23"/>
      <c r="AO92" s="23"/>
      <c r="AP92" s="13" t="str">
        <f>IF(AR92&lt;&gt;"",1+COUNTIF(AP72:AP91,"1")+COUNTIF(AP72:AP91,"2")+COUNTIF(AP72:AP91,"3")+COUNTIF(AP72:AP91,"4")+COUNTIF(AP72:AP91,"5")+COUNTIF(AP72:AP91,"6")+COUNTIF(AP72:AP91,"7")+COUNTIF(AP72:AP91,"8")+COUNTIF(AP72:AP91,"9")+COUNTIF(AP72:AP91,"10")+COUNTIF(AP72:AP91,"11")+COUNTIF(AP72:AP91,"12")+COUNTIF(AP72:AP91,"13")+COUNTIF(AP72:AP91,"14")+COUNTIF(AP72:AP91,"15")+COUNTIF(AP72:AP91,"16")+COUNTIF(AP72:AP91,"17")+COUNTIF(AP72:AP91,"18")+COUNTIF(AP72:AP91,"19")+COUNTIF(AP72:AP91,"20"),"")</f>
        <v/>
      </c>
      <c r="AQ92" s="14" t="str">
        <f t="shared" si="3"/>
        <v/>
      </c>
      <c r="AR92" s="21" t="str">
        <f>IF(AR76&lt;&gt;"",IF(C72=AR76,G74,IF(C74=AR76,G74,IF(C80=AR76,G82,IF(C82=AR76,G82,IF(C102=AR76,G104,IF(C104=AR76,G104,IF(C110=AR76,G112,IF(C112=AR76,G112,IF(C88=AR76,G90,IF(C90=AR76,G90,IF(C96=AR76,G98,IF(C98=AR76,G98,IF(C118=AR76,G120,IF(C120=AR76,G120,IF(C126=AR76,G128,IF(C128=AR76,G128,IF(AK72=AR76,AI74,IF(AK74=AR76,AI74,IF(AK80=AR76,AI82,IF(AK82=AR76,AI82,IF(AK102=AR76,AI104,IF(AK104=AR76,AI104,IF(AK110=AR76,AI112,IF(AK112=AR76,AI112,IF(AK88=AR76,AI90,IF(AK90=AR76,AI90,IF(AK96=AR76,AI98,IF(AK98=AR76,AI98,IF(AK118=AR76,AI120,IF(AK120=AR76,AI120,IF(AK126=AR76,AI128,IF(AK128=AR76,AI128)))))))))))))))))))))))))))))))),"")</f>
        <v/>
      </c>
      <c r="AS92" s="15" t="str">
        <f>IFERROR(IF(AR92="","",VLOOKUP(AR92,LISTAS!$F$5:$G$1004,2,0)),"0")</f>
        <v/>
      </c>
      <c r="AT92" s="15" t="str">
        <f t="shared" si="4"/>
        <v/>
      </c>
      <c r="AU92" s="15" t="str">
        <f t="shared" si="5"/>
        <v/>
      </c>
    </row>
    <row r="93" spans="2:47" ht="18" customHeight="1" thickBot="1" x14ac:dyDescent="0.3">
      <c r="B93" s="16"/>
      <c r="C93" s="166"/>
      <c r="D93" s="11"/>
      <c r="E93" s="11"/>
      <c r="F93" s="17"/>
      <c r="G93" s="170" t="str">
        <f>IFERROR(IF(G92="","",VLOOKUP(G92,LISTAS!$F$5:$G$1004,2,0)),"0")</f>
        <v/>
      </c>
      <c r="H93" s="235"/>
      <c r="I93" s="57"/>
      <c r="J93" s="51"/>
      <c r="K93" s="176"/>
      <c r="L93" s="51"/>
      <c r="M93" s="18"/>
      <c r="N93" s="11"/>
      <c r="O93" s="166"/>
      <c r="P93" s="11"/>
      <c r="Q93" s="8"/>
      <c r="R93" s="182"/>
      <c r="S93" s="8"/>
      <c r="T93" s="8"/>
      <c r="U93" s="8"/>
      <c r="V93" s="182"/>
      <c r="W93" s="8"/>
      <c r="X93" s="62"/>
      <c r="Y93" s="182"/>
      <c r="Z93" s="65"/>
      <c r="AA93" s="8"/>
      <c r="AB93" s="11"/>
      <c r="AC93" s="182"/>
      <c r="AD93" s="8"/>
      <c r="AE93" s="122"/>
      <c r="AF93" s="235"/>
      <c r="AG93" s="170" t="str">
        <f>IFERROR(IF(AG92="","",VLOOKUP(AG92,LISTAS!$F$5:$G$1004,2,0)),"0")</f>
        <v/>
      </c>
      <c r="AH93" s="65"/>
      <c r="AI93" s="8"/>
      <c r="AJ93" s="11"/>
      <c r="AK93" s="166"/>
      <c r="AL93" s="11"/>
      <c r="AM93" s="23"/>
      <c r="AN93" s="23"/>
      <c r="AO93" s="23"/>
      <c r="AP93" s="13" t="str">
        <f>IF(AR93&lt;&gt;"",1+COUNTIF(AP72:AP92,"1")+COUNTIF(AP72:AP92,"2")+COUNTIF(AP72:AP92,"3")+COUNTIF(AP72:AP92,"4")+COUNTIF(AP72:AP92,"5")+COUNTIF(AP72:AP92,"6")+COUNTIF(AP72:AP92,"7")+COUNTIF(AP72:AP92,"8")+COUNTIF(AP72:AP92,"9")+COUNTIF(AP72:AP92,"10")+COUNTIF(AP72:AP92,"11")+COUNTIF(AP72:AP92,"12")+COUNTIF(AP72:AP92,"13")+COUNTIF(AP72:AP92,"14")+COUNTIF(AP72:AP92,"15")+COUNTIF(AP72:AP92,"16")+COUNTIF(AP72:AP92,"17")+COUNTIF(AP72:AP92,"18")+COUNTIF(AP72:AP92,"19")+COUNTIF(AP72:AP92,"20")+COUNTIF(AP72:AP92,"21"),"")</f>
        <v/>
      </c>
      <c r="AQ93" s="14" t="str">
        <f t="shared" si="3"/>
        <v/>
      </c>
      <c r="AR93" s="21" t="str">
        <f>IF(AR77&lt;&gt;"",IF(C72=AR77,G74,IF(C74=AR77,G74,IF(C80=AR77,G82,IF(C82=AR77,G82,IF(C102=AR77,G104,IF(C104=AR77,G104,IF(C110=AR77,G112,IF(C112=AR77,G112,IF(C88=AR77,G90,IF(C90=AR77,G90,IF(C96=AR77,G98,IF(C98=AR77,G98,IF(C118=AR77,G120,IF(C120=AR77,G120,IF(C126=AR77,G128,IF(C128=AR77,G128,IF(AK72=AR77,AI74,IF(AK74=AR77,AI74,IF(AK80=AR77,AI82,IF(AK82=AR77,AI82,IF(AK102=AR77,AI104,IF(AK104=AR77,AI104,IF(AK110=AR77,AI112,IF(AK112=AR77,AI112,IF(AK88=AR77,AI90,IF(AK90=AR77,AI90,IF(AK96=AR77,AI98,IF(AK98=AR77,AI98,IF(AK118=AR77,AI120,IF(AK120=AR77,AI120,IF(AK126=AR77,AI128,IF(AK128=AR77,AI128)))))))))))))))))))))))))))))))),"")</f>
        <v/>
      </c>
      <c r="AS93" s="15" t="str">
        <f>IFERROR(IF(AR93="","",VLOOKUP(AR93,LISTAS!$F$5:$G$1004,2,0)),"0")</f>
        <v/>
      </c>
      <c r="AT93" s="15" t="str">
        <f t="shared" si="4"/>
        <v/>
      </c>
      <c r="AU93" s="15" t="str">
        <f t="shared" si="5"/>
        <v/>
      </c>
    </row>
    <row r="94" spans="2:47" ht="18" customHeight="1" x14ac:dyDescent="0.25">
      <c r="B94" s="16"/>
      <c r="C94" s="166"/>
      <c r="D94" s="11"/>
      <c r="E94" s="18"/>
      <c r="F94" s="19"/>
      <c r="G94" s="169" t="str">
        <f>IF(D96&lt;&gt;"",IF(D98&lt;&gt;"",IF(D96=D98,"",IF(D96&gt;D98,C96,C98)),""),"")</f>
        <v/>
      </c>
      <c r="H94" s="234">
        <v>0</v>
      </c>
      <c r="I94" s="57">
        <f>IF(H94&lt;&gt;"",H94,"")</f>
        <v>0</v>
      </c>
      <c r="J94" s="51" t="str">
        <f>IF(H94&lt;&gt;"",IF(G94="","",G94),"")</f>
        <v/>
      </c>
      <c r="K94" s="176" t="str">
        <f>VLOOKUP(K92,I92:J94,2,0)</f>
        <v/>
      </c>
      <c r="L94" s="51"/>
      <c r="M94" s="18"/>
      <c r="N94" s="11"/>
      <c r="O94" s="166"/>
      <c r="P94" s="11"/>
      <c r="Q94" s="8"/>
      <c r="R94" s="182"/>
      <c r="S94" s="8"/>
      <c r="T94" s="8"/>
      <c r="U94" s="8"/>
      <c r="V94" s="182"/>
      <c r="W94" s="8"/>
      <c r="X94" s="62"/>
      <c r="Y94" s="182"/>
      <c r="Z94" s="65"/>
      <c r="AA94" s="8"/>
      <c r="AB94" s="11"/>
      <c r="AC94" s="182"/>
      <c r="AD94" s="8"/>
      <c r="AE94" s="64"/>
      <c r="AF94" s="234">
        <v>0</v>
      </c>
      <c r="AG94" s="169" t="str">
        <f>IF(AJ96&lt;&gt;"",IF(AJ98&lt;&gt;"",IF(AJ96=AJ98,"",IF(AJ96&gt;AJ98,AK96,AK98)),""),"")</f>
        <v/>
      </c>
      <c r="AH94" s="66"/>
      <c r="AI94" s="8"/>
      <c r="AJ94" s="11"/>
      <c r="AK94" s="166"/>
      <c r="AL94" s="11"/>
      <c r="AM94" s="23"/>
      <c r="AP94" s="13" t="str">
        <f>IF(AR94&lt;&gt;"",1+COUNTIF(AP72:AP93,"1")+COUNTIF(AP72:AP93,"2")+COUNTIF(AP72:AP93,"3")+COUNTIF(AP72:AP93,"4")+COUNTIF(AP72:AP93,"5")+COUNTIF(AP72:AP93,"6")+COUNTIF(AP72:AP93,"7")+COUNTIF(AP72:AP93,"8")+COUNTIF(AP72:AP93,"9")+COUNTIF(AP72:AP93,"10")+COUNTIF(AP72:AP93,"11")+COUNTIF(AP72:AP93,"12")+COUNTIF(AP72:AP93,"13")+COUNTIF(AP72:AP93,"14")+COUNTIF(AP72:AP93,"15")+COUNTIF(AP72:AP93,"16")+COUNTIF(AP72:AP93,"17")+COUNTIF(AP72:AP93,"18")+COUNTIF(AP72:AP93,"19")+COUNTIF(AP72:AP93,"20")+COUNTIF(AP72:AP93,"21")+COUNTIF(AP72:AP93,"22"),"")</f>
        <v/>
      </c>
      <c r="AQ94" s="14" t="str">
        <f t="shared" si="3"/>
        <v/>
      </c>
      <c r="AR94" s="21" t="str">
        <f>IF(AR78&lt;&gt;"",IF(C72=AR78,G74,IF(C74=AR78,G74,IF(C80=AR78,G82,IF(C82=AR78,G82,IF(C102=AR78,G104,IF(C104=AR78,G104,IF(C110=AR78,G112,IF(C112=AR78,G112,IF(C88=AR78,G90,IF(C90=AR78,G90,IF(C96=AR78,G98,IF(C98=AR78,G98,IF(C118=AR78,G120,IF(C120=AR78,G120,IF(C126=AR78,G128,IF(C128=AR78,G128,IF(AK72=AR78,AI74,IF(AK74=AR78,AI74,IF(AK80=AR78,AI82,IF(AK82=AR78,AI82,IF(AK102=AR78,AI104,IF(AK104=AR78,AI104,IF(AK110=AR78,AI112,IF(AK112=AR78,AI112,IF(AK88=AR78,AI90,IF(AK90=AR78,AI90,IF(AK96=AR78,AI98,IF(AK98=AR78,AI98,IF(AK118=AR78,AI120,IF(AK120=AR78,AI120,IF(AK126=AR78,AI128,IF(AK128=AR78,AI128)))))))))))))))))))))))))))))))),"")</f>
        <v/>
      </c>
      <c r="AS94" s="15" t="str">
        <f>IFERROR(IF(AR94="","",VLOOKUP(AR94,LISTAS!$F$5:$G$1004,2,0)),"0")</f>
        <v/>
      </c>
      <c r="AT94" s="15" t="str">
        <f t="shared" si="4"/>
        <v/>
      </c>
      <c r="AU94" s="15" t="str">
        <f t="shared" si="5"/>
        <v/>
      </c>
    </row>
    <row r="95" spans="2:47" ht="18" customHeight="1" thickBot="1" x14ac:dyDescent="0.3">
      <c r="B95" s="16"/>
      <c r="C95" s="166"/>
      <c r="D95" s="11"/>
      <c r="E95" s="18"/>
      <c r="F95" s="11"/>
      <c r="G95" s="170" t="str">
        <f>IFERROR(IF(G94="","",VLOOKUP(G94,LISTAS!$F$5:$G$1004,2,0)),"0")</f>
        <v/>
      </c>
      <c r="H95" s="235"/>
      <c r="I95" s="51"/>
      <c r="J95" s="51"/>
      <c r="K95" s="176"/>
      <c r="L95" s="51"/>
      <c r="M95" s="18"/>
      <c r="N95" s="11"/>
      <c r="O95" s="166"/>
      <c r="P95" s="11"/>
      <c r="Q95" s="8"/>
      <c r="R95" s="182"/>
      <c r="S95" s="8"/>
      <c r="T95" s="8"/>
      <c r="U95" s="8"/>
      <c r="V95" s="182"/>
      <c r="W95" s="8"/>
      <c r="X95" s="62"/>
      <c r="Y95" s="182"/>
      <c r="Z95" s="65"/>
      <c r="AA95" s="8"/>
      <c r="AB95" s="11"/>
      <c r="AC95" s="182"/>
      <c r="AD95" s="8"/>
      <c r="AE95" s="8"/>
      <c r="AF95" s="235"/>
      <c r="AG95" s="170" t="str">
        <f>IFERROR(IF(AG94="","",VLOOKUP(AG94,LISTAS!$F$5:$G$1004,2,0)),"0")</f>
        <v/>
      </c>
      <c r="AH95" s="8"/>
      <c r="AI95" s="69"/>
      <c r="AJ95" s="11"/>
      <c r="AK95" s="166"/>
      <c r="AL95" s="11"/>
      <c r="AP95" s="13" t="str">
        <f>IF(AR95&lt;&gt;"",1+COUNTIF(AP72:AP94,"1")+COUNTIF(AP72:AP94,"2")+COUNTIF(AP72:AP94,"3")+COUNTIF(AP72:AP94,"4")+COUNTIF(AP72:AP94,"5")+COUNTIF(AP72:AP94,"6")+COUNTIF(AP72:AP94,"7")+COUNTIF(AP72:AP94,"8")+COUNTIF(AP72:AP94,"9")+COUNTIF(AP72:AP94,"10")+COUNTIF(AP72:AP94,"11")+COUNTIF(AP72:AP94,"12")+COUNTIF(AP72:AP94,"13")+COUNTIF(AP72:AP94,"14")+COUNTIF(AP72:AP94,"15")+COUNTIF(AP72:AP94,"16")+COUNTIF(AP72:AP94,"17")+COUNTIF(AP72:AP94,"18")+COUNTIF(AP72:AP94,"19")+COUNTIF(AP72:AP94,"20")+COUNTIF(AP72:AP94,"21")+COUNTIF(AP72:AP94,"22")+COUNTIF(AP72:AP94,"23"),"")</f>
        <v/>
      </c>
      <c r="AQ95" s="14" t="str">
        <f t="shared" si="3"/>
        <v/>
      </c>
      <c r="AR95" s="21" t="str">
        <f>IF(AR79&lt;&gt;"",IF(C72=AR79,G74,IF(C74=AR79,G74,IF(C80=AR79,G82,IF(C82=AR79,G82,IF(C102=AR79,G104,IF(C104=AR79,G104,IF(C110=AR79,G112,IF(C112=AR79,G112,IF(C88=AR79,G90,IF(C90=AR79,G90,IF(C96=AR79,G98,IF(C98=AR79,G98,IF(C118=AR79,G120,IF(C120=AR79,G120,IF(C126=AR79,G128,IF(C128=AR79,G128,IF(AK72=AR79,AI74,IF(AK74=AR79,AI74,IF(AK80=AR79,AI82,IF(AK82=AR79,AI82,IF(AK102=AR79,AI104,IF(AK104=AR79,AI104,IF(AK110=AR79,AI112,IF(AK112=AR79,AI112,IF(AK88=AR79,AI90,IF(AK90=AR79,AI90,IF(AK96=AR79,AI98,IF(AK98=AR79,AI98,IF(AK118=AR79,AI120,IF(AK120=AR79,AI120,IF(AK126=AR79,AI128,IF(AK128=AR79,AI128)))))))))))))))))))))))))))))))),"")</f>
        <v/>
      </c>
      <c r="AS95" s="15" t="str">
        <f>IFERROR(IF(AR95="","",VLOOKUP(AR95,LISTAS!$F$5:$G$1004,2,0)),"0")</f>
        <v/>
      </c>
      <c r="AT95" s="15" t="str">
        <f t="shared" si="4"/>
        <v/>
      </c>
      <c r="AU95" s="15" t="str">
        <f t="shared" si="5"/>
        <v/>
      </c>
    </row>
    <row r="96" spans="2:47" ht="18" customHeight="1" x14ac:dyDescent="0.25">
      <c r="B96" s="16">
        <v>25</v>
      </c>
      <c r="C96" s="169" t="str">
        <f>IF('13F GRP'!G5&gt;=3,'13F GRP'!J334,IF('13F GRP'!G5=2,"",IF('13F GRP'!G5=1,"","")))</f>
        <v/>
      </c>
      <c r="D96" s="234">
        <v>0</v>
      </c>
      <c r="E96" s="56">
        <f>IF(D96&lt;&gt;"",D96,"")</f>
        <v>0</v>
      </c>
      <c r="F96" s="51" t="str">
        <f>IF(D96&lt;&gt;"",IF(C96="","",C96),"")</f>
        <v/>
      </c>
      <c r="G96" s="176">
        <f>IF(E96&lt;&gt;"",IF(E98&lt;&gt;"",SMALL(E96:E98,1),""),"")</f>
        <v>0</v>
      </c>
      <c r="H96" s="51"/>
      <c r="I96" s="51"/>
      <c r="J96" s="51"/>
      <c r="K96" s="176"/>
      <c r="L96" s="51"/>
      <c r="M96" s="18"/>
      <c r="N96" s="11"/>
      <c r="O96" s="166"/>
      <c r="P96" s="11"/>
      <c r="Q96" s="8"/>
      <c r="R96" s="182"/>
      <c r="S96" s="8"/>
      <c r="T96" s="8"/>
      <c r="U96" s="8"/>
      <c r="V96" s="182"/>
      <c r="W96" s="8"/>
      <c r="X96" s="62"/>
      <c r="Y96" s="182"/>
      <c r="Z96" s="65"/>
      <c r="AA96" s="8"/>
      <c r="AB96" s="11"/>
      <c r="AC96" s="182"/>
      <c r="AD96" s="8"/>
      <c r="AE96" s="8"/>
      <c r="AF96" s="78"/>
      <c r="AG96" s="181">
        <f>IF(AJ96&lt;&gt;"",AJ96,"")</f>
        <v>0</v>
      </c>
      <c r="AH96" s="78" t="str">
        <f>IF(AJ96&lt;&gt;"",IF(AK96="","",AK96),"")</f>
        <v/>
      </c>
      <c r="AI96" s="53">
        <f>IF(AG96&lt;&gt;"",IF(AG98&lt;&gt;"",SMALL(AG96:AG98,1),""),"")</f>
        <v>0</v>
      </c>
      <c r="AJ96" s="234">
        <v>0</v>
      </c>
      <c r="AK96" s="169" t="str">
        <f>IF('13F GRP'!G5&gt;=3,'13F GRP'!J360,IF('13F GRP'!G5=2,"",IF('13F GRP'!G5=1,"","")))</f>
        <v/>
      </c>
      <c r="AL96" s="11">
        <v>27</v>
      </c>
      <c r="AP96" s="13" t="str">
        <f>IF(AR96&lt;&gt;"",1+COUNTIF(AP72:AP95,"1")+COUNTIF(AP72:AP95,"2")+COUNTIF(AP72:AP95,"3")+COUNTIF(AP72:AP95,"4")+COUNTIF(AP72:AP95,"5")+COUNTIF(AP72:AP95,"6")+COUNTIF(AP72:AP95,"7")+COUNTIF(AP72:AP95,"8")+COUNTIF(AP72:AP95,"9")+COUNTIF(AP72:AP95,"10")+COUNTIF(AP72:AP95,"11")+COUNTIF(AP72:AP95,"12")+COUNTIF(AP72:AP95,"13")+COUNTIF(AP72:AP95,"14")+COUNTIF(AP72:AP95,"15")+COUNTIF(AP72:AP95,"16")+COUNTIF(AP72:AP95,"17")+COUNTIF(AP72:AP95,"18")+COUNTIF(AP72:AP95,"19")+COUNTIF(AP72:AP95,"20")+COUNTIF(AP72:AP95,"21")+COUNTIF(AP72:AP95,"22")+COUNTIF(AP72:AP95,"23")+COUNTIF(AP72:AP95,"24"),"")</f>
        <v/>
      </c>
      <c r="AQ96" s="14" t="str">
        <f t="shared" si="3"/>
        <v/>
      </c>
      <c r="AR96" s="21" t="str">
        <f>IF(AR80&lt;&gt;"",IF(C72=AR80,G74,IF(C74=AR80,G74,IF(C80=AR80,G82,IF(C82=AR80,G82,IF(C102=AR80,G104,IF(C104=AR80,G104,IF(C110=AR80,G112,IF(C112=AR80,G112,IF(C88=AR80,G90,IF(C90=AR80,G90,IF(C96=AR80,G98,IF(C98=AR80,G98,IF(C118=AR80,G120,IF(C120=AR80,G120,IF(C126=AR80,G128,IF(C128=AR80,G128,IF(AK72=AR80,AI74,IF(AK74=AR80,AI74,IF(AK80=AR80,AI82,IF(AK82=AR80,AI82,IF(AK102=AR80,AI104,IF(AK104=AR80,AI104,IF(AK110=AR80,AI112,IF(AK112=AR80,AI112,IF(AK88=AR80,AI90,IF(AK90=AR80,AI90,IF(AK96=AR80,AI98,IF(AK98=AR80,AI98,IF(AK118=AR80,AI120,IF(AK120=AR80,AI120,IF(AK126=AR80,AI128,IF(AK128=AR80,AI128)))))))))))))))))))))))))))))))),"")</f>
        <v/>
      </c>
      <c r="AS96" s="15" t="str">
        <f>IFERROR(IF(AR96="","",VLOOKUP(AR96,LISTAS!$F$5:$G$1004,2,0)),"0")</f>
        <v/>
      </c>
      <c r="AT96" s="15" t="str">
        <f t="shared" si="4"/>
        <v/>
      </c>
      <c r="AU96" s="15" t="str">
        <f t="shared" si="5"/>
        <v/>
      </c>
    </row>
    <row r="97" spans="2:47" ht="18" customHeight="1" thickBot="1" x14ac:dyDescent="0.3">
      <c r="B97" s="16"/>
      <c r="C97" s="170" t="str">
        <f>IFERROR(IF(C96="","",VLOOKUP(C96,LISTAS!$F$5:$G$1004,2,0)),"0")</f>
        <v/>
      </c>
      <c r="D97" s="235"/>
      <c r="E97" s="57"/>
      <c r="F97" s="51"/>
      <c r="G97" s="176"/>
      <c r="H97" s="51"/>
      <c r="I97" s="11"/>
      <c r="J97" s="11"/>
      <c r="K97" s="166"/>
      <c r="L97" s="11"/>
      <c r="M97" s="18"/>
      <c r="N97" s="11"/>
      <c r="O97" s="166"/>
      <c r="P97" s="11"/>
      <c r="Q97" s="8"/>
      <c r="R97" s="182"/>
      <c r="S97" s="8"/>
      <c r="T97" s="8"/>
      <c r="U97" s="8"/>
      <c r="V97" s="182"/>
      <c r="W97" s="8"/>
      <c r="X97" s="62"/>
      <c r="Y97" s="182"/>
      <c r="Z97" s="65"/>
      <c r="AA97" s="8"/>
      <c r="AB97" s="11"/>
      <c r="AC97" s="182"/>
      <c r="AD97" s="8"/>
      <c r="AE97" s="8"/>
      <c r="AF97" s="78"/>
      <c r="AG97" s="181"/>
      <c r="AH97" s="78"/>
      <c r="AI97" s="124"/>
      <c r="AJ97" s="235"/>
      <c r="AK97" s="170" t="str">
        <f>IFERROR(IF(AK96="","",VLOOKUP(AK96,LISTAS!$F$5:$G$1004,2,0)),"0")</f>
        <v/>
      </c>
      <c r="AL97" s="11"/>
      <c r="AP97" s="13" t="str">
        <f>IF(AR97&lt;&gt;"",1+COUNTIF(AP72:AP96,"1")+COUNTIF(AP72:AP96,"2")+COUNTIF(AP72:AP96,"3")+COUNTIF(AP72:AP96,"4")+COUNTIF(AP72:AP96,"5")+COUNTIF(AP72:AP96,"6")+COUNTIF(AP72:AP96,"7")+COUNTIF(AP72:AP96,"8")+COUNTIF(AP72:AP96,"9")+COUNTIF(AP72:AP96,"10")+COUNTIF(AP72:AP96,"11")+COUNTIF(AP72:AP96,"12")+COUNTIF(AP72:AP96,"13")+COUNTIF(AP72:AP96,"14")+COUNTIF(AP72:AP96,"15")+COUNTIF(AP72:AP96,"16")+COUNTIF(AP72:AP96,"17")+COUNTIF(AP72:AP96,"18")+COUNTIF(AP72:AP96,"19")+COUNTIF(AP72:AP96,"20")+COUNTIF(AP72:AP96,"21")+COUNTIF(AP72:AP96,"22")+COUNTIF(AP72:AP96,"23")+COUNTIF(AP72:AP96,"24")+COUNTIF(AP72:AP96,"25"),"")</f>
        <v/>
      </c>
      <c r="AQ97" s="14" t="str">
        <f t="shared" si="3"/>
        <v/>
      </c>
      <c r="AR97" s="21" t="str">
        <f>IF(AR81&lt;&gt;"",IF(C72=AR81,G74,IF(C74=AR81,G74,IF(C80=AR81,G82,IF(C82=AR81,G82,IF(C102=AR81,G104,IF(C104=AR81,G104,IF(C110=AR81,G112,IF(C112=AR81,G112,IF(C88=AR81,G90,IF(C90=AR81,G90,IF(C96=AR81,G98,IF(C98=AR81,G98,IF(C118=AR81,G120,IF(C120=AR81,G120,IF(C126=AR81,G128,IF(C128=AR81,G128,IF(AK72=AR81,AI74,IF(AK74=AR81,AI74,IF(AK80=AR81,AI82,IF(AK82=AR81,AI82,IF(AK102=AR81,AI104,IF(AK104=AR81,AI104,IF(AK110=AR81,AI112,IF(AK112=AR81,AI112,IF(AK88=AR81,AI90,IF(AK90=AR81,AI90,IF(AK96=AR81,AI98,IF(AK98=AR81,AI98,IF(AK118=AR81,AI120,IF(AK120=AR81,AI120,IF(AK126=AR81,AI128,IF(AK128=AR81,AI128)))))))))))))))))))))))))))))))),"")</f>
        <v/>
      </c>
      <c r="AS97" s="15" t="str">
        <f>IFERROR(IF(AR97="","",VLOOKUP(AR97,LISTAS!$F$5:$G$1004,2,0)),"0")</f>
        <v/>
      </c>
      <c r="AT97" s="15" t="str">
        <f t="shared" si="4"/>
        <v/>
      </c>
      <c r="AU97" s="15" t="str">
        <f t="shared" si="5"/>
        <v/>
      </c>
    </row>
    <row r="98" spans="2:47" ht="18" customHeight="1" thickBot="1" x14ac:dyDescent="0.3">
      <c r="B98" s="16">
        <v>8</v>
      </c>
      <c r="C98" s="169" t="str">
        <f>IF('13F GRP'!G5&gt;=3,'13F GRP'!J113,IF('13F GRP'!G5=2,"",IF('13F GRP'!G5=1,"","")))</f>
        <v/>
      </c>
      <c r="D98" s="234">
        <v>0</v>
      </c>
      <c r="E98" s="57">
        <f>IF(D98&lt;&gt;"",D98,"")</f>
        <v>0</v>
      </c>
      <c r="F98" s="51" t="str">
        <f>IF(D98&lt;&gt;"",IF(C98="","",C98),"")</f>
        <v/>
      </c>
      <c r="G98" s="176" t="str">
        <f>VLOOKUP(G96,E96:F98,2,0)</f>
        <v/>
      </c>
      <c r="H98" s="51"/>
      <c r="I98" s="11"/>
      <c r="J98" s="11"/>
      <c r="K98" s="166"/>
      <c r="L98" s="11"/>
      <c r="M98" s="18"/>
      <c r="N98" s="11"/>
      <c r="O98" s="166"/>
      <c r="P98" s="11"/>
      <c r="Q98" s="8"/>
      <c r="R98" s="277" t="s">
        <v>37</v>
      </c>
      <c r="S98" s="236"/>
      <c r="T98" s="236"/>
      <c r="U98" s="236"/>
      <c r="V98" s="277"/>
      <c r="W98" s="8"/>
      <c r="X98" s="62"/>
      <c r="Y98" s="182"/>
      <c r="Z98" s="65"/>
      <c r="AA98" s="8"/>
      <c r="AB98" s="11"/>
      <c r="AC98" s="182"/>
      <c r="AD98" s="8"/>
      <c r="AE98" s="8"/>
      <c r="AF98" s="78"/>
      <c r="AG98" s="181">
        <f>IF(AJ98&lt;&gt;"",AJ98,"")</f>
        <v>0</v>
      </c>
      <c r="AH98" s="78" t="str">
        <f>IF(AJ98&lt;&gt;"",IF(AK98="","",AK98),"")</f>
        <v/>
      </c>
      <c r="AI98" s="125" t="str">
        <f>VLOOKUP(AI96,AG96:AH98,2,0)</f>
        <v/>
      </c>
      <c r="AJ98" s="234">
        <v>0</v>
      </c>
      <c r="AK98" s="169" t="str">
        <f>IF('13F GRP'!G5&gt;=3,'13F GRP'!J87,IF('13F GRP'!G5=2,"",IF('13F GRP'!G5=1,"","")))</f>
        <v/>
      </c>
      <c r="AL98" s="11">
        <v>6</v>
      </c>
      <c r="AN98" s="23"/>
      <c r="AO98" s="23"/>
      <c r="AP98" s="13" t="str">
        <f>IF(AR98&lt;&gt;"",1+COUNTIF(AP72:AP97,"1")+COUNTIF(AP72:AP97,"2")+COUNTIF(AP72:AP97,"3")+COUNTIF(AP72:AP97,"4")+COUNTIF(AP72:AP97,"5")+COUNTIF(AP72:AP97,"6")+COUNTIF(AP72:AP97,"7")+COUNTIF(AP72:AP97,"8")+COUNTIF(AP72:AP97,"9")+COUNTIF(AP72:AP97,"10")+COUNTIF(AP72:AP97,"11")+COUNTIF(AP72:AP97,"12")+COUNTIF(AP72:AP97,"13")+COUNTIF(AP72:AP97,"14")+COUNTIF(AP72:AP97,"15")+COUNTIF(AP72:AP97,"16")+COUNTIF(AP72:AP97,"17")+COUNTIF(AP72:AP97,"18")+COUNTIF(AP72:AP97,"19")+COUNTIF(AP72:AP97,"20")+COUNTIF(AP72:AP97,"21")+COUNTIF(AP72:AP97,"22")+COUNTIF(AP72:AP97,"23")+COUNTIF(AP72:AP97,"24")+COUNTIF(AP72:AP97,"25")+COUNTIF(AP72:AP97,"26"),"")</f>
        <v/>
      </c>
      <c r="AQ98" s="14" t="str">
        <f t="shared" si="3"/>
        <v/>
      </c>
      <c r="AR98" s="21" t="str">
        <f>IF(AR82&lt;&gt;"",IF(C72=AR82,G74,IF(C74=AR82,G74,IF(C80=AR82,G82,IF(C82=AR82,G82,IF(C102=AR82,G104,IF(C104=AR82,G104,IF(C110=AR82,G112,IF(C112=AR82,G112,IF(C88=AR82,G90,IF(C90=AR82,G90,IF(C96=AR82,G98,IF(C98=AR82,G98,IF(C118=AR82,G120,IF(C120=AR82,G120,IF(C126=AR82,G128,IF(C128=AR82,G128,IF(AK72=AR82,AI74,IF(AK74=AR82,AI74,IF(AK80=AR82,AI82,IF(AK82=AR82,AI82,IF(AK102=AR82,AI104,IF(AK104=AR82,AI104,IF(AK110=AR82,AI112,IF(AK112=AR82,AI112,IF(AK88=AR82,AI90,IF(AK90=AR82,AI90,IF(AK96=AR82,AI98,IF(AK98=AR82,AI98,IF(AK118=AR82,AI120,IF(AK120=AR82,AI120,IF(AK126=AR82,AI128,IF(AK128=AR82,AI128)))))))))))))))))))))))))))))))),"")</f>
        <v/>
      </c>
      <c r="AS98" s="15" t="str">
        <f>IFERROR(IF(AR98="","",VLOOKUP(AR98,LISTAS!$F$5:$G$1004,2,0)),"0")</f>
        <v/>
      </c>
      <c r="AT98" s="15" t="str">
        <f t="shared" si="4"/>
        <v/>
      </c>
      <c r="AU98" s="15" t="str">
        <f t="shared" si="5"/>
        <v/>
      </c>
    </row>
    <row r="99" spans="2:47" ht="18" customHeight="1" thickBot="1" x14ac:dyDescent="0.3">
      <c r="B99" s="16"/>
      <c r="C99" s="170" t="str">
        <f>IFERROR(IF(C98="","",VLOOKUP(C98,LISTAS!$F$5:$G$1004,2,0)),"0")</f>
        <v/>
      </c>
      <c r="D99" s="235"/>
      <c r="E99" s="51"/>
      <c r="F99" s="51"/>
      <c r="G99" s="176"/>
      <c r="H99" s="51"/>
      <c r="I99" s="11"/>
      <c r="J99" s="11"/>
      <c r="K99" s="166"/>
      <c r="L99" s="11"/>
      <c r="M99" s="18"/>
      <c r="N99" s="11"/>
      <c r="O99" s="169" t="str">
        <f>IF(L84&lt;&gt;"",IF(L86&lt;&gt;"",IF(L84=L86,"",IF(L84&gt;L86,K84,K86)),""),"")</f>
        <v>AMANDA SOPHIA PIROZZI</v>
      </c>
      <c r="P99" s="234">
        <v>0</v>
      </c>
      <c r="Q99" s="8"/>
      <c r="R99" s="167"/>
      <c r="S99" s="71"/>
      <c r="T99" s="71"/>
      <c r="U99" s="71"/>
      <c r="V99" s="167"/>
      <c r="W99" s="8"/>
      <c r="X99" s="234">
        <v>0</v>
      </c>
      <c r="Y99" s="169" t="str">
        <f>IF(AB84&lt;&gt;"",IF(AB86&lt;&gt;"",IF(AB84=AB86,"",IF(AB84&gt;AB86,AC84,AC86)),""),"")</f>
        <v>NATHALIA IERVOLINO COLLETTI</v>
      </c>
      <c r="Z99" s="65"/>
      <c r="AA99" s="8"/>
      <c r="AB99" s="11"/>
      <c r="AC99" s="182"/>
      <c r="AD99" s="8"/>
      <c r="AE99" s="8"/>
      <c r="AF99" s="78"/>
      <c r="AG99" s="181"/>
      <c r="AH99" s="78"/>
      <c r="AI99" s="51"/>
      <c r="AJ99" s="235"/>
      <c r="AK99" s="170" t="str">
        <f>IFERROR(IF(AK98="","",VLOOKUP(AK98,LISTAS!$F$5:$G$1004,2,0)),"0")</f>
        <v/>
      </c>
      <c r="AL99" s="11"/>
      <c r="AM99" s="23"/>
      <c r="AP99" s="13" t="str">
        <f>IF(AR99&lt;&gt;"",1+COUNTIF(AP72:AP98,"1")+COUNTIF(AP72:AP98,"2")+COUNTIF(AP72:AP98,"3")+COUNTIF(AP72:AP98,"4")+COUNTIF(AP72:AP98,"5")+COUNTIF(AP72:AP98,"6")+COUNTIF(AP72:AP98,"7")+COUNTIF(AP72:AP98,"8")+COUNTIF(AP72:AP98,"9")+COUNTIF(AP72:AP98,"10")+COUNTIF(AP72:AP98,"11")+COUNTIF(AP72:AP98,"12")+COUNTIF(AP72:AP98,"13")+COUNTIF(AP72:AP98,"14")+COUNTIF(AP72:AP98,"15")+COUNTIF(AP72:AP98,"16")+COUNTIF(AP72:AP98,"17")+COUNTIF(AP72:AP98,"18")+COUNTIF(AP72:AP98,"19")+COUNTIF(AP72:AP98,"20")+COUNTIF(AP72:AP98,"21")+COUNTIF(AP72:AP98,"22")+COUNTIF(AP72:AP98,"23")+COUNTIF(AP72:AP98,"24")+COUNTIF(AP72:AP98,"25")+COUNTIF(AP72:AP98,"26")+COUNTIF(AP72:AP98,"27"),"")</f>
        <v/>
      </c>
      <c r="AQ99" s="14" t="str">
        <f t="shared" si="3"/>
        <v/>
      </c>
      <c r="AR99" s="21" t="str">
        <f>IF(AR83&lt;&gt;"",IF(C72=AR83,G74,IF(C74=AR83,G74,IF(C80=AR83,G82,IF(C82=AR83,G82,IF(C102=AR83,G104,IF(C104=AR83,G104,IF(C110=AR83,G112,IF(C112=AR83,G112,IF(C88=AR83,G90,IF(C90=AR83,G90,IF(C96=AR83,G98,IF(C98=AR83,G98,IF(C118=AR83,G120,IF(C120=AR83,G120,IF(C126=AR83,G128,IF(C128=AR83,G128,IF(AK72=AR83,AI74,IF(AK74=AR83,AI74,IF(AK80=AR83,AI82,IF(AK82=AR83,AI82,IF(AK102=AR83,AI104,IF(AK104=AR83,AI104,IF(AK110=AR83,AI112,IF(AK112=AR83,AI112,IF(AK88=AR83,AI90,IF(AK90=AR83,AI90,IF(AK96=AR83,AI98,IF(AK98=AR83,AI98,IF(AK118=AR83,AI120,IF(AK120=AR83,AI120,IF(AK126=AR83,AI128,IF(AK128=AR83,AI128)))))))))))))))))))))))))))))))),"")</f>
        <v/>
      </c>
      <c r="AS99" s="15" t="str">
        <f>IFERROR(IF(AR99="","",VLOOKUP(AR99,LISTAS!$F$5:$G$1004,2,0)),"0")</f>
        <v/>
      </c>
      <c r="AT99" s="15" t="str">
        <f t="shared" si="4"/>
        <v/>
      </c>
      <c r="AU99" s="15" t="str">
        <f t="shared" si="5"/>
        <v/>
      </c>
    </row>
    <row r="100" spans="2:47" ht="18" customHeight="1" thickBot="1" x14ac:dyDescent="0.3">
      <c r="B100" s="16"/>
      <c r="C100" s="166"/>
      <c r="D100" s="11"/>
      <c r="E100" s="51"/>
      <c r="F100" s="51"/>
      <c r="G100" s="176"/>
      <c r="H100" s="51"/>
      <c r="I100" s="11"/>
      <c r="J100" s="11"/>
      <c r="K100" s="166"/>
      <c r="L100" s="11"/>
      <c r="M100" s="18"/>
      <c r="N100" s="11"/>
      <c r="O100" s="170" t="str">
        <f>IFERROR(IF(O99="","",VLOOKUP(O99,LISTAS!$F$5:$G$1004,2,0)),"0")</f>
        <v>LICEU JARDIM</v>
      </c>
      <c r="P100" s="235"/>
      <c r="Q100" s="8"/>
      <c r="R100" s="169" t="str">
        <f>IF(P99&lt;&gt;"",IF(P101&lt;&gt;"",IF(P99=P101,"",IF(P99&gt;P101,O99,O101)),""),"")</f>
        <v>MARIA PIETRA FURUKAVA MONTEIRO</v>
      </c>
      <c r="S100" s="234">
        <v>0</v>
      </c>
      <c r="T100" s="237" t="s">
        <v>38</v>
      </c>
      <c r="U100" s="234">
        <v>1</v>
      </c>
      <c r="V100" s="169" t="str">
        <f>IF(X99&lt;&gt;"",IF(X101&lt;&gt;"",IF(X99=X101,"",IF(X99&gt;X101,Y99,Y101)),""),"")</f>
        <v>LAMAR ANDRAWES</v>
      </c>
      <c r="W100" s="112"/>
      <c r="X100" s="235"/>
      <c r="Y100" s="170" t="str">
        <f>IFERROR(IF(Y99="","",VLOOKUP(Y99,LISTAS!$F$5:$G$1004,2,0)),"0")</f>
        <v>COLÉGIO ARBOS DE SÃO BERNARDO DO CAMPO</v>
      </c>
      <c r="Z100" s="112"/>
      <c r="AA100" s="8"/>
      <c r="AB100" s="11"/>
      <c r="AC100" s="182"/>
      <c r="AD100" s="8"/>
      <c r="AE100" s="8"/>
      <c r="AF100" s="78"/>
      <c r="AG100" s="181"/>
      <c r="AH100" s="78"/>
      <c r="AI100" s="78"/>
      <c r="AJ100" s="11"/>
      <c r="AK100" s="166"/>
      <c r="AL100" s="11"/>
      <c r="AP100" s="13" t="str">
        <f>IF(AR100&lt;&gt;"",1+COUNTIF(AP72:AP99,"1")+COUNTIF(AP72:AP99,"2")+COUNTIF(AP72:AP99,"3")+COUNTIF(AP72:AP99,"4")+COUNTIF(AP72:AP99,"5")+COUNTIF(AP72:AP99,"6")+COUNTIF(AP72:AP99,"7")+COUNTIF(AP72:AP99,"8")+COUNTIF(AP72:AP99,"9")+COUNTIF(AP72:AP99,"10")+COUNTIF(AP72:AP99,"11")+COUNTIF(AP72:AP99,"12")+COUNTIF(AP72:AP99,"13")+COUNTIF(AP72:AP99,"14")+COUNTIF(AP72:AP99,"15")+COUNTIF(AP72:AP99,"16")+COUNTIF(AP72:AP99,"17")+COUNTIF(AP72:AP99,"18")+COUNTIF(AP72:AP99,"19")+COUNTIF(AP72:AP99,"20")+COUNTIF(AP72:AP99,"21")+COUNTIF(AP72:AP99,"22")+COUNTIF(AP72:AP99,"23")+COUNTIF(AP72:AP99,"24")+COUNTIF(AP72:AP99,"25")+COUNTIF(AP72:AP99,"26")+COUNTIF(AP72:AP99,"27")+COUNTIF(AP72:AP99,"28"),"")</f>
        <v/>
      </c>
      <c r="AQ100" s="14" t="str">
        <f t="shared" si="3"/>
        <v/>
      </c>
      <c r="AR100" s="21" t="str">
        <f>IF(AR84&lt;&gt;"",IF(C72=AR84,G74,IF(C74=AR84,G74,IF(C80=AR84,G82,IF(C82=AR84,G82,IF(C102=AR84,G104,IF(C104=AR84,G104,IF(C110=AR84,G112,IF(C112=AR84,G112,IF(C88=AR84,G90,IF(C90=AR84,G90,IF(C96=AR84,G98,IF(C98=AR84,G98,IF(C118=AR84,G120,IF(C120=AR84,G120,IF(C126=AR84,G128,IF(C128=AR84,G128,IF(AK72=AR84,AI74,IF(AK74=AR84,AI74,IF(AK80=AR84,AI82,IF(AK82=AR84,AI82,IF(AK102=AR84,AI104,IF(AK104=AR84,AI104,IF(AK110=AR84,AI112,IF(AK112=AR84,AI112,IF(AK88=AR84,AI90,IF(AK90=AR84,AI90,IF(AK96=AR84,AI98,IF(AK98=AR84,AI98,IF(AK118=AR84,AI120,IF(AK120=AR84,AI120,IF(AK126=AR84,AI128,IF(AK128=AR84,AI128)))))))))))))))))))))))))))))))),"")</f>
        <v/>
      </c>
      <c r="AS100" s="15" t="str">
        <f>IFERROR(IF(AR100="","",VLOOKUP(AR100,LISTAS!$F$5:$G$1004,2,0)),"0")</f>
        <v/>
      </c>
      <c r="AT100" s="15" t="str">
        <f t="shared" si="4"/>
        <v/>
      </c>
      <c r="AU100" s="15" t="str">
        <f t="shared" si="5"/>
        <v/>
      </c>
    </row>
    <row r="101" spans="2:47" ht="18" customHeight="1" thickBot="1" x14ac:dyDescent="0.3">
      <c r="B101" s="16"/>
      <c r="C101" s="166"/>
      <c r="D101" s="11"/>
      <c r="E101" s="11"/>
      <c r="F101" s="11"/>
      <c r="G101" s="166"/>
      <c r="H101" s="11"/>
      <c r="I101" s="11"/>
      <c r="J101" s="11"/>
      <c r="K101" s="166"/>
      <c r="L101" s="11"/>
      <c r="M101" s="18"/>
      <c r="N101" s="19"/>
      <c r="O101" s="169" t="str">
        <f>IF(L114&lt;&gt;"",IF(L116&lt;&gt;"",IF(L114=L116,"",IF(L114&gt;L116,K114,K116)),""),"")</f>
        <v>MARIA PIETRA FURUKAVA MONTEIRO</v>
      </c>
      <c r="P101" s="234">
        <v>1</v>
      </c>
      <c r="Q101" s="72"/>
      <c r="R101" s="170" t="str">
        <f>IFERROR(IF(R100="","",VLOOKUP(R100,LISTAS!$F$5:$G$1004,2,0)),"0")</f>
        <v>COLÉGIO SÃO MAURO</v>
      </c>
      <c r="S101" s="235"/>
      <c r="T101" s="237"/>
      <c r="U101" s="235"/>
      <c r="V101" s="170" t="str">
        <f>IFERROR(IF(V100="","",VLOOKUP(V100,LISTAS!$F$5:$G$1004,2,0)),"0")</f>
        <v>ABACO IPIRANGA</v>
      </c>
      <c r="W101" s="66"/>
      <c r="X101" s="234">
        <v>1</v>
      </c>
      <c r="Y101" s="169" t="str">
        <f>IF(AB114&lt;&gt;"",IF(AB116&lt;&gt;"",IF(AB114=AB116,"",IF(AB114&gt;AB116,AC114,AC116)),""),"")</f>
        <v>LAMAR ANDRAWES</v>
      </c>
      <c r="Z101" s="66"/>
      <c r="AA101" s="8"/>
      <c r="AB101" s="11"/>
      <c r="AC101" s="182"/>
      <c r="AD101" s="8"/>
      <c r="AE101" s="8"/>
      <c r="AF101" s="78"/>
      <c r="AG101" s="181"/>
      <c r="AH101" s="78"/>
      <c r="AI101" s="78"/>
      <c r="AJ101" s="11"/>
      <c r="AK101" s="166"/>
      <c r="AL101" s="11"/>
      <c r="AP101" s="13" t="str">
        <f>IF(AR101&lt;&gt;"",1+COUNTIF(AP72:AP100,"1")+COUNTIF(AP72:AP100,"2")+COUNTIF(AP72:AP100,"3")+COUNTIF(AP72:AP100,"4")+COUNTIF(AP72:AP100,"5")+COUNTIF(AP72:AP100,"6")+COUNTIF(AP72:AP100,"7")+COUNTIF(AP72:AP100,"8")+COUNTIF(AP72:AP100,"9")+COUNTIF(AP72:AP100,"10")+COUNTIF(AP72:AP100,"11")+COUNTIF(AP72:AP100,"12")+COUNTIF(AP72:AP100,"13")+COUNTIF(AP72:AP100,"14")+COUNTIF(AP72:AP100,"15")+COUNTIF(AP72:AP100,"16")+COUNTIF(AP72:AP100,"17")+COUNTIF(AP72:AP100,"18")+COUNTIF(AP72:AP100,"19")+COUNTIF(AP72:AP100,"20")+COUNTIF(AP72:AP100,"21")+COUNTIF(AP72:AP100,"22")+COUNTIF(AP72:AP100,"23")+COUNTIF(AP72:AP100,"24")+COUNTIF(AP72:AP100,"25")+COUNTIF(AP72:AP100,"26")+COUNTIF(AP72:AP100,"27")+COUNTIF(AP72:AP100,"28")+COUNTIF(AP72:AP100,"29"),"")</f>
        <v/>
      </c>
      <c r="AQ101" s="14" t="str">
        <f t="shared" si="3"/>
        <v/>
      </c>
      <c r="AR101" s="21" t="str">
        <f>IF(AR85&lt;&gt;"",IF(C72=AR85,G74,IF(C74=AR85,G74,IF(C80=AR85,G82,IF(C82=AR85,G82,IF(C102=AR85,G104,IF(C104=AR85,G104,IF(C110=AR85,G112,IF(C112=AR85,G112,IF(C88=AR85,G90,IF(C90=AR85,G90,IF(C96=AR85,G98,IF(C98=AR85,G98,IF(C118=AR85,G120,IF(C120=AR85,G120,IF(C126=AR85,G128,IF(C128=AR85,G128,IF(AK72=AR85,AI74,IF(AK74=AR85,AI74,IF(AK80=AR85,AI82,IF(AK82=AR85,AI82,IF(AK102=AR85,AI104,IF(AK104=AR85,AI104,IF(AK110=AR85,AI112,IF(AK112=AR85,AI112,IF(AK88=AR85,AI90,IF(AK90=AR85,AI90,IF(AK96=AR85,AI98,IF(AK98=AR85,AI98,IF(AK118=AR85,AI120,IF(AK120=AR85,AI120,IF(AK126=AR85,AI128,IF(AK128=AR85,AI128)))))))))))))))))))))))))))))))),"")</f>
        <v/>
      </c>
      <c r="AS101" s="15" t="str">
        <f>IFERROR(IF(AR101="","",VLOOKUP(AR101,LISTAS!$F$5:$G$1004,2,0)),"0")</f>
        <v/>
      </c>
      <c r="AT101" s="15" t="str">
        <f t="shared" si="4"/>
        <v/>
      </c>
      <c r="AU101" s="15" t="str">
        <f t="shared" si="5"/>
        <v/>
      </c>
    </row>
    <row r="102" spans="2:47" ht="18" customHeight="1" thickBot="1" x14ac:dyDescent="0.3">
      <c r="B102" s="16">
        <v>5</v>
      </c>
      <c r="C102" s="169" t="str">
        <f>IF('13F GRP'!G5&gt;=3,'13F GRP'!J74,IF('13F GRP'!G5=2,"",IF('13F GRP'!G5=1,"","")))</f>
        <v>MARIA PIETRA FURUKAVA MONTEIRO</v>
      </c>
      <c r="D102" s="234">
        <v>2</v>
      </c>
      <c r="E102" s="51">
        <f>IF(D102&lt;&gt;"",D102,"")</f>
        <v>2</v>
      </c>
      <c r="F102" s="51" t="str">
        <f>IF(D102&lt;&gt;"",IF(C102="","",C102),"")</f>
        <v>MARIA PIETRA FURUKAVA MONTEIRO</v>
      </c>
      <c r="G102" s="176">
        <f>IF(E102&lt;&gt;"",IF(E104&lt;&gt;"",SMALL(E102:E104,1),""),"")</f>
        <v>0</v>
      </c>
      <c r="H102" s="11"/>
      <c r="I102" s="11"/>
      <c r="J102" s="11"/>
      <c r="K102" s="166"/>
      <c r="L102" s="11"/>
      <c r="M102" s="18"/>
      <c r="N102" s="8"/>
      <c r="O102" s="170" t="str">
        <f>IFERROR(IF(O101="","",VLOOKUP(O101,LISTAS!$F$5:$G$1004,2,0)),"0")</f>
        <v>COLÉGIO SÃO MAURO</v>
      </c>
      <c r="P102" s="235"/>
      <c r="Q102" s="60"/>
      <c r="R102" s="182"/>
      <c r="S102" s="8"/>
      <c r="T102" s="8"/>
      <c r="U102" s="8"/>
      <c r="V102" s="182"/>
      <c r="W102" s="8"/>
      <c r="X102" s="235"/>
      <c r="Y102" s="170" t="str">
        <f>IFERROR(IF(Y101="","",VLOOKUP(Y101,LISTAS!$F$5:$G$1004,2,0)),"0")</f>
        <v>ABACO IPIRANGA</v>
      </c>
      <c r="Z102" s="65"/>
      <c r="AA102" s="8"/>
      <c r="AB102" s="11"/>
      <c r="AC102" s="182"/>
      <c r="AD102" s="8"/>
      <c r="AE102" s="8"/>
      <c r="AF102" s="78"/>
      <c r="AG102" s="181">
        <f>IF(AJ102&lt;&gt;"",AJ102,"")</f>
        <v>0</v>
      </c>
      <c r="AH102" s="78" t="str">
        <f>IF(AJ102&lt;&gt;"",IF(AK102="","",AK102),"")</f>
        <v/>
      </c>
      <c r="AI102" s="51">
        <f>IF(AG102&lt;&gt;"",IF(AG104&lt;&gt;"",SMALL(AG102:AG104,1),""),"")</f>
        <v>0</v>
      </c>
      <c r="AJ102" s="234">
        <v>0</v>
      </c>
      <c r="AK102" s="169" t="str">
        <f>IF('13F GRP'!G5&gt;=3,'13F GRP'!J100,IF('13F GRP'!G5=2,"",IF('13F GRP'!G5=1,"","")))</f>
        <v/>
      </c>
      <c r="AL102" s="11">
        <v>7</v>
      </c>
      <c r="AP102" s="13" t="str">
        <f>IF(AR102&lt;&gt;"",1+COUNTIF(AP72:AP101,"1")+COUNTIF(AP72:AP101,"2")+COUNTIF(AP72:AP101,"3")+COUNTIF(AP72:AP101,"4")+COUNTIF(AP72:AP101,"5")+COUNTIF(AP72:AP101,"6")+COUNTIF(AP72:AP101,"7")+COUNTIF(AP72:AP101,"8")+COUNTIF(AP72:AP101,"9")+COUNTIF(AP72:AP101,"10")+COUNTIF(AP72:AP101,"11")+COUNTIF(AP72:AP101,"12")+COUNTIF(AP72:AP101,"13")+COUNTIF(AP72:AP101,"14")+COUNTIF(AP72:AP101,"15")+COUNTIF(AP72:AP101,"16")+COUNTIF(AP72:AP101,"17")+COUNTIF(AP72:AP101,"18")+COUNTIF(AP72:AP101,"19")+COUNTIF(AP72:AP101,"20")+COUNTIF(AP72:AP101,"21")+COUNTIF(AP72:AP101,"22")+COUNTIF(AP72:AP101,"23")+COUNTIF(AP72:AP101,"24")+COUNTIF(AP72:AP101,"25")+COUNTIF(AP72:AP101,"26")+COUNTIF(AP72:AP101,"27")+COUNTIF(AP72:AP101,"28")+COUNTIF(AP72:AP101,"29")+COUNTIF(AP72:AP101,"30"),"")</f>
        <v/>
      </c>
      <c r="AQ102" s="14" t="str">
        <f t="shared" si="3"/>
        <v/>
      </c>
      <c r="AR102" s="21" t="str">
        <f>IF(AR86&lt;&gt;"",IF(C72=AR86,G74,IF(C74=AR86,G74,IF(C80=AR86,G82,IF(C82=AR86,G82,IF(C102=AR86,G104,IF(C104=AR86,G104,IF(C110=AR86,G112,IF(C112=AR86,G112,IF(C88=AR86,G90,IF(C90=AR86,G90,IF(C96=AR86,G98,IF(C98=AR86,G98,IF(C118=AR86,G120,IF(C120=AR86,G120,IF(C126=AR86,G128,IF(C128=AR86,G128,IF(AK72=AR86,AI74,IF(AK74=AR86,AI74,IF(AK80=AR86,AI82,IF(AK82=AR86,AI82,IF(AK102=AR86,AI104,IF(AK104=AR86,AI104,IF(AK110=AR86,AI112,IF(AK112=AR86,AI112,IF(AK88=AR86,AI90,IF(AK90=AR86,AI90,IF(AK96=AR86,AI98,IF(AK98=AR86,AI98,IF(AK118=AR86,AI120,IF(AK120=AR86,AI120,IF(AK126=AR86,AI128,IF(AK128=AR86,AI128)))))))))))))))))))))))))))))))),"")</f>
        <v/>
      </c>
      <c r="AS102" s="15" t="str">
        <f>IFERROR(IF(AR102="","",VLOOKUP(AR102,LISTAS!$F$5:$G$1004,2,0)),"0")</f>
        <v/>
      </c>
      <c r="AT102" s="15" t="str">
        <f t="shared" si="4"/>
        <v/>
      </c>
      <c r="AU102" s="15" t="str">
        <f t="shared" si="5"/>
        <v/>
      </c>
    </row>
    <row r="103" spans="2:47" ht="18" customHeight="1" thickBot="1" x14ac:dyDescent="0.3">
      <c r="B103" s="16"/>
      <c r="C103" s="170" t="str">
        <f>IFERROR(IF(C102="","",VLOOKUP(C102,LISTAS!$F$5:$G$1004,2,0)),"0")</f>
        <v>COLÉGIO SÃO MAURO</v>
      </c>
      <c r="D103" s="235"/>
      <c r="E103" s="51"/>
      <c r="F103" s="51"/>
      <c r="G103" s="176"/>
      <c r="H103" s="11"/>
      <c r="I103" s="11"/>
      <c r="J103" s="11"/>
      <c r="K103" s="166"/>
      <c r="L103" s="11"/>
      <c r="M103" s="18"/>
      <c r="N103" s="8"/>
      <c r="O103" s="182"/>
      <c r="P103" s="8"/>
      <c r="Q103" s="60"/>
      <c r="R103" s="182"/>
      <c r="S103" s="8"/>
      <c r="T103" s="8"/>
      <c r="U103" s="8"/>
      <c r="V103" s="182"/>
      <c r="W103" s="8"/>
      <c r="X103" s="62"/>
      <c r="Y103" s="182"/>
      <c r="Z103" s="65"/>
      <c r="AA103" s="8"/>
      <c r="AB103" s="11"/>
      <c r="AC103" s="182"/>
      <c r="AD103" s="8"/>
      <c r="AE103" s="8"/>
      <c r="AF103" s="78"/>
      <c r="AG103" s="181"/>
      <c r="AH103" s="78"/>
      <c r="AI103" s="51"/>
      <c r="AJ103" s="235"/>
      <c r="AK103" s="170" t="str">
        <f>IFERROR(IF(AK102="","",VLOOKUP(AK102,LISTAS!$F$5:$G$1004,2,0)),"0")</f>
        <v/>
      </c>
      <c r="AL103" s="11"/>
      <c r="AP103" s="13" t="str">
        <f>IF(AR103&lt;&gt;"",1+COUNTIF(AP72:AP102,"1")+COUNTIF(AP72:AP102,"2")+COUNTIF(AP72:AP102,"3")+COUNTIF(AP72:AP102,"4")+COUNTIF(AP72:AP102,"5")+COUNTIF(AP72:AP102,"6")+COUNTIF(AP72:AP102,"7")+COUNTIF(AP72:AP102,"8")+COUNTIF(AP72:AP102,"9")+COUNTIF(AP72:AP102,"10")+COUNTIF(AP72:AP102,"11")+COUNTIF(AP72:AP102,"12")+COUNTIF(AP72:AP102,"13")+COUNTIF(AP72:AP102,"14")+COUNTIF(AP72:AP102,"15")+COUNTIF(AP72:AP102,"16")+COUNTIF(AP72:AP102,"17")+COUNTIF(AP72:AP102,"18")+COUNTIF(AP72:AP102,"19")+COUNTIF(AP72:AP102,"20")+COUNTIF(AP72:AP102,"21")+COUNTIF(AP72:AP102,"22")+COUNTIF(AP72:AP102,"23")+COUNTIF(AP72:AP102,"24")+COUNTIF(AP72:AP102,"25")+COUNTIF(AP72:AP102,"26")+COUNTIF(AP72:AP102,"27")+COUNTIF(AP72:AP102,"28")+COUNTIF(AP72:AP102,"29")+COUNTIF(AP72:AP102,"30")+COUNTIF(AP72:AP102,"31"),"")</f>
        <v/>
      </c>
      <c r="AQ103" s="14" t="str">
        <f t="shared" si="3"/>
        <v/>
      </c>
      <c r="AR103" s="21" t="str">
        <f>IF(AR87&lt;&gt;"",IF(C72=AR87,G74,IF(C74=AR87,G74,IF(C80=AR87,G82,IF(C82=AR87,G82,IF(C102=AR87,G104,IF(C104=AR87,G104,IF(C110=AR87,G112,IF(C112=AR87,G112,IF(C88=AR87,G90,IF(C90=AR87,G90,IF(C96=AR87,G98,IF(C98=AR87,G98,IF(C118=AR87,G120,IF(C120=AR87,G120,IF(C126=AR87,G128,IF(C128=AR87,G128,IF(AK72=AR87,AI74,IF(AK74=AR87,AI74,IF(AK80=AR87,AI82,IF(AK82=AR87,AI82,IF(AK102=AR87,AI104,IF(AK104=AR87,AI104,IF(AK110=AR87,AI112,IF(AK112=AR87,AI112,IF(AK88=AR87,AI90,IF(AK90=AR87,AI90,IF(AK96=AR87,AI98,IF(AK98=AR87,AI98,IF(AK118=AR87,AI120,IF(AK120=AR87,AI120,IF(AK126=AR87,AI128,IF(AK128=AR87,AI128)))))))))))))))))))))))))))))))),"")</f>
        <v/>
      </c>
      <c r="AS103" s="15" t="str">
        <f>IFERROR(IF(AR103="","",VLOOKUP(AR103,LISTAS!$F$5:$G$1004,2,0)),"0")</f>
        <v/>
      </c>
      <c r="AT103" s="15" t="str">
        <f>IF(AP103="","",IF(AP103=1,180,IF(AP103=2,170,IF(AP103=3,150,IF(AP103=4,140,IF(AP103=5,135,IF(AP103=6,130,IF(AP103=7,120,IF(AP103=8,110,IF(AP103=9,105,IF(AP103=10,105,IF(AP103=11,105,IF(AP103=12,105,IF(AP103=13,105,IF(AP103=14,105,IF(AP103=15,105,IF(AP103=16,105,IF(AP103&gt;16,"",""))))))))))))))))))</f>
        <v/>
      </c>
      <c r="AU103" s="15" t="str">
        <f>IF(AP103="","",IF($AS$5="NÃO","",IF(AP103=1,180,IF(AP103=2,170,IF(AP103=3,150,IF(AP103=4,140,IF(AP103=5,135,IF(AP103=6,130,IF(AP103=7,120,IF(AP103=8,110,IF(AP103=9,105,IF(AP103=10,105,IF(AP103=11,105,IF(AP103=12,105,IF(AP103=13,105,IF(AP103=14,105,IF(AP103=15,105,IF(AP103=16,105,IF(AP103&gt;16,"","")))))))))))))))))))</f>
        <v/>
      </c>
    </row>
    <row r="104" spans="2:47" ht="18" customHeight="1" x14ac:dyDescent="0.25">
      <c r="B104" s="16">
        <v>28</v>
      </c>
      <c r="C104" s="169" t="str">
        <f>IF('13F GRP'!G5&gt;=3,'13F GRP'!J373,IF('13F GRP'!G5=2,"",IF('13F GRP'!G5=1,"","")))</f>
        <v/>
      </c>
      <c r="D104" s="234">
        <v>0</v>
      </c>
      <c r="E104" s="52">
        <f>IF(D104&lt;&gt;"",D104,"")</f>
        <v>0</v>
      </c>
      <c r="F104" s="51" t="str">
        <f>IF(D104&lt;&gt;"",IF(C104="","",C104),"")</f>
        <v/>
      </c>
      <c r="G104" s="176" t="str">
        <f>VLOOKUP(G102,E102:F104,2,0)</f>
        <v/>
      </c>
      <c r="H104" s="11"/>
      <c r="I104" s="51"/>
      <c r="J104" s="51"/>
      <c r="K104" s="176"/>
      <c r="L104" s="51"/>
      <c r="M104" s="54"/>
      <c r="N104" s="51">
        <f>IF(P99&lt;&gt;"",P99,"")</f>
        <v>0</v>
      </c>
      <c r="O104" s="176" t="str">
        <f>IF(P99&lt;&gt;"",O99,"")</f>
        <v>AMANDA SOPHIA PIROZZI</v>
      </c>
      <c r="P104" s="51">
        <f>IF(N104&lt;&gt;"",IF(N106&lt;&gt;"",LARGE(N104:N106,1),""),"")</f>
        <v>1</v>
      </c>
      <c r="Q104" s="78"/>
      <c r="R104" s="181"/>
      <c r="S104" s="8"/>
      <c r="T104" s="8"/>
      <c r="U104" s="8"/>
      <c r="V104" s="182"/>
      <c r="W104" s="8"/>
      <c r="X104" s="62"/>
      <c r="Y104" s="182"/>
      <c r="Z104" s="65"/>
      <c r="AA104" s="8"/>
      <c r="AB104" s="11"/>
      <c r="AC104" s="182"/>
      <c r="AD104" s="8"/>
      <c r="AE104" s="8"/>
      <c r="AF104" s="78"/>
      <c r="AG104" s="181">
        <f>IF(AJ104&lt;&gt;"",AJ104,"")</f>
        <v>0</v>
      </c>
      <c r="AH104" s="78" t="str">
        <f>IF(AJ104&lt;&gt;"",IF(AK104="","",AK104),"")</f>
        <v/>
      </c>
      <c r="AI104" s="55" t="str">
        <f>VLOOKUP(AI102,AG102:AH104,2,0)</f>
        <v/>
      </c>
      <c r="AJ104" s="234">
        <v>0</v>
      </c>
      <c r="AK104" s="169" t="str">
        <f>IF('13F GRP'!G5&gt;=3,'13F GRP'!J347,IF('13F GRP'!G5=2,"",IF('13F GRP'!G5=1,"","")))</f>
        <v/>
      </c>
      <c r="AL104" s="11">
        <v>26</v>
      </c>
    </row>
    <row r="105" spans="2:47" ht="18" customHeight="1" thickBot="1" x14ac:dyDescent="0.3">
      <c r="B105" s="16"/>
      <c r="C105" s="170" t="str">
        <f>IFERROR(IF(C104="","",VLOOKUP(C104,LISTAS!$F$5:$G$1004,2,0)),"0")</f>
        <v/>
      </c>
      <c r="D105" s="235"/>
      <c r="E105" s="121"/>
      <c r="F105" s="11"/>
      <c r="G105" s="166"/>
      <c r="H105" s="11"/>
      <c r="I105" s="51"/>
      <c r="J105" s="51"/>
      <c r="K105" s="176"/>
      <c r="L105" s="51"/>
      <c r="M105" s="54"/>
      <c r="N105" s="51"/>
      <c r="O105" s="176"/>
      <c r="P105" s="51"/>
      <c r="Q105" s="78"/>
      <c r="R105" s="181"/>
      <c r="S105" s="8"/>
      <c r="T105" s="8"/>
      <c r="U105" s="8"/>
      <c r="V105" s="182"/>
      <c r="W105" s="8"/>
      <c r="X105" s="62"/>
      <c r="Y105" s="182"/>
      <c r="Z105" s="65"/>
      <c r="AA105" s="8"/>
      <c r="AB105" s="11"/>
      <c r="AC105" s="182"/>
      <c r="AD105" s="8"/>
      <c r="AE105" s="8"/>
      <c r="AF105" s="78"/>
      <c r="AG105" s="181"/>
      <c r="AH105" s="78"/>
      <c r="AI105" s="123"/>
      <c r="AJ105" s="235"/>
      <c r="AK105" s="170" t="str">
        <f>IFERROR(IF(AK104="","",VLOOKUP(AK104,LISTAS!$F$5:$G$1004,2,0)),"0")</f>
        <v/>
      </c>
      <c r="AL105" s="11"/>
    </row>
    <row r="106" spans="2:47" ht="18" customHeight="1" x14ac:dyDescent="0.25">
      <c r="B106" s="16"/>
      <c r="C106" s="166"/>
      <c r="D106" s="11"/>
      <c r="E106" s="11"/>
      <c r="F106" s="17"/>
      <c r="G106" s="169" t="str">
        <f>IF(D102&lt;&gt;"",IF(D104&lt;&gt;"",IF(D102=D104,"",IF(D102&gt;D104,C102,C104)),""),"")</f>
        <v>MARIA PIETRA FURUKAVA MONTEIRO</v>
      </c>
      <c r="H106" s="234">
        <v>2</v>
      </c>
      <c r="I106" s="51">
        <f>IF(H106&lt;&gt;"",H106,"")</f>
        <v>2</v>
      </c>
      <c r="J106" s="51" t="str">
        <f>IF(H106&lt;&gt;"",IF(G106="","",G106),"")</f>
        <v>MARIA PIETRA FURUKAVA MONTEIRO</v>
      </c>
      <c r="K106" s="176">
        <f>IF(I106&lt;&gt;"",IF(I108&lt;&gt;"",SMALL(I106:J108,1),""),"")</f>
        <v>0</v>
      </c>
      <c r="L106" s="51"/>
      <c r="M106" s="54"/>
      <c r="N106" s="51">
        <f>IF(P101&lt;&gt;"",P101,"")</f>
        <v>1</v>
      </c>
      <c r="O106" s="176" t="str">
        <f>IF(P101&lt;&gt;"",O101,"")</f>
        <v>MARIA PIETRA FURUKAVA MONTEIRO</v>
      </c>
      <c r="P106" s="51" t="str">
        <f>VLOOKUP(P104,N104:O106,2,0)</f>
        <v>MARIA PIETRA FURUKAVA MONTEIRO</v>
      </c>
      <c r="Q106" s="78"/>
      <c r="R106" s="181"/>
      <c r="S106" s="8"/>
      <c r="T106" s="8"/>
      <c r="U106" s="8"/>
      <c r="V106" s="182"/>
      <c r="W106" s="8"/>
      <c r="X106" s="62"/>
      <c r="Y106" s="182"/>
      <c r="Z106" s="65"/>
      <c r="AA106" s="8"/>
      <c r="AB106" s="11"/>
      <c r="AC106" s="182"/>
      <c r="AD106" s="8"/>
      <c r="AE106" s="67"/>
      <c r="AF106" s="234">
        <v>0</v>
      </c>
      <c r="AG106" s="169" t="str">
        <f>IF(AJ102&lt;&gt;"",IF(AJ104&lt;&gt;"",IF(AJ102=AJ104,"",IF(AJ102&gt;AJ104,AK102,AK104)),""),"")</f>
        <v/>
      </c>
      <c r="AH106" s="65"/>
      <c r="AI106" s="8"/>
      <c r="AJ106" s="11"/>
      <c r="AK106" s="166"/>
      <c r="AL106" s="11"/>
    </row>
    <row r="107" spans="2:47" ht="18" customHeight="1" thickBot="1" x14ac:dyDescent="0.3">
      <c r="B107" s="16"/>
      <c r="C107" s="166"/>
      <c r="D107" s="11"/>
      <c r="E107" s="11"/>
      <c r="F107" s="17"/>
      <c r="G107" s="170" t="str">
        <f>IFERROR(IF(G106="","",VLOOKUP(G106,LISTAS!$F$5:$G$1004,2,0)),"0")</f>
        <v>COLÉGIO SÃO MAURO</v>
      </c>
      <c r="H107" s="235"/>
      <c r="I107" s="51"/>
      <c r="J107" s="51"/>
      <c r="K107" s="176"/>
      <c r="L107" s="51"/>
      <c r="M107" s="54"/>
      <c r="N107" s="51"/>
      <c r="O107" s="176"/>
      <c r="P107" s="51"/>
      <c r="Q107" s="78"/>
      <c r="R107" s="181"/>
      <c r="S107" s="8"/>
      <c r="T107" s="8"/>
      <c r="U107" s="8"/>
      <c r="V107" s="182"/>
      <c r="W107" s="8"/>
      <c r="X107" s="62"/>
      <c r="Y107" s="182"/>
      <c r="Z107" s="65"/>
      <c r="AA107" s="8"/>
      <c r="AB107" s="11"/>
      <c r="AC107" s="182"/>
      <c r="AD107" s="8"/>
      <c r="AE107" s="67"/>
      <c r="AF107" s="235"/>
      <c r="AG107" s="170" t="str">
        <f>IFERROR(IF(AG106="","",VLOOKUP(AG106,LISTAS!$F$5:$G$1004,2,0)),"0")</f>
        <v/>
      </c>
      <c r="AH107" s="65"/>
      <c r="AI107" s="8"/>
      <c r="AJ107" s="11"/>
      <c r="AK107" s="166"/>
      <c r="AL107" s="11"/>
    </row>
    <row r="108" spans="2:47" ht="18" customHeight="1" x14ac:dyDescent="0.25">
      <c r="B108" s="16"/>
      <c r="C108" s="166"/>
      <c r="D108" s="11"/>
      <c r="E108" s="18"/>
      <c r="F108" s="19"/>
      <c r="G108" s="169" t="str">
        <f>IF(D110&lt;&gt;"",IF(D112&lt;&gt;"",IF(D110=D112,"",IF(D110&gt;D112,C110,C112)),""),"")</f>
        <v/>
      </c>
      <c r="H108" s="234">
        <v>0</v>
      </c>
      <c r="I108" s="52">
        <f>IF(H108&lt;&gt;"",H108,"")</f>
        <v>0</v>
      </c>
      <c r="J108" s="51" t="str">
        <f>IF(H108&lt;&gt;"",IF(G108="","",G108),"")</f>
        <v/>
      </c>
      <c r="K108" s="176" t="str">
        <f>VLOOKUP(K106,I106:J108,2,0)</f>
        <v/>
      </c>
      <c r="L108" s="51"/>
      <c r="M108" s="54"/>
      <c r="N108" s="51">
        <f>IF(P99&lt;&gt;"",P99,"")</f>
        <v>0</v>
      </c>
      <c r="O108" s="176" t="str">
        <f>IF(P99&lt;&gt;"",O99,"")</f>
        <v>AMANDA SOPHIA PIROZZI</v>
      </c>
      <c r="P108" s="51">
        <f>IF(N108&lt;&gt;"",IF(N110&lt;&gt;"",SMALL(N108:N110,1),""),"")</f>
        <v>0</v>
      </c>
      <c r="Q108" s="78"/>
      <c r="R108" s="181"/>
      <c r="S108" s="8"/>
      <c r="T108" s="8"/>
      <c r="U108" s="8"/>
      <c r="V108" s="182"/>
      <c r="W108" s="8"/>
      <c r="X108" s="62"/>
      <c r="Y108" s="182"/>
      <c r="Z108" s="65"/>
      <c r="AA108" s="8"/>
      <c r="AB108" s="11"/>
      <c r="AC108" s="182"/>
      <c r="AD108" s="65"/>
      <c r="AE108" s="68"/>
      <c r="AF108" s="234">
        <v>0</v>
      </c>
      <c r="AG108" s="169" t="str">
        <f>IF(AJ110&lt;&gt;"",IF(AJ112&lt;&gt;"",IF(AJ110=AJ112,"",IF(AJ110&gt;AJ112,AK110,AK112)),""),"")</f>
        <v/>
      </c>
      <c r="AH108" s="66"/>
      <c r="AI108" s="8"/>
      <c r="AJ108" s="11"/>
      <c r="AK108" s="166"/>
      <c r="AL108" s="11"/>
    </row>
    <row r="109" spans="2:47" ht="18" customHeight="1" thickBot="1" x14ac:dyDescent="0.3">
      <c r="B109" s="16"/>
      <c r="C109" s="166"/>
      <c r="D109" s="11"/>
      <c r="E109" s="18"/>
      <c r="F109" s="11"/>
      <c r="G109" s="170" t="str">
        <f>IFERROR(IF(G108="","",VLOOKUP(G108,LISTAS!$F$5:$G$1004,2,0)),"0")</f>
        <v/>
      </c>
      <c r="H109" s="235"/>
      <c r="I109" s="54"/>
      <c r="J109" s="51"/>
      <c r="K109" s="176"/>
      <c r="L109" s="51"/>
      <c r="M109" s="54"/>
      <c r="N109" s="51"/>
      <c r="O109" s="176"/>
      <c r="P109" s="51"/>
      <c r="Q109" s="78"/>
      <c r="R109" s="181"/>
      <c r="S109" s="8"/>
      <c r="T109" s="8"/>
      <c r="U109" s="8"/>
      <c r="V109" s="182"/>
      <c r="W109" s="8"/>
      <c r="X109" s="62"/>
      <c r="Y109" s="182"/>
      <c r="Z109" s="8"/>
      <c r="AA109" s="69"/>
      <c r="AB109" s="11"/>
      <c r="AC109" s="182"/>
      <c r="AD109" s="65"/>
      <c r="AE109" s="8"/>
      <c r="AF109" s="235"/>
      <c r="AG109" s="170" t="str">
        <f>IFERROR(IF(AG108="","",VLOOKUP(AG108,LISTAS!$F$5:$G$1004,2,0)),"0")</f>
        <v/>
      </c>
      <c r="AH109" s="8"/>
      <c r="AI109" s="69"/>
      <c r="AJ109" s="11"/>
      <c r="AK109" s="166"/>
      <c r="AL109" s="11"/>
    </row>
    <row r="110" spans="2:47" ht="18" customHeight="1" x14ac:dyDescent="0.25">
      <c r="B110" s="16">
        <v>12</v>
      </c>
      <c r="C110" s="169" t="str">
        <f>IF('13F GRP'!G5&gt;=3,'13F GRP'!J165,IF('13F GRP'!G5=2,"",IF('13F GRP'!G5=1,"","")))</f>
        <v/>
      </c>
      <c r="D110" s="234">
        <v>0</v>
      </c>
      <c r="E110" s="56">
        <f>IF(D110&lt;&gt;"",D110,"")</f>
        <v>0</v>
      </c>
      <c r="F110" s="51" t="str">
        <f>IF(D110&lt;&gt;"",IF(C110="","",C110),"")</f>
        <v/>
      </c>
      <c r="G110" s="176">
        <f>IF(E110&lt;&gt;"",IF(E112&lt;&gt;"",SMALL(E110:E112,1),""),"")</f>
        <v>0</v>
      </c>
      <c r="H110" s="11"/>
      <c r="I110" s="54"/>
      <c r="J110" s="51"/>
      <c r="K110" s="176"/>
      <c r="L110" s="51"/>
      <c r="M110" s="54"/>
      <c r="N110" s="51">
        <f>IF(P101&lt;&gt;"",P101,"")</f>
        <v>1</v>
      </c>
      <c r="O110" s="176" t="str">
        <f>IF(P101&lt;&gt;"",O101,"")</f>
        <v>MARIA PIETRA FURUKAVA MONTEIRO</v>
      </c>
      <c r="P110" s="51" t="str">
        <f>VLOOKUP(P108,N108:O110,2,0)</f>
        <v>AMANDA SOPHIA PIROZZI</v>
      </c>
      <c r="Q110" s="78"/>
      <c r="R110" s="181"/>
      <c r="S110" s="8"/>
      <c r="T110" s="8"/>
      <c r="U110" s="8"/>
      <c r="V110" s="182"/>
      <c r="W110" s="8"/>
      <c r="X110" s="62"/>
      <c r="Y110" s="182"/>
      <c r="Z110" s="8"/>
      <c r="AA110" s="69"/>
      <c r="AB110" s="11"/>
      <c r="AC110" s="182"/>
      <c r="AD110" s="65"/>
      <c r="AE110" s="8"/>
      <c r="AF110" s="78"/>
      <c r="AG110" s="181">
        <f>IF(AJ110&lt;&gt;"",AJ110,"")</f>
        <v>0</v>
      </c>
      <c r="AH110" s="78" t="str">
        <f>IF(AJ110&lt;&gt;"",IF(AK110="","",AK110),"")</f>
        <v/>
      </c>
      <c r="AI110" s="53">
        <f>IF(AG110&lt;&gt;"",IF(AG112&lt;&gt;"",SMALL(AG110:AG112,1),""),"")</f>
        <v>0</v>
      </c>
      <c r="AJ110" s="234">
        <v>0</v>
      </c>
      <c r="AK110" s="169" t="str">
        <f>IF('13F GRP'!G5&gt;=3,'13F GRP'!J139,IF('13F GRP'!G5=2,"",IF('13F GRP'!G5=1,"","")))</f>
        <v/>
      </c>
      <c r="AL110" s="11">
        <v>10</v>
      </c>
    </row>
    <row r="111" spans="2:47" ht="18" customHeight="1" thickBot="1" x14ac:dyDescent="0.3">
      <c r="B111" s="16"/>
      <c r="C111" s="170" t="str">
        <f>IFERROR(IF(C110="","",VLOOKUP(C110,LISTAS!$F$5:$G$1004,2,0)),"0")</f>
        <v/>
      </c>
      <c r="D111" s="235"/>
      <c r="E111" s="57"/>
      <c r="F111" s="51"/>
      <c r="G111" s="176"/>
      <c r="H111" s="11"/>
      <c r="I111" s="54"/>
      <c r="J111" s="51"/>
      <c r="K111" s="176"/>
      <c r="L111" s="51"/>
      <c r="M111" s="54"/>
      <c r="N111" s="51"/>
      <c r="O111" s="176"/>
      <c r="P111" s="51"/>
      <c r="Q111" s="78"/>
      <c r="R111" s="181"/>
      <c r="S111" s="8"/>
      <c r="T111" s="8"/>
      <c r="U111" s="8"/>
      <c r="V111" s="182"/>
      <c r="W111" s="8"/>
      <c r="X111" s="62"/>
      <c r="Y111" s="182"/>
      <c r="Z111" s="8"/>
      <c r="AA111" s="69"/>
      <c r="AB111" s="11"/>
      <c r="AC111" s="182"/>
      <c r="AD111" s="65"/>
      <c r="AE111" s="8"/>
      <c r="AF111" s="78"/>
      <c r="AG111" s="181"/>
      <c r="AH111" s="78"/>
      <c r="AI111" s="124"/>
      <c r="AJ111" s="235"/>
      <c r="AK111" s="170" t="str">
        <f>IFERROR(IF(AK110="","",VLOOKUP(AK110,LISTAS!$F$5:$G$1004,2,0)),"0")</f>
        <v/>
      </c>
      <c r="AL111" s="11"/>
    </row>
    <row r="112" spans="2:47" ht="18" customHeight="1" x14ac:dyDescent="0.25">
      <c r="B112" s="16">
        <v>21</v>
      </c>
      <c r="C112" s="169" t="str">
        <f>IF('13F GRP'!G5&gt;=3,'13F GRP'!J282,IF('13F GRP'!G5=2,"",IF('13F GRP'!G5=1,"","")))</f>
        <v/>
      </c>
      <c r="D112" s="234">
        <v>0</v>
      </c>
      <c r="E112" s="57">
        <f>IF(D112&lt;&gt;"",D112,"")</f>
        <v>0</v>
      </c>
      <c r="F112" s="51" t="str">
        <f>IF(D112&lt;&gt;"",IF(C112="","",C112),"")</f>
        <v/>
      </c>
      <c r="G112" s="176" t="str">
        <f>VLOOKUP(G110,E110:F112,2,0)</f>
        <v/>
      </c>
      <c r="H112" s="11"/>
      <c r="I112" s="18"/>
      <c r="J112" s="11"/>
      <c r="K112" s="166"/>
      <c r="L112" s="11"/>
      <c r="M112" s="18"/>
      <c r="N112" s="11"/>
      <c r="O112" s="166"/>
      <c r="P112" s="11"/>
      <c r="Q112" s="8"/>
      <c r="R112" s="182"/>
      <c r="S112" s="8"/>
      <c r="T112" s="8"/>
      <c r="U112" s="8"/>
      <c r="V112" s="182"/>
      <c r="W112" s="8"/>
      <c r="X112" s="62"/>
      <c r="Y112" s="182"/>
      <c r="Z112" s="8"/>
      <c r="AA112" s="69"/>
      <c r="AB112" s="11"/>
      <c r="AC112" s="182"/>
      <c r="AD112" s="65"/>
      <c r="AE112" s="8"/>
      <c r="AF112" s="78"/>
      <c r="AG112" s="181">
        <f>IF(AJ112&lt;&gt;"",AJ112,"")</f>
        <v>0</v>
      </c>
      <c r="AH112" s="78" t="str">
        <f>IF(AJ112&lt;&gt;"",IF(AK112="","",AK112),"")</f>
        <v/>
      </c>
      <c r="AI112" s="125" t="str">
        <f>VLOOKUP(AI110,AG110:AH112,2,0)</f>
        <v/>
      </c>
      <c r="AJ112" s="234">
        <v>0</v>
      </c>
      <c r="AK112" s="169" t="str">
        <f>IF('13F GRP'!G5&gt;=3,'13F GRP'!J308,IF('13F GRP'!G5=2,"",IF('13F GRP'!G5=1,"","")))</f>
        <v/>
      </c>
      <c r="AL112" s="11">
        <v>23</v>
      </c>
    </row>
    <row r="113" spans="2:38" ht="18" customHeight="1" thickBot="1" x14ac:dyDescent="0.3">
      <c r="B113" s="16"/>
      <c r="C113" s="170" t="str">
        <f>IFERROR(IF(C112="","",VLOOKUP(C112,LISTAS!$F$5:$G$1004,2,0)),"0")</f>
        <v/>
      </c>
      <c r="D113" s="235"/>
      <c r="E113" s="51"/>
      <c r="F113" s="51"/>
      <c r="G113" s="176"/>
      <c r="H113" s="11"/>
      <c r="I113" s="18"/>
      <c r="J113" s="11"/>
      <c r="K113" s="166"/>
      <c r="L113" s="11"/>
      <c r="M113" s="18"/>
      <c r="N113" s="11"/>
      <c r="O113" s="166"/>
      <c r="P113" s="11"/>
      <c r="Q113" s="8"/>
      <c r="R113" s="182"/>
      <c r="S113" s="8"/>
      <c r="T113" s="8"/>
      <c r="U113" s="8"/>
      <c r="V113" s="182"/>
      <c r="W113" s="8"/>
      <c r="X113" s="62"/>
      <c r="Y113" s="182"/>
      <c r="Z113" s="8"/>
      <c r="AA113" s="69"/>
      <c r="AB113" s="11"/>
      <c r="AC113" s="182"/>
      <c r="AD113" s="65"/>
      <c r="AE113" s="8"/>
      <c r="AF113" s="78"/>
      <c r="AG113" s="181"/>
      <c r="AH113" s="78"/>
      <c r="AI113" s="51"/>
      <c r="AJ113" s="235"/>
      <c r="AK113" s="170" t="str">
        <f>IFERROR(IF(AK112="","",VLOOKUP(AK112,LISTAS!$F$5:$G$1004,2,0)),"0")</f>
        <v/>
      </c>
      <c r="AL113" s="11"/>
    </row>
    <row r="114" spans="2:38" ht="18" customHeight="1" x14ac:dyDescent="0.25">
      <c r="B114" s="16"/>
      <c r="C114" s="166"/>
      <c r="D114" s="11"/>
      <c r="E114" s="11"/>
      <c r="F114" s="11"/>
      <c r="G114" s="166"/>
      <c r="H114" s="11"/>
      <c r="I114" s="18"/>
      <c r="J114" s="11"/>
      <c r="K114" s="169" t="str">
        <f>IF(H106&lt;&gt;"",IF(H108&lt;&gt;"",IF(H106=H108,"",IF(H106&gt;H108,G106,G108)),""),"")</f>
        <v>MARIA PIETRA FURUKAVA MONTEIRO</v>
      </c>
      <c r="L114" s="234">
        <v>1</v>
      </c>
      <c r="M114" s="56">
        <f>IF(L114&lt;&gt;"",L114,"")</f>
        <v>1</v>
      </c>
      <c r="N114" s="51" t="str">
        <f>IF(L114&lt;&gt;"",IF(K114="","",K114),"")</f>
        <v>MARIA PIETRA FURUKAVA MONTEIRO</v>
      </c>
      <c r="O114" s="176">
        <f>IF(M114&lt;&gt;"",IF(M116&lt;&gt;"",SMALL(M114:N116,1),""),"")</f>
        <v>0</v>
      </c>
      <c r="P114" s="11"/>
      <c r="Q114" s="8"/>
      <c r="R114" s="182"/>
      <c r="S114" s="8"/>
      <c r="T114" s="8"/>
      <c r="U114" s="8"/>
      <c r="V114" s="182"/>
      <c r="W114" s="8"/>
      <c r="X114" s="62"/>
      <c r="Y114" s="182"/>
      <c r="Z114" s="8"/>
      <c r="AA114" s="70"/>
      <c r="AB114" s="234">
        <v>0</v>
      </c>
      <c r="AC114" s="169" t="str">
        <f>IF(AF106&lt;&gt;"",IF(AF108&lt;&gt;"",IF(AF106=AF108,"",IF(AF106&gt;AF108,AG106,AG108)),""),"")</f>
        <v/>
      </c>
      <c r="AD114" s="112"/>
      <c r="AE114" s="8"/>
      <c r="AF114" s="78"/>
      <c r="AG114" s="181"/>
      <c r="AH114" s="78"/>
      <c r="AI114" s="78"/>
      <c r="AJ114" s="11"/>
      <c r="AK114" s="166"/>
      <c r="AL114" s="11"/>
    </row>
    <row r="115" spans="2:38" ht="18" customHeight="1" thickBot="1" x14ac:dyDescent="0.3">
      <c r="B115" s="16"/>
      <c r="C115" s="166"/>
      <c r="D115" s="11"/>
      <c r="E115" s="11"/>
      <c r="F115" s="11"/>
      <c r="G115" s="166"/>
      <c r="H115" s="11"/>
      <c r="I115" s="18"/>
      <c r="J115" s="11"/>
      <c r="K115" s="170" t="str">
        <f>IFERROR(IF(K114="","",VLOOKUP(K114,LISTAS!$F$5:$G$1004,2,0)),"0")</f>
        <v>COLÉGIO SÃO MAURO</v>
      </c>
      <c r="L115" s="235"/>
      <c r="M115" s="57"/>
      <c r="N115" s="51"/>
      <c r="O115" s="176"/>
      <c r="P115" s="11"/>
      <c r="Q115" s="8"/>
      <c r="R115" s="182"/>
      <c r="S115" s="8"/>
      <c r="T115" s="8"/>
      <c r="U115" s="8"/>
      <c r="V115" s="182"/>
      <c r="W115" s="8"/>
      <c r="X115" s="62"/>
      <c r="Y115" s="182"/>
      <c r="Z115" s="8"/>
      <c r="AA115" s="8"/>
      <c r="AB115" s="235"/>
      <c r="AC115" s="170" t="str">
        <f>IFERROR(IF(AC114="","",VLOOKUP(AC114,LISTAS!$F$5:$G$1004,2,0)),"0")</f>
        <v/>
      </c>
      <c r="AD115" s="8"/>
      <c r="AE115" s="69"/>
      <c r="AF115" s="78"/>
      <c r="AG115" s="181"/>
      <c r="AH115" s="78"/>
      <c r="AI115" s="78"/>
      <c r="AJ115" s="11"/>
      <c r="AK115" s="166"/>
      <c r="AL115" s="11"/>
    </row>
    <row r="116" spans="2:38" ht="18" customHeight="1" x14ac:dyDescent="0.25">
      <c r="B116" s="16"/>
      <c r="C116" s="166"/>
      <c r="D116" s="11"/>
      <c r="E116" s="11"/>
      <c r="F116" s="11"/>
      <c r="G116" s="166"/>
      <c r="H116" s="11"/>
      <c r="I116" s="18"/>
      <c r="J116" s="19"/>
      <c r="K116" s="169" t="str">
        <f>IF(H122&lt;&gt;"",IF(H124&lt;&gt;"",IF(H122=H124,"",IF(H122&gt;H124,G122,G124)),""),"")</f>
        <v>LARA BERSANO BENTO</v>
      </c>
      <c r="L116" s="234">
        <v>0</v>
      </c>
      <c r="M116" s="57">
        <f>IF(L116&lt;&gt;"",L116,"")</f>
        <v>0</v>
      </c>
      <c r="N116" s="51" t="str">
        <f>IF(L116&lt;&gt;"",IF(K116="","",K116),"")</f>
        <v>LARA BERSANO BENTO</v>
      </c>
      <c r="O116" s="176" t="str">
        <f>VLOOKUP(O114,M114:N116,2,0)</f>
        <v>LARA BERSANO BENTO</v>
      </c>
      <c r="P116" s="11"/>
      <c r="Q116" s="8"/>
      <c r="R116" s="182"/>
      <c r="S116" s="8"/>
      <c r="T116" s="8"/>
      <c r="U116" s="8"/>
      <c r="V116" s="182"/>
      <c r="W116" s="8"/>
      <c r="X116" s="62"/>
      <c r="Y116" s="182"/>
      <c r="Z116" s="8"/>
      <c r="AA116" s="8"/>
      <c r="AB116" s="234">
        <v>2</v>
      </c>
      <c r="AC116" s="169" t="str">
        <f>IF(AF122&lt;&gt;"",IF(AF124&lt;&gt;"",IF(AF122=AF124,"",IF(AF122&gt;AF124,AG122,AG124)),""),"")</f>
        <v>LAMAR ANDRAWES</v>
      </c>
      <c r="AD116" s="8"/>
      <c r="AE116" s="69"/>
      <c r="AF116" s="78"/>
      <c r="AG116" s="181"/>
      <c r="AH116" s="78"/>
      <c r="AI116" s="78"/>
      <c r="AJ116" s="11"/>
      <c r="AK116" s="166"/>
      <c r="AL116" s="11"/>
    </row>
    <row r="117" spans="2:38" ht="18" customHeight="1" thickBot="1" x14ac:dyDescent="0.3">
      <c r="B117" s="16"/>
      <c r="C117" s="166"/>
      <c r="D117" s="11"/>
      <c r="E117" s="11"/>
      <c r="F117" s="11"/>
      <c r="G117" s="166"/>
      <c r="H117" s="11"/>
      <c r="I117" s="18"/>
      <c r="J117" s="11"/>
      <c r="K117" s="170" t="str">
        <f>IFERROR(IF(K116="","",VLOOKUP(K116,LISTAS!$F$5:$G$1004,2,0)),"0")</f>
        <v>COLÉGIO ARBOS SÃO CAETANO DO SUL</v>
      </c>
      <c r="L117" s="235"/>
      <c r="M117" s="51"/>
      <c r="N117" s="51"/>
      <c r="O117" s="176"/>
      <c r="P117" s="11"/>
      <c r="Q117" s="8"/>
      <c r="R117" s="182"/>
      <c r="S117" s="8"/>
      <c r="T117" s="8"/>
      <c r="U117" s="8"/>
      <c r="V117" s="182"/>
      <c r="W117" s="8"/>
      <c r="X117" s="62"/>
      <c r="Y117" s="182"/>
      <c r="Z117" s="8"/>
      <c r="AA117" s="8"/>
      <c r="AB117" s="235"/>
      <c r="AC117" s="170" t="str">
        <f>IFERROR(IF(AC116="","",VLOOKUP(AC116,LISTAS!$F$5:$G$1004,2,0)),"0")</f>
        <v>ABACO IPIRANGA</v>
      </c>
      <c r="AD117" s="8"/>
      <c r="AE117" s="69"/>
      <c r="AF117" s="78"/>
      <c r="AG117" s="181"/>
      <c r="AH117" s="78"/>
      <c r="AI117" s="78"/>
      <c r="AJ117" s="11"/>
      <c r="AK117" s="166"/>
      <c r="AL117" s="11"/>
    </row>
    <row r="118" spans="2:38" ht="18" customHeight="1" x14ac:dyDescent="0.25">
      <c r="B118" s="16">
        <v>20</v>
      </c>
      <c r="C118" s="169" t="str">
        <f>IF('13F GRP'!G5&gt;=3,'13F GRP'!J269,IF('13F GRP'!G5=2,"",IF('13F GRP'!G5=1,"","")))</f>
        <v/>
      </c>
      <c r="D118" s="234">
        <v>0</v>
      </c>
      <c r="E118" s="51">
        <f>IF(D118&lt;&gt;"",D118,"")</f>
        <v>0</v>
      </c>
      <c r="F118" s="51" t="str">
        <f>IF(D118&lt;&gt;"",IF(C118="","",C118),"")</f>
        <v/>
      </c>
      <c r="G118" s="176">
        <f>IF(E118&lt;&gt;"",IF(E120&lt;&gt;"",SMALL(E118:E120,1),""),"")</f>
        <v>0</v>
      </c>
      <c r="H118" s="51"/>
      <c r="I118" s="18"/>
      <c r="J118" s="11"/>
      <c r="K118" s="166"/>
      <c r="L118" s="11"/>
      <c r="M118" s="11"/>
      <c r="N118" s="11"/>
      <c r="O118" s="166"/>
      <c r="P118" s="11"/>
      <c r="Q118" s="8"/>
      <c r="R118" s="182"/>
      <c r="S118" s="8"/>
      <c r="T118" s="8"/>
      <c r="U118" s="8"/>
      <c r="V118" s="182"/>
      <c r="W118" s="8"/>
      <c r="X118" s="62"/>
      <c r="Y118" s="182"/>
      <c r="Z118" s="8"/>
      <c r="AA118" s="8"/>
      <c r="AB118" s="11"/>
      <c r="AC118" s="182"/>
      <c r="AD118" s="8"/>
      <c r="AE118" s="69"/>
      <c r="AF118" s="78"/>
      <c r="AG118" s="181">
        <f>IF(AJ118&lt;&gt;"",AJ118,"")</f>
        <v>0</v>
      </c>
      <c r="AH118" s="78" t="str">
        <f>IF(AJ118&lt;&gt;"",IF(AK118="","",AK118),"")</f>
        <v/>
      </c>
      <c r="AI118" s="51">
        <f>IF(AG118&lt;&gt;"",IF(AG120&lt;&gt;"",SMALL(AG118:AG120,1),""),"")</f>
        <v>0</v>
      </c>
      <c r="AJ118" s="234">
        <v>0</v>
      </c>
      <c r="AK118" s="169" t="str">
        <f>IF('13F GRP'!G5&gt;=3,'13F GRP'!J204,IF('13F GRP'!G5=2,"",IF('13F GRP'!G5=1,"","")))</f>
        <v/>
      </c>
      <c r="AL118" s="11">
        <v>15</v>
      </c>
    </row>
    <row r="119" spans="2:38" ht="18" customHeight="1" thickBot="1" x14ac:dyDescent="0.3">
      <c r="B119" s="16"/>
      <c r="C119" s="170" t="str">
        <f>IFERROR(IF(C118="","",VLOOKUP(C118,LISTAS!$F$5:$G$1004,2,0)),"0")</f>
        <v/>
      </c>
      <c r="D119" s="235"/>
      <c r="E119" s="51"/>
      <c r="F119" s="51"/>
      <c r="G119" s="176"/>
      <c r="H119" s="51"/>
      <c r="I119" s="18"/>
      <c r="J119" s="11"/>
      <c r="K119" s="166"/>
      <c r="L119" s="11"/>
      <c r="M119" s="11"/>
      <c r="N119" s="11"/>
      <c r="O119" s="166"/>
      <c r="P119" s="11"/>
      <c r="Q119" s="8"/>
      <c r="R119" s="182"/>
      <c r="S119" s="8"/>
      <c r="T119" s="8"/>
      <c r="U119" s="8"/>
      <c r="V119" s="182"/>
      <c r="W119" s="8"/>
      <c r="X119" s="62"/>
      <c r="Y119" s="182"/>
      <c r="Z119" s="8"/>
      <c r="AA119" s="8"/>
      <c r="AB119" s="11"/>
      <c r="AC119" s="182"/>
      <c r="AD119" s="8"/>
      <c r="AE119" s="69"/>
      <c r="AF119" s="78"/>
      <c r="AG119" s="181"/>
      <c r="AH119" s="78"/>
      <c r="AI119" s="51"/>
      <c r="AJ119" s="235"/>
      <c r="AK119" s="170" t="str">
        <f>IFERROR(IF(AK118="","",VLOOKUP(AK118,LISTAS!$F$5:$G$1004,2,0)),"0")</f>
        <v/>
      </c>
      <c r="AL119" s="11"/>
    </row>
    <row r="120" spans="2:38" ht="18" customHeight="1" x14ac:dyDescent="0.25">
      <c r="B120" s="16">
        <v>13</v>
      </c>
      <c r="C120" s="169" t="str">
        <f>IF('13F GRP'!G5&gt;=3,'13F GRP'!J178,IF('13F GRP'!G5=2,"",IF('13F GRP'!G5=1,"","")))</f>
        <v/>
      </c>
      <c r="D120" s="234">
        <v>0</v>
      </c>
      <c r="E120" s="52">
        <f>IF(D120&lt;&gt;"",D120,"")</f>
        <v>0</v>
      </c>
      <c r="F120" s="51" t="str">
        <f>IF(D120&lt;&gt;"",IF(C120="","",C120),"")</f>
        <v/>
      </c>
      <c r="G120" s="176" t="str">
        <f>VLOOKUP(G118,E118:F120,2,0)</f>
        <v/>
      </c>
      <c r="H120" s="51"/>
      <c r="I120" s="18"/>
      <c r="J120" s="11"/>
      <c r="K120" s="166"/>
      <c r="L120" s="11"/>
      <c r="M120" s="11"/>
      <c r="N120" s="11"/>
      <c r="O120" s="166"/>
      <c r="P120" s="11"/>
      <c r="Q120" s="8"/>
      <c r="R120" s="182"/>
      <c r="S120" s="8"/>
      <c r="T120" s="8"/>
      <c r="U120" s="8"/>
      <c r="V120" s="182"/>
      <c r="W120" s="8"/>
      <c r="X120" s="62"/>
      <c r="Y120" s="182"/>
      <c r="Z120" s="8"/>
      <c r="AA120" s="8"/>
      <c r="AB120" s="11"/>
      <c r="AC120" s="182"/>
      <c r="AD120" s="8"/>
      <c r="AE120" s="69"/>
      <c r="AF120" s="78"/>
      <c r="AG120" s="181">
        <f>IF(AJ120&lt;&gt;"",AJ120,"")</f>
        <v>0</v>
      </c>
      <c r="AH120" s="78" t="str">
        <f>IF(AJ120&lt;&gt;"",IF(AK120="","",AK120),"")</f>
        <v/>
      </c>
      <c r="AI120" s="55" t="str">
        <f>VLOOKUP(AI118,AG118:AH120,2,0)</f>
        <v/>
      </c>
      <c r="AJ120" s="234">
        <v>0</v>
      </c>
      <c r="AK120" s="169" t="str">
        <f>IF('13F GRP'!G5&gt;=3,'13F GRP'!J243,IF('13F GRP'!G5=2,"",IF('13F GRP'!G5=1,"","")))</f>
        <v/>
      </c>
      <c r="AL120" s="11">
        <v>18</v>
      </c>
    </row>
    <row r="121" spans="2:38" ht="18" customHeight="1" thickBot="1" x14ac:dyDescent="0.3">
      <c r="B121" s="16"/>
      <c r="C121" s="170" t="str">
        <f>IFERROR(IF(C120="","",VLOOKUP(C120,LISTAS!$F$5:$G$1004,2,0)),"0")</f>
        <v/>
      </c>
      <c r="D121" s="235"/>
      <c r="E121" s="128"/>
      <c r="F121" s="51"/>
      <c r="G121" s="176"/>
      <c r="H121" s="51"/>
      <c r="I121" s="18"/>
      <c r="J121" s="11"/>
      <c r="K121" s="166"/>
      <c r="L121" s="11"/>
      <c r="M121" s="11"/>
      <c r="N121" s="11"/>
      <c r="O121" s="166"/>
      <c r="P121" s="11"/>
      <c r="Q121" s="8"/>
      <c r="R121" s="182"/>
      <c r="S121" s="8"/>
      <c r="T121" s="8"/>
      <c r="U121" s="8"/>
      <c r="V121" s="182"/>
      <c r="W121" s="8"/>
      <c r="X121" s="62"/>
      <c r="Y121" s="182"/>
      <c r="Z121" s="8"/>
      <c r="AA121" s="8"/>
      <c r="AB121" s="11"/>
      <c r="AC121" s="182"/>
      <c r="AD121" s="8"/>
      <c r="AE121" s="69"/>
      <c r="AF121" s="78"/>
      <c r="AG121" s="181"/>
      <c r="AH121" s="126"/>
      <c r="AI121" s="51"/>
      <c r="AJ121" s="235"/>
      <c r="AK121" s="170" t="str">
        <f>IFERROR(IF(AK120="","",VLOOKUP(AK120,LISTAS!$F$5:$G$1004,2,0)),"0")</f>
        <v/>
      </c>
      <c r="AL121" s="11"/>
    </row>
    <row r="122" spans="2:38" ht="18" customHeight="1" x14ac:dyDescent="0.25">
      <c r="B122" s="16"/>
      <c r="C122" s="166"/>
      <c r="D122" s="11"/>
      <c r="E122" s="11"/>
      <c r="F122" s="17"/>
      <c r="G122" s="169" t="str">
        <f>IF(D118&lt;&gt;"",IF(D120&lt;&gt;"",IF(D118=D120,"",IF(D118&gt;D120,C118,C120)),""),"")</f>
        <v/>
      </c>
      <c r="H122" s="234">
        <v>0</v>
      </c>
      <c r="I122" s="56">
        <f>IF(H122&lt;&gt;"",H122,"")</f>
        <v>0</v>
      </c>
      <c r="J122" s="51" t="str">
        <f>IF(H122&lt;&gt;"",IF(G122="","",G122),"")</f>
        <v/>
      </c>
      <c r="K122" s="176">
        <f>IF(I122&lt;&gt;"",IF(I124&lt;&gt;"",SMALL(I122:J124,1),""),"")</f>
        <v>0</v>
      </c>
      <c r="L122" s="11"/>
      <c r="M122" s="11"/>
      <c r="N122" s="11"/>
      <c r="O122" s="166"/>
      <c r="P122" s="11"/>
      <c r="Q122" s="8"/>
      <c r="R122" s="182"/>
      <c r="S122" s="8"/>
      <c r="T122" s="8"/>
      <c r="U122" s="8"/>
      <c r="V122" s="182"/>
      <c r="W122" s="8"/>
      <c r="X122" s="62"/>
      <c r="Y122" s="182"/>
      <c r="Z122" s="8"/>
      <c r="AA122" s="8"/>
      <c r="AB122" s="11"/>
      <c r="AC122" s="182"/>
      <c r="AD122" s="8"/>
      <c r="AE122" s="69"/>
      <c r="AF122" s="234">
        <v>0</v>
      </c>
      <c r="AG122" s="169" t="str">
        <f>IF(AJ118&lt;&gt;"",IF(AJ120&lt;&gt;"",IF(AJ118=AJ120,"",IF(AJ118&gt;AJ120,AK118,AK120)),""),"")</f>
        <v/>
      </c>
      <c r="AH122" s="65"/>
      <c r="AI122" s="8"/>
      <c r="AJ122" s="11"/>
      <c r="AK122" s="166"/>
      <c r="AL122" s="11"/>
    </row>
    <row r="123" spans="2:38" ht="18" customHeight="1" thickBot="1" x14ac:dyDescent="0.3">
      <c r="B123" s="16"/>
      <c r="C123" s="166"/>
      <c r="D123" s="11"/>
      <c r="E123" s="11"/>
      <c r="F123" s="17"/>
      <c r="G123" s="170" t="str">
        <f>IFERROR(IF(G122="","",VLOOKUP(G122,LISTAS!$F$5:$G$1004,2,0)),"0")</f>
        <v/>
      </c>
      <c r="H123" s="235"/>
      <c r="I123" s="57"/>
      <c r="J123" s="51"/>
      <c r="K123" s="176"/>
      <c r="L123" s="11"/>
      <c r="M123" s="11"/>
      <c r="N123" s="11"/>
      <c r="O123" s="166"/>
      <c r="P123" s="11"/>
      <c r="Q123" s="8"/>
      <c r="R123" s="182"/>
      <c r="S123" s="8"/>
      <c r="T123" s="8"/>
      <c r="U123" s="8"/>
      <c r="V123" s="182"/>
      <c r="W123" s="8"/>
      <c r="X123" s="62"/>
      <c r="Y123" s="182"/>
      <c r="Z123" s="8"/>
      <c r="AA123" s="8"/>
      <c r="AB123" s="11"/>
      <c r="AC123" s="182"/>
      <c r="AD123" s="8"/>
      <c r="AE123" s="70"/>
      <c r="AF123" s="235"/>
      <c r="AG123" s="170" t="str">
        <f>IFERROR(IF(AG122="","",VLOOKUP(AG122,LISTAS!$F$5:$G$1004,2,0)),"0")</f>
        <v/>
      </c>
      <c r="AH123" s="65"/>
      <c r="AI123" s="8"/>
      <c r="AJ123" s="11"/>
      <c r="AK123" s="166"/>
      <c r="AL123" s="11"/>
    </row>
    <row r="124" spans="2:38" ht="18" customHeight="1" x14ac:dyDescent="0.25">
      <c r="B124" s="16"/>
      <c r="C124" s="166"/>
      <c r="D124" s="11"/>
      <c r="E124" s="18"/>
      <c r="F124" s="19"/>
      <c r="G124" s="169" t="str">
        <f>IF(D126&lt;&gt;"",IF(D128&lt;&gt;"",IF(D126=D128,"",IF(D126&gt;D128,C126,C128)),""),"")</f>
        <v>LARA BERSANO BENTO</v>
      </c>
      <c r="H124" s="234">
        <v>2</v>
      </c>
      <c r="I124" s="57">
        <f>IF(H124&lt;&gt;"",H124,"")</f>
        <v>2</v>
      </c>
      <c r="J124" s="51" t="str">
        <f>IF(H124&lt;&gt;"",IF(G124="","",G124),"")</f>
        <v>LARA BERSANO BENTO</v>
      </c>
      <c r="K124" s="176" t="str">
        <f>VLOOKUP(K122,I122:J124,2,0)</f>
        <v/>
      </c>
      <c r="L124" s="11"/>
      <c r="M124" s="11"/>
      <c r="N124" s="11"/>
      <c r="O124" s="166"/>
      <c r="P124" s="11"/>
      <c r="Q124" s="8"/>
      <c r="R124" s="182"/>
      <c r="S124" s="8"/>
      <c r="T124" s="8"/>
      <c r="U124" s="8"/>
      <c r="V124" s="182"/>
      <c r="W124" s="8"/>
      <c r="X124" s="62"/>
      <c r="Y124" s="182"/>
      <c r="Z124" s="8"/>
      <c r="AA124" s="8"/>
      <c r="AB124" s="11"/>
      <c r="AC124" s="182"/>
      <c r="AD124" s="8"/>
      <c r="AE124" s="64"/>
      <c r="AF124" s="234">
        <v>2</v>
      </c>
      <c r="AG124" s="169" t="str">
        <f>IF(AJ126&lt;&gt;"",IF(AJ128&lt;&gt;"",IF(AJ126=AJ128,"",IF(AJ126&gt;AJ128,AK126,AK128)),""),"")</f>
        <v>LAMAR ANDRAWES</v>
      </c>
      <c r="AH124" s="66"/>
      <c r="AI124" s="8"/>
      <c r="AJ124" s="11"/>
      <c r="AK124" s="166"/>
      <c r="AL124" s="11"/>
    </row>
    <row r="125" spans="2:38" ht="18" customHeight="1" thickBot="1" x14ac:dyDescent="0.3">
      <c r="B125" s="16"/>
      <c r="C125" s="166"/>
      <c r="D125" s="11"/>
      <c r="E125" s="18"/>
      <c r="F125" s="11"/>
      <c r="G125" s="170" t="str">
        <f>IFERROR(IF(G124="","",VLOOKUP(G124,LISTAS!$F$5:$G$1004,2,0)),"0")</f>
        <v>COLÉGIO ARBOS SÃO CAETANO DO SUL</v>
      </c>
      <c r="H125" s="235"/>
      <c r="I125" s="51"/>
      <c r="J125" s="51"/>
      <c r="K125" s="176"/>
      <c r="L125" s="11"/>
      <c r="M125" s="11"/>
      <c r="N125" s="11"/>
      <c r="O125" s="166"/>
      <c r="P125" s="11"/>
      <c r="Q125" s="8"/>
      <c r="R125" s="182"/>
      <c r="S125" s="8"/>
      <c r="T125" s="8"/>
      <c r="U125" s="8"/>
      <c r="V125" s="182"/>
      <c r="W125" s="8"/>
      <c r="X125" s="62"/>
      <c r="Y125" s="182"/>
      <c r="Z125" s="8"/>
      <c r="AA125" s="8"/>
      <c r="AB125" s="11"/>
      <c r="AC125" s="182"/>
      <c r="AD125" s="8"/>
      <c r="AE125" s="8"/>
      <c r="AF125" s="235"/>
      <c r="AG125" s="170" t="str">
        <f>IFERROR(IF(AG124="","",VLOOKUP(AG124,LISTAS!$F$5:$G$1004,2,0)),"0")</f>
        <v>ABACO IPIRANGA</v>
      </c>
      <c r="AH125" s="8"/>
      <c r="AI125" s="69"/>
      <c r="AJ125" s="11"/>
      <c r="AK125" s="166"/>
      <c r="AL125" s="11"/>
    </row>
    <row r="126" spans="2:38" ht="18" customHeight="1" x14ac:dyDescent="0.25">
      <c r="B126" s="16">
        <v>29</v>
      </c>
      <c r="C126" s="169" t="str">
        <f>IF('13F GRP'!G5&gt;=3,'13F GRP'!J386,IF('13F GRP'!G5=2,"",IF('13F GRP'!G5=1,"","")))</f>
        <v/>
      </c>
      <c r="D126" s="234">
        <v>0</v>
      </c>
      <c r="E126" s="56">
        <f>IF(D126&lt;&gt;"",D126,"")</f>
        <v>0</v>
      </c>
      <c r="F126" s="51" t="str">
        <f>IF(D126&lt;&gt;"",IF(C126="","",C126),"")</f>
        <v/>
      </c>
      <c r="G126" s="176">
        <f>IF(E126&lt;&gt;"",IF(E128&lt;&gt;"",SMALL(E126:E128,1),""),"")</f>
        <v>0</v>
      </c>
      <c r="H126" s="51"/>
      <c r="I126" s="11"/>
      <c r="J126" s="11"/>
      <c r="K126" s="166"/>
      <c r="L126" s="11"/>
      <c r="M126" s="11"/>
      <c r="N126" s="11"/>
      <c r="O126" s="166"/>
      <c r="P126" s="11"/>
      <c r="Q126" s="8"/>
      <c r="R126" s="182"/>
      <c r="S126" s="8"/>
      <c r="T126" s="8"/>
      <c r="U126" s="8"/>
      <c r="V126" s="182"/>
      <c r="W126" s="8"/>
      <c r="X126" s="62"/>
      <c r="Y126" s="182"/>
      <c r="Z126" s="8"/>
      <c r="AA126" s="8"/>
      <c r="AB126" s="11"/>
      <c r="AC126" s="182"/>
      <c r="AD126" s="8"/>
      <c r="AE126" s="8"/>
      <c r="AF126" s="8"/>
      <c r="AG126" s="181">
        <f>IF(AJ126&lt;&gt;"",AJ126,"")</f>
        <v>0</v>
      </c>
      <c r="AH126" s="78" t="str">
        <f>IF(AJ126&lt;&gt;"",IF(AK126="","",AK126),"")</f>
        <v/>
      </c>
      <c r="AI126" s="53">
        <f>IF(AG126&lt;&gt;"",IF(AG128&lt;&gt;"",SMALL(AG126:AG128,1),""),"")</f>
        <v>0</v>
      </c>
      <c r="AJ126" s="234">
        <v>0</v>
      </c>
      <c r="AK126" s="169" t="str">
        <f>IF('13F GRP'!G5&gt;=3,'13F GRP'!J412,IF('13F GRP'!G5=2,"",IF('13F GRP'!G5=1,"","")))</f>
        <v/>
      </c>
      <c r="AL126" s="11">
        <v>31</v>
      </c>
    </row>
    <row r="127" spans="2:38" ht="18" customHeight="1" thickBot="1" x14ac:dyDescent="0.3">
      <c r="B127" s="16"/>
      <c r="C127" s="170" t="str">
        <f>IFERROR(IF(C126="","",VLOOKUP(C126,LISTAS!$F$5:$G$1004,2,0)),"0")</f>
        <v/>
      </c>
      <c r="D127" s="235"/>
      <c r="E127" s="57"/>
      <c r="F127" s="51"/>
      <c r="G127" s="176"/>
      <c r="H127" s="51"/>
      <c r="I127" s="11"/>
      <c r="J127" s="11"/>
      <c r="K127" s="166"/>
      <c r="L127" s="11"/>
      <c r="M127" s="11"/>
      <c r="N127" s="11"/>
      <c r="O127" s="166"/>
      <c r="P127" s="11"/>
      <c r="Q127" s="8"/>
      <c r="R127" s="182"/>
      <c r="S127" s="8"/>
      <c r="T127" s="8"/>
      <c r="U127" s="8"/>
      <c r="V127" s="182"/>
      <c r="W127" s="8"/>
      <c r="X127" s="62"/>
      <c r="Y127" s="182"/>
      <c r="Z127" s="8"/>
      <c r="AA127" s="8"/>
      <c r="AB127" s="11"/>
      <c r="AC127" s="182"/>
      <c r="AD127" s="8"/>
      <c r="AE127" s="8"/>
      <c r="AF127" s="8"/>
      <c r="AG127" s="181"/>
      <c r="AH127" s="78"/>
      <c r="AI127" s="77"/>
      <c r="AJ127" s="235"/>
      <c r="AK127" s="170" t="str">
        <f>IFERROR(IF(AK126="","",VLOOKUP(AK126,LISTAS!$F$5:$G$1004,2,0)),"0")</f>
        <v/>
      </c>
      <c r="AL127" s="11"/>
    </row>
    <row r="128" spans="2:38" ht="18" customHeight="1" x14ac:dyDescent="0.25">
      <c r="B128" s="16">
        <v>4</v>
      </c>
      <c r="C128" s="169" t="str">
        <f>IF('13F GRP'!G5&gt;=3,'13F GRP'!J61,IF('13F GRP'!G5=2,IF('13F GRP'!H8=3,"",'13F GRP'!J33),IF('13F GRP'!G5=1,"","")))</f>
        <v>LARA BERSANO BENTO</v>
      </c>
      <c r="D128" s="234">
        <v>2</v>
      </c>
      <c r="E128" s="57">
        <f>IF(D128&lt;&gt;"",D128,"")</f>
        <v>2</v>
      </c>
      <c r="F128" s="51" t="str">
        <f>IF(D128&lt;&gt;"",IF(C128="","",C128),"")</f>
        <v>LARA BERSANO BENTO</v>
      </c>
      <c r="G128" s="176" t="str">
        <f>VLOOKUP(G126,E126:F128,2,0)</f>
        <v/>
      </c>
      <c r="H128" s="51"/>
      <c r="I128" s="11"/>
      <c r="J128" s="11"/>
      <c r="K128" s="166"/>
      <c r="L128" s="11"/>
      <c r="M128" s="11"/>
      <c r="N128" s="11"/>
      <c r="O128" s="166"/>
      <c r="P128" s="11"/>
      <c r="Q128" s="8"/>
      <c r="R128" s="182"/>
      <c r="S128" s="8"/>
      <c r="T128" s="8"/>
      <c r="U128" s="8"/>
      <c r="V128" s="182"/>
      <c r="W128" s="8"/>
      <c r="X128" s="62"/>
      <c r="Y128" s="182"/>
      <c r="Z128" s="8"/>
      <c r="AA128" s="8"/>
      <c r="AB128" s="11"/>
      <c r="AC128" s="182"/>
      <c r="AD128" s="8"/>
      <c r="AE128" s="8"/>
      <c r="AF128" s="8"/>
      <c r="AG128" s="181">
        <f>IF(AJ128&lt;&gt;"",AJ128,"")</f>
        <v>10</v>
      </c>
      <c r="AH128" s="78" t="str">
        <f>IF(AJ128&lt;&gt;"",IF(AK128="","",AK128),"")</f>
        <v>LAMAR ANDRAWES</v>
      </c>
      <c r="AI128" s="76" t="str">
        <f>VLOOKUP(AI126,AG126:AH128,2,0)</f>
        <v/>
      </c>
      <c r="AJ128" s="234">
        <v>10</v>
      </c>
      <c r="AK128" s="169" t="str">
        <f>IF('13F GRP'!G5&gt;=3,'13F GRP'!J31,IF('13F GRP'!G5=2,IF('13F GRP'!H8=3,'13F GRP'!J31,'13F GRP'!J32),IF('13F GRP'!G5=1,"","")))</f>
        <v>LAMAR ANDRAWES</v>
      </c>
      <c r="AL128" s="11">
        <v>2</v>
      </c>
    </row>
    <row r="129" spans="2:48" ht="18" customHeight="1" thickBot="1" x14ac:dyDescent="0.3">
      <c r="B129" s="16"/>
      <c r="C129" s="170" t="str">
        <f>IFERROR(IF(C128="","",VLOOKUP(C128,LISTAS!$F$5:$G$1004,2,0)),"0")</f>
        <v>COLÉGIO ARBOS SÃO CAETANO DO SUL</v>
      </c>
      <c r="D129" s="235"/>
      <c r="E129" s="51"/>
      <c r="F129" s="51"/>
      <c r="G129" s="176"/>
      <c r="H129" s="51"/>
      <c r="I129" s="11"/>
      <c r="J129" s="11"/>
      <c r="K129" s="166"/>
      <c r="L129" s="11"/>
      <c r="M129" s="11"/>
      <c r="N129" s="11"/>
      <c r="O129" s="166"/>
      <c r="P129" s="11"/>
      <c r="Q129" s="8"/>
      <c r="R129" s="182"/>
      <c r="S129" s="8"/>
      <c r="T129" s="8"/>
      <c r="U129" s="8"/>
      <c r="V129" s="182"/>
      <c r="W129" s="8"/>
      <c r="X129" s="62"/>
      <c r="Y129" s="182"/>
      <c r="Z129" s="8"/>
      <c r="AA129" s="8"/>
      <c r="AB129" s="11"/>
      <c r="AC129" s="182"/>
      <c r="AD129" s="8"/>
      <c r="AE129" s="8"/>
      <c r="AF129" s="8"/>
      <c r="AG129" s="181"/>
      <c r="AH129" s="78"/>
      <c r="AI129" s="51"/>
      <c r="AJ129" s="235"/>
      <c r="AK129" s="170" t="str">
        <f>IFERROR(IF(AK128="","",VLOOKUP(AK128,LISTAS!$F$5:$G$1004,2,0)),"0")</f>
        <v>ABACO IPIRANGA</v>
      </c>
      <c r="AL129" s="11"/>
    </row>
    <row r="130" spans="2:48" ht="18" customHeight="1" x14ac:dyDescent="0.25">
      <c r="B130" s="16"/>
      <c r="C130" s="167"/>
      <c r="D130" s="71"/>
      <c r="E130" s="127"/>
      <c r="F130" s="127"/>
      <c r="G130" s="177"/>
      <c r="H130" s="127"/>
      <c r="I130" s="71"/>
      <c r="J130" s="71"/>
      <c r="K130" s="167"/>
      <c r="L130" s="71"/>
      <c r="M130" s="71"/>
      <c r="N130" s="71"/>
      <c r="O130" s="167"/>
      <c r="P130" s="71"/>
      <c r="Q130" s="8"/>
      <c r="R130" s="182"/>
      <c r="S130" s="8"/>
      <c r="T130" s="8"/>
      <c r="U130" s="8"/>
      <c r="V130" s="182"/>
      <c r="W130" s="8"/>
      <c r="X130" s="62"/>
      <c r="Y130" s="182"/>
      <c r="Z130" s="8"/>
      <c r="AA130" s="8"/>
      <c r="AB130" s="11"/>
      <c r="AC130" s="182"/>
      <c r="AD130" s="8"/>
      <c r="AE130" s="8"/>
      <c r="AF130" s="8"/>
      <c r="AG130" s="181"/>
      <c r="AH130" s="78"/>
      <c r="AI130" s="78"/>
      <c r="AJ130" s="71"/>
      <c r="AK130" s="167"/>
      <c r="AL130" s="11"/>
    </row>
    <row r="131" spans="2:48" ht="18" customHeight="1" x14ac:dyDescent="0.25">
      <c r="B131" s="11"/>
      <c r="C131" s="167"/>
      <c r="D131" s="71"/>
      <c r="E131" s="71"/>
      <c r="F131" s="71"/>
      <c r="G131" s="167"/>
      <c r="H131" s="71"/>
      <c r="I131" s="71"/>
      <c r="J131" s="71"/>
      <c r="K131" s="167"/>
      <c r="L131" s="71"/>
      <c r="M131" s="71"/>
      <c r="N131" s="71"/>
      <c r="O131" s="167"/>
      <c r="P131" s="71"/>
      <c r="Q131" s="8"/>
      <c r="R131" s="182"/>
      <c r="S131" s="8"/>
      <c r="T131" s="8"/>
      <c r="U131" s="8"/>
      <c r="V131" s="182"/>
      <c r="W131" s="8"/>
      <c r="X131" s="62"/>
      <c r="Y131" s="182"/>
      <c r="Z131" s="8"/>
      <c r="AA131" s="8"/>
      <c r="AB131" s="11"/>
      <c r="AC131" s="182"/>
      <c r="AD131" s="8"/>
      <c r="AE131" s="8"/>
      <c r="AF131" s="8"/>
      <c r="AG131" s="181"/>
      <c r="AH131" s="78"/>
      <c r="AI131" s="78"/>
      <c r="AJ131" s="71"/>
      <c r="AK131" s="167"/>
      <c r="AL131" s="11"/>
    </row>
    <row r="132" spans="2:48" ht="18" customHeight="1" x14ac:dyDescent="0.25">
      <c r="B132" s="22"/>
      <c r="C132" s="168"/>
      <c r="D132" s="22"/>
      <c r="E132" s="22"/>
      <c r="F132" s="22"/>
      <c r="G132" s="168"/>
      <c r="H132" s="22"/>
      <c r="I132" s="22"/>
      <c r="J132" s="22"/>
      <c r="K132" s="168"/>
      <c r="L132" s="22"/>
      <c r="M132" s="22"/>
      <c r="N132" s="22"/>
      <c r="O132" s="168"/>
      <c r="P132" s="22"/>
      <c r="W132" s="22"/>
      <c r="X132" s="22"/>
      <c r="Y132" s="168"/>
      <c r="Z132" s="22"/>
      <c r="AA132" s="22"/>
      <c r="AB132" s="22"/>
      <c r="AC132" s="168"/>
      <c r="AD132" s="22"/>
      <c r="AE132" s="22"/>
      <c r="AF132" s="22"/>
      <c r="AG132" s="168"/>
      <c r="AH132" s="22"/>
      <c r="AI132" s="22"/>
      <c r="AJ132" s="22"/>
      <c r="AK132" s="168"/>
    </row>
    <row r="133" spans="2:48" ht="18" customHeight="1" x14ac:dyDescent="0.25">
      <c r="B133" s="22"/>
      <c r="C133" s="168"/>
      <c r="D133" s="22"/>
      <c r="E133" s="22"/>
      <c r="F133" s="22"/>
      <c r="G133" s="168"/>
      <c r="H133" s="22"/>
      <c r="I133" s="22"/>
      <c r="J133" s="22"/>
      <c r="K133" s="168"/>
      <c r="L133" s="22"/>
      <c r="M133" s="22"/>
      <c r="N133" s="22"/>
      <c r="O133" s="168"/>
      <c r="P133" s="22"/>
      <c r="W133" s="22"/>
      <c r="X133" s="22"/>
      <c r="Y133" s="168"/>
      <c r="Z133" s="22"/>
      <c r="AA133" s="22"/>
      <c r="AB133" s="22"/>
      <c r="AC133" s="168"/>
      <c r="AD133" s="22"/>
      <c r="AE133" s="22"/>
      <c r="AF133" s="22"/>
      <c r="AG133" s="168"/>
      <c r="AH133" s="22"/>
      <c r="AI133" s="22"/>
      <c r="AJ133" s="22"/>
      <c r="AK133" s="168"/>
    </row>
    <row r="134" spans="2:48" ht="30" customHeight="1" x14ac:dyDescent="0.25">
      <c r="B134" s="251" t="s">
        <v>22</v>
      </c>
      <c r="C134" s="252"/>
      <c r="D134" s="252"/>
      <c r="E134" s="252"/>
      <c r="F134" s="252"/>
      <c r="G134" s="252"/>
      <c r="H134" s="252"/>
      <c r="I134" s="252"/>
      <c r="J134" s="252"/>
      <c r="K134" s="252"/>
      <c r="L134" s="252"/>
      <c r="M134" s="252"/>
      <c r="N134" s="252"/>
      <c r="O134" s="278"/>
      <c r="P134" s="252"/>
      <c r="Q134" s="252"/>
      <c r="R134" s="278"/>
      <c r="S134" s="252"/>
      <c r="T134" s="252"/>
      <c r="U134" s="252"/>
      <c r="V134" s="278"/>
      <c r="W134" s="252"/>
      <c r="X134" s="252"/>
      <c r="Y134" s="278"/>
      <c r="Z134" s="252"/>
      <c r="AA134" s="252"/>
      <c r="AB134" s="252"/>
      <c r="AC134" s="252"/>
      <c r="AD134" s="252"/>
      <c r="AE134" s="252"/>
      <c r="AF134" s="252"/>
      <c r="AG134" s="252"/>
      <c r="AH134" s="252"/>
      <c r="AI134" s="252"/>
      <c r="AJ134" s="252"/>
      <c r="AK134" s="252"/>
      <c r="AL134" s="252"/>
      <c r="AP134" s="241" t="s">
        <v>23</v>
      </c>
      <c r="AQ134" s="241"/>
      <c r="AR134" s="241"/>
      <c r="AS134" s="241"/>
      <c r="AT134" s="241"/>
      <c r="AU134" s="241"/>
    </row>
    <row r="135" spans="2:48" ht="18" customHeight="1" thickBot="1" x14ac:dyDescent="0.3">
      <c r="B135" s="73"/>
      <c r="C135" s="164"/>
      <c r="D135" s="61"/>
      <c r="E135" s="61"/>
      <c r="F135" s="61"/>
      <c r="G135" s="175"/>
      <c r="H135" s="61"/>
      <c r="I135" s="61"/>
      <c r="J135" s="61"/>
      <c r="K135" s="179"/>
      <c r="L135" s="61"/>
      <c r="M135" s="61"/>
      <c r="N135" s="61"/>
      <c r="O135" s="179"/>
      <c r="P135" s="61"/>
      <c r="Q135" s="61"/>
      <c r="R135" s="179"/>
      <c r="S135" s="61"/>
      <c r="T135" s="61"/>
      <c r="U135" s="61"/>
      <c r="V135" s="179"/>
      <c r="W135" s="61"/>
      <c r="X135" s="74"/>
      <c r="Y135" s="179"/>
      <c r="Z135" s="61"/>
      <c r="AA135" s="61"/>
      <c r="AB135" s="75"/>
      <c r="AC135" s="179"/>
      <c r="AD135" s="61"/>
      <c r="AE135" s="61"/>
      <c r="AF135" s="61"/>
      <c r="AG135" s="179"/>
      <c r="AH135" s="61"/>
      <c r="AI135" s="61"/>
      <c r="AJ135" s="61"/>
      <c r="AK135" s="179"/>
      <c r="AL135" s="61"/>
      <c r="AP135" s="228" t="s">
        <v>3</v>
      </c>
      <c r="AQ135" s="230"/>
      <c r="AR135" s="9" t="s">
        <v>15</v>
      </c>
      <c r="AS135" s="9" t="s">
        <v>0</v>
      </c>
      <c r="AT135" s="9" t="s">
        <v>16</v>
      </c>
      <c r="AU135" s="9" t="s">
        <v>17</v>
      </c>
    </row>
    <row r="136" spans="2:48" ht="18" customHeight="1" x14ac:dyDescent="0.25">
      <c r="B136" s="10">
        <v>1</v>
      </c>
      <c r="C136" s="171" t="str">
        <f>IF('13F GRP'!G5&gt;=3,'13F GRP'!J10,IF('13F GRP'!G5=2,IF('13F GRP'!H8=3,'13F GRP'!J10,""),IF('13F GRP'!G5=1,"","")))</f>
        <v>MANUELA TEJOS</v>
      </c>
      <c r="D136" s="234">
        <v>2</v>
      </c>
      <c r="E136" s="51">
        <f>IF(D136&lt;&gt;"",D136,"")</f>
        <v>2</v>
      </c>
      <c r="F136" s="51" t="str">
        <f>IF(D136&lt;&gt;"",IF(C136="","",C136),"")</f>
        <v>MANUELA TEJOS</v>
      </c>
      <c r="G136" s="176">
        <f>IF(E136&lt;&gt;"",IF(E138&lt;&gt;"",SMALL(E136:E138,1),""),"")</f>
        <v>0</v>
      </c>
      <c r="H136" s="11"/>
      <c r="I136" s="11"/>
      <c r="J136" s="11"/>
      <c r="K136" s="166"/>
      <c r="L136" s="11"/>
      <c r="M136" s="12"/>
      <c r="N136" s="12"/>
      <c r="O136" s="180"/>
      <c r="P136" s="12"/>
      <c r="Q136" s="8"/>
      <c r="R136" s="182"/>
      <c r="S136" s="8"/>
      <c r="T136" s="8"/>
      <c r="U136" s="8"/>
      <c r="V136" s="182"/>
      <c r="W136" s="8"/>
      <c r="X136" s="62"/>
      <c r="Y136" s="182"/>
      <c r="Z136" s="8"/>
      <c r="AA136" s="8"/>
      <c r="AB136" s="11"/>
      <c r="AC136" s="182"/>
      <c r="AD136" s="8"/>
      <c r="AE136" s="8"/>
      <c r="AF136" s="8"/>
      <c r="AG136" s="181">
        <f>IF(AJ136&lt;&gt;"",AJ136,"")</f>
        <v>2</v>
      </c>
      <c r="AH136" s="78" t="str">
        <f>IF(AJ136&lt;&gt;"",IF(AK136="","",AK136),"")</f>
        <v>GIOVANA CASTELLAN MAGIONE</v>
      </c>
      <c r="AI136" s="51">
        <f>IF(AG136&lt;&gt;"",IF(AG138&lt;&gt;"",SMALL(AG136:AG138,1),""),"")</f>
        <v>0</v>
      </c>
      <c r="AJ136" s="234">
        <v>2</v>
      </c>
      <c r="AK136" s="171" t="str">
        <f>IF('13F GRP'!G5&gt;=3,'13F GRP'!J49,IF('13F GRP'!G5=2,"",IF('13F GRP'!G5=1,"","")))</f>
        <v>GIOVANA CASTELLAN MAGIONE</v>
      </c>
      <c r="AL136" s="63">
        <v>3</v>
      </c>
      <c r="AP136" s="13">
        <f>IF(AR136&lt;&gt;"",1,"")</f>
        <v>1</v>
      </c>
      <c r="AQ136" s="14" t="str">
        <f>IF(AP136&lt;&gt;"","LUGAR","")</f>
        <v>LUGAR</v>
      </c>
      <c r="AR136" s="15" t="str">
        <f>IF(S164&lt;&gt;"",IF(U164&lt;&gt;"",IF(S164=U164,"",IF(S164&gt;U164,R164,V164)),""),"")</f>
        <v>GIOVANA CASTELLAN MAGIONE</v>
      </c>
      <c r="AS136" s="15" t="str">
        <f>IFERROR(IF(AR136="","",VLOOKUP(AR136,LISTAS!$F$5:$G$1004,2,0)),"0")</f>
        <v>COLÉGIO ENGENHEIRO SALVADOR ARENA</v>
      </c>
      <c r="AT136" s="15">
        <f>IF(AP136="","",IF(AP136=1,100,IF(AP136=2,80,IF(AP136=3,70,IF(AP136=4,50,IF(AP136=5,45,IF(AP136=6,40,IF(AP136=7,35,IF(AP136=8,30,IF(AP136=9,28,IF(AP136=10,28,IF(AP136=11,28,IF(AP136=12,28,IF(AP136=13,28,IF(AP136=14,28,IF(AP136=15,28,IF(AP136=16,28,IF(AP136&gt;16,"",""))))))))))))))))))</f>
        <v>100</v>
      </c>
      <c r="AU136" s="15">
        <f>IF(AP136="","",IF($AS$5="NÃO","",IF(AP136=1,100,IF(AP136=2,80,IF(AP136=3,70,IF(AP136=4,50,IF(AP136=5,45,IF(AP136=6,40,IF(AP136=7,35,IF(AP136=8,30,IF(AP136=9,28,IF(AP136=10,28,IF(AP136=11,28,IF(AP136=12,28,IF(AP136=13,28,IF(AP136=14,28,IF(AP136=15,28,IF(AP136=16,28,IF(AP136&gt;16,"","")))))))))))))))))))</f>
        <v>100</v>
      </c>
    </row>
    <row r="137" spans="2:48" ht="18" customHeight="1" thickBot="1" x14ac:dyDescent="0.3">
      <c r="B137" s="10"/>
      <c r="C137" s="172" t="str">
        <f>IFERROR(IF(C136="","",VLOOKUP(C136,LISTAS!$F$5:$G$1004,2,0)),"0")</f>
        <v>COLÉGIO ARBOS SÃO CAETANO DO SUL</v>
      </c>
      <c r="D137" s="235"/>
      <c r="E137" s="51"/>
      <c r="F137" s="51"/>
      <c r="G137" s="176"/>
      <c r="H137" s="11"/>
      <c r="I137" s="11"/>
      <c r="J137" s="11"/>
      <c r="K137" s="166"/>
      <c r="L137" s="11"/>
      <c r="M137" s="12"/>
      <c r="N137" s="12"/>
      <c r="O137" s="180"/>
      <c r="P137" s="12"/>
      <c r="Q137" s="8"/>
      <c r="R137" s="182"/>
      <c r="S137" s="8"/>
      <c r="T137" s="8"/>
      <c r="U137" s="8"/>
      <c r="V137" s="182"/>
      <c r="W137" s="8"/>
      <c r="X137" s="62"/>
      <c r="Y137" s="182"/>
      <c r="Z137" s="8"/>
      <c r="AA137" s="8"/>
      <c r="AB137" s="11"/>
      <c r="AC137" s="182"/>
      <c r="AD137" s="8"/>
      <c r="AE137" s="8"/>
      <c r="AF137" s="8"/>
      <c r="AG137" s="181"/>
      <c r="AH137" s="78"/>
      <c r="AI137" s="51"/>
      <c r="AJ137" s="235"/>
      <c r="AK137" s="172" t="str">
        <f>IFERROR(IF(AK136="","",VLOOKUP(AK136,LISTAS!$F$5:$G$1004,2,0)),"0")</f>
        <v>COLÉGIO ENGENHEIRO SALVADOR ARENA</v>
      </c>
      <c r="AL137" s="63"/>
      <c r="AP137" s="13">
        <f>IF(AR137&lt;&gt;"",1+COUNTIF(AP136,"1"),"")</f>
        <v>2</v>
      </c>
      <c r="AQ137" s="14" t="str">
        <f t="shared" ref="AQ137:AQ167" si="6">IF(AP137&lt;&gt;"","LUGAR","")</f>
        <v>LUGAR</v>
      </c>
      <c r="AR137" s="15" t="str">
        <f>IF(S164&lt;&gt;"",IF(U164&lt;&gt;"",IF(S164=U164,"",IF(S164&lt;U164,R164,V164)),""),"")</f>
        <v>MANUELA TEJOS</v>
      </c>
      <c r="AS137" s="15" t="str">
        <f>IFERROR(IF(AR137="","",VLOOKUP(AR137,LISTAS!$F$5:$G$1004,2,0)),"0")</f>
        <v>COLÉGIO ARBOS SÃO CAETANO DO SUL</v>
      </c>
      <c r="AT137" s="15">
        <f t="shared" ref="AT137:AT166" si="7">IF(AP137="","",IF(AP137=1,100,IF(AP137=2,80,IF(AP137=3,70,IF(AP137=4,50,IF(AP137=5,45,IF(AP137=6,40,IF(AP137=7,35,IF(AP137=8,30,IF(AP137=9,28,IF(AP137=10,28,IF(AP137=11,28,IF(AP137=12,28,IF(AP137=13,28,IF(AP137=14,28,IF(AP137=15,28,IF(AP137=16,28,IF(AP137&gt;16,"",""))))))))))))))))))</f>
        <v>80</v>
      </c>
      <c r="AU137" s="15">
        <f t="shared" ref="AU137:AU166" si="8">IF(AP137="","",IF($AS$5="NÃO","",IF(AP137=1,100,IF(AP137=2,80,IF(AP137=3,70,IF(AP137=4,50,IF(AP137=5,45,IF(AP137=6,40,IF(AP137=7,35,IF(AP137=8,30,IF(AP137=9,28,IF(AP137=10,28,IF(AP137=11,28,IF(AP137=12,28,IF(AP137=13,28,IF(AP137=14,28,IF(AP137=15,28,IF(AP137=16,28,IF(AP137&gt;16,"","")))))))))))))))))))</f>
        <v>80</v>
      </c>
    </row>
    <row r="138" spans="2:48" ht="18" customHeight="1" x14ac:dyDescent="0.25">
      <c r="B138" s="16">
        <v>32</v>
      </c>
      <c r="C138" s="171" t="str">
        <f>IF('13F GRP'!G5&gt;=3,'13F GRP'!J426,IF('13F GRP'!G5=2,"",IF('13F GRP'!G5=1,"","")))</f>
        <v/>
      </c>
      <c r="D138" s="234">
        <v>0</v>
      </c>
      <c r="E138" s="52">
        <f>IF(D138&lt;&gt;"",D138,"")</f>
        <v>0</v>
      </c>
      <c r="F138" s="51" t="str">
        <f>IF(D138&lt;&gt;"",IF(C138="","",C138),"")</f>
        <v/>
      </c>
      <c r="G138" s="176" t="str">
        <f>VLOOKUP(G136,E136:F138,2,0)</f>
        <v/>
      </c>
      <c r="H138" s="11"/>
      <c r="I138" s="11"/>
      <c r="J138" s="11"/>
      <c r="K138" s="166"/>
      <c r="L138" s="11"/>
      <c r="M138" s="12"/>
      <c r="N138" s="12"/>
      <c r="O138" s="180"/>
      <c r="P138" s="12"/>
      <c r="Q138" s="8"/>
      <c r="R138" s="182"/>
      <c r="S138" s="8"/>
      <c r="T138" s="8"/>
      <c r="U138" s="8"/>
      <c r="V138" s="182"/>
      <c r="W138" s="8"/>
      <c r="X138" s="62"/>
      <c r="Y138" s="182"/>
      <c r="Z138" s="8"/>
      <c r="AA138" s="8"/>
      <c r="AB138" s="11"/>
      <c r="AC138" s="182"/>
      <c r="AD138" s="8"/>
      <c r="AE138" s="8"/>
      <c r="AF138" s="8"/>
      <c r="AG138" s="181">
        <f>IF(AJ138&lt;&gt;"",AJ138,"")</f>
        <v>0</v>
      </c>
      <c r="AH138" s="78" t="str">
        <f>IF(AJ138&lt;&gt;"",IF(AK138="","",AK138),"")</f>
        <v/>
      </c>
      <c r="AI138" s="55" t="str">
        <f>VLOOKUP(AI136,AG136:AH138,2,0)</f>
        <v/>
      </c>
      <c r="AJ138" s="234">
        <v>0</v>
      </c>
      <c r="AK138" s="171" t="str">
        <f>IF('13F GRP'!G5&gt;=3,'13F GRP'!J400,IF('13F GRP'!G5=2,"",IF('13F GRP'!G5=1,"","")))</f>
        <v/>
      </c>
      <c r="AL138" s="11">
        <v>30</v>
      </c>
      <c r="AP138" s="13">
        <f>IF(AR138&lt;&gt;"",1+COUNTIF(AP136:AP137,"1")+COUNTIF(AP136:AP137,"2"),"")</f>
        <v>3</v>
      </c>
      <c r="AQ138" s="14" t="str">
        <f t="shared" si="6"/>
        <v>LUGAR</v>
      </c>
      <c r="AR138" s="21" t="str">
        <f>IF(AR136&lt;&gt;"",IF(O163=AR136,O165,IF(O165=AR136,O163,IF(Y163=AR136,Y165,IF(Y165=AR136,Y163)))),"")</f>
        <v>MELISSA MATSUMOTO</v>
      </c>
      <c r="AS138" s="15" t="str">
        <f>IFERROR(IF(AR138="","",VLOOKUP(AR138,LISTAS!$F$5:$G$1004,2,0)),"0")</f>
        <v>COLÉGIO ARBOS - UNIDADE SANTO ANDRÉ</v>
      </c>
      <c r="AT138" s="15">
        <f t="shared" si="7"/>
        <v>70</v>
      </c>
      <c r="AU138" s="15">
        <f t="shared" si="8"/>
        <v>70</v>
      </c>
    </row>
    <row r="139" spans="2:48" ht="18" customHeight="1" thickBot="1" x14ac:dyDescent="0.3">
      <c r="B139" s="16"/>
      <c r="C139" s="172" t="str">
        <f>IFERROR(IF(C138="","",VLOOKUP(C138,LISTAS!$F$5:$G$1004,2,0)),"0")</f>
        <v/>
      </c>
      <c r="D139" s="235"/>
      <c r="E139" s="128"/>
      <c r="F139" s="51"/>
      <c r="G139" s="176"/>
      <c r="H139" s="11"/>
      <c r="I139" s="11"/>
      <c r="J139" s="11"/>
      <c r="K139" s="166"/>
      <c r="L139" s="11"/>
      <c r="M139" s="12"/>
      <c r="N139" s="12"/>
      <c r="O139" s="180"/>
      <c r="P139" s="12"/>
      <c r="Q139" s="8"/>
      <c r="R139" s="182"/>
      <c r="S139" s="8"/>
      <c r="T139" s="8"/>
      <c r="U139" s="8"/>
      <c r="V139" s="182"/>
      <c r="W139" s="8"/>
      <c r="X139" s="62"/>
      <c r="Y139" s="182"/>
      <c r="Z139" s="8"/>
      <c r="AA139" s="8"/>
      <c r="AB139" s="11"/>
      <c r="AC139" s="182"/>
      <c r="AD139" s="8"/>
      <c r="AE139" s="8"/>
      <c r="AF139" s="8"/>
      <c r="AG139" s="181"/>
      <c r="AH139" s="78"/>
      <c r="AI139" s="123"/>
      <c r="AJ139" s="235"/>
      <c r="AK139" s="172" t="str">
        <f>IFERROR(IF(AK138="","",VLOOKUP(AK138,LISTAS!$F$5:$G$1004,2,0)),"0")</f>
        <v/>
      </c>
      <c r="AL139" s="11"/>
      <c r="AP139" s="13">
        <f>IF(AR139&lt;&gt;"",1+COUNTIF(AP136:AP138,"1")+COUNTIF(AP136:AP138,"2")+COUNTIF(AP136:AP138,"3"),"")</f>
        <v>4</v>
      </c>
      <c r="AQ139" s="14" t="str">
        <f t="shared" si="6"/>
        <v>LUGAR</v>
      </c>
      <c r="AR139" s="21" t="str">
        <f>IF(AR137&lt;&gt;"",IF(O163=AR137,O165,IF(O165=AR137,O163,IF(Y163=AR137,Y165,IF(Y165=AR137,Y163)))),"")</f>
        <v>MARIA EDUARDA</v>
      </c>
      <c r="AS139" s="15" t="str">
        <f>IFERROR(IF(AR139="","",VLOOKUP(AR139,LISTAS!$F$5:$G$1004,2,0)),"0")</f>
        <v>ESCOLA STAGIUM</v>
      </c>
      <c r="AT139" s="15">
        <f t="shared" si="7"/>
        <v>50</v>
      </c>
      <c r="AU139" s="15">
        <f t="shared" si="8"/>
        <v>50</v>
      </c>
    </row>
    <row r="140" spans="2:48" ht="18" customHeight="1" x14ac:dyDescent="0.25">
      <c r="B140" s="16"/>
      <c r="C140" s="166"/>
      <c r="D140" s="11"/>
      <c r="E140" s="11"/>
      <c r="F140" s="17"/>
      <c r="G140" s="171" t="str">
        <f>IF(D136&lt;&gt;"",IF(D138&lt;&gt;"",IF(D136=D138,"",IF(D136&gt;D138,C136,C138)),""),"")</f>
        <v>MANUELA TEJOS</v>
      </c>
      <c r="H140" s="234">
        <v>2</v>
      </c>
      <c r="I140" s="51">
        <f>IF(H140&lt;&gt;"",H140,"")</f>
        <v>2</v>
      </c>
      <c r="J140" s="51" t="str">
        <f>IF(H140&lt;&gt;"",IF(G140="","",G140),"")</f>
        <v>MANUELA TEJOS</v>
      </c>
      <c r="K140" s="176">
        <f>IF(I140&lt;&gt;"",IF(I142&lt;&gt;"",SMALL(I140:J142,1),""),"")</f>
        <v>0</v>
      </c>
      <c r="L140" s="51"/>
      <c r="M140" s="11"/>
      <c r="N140" s="11"/>
      <c r="O140" s="166"/>
      <c r="P140" s="11"/>
      <c r="Q140" s="8"/>
      <c r="R140" s="182"/>
      <c r="S140" s="8"/>
      <c r="T140" s="8"/>
      <c r="U140" s="8"/>
      <c r="V140" s="182"/>
      <c r="W140" s="8"/>
      <c r="X140" s="62"/>
      <c r="Y140" s="182"/>
      <c r="Z140" s="8"/>
      <c r="AA140" s="8"/>
      <c r="AB140" s="11"/>
      <c r="AC140" s="182"/>
      <c r="AD140" s="8"/>
      <c r="AE140" s="67"/>
      <c r="AF140" s="234">
        <v>2</v>
      </c>
      <c r="AG140" s="171" t="str">
        <f>IF(AJ136&lt;&gt;"",IF(AJ138&lt;&gt;"",IF(AJ136=AJ138,"",IF(AJ136&gt;AJ138,AK136,AK138)),""),"")</f>
        <v>GIOVANA CASTELLAN MAGIONE</v>
      </c>
      <c r="AH140" s="65"/>
      <c r="AI140" s="8"/>
      <c r="AJ140" s="11"/>
      <c r="AK140" s="166"/>
      <c r="AL140" s="11"/>
      <c r="AP140" s="13" t="str">
        <f>IF(AR140&lt;&gt;"",1+COUNTIF(AP136:AP139,"1")+COUNTIF(AP136:AP139,"2")+COUNTIF(AP136:AP139,"3")+COUNTIF(AP136:AP139,"4"),"")</f>
        <v/>
      </c>
      <c r="AQ140" s="14" t="str">
        <f t="shared" si="6"/>
        <v/>
      </c>
      <c r="AR140" s="21" t="str">
        <f>IF(AR136&lt;&gt;"",IF(K148=AR136,K150,IF(K150=AR136,K148,IF(K178=AR136,K180,IF(K180=AR136,K178,IF(AC148=AR136,AC150,IF(AC150=AR136,AC148,IF(AC178=AR136,AC180,IF(AC180=AR136,AC178)))))))),"")</f>
        <v/>
      </c>
      <c r="AS140" s="15" t="str">
        <f>IFERROR(IF(AR140="","",VLOOKUP(AR140,LISTAS!$F$5:$G$1004,2,0)),"0")</f>
        <v/>
      </c>
      <c r="AT140" s="15" t="str">
        <f t="shared" si="7"/>
        <v/>
      </c>
      <c r="AU140" s="15" t="str">
        <f t="shared" si="8"/>
        <v/>
      </c>
    </row>
    <row r="141" spans="2:48" ht="18" customHeight="1" thickBot="1" x14ac:dyDescent="0.3">
      <c r="B141" s="16"/>
      <c r="C141" s="166"/>
      <c r="D141" s="11"/>
      <c r="E141" s="11"/>
      <c r="F141" s="17"/>
      <c r="G141" s="172" t="str">
        <f>IFERROR(IF(G140="","",VLOOKUP(G140,LISTAS!$F$5:$G$1004,2,0)),"0")</f>
        <v>COLÉGIO ARBOS SÃO CAETANO DO SUL</v>
      </c>
      <c r="H141" s="235"/>
      <c r="I141" s="51"/>
      <c r="J141" s="51"/>
      <c r="K141" s="176"/>
      <c r="L141" s="51"/>
      <c r="M141" s="11"/>
      <c r="N141" s="11"/>
      <c r="O141" s="166"/>
      <c r="P141" s="11"/>
      <c r="Q141" s="8"/>
      <c r="R141" s="182"/>
      <c r="S141" s="8"/>
      <c r="T141" s="8"/>
      <c r="U141" s="8"/>
      <c r="V141" s="182"/>
      <c r="W141" s="8"/>
      <c r="X141" s="62"/>
      <c r="Y141" s="182"/>
      <c r="Z141" s="8"/>
      <c r="AA141" s="8"/>
      <c r="AB141" s="11"/>
      <c r="AC141" s="182"/>
      <c r="AD141" s="8"/>
      <c r="AE141" s="67"/>
      <c r="AF141" s="235"/>
      <c r="AG141" s="172" t="str">
        <f>IFERROR(IF(AG140="","",VLOOKUP(AG140,LISTAS!$F$5:$G$1004,2,0)),"0")</f>
        <v>COLÉGIO ENGENHEIRO SALVADOR ARENA</v>
      </c>
      <c r="AH141" s="65"/>
      <c r="AI141" s="8"/>
      <c r="AJ141" s="11"/>
      <c r="AK141" s="166"/>
      <c r="AL141" s="11"/>
      <c r="AP141" s="13" t="str">
        <f>IF(AR141&lt;&gt;"",1+COUNTIF(AP136:AP140,"1")+COUNTIF(AP136:AP140,"2")+COUNTIF(AP136:AP140,"3")+COUNTIF(AP136:AP140,"4")+COUNTIF(AP136:AP140,"5"),"")</f>
        <v/>
      </c>
      <c r="AQ141" s="14" t="str">
        <f t="shared" si="6"/>
        <v/>
      </c>
      <c r="AR141" s="21" t="str">
        <f>IF(AR137&lt;&gt;"",IF(K148=AR137,K150,IF(K150=AR137,K148,IF(K178=AR137,K180,IF(K180=AR137,K178,IF(AC148=AR137,AC150,IF(AC150=AR137,AC148,IF(AC178=AR137,AC180,IF(AC180=AR137,AC178)))))))),"")</f>
        <v/>
      </c>
      <c r="AS141" s="15" t="str">
        <f>IFERROR(IF(AR141="","",VLOOKUP(AR141,LISTAS!$F$5:$G$1004,2,0)),"0")</f>
        <v/>
      </c>
      <c r="AT141" s="15" t="str">
        <f t="shared" si="7"/>
        <v/>
      </c>
      <c r="AU141" s="15" t="str">
        <f t="shared" si="8"/>
        <v/>
      </c>
    </row>
    <row r="142" spans="2:48" ht="18" customHeight="1" x14ac:dyDescent="0.25">
      <c r="B142" s="16"/>
      <c r="C142" s="166"/>
      <c r="D142" s="11"/>
      <c r="E142" s="18"/>
      <c r="F142" s="19"/>
      <c r="G142" s="171" t="str">
        <f>IF(D144&lt;&gt;"",IF(D146&lt;&gt;"",IF(D144=D146,"",IF(D144&gt;D146,C144,C146)),""),"")</f>
        <v/>
      </c>
      <c r="H142" s="234">
        <v>0</v>
      </c>
      <c r="I142" s="52">
        <f>IF(H142&lt;&gt;"",H142,"")</f>
        <v>0</v>
      </c>
      <c r="J142" s="51" t="str">
        <f>IF(H142&lt;&gt;"",IF(G142="","",G142),"")</f>
        <v/>
      </c>
      <c r="K142" s="176" t="str">
        <f>VLOOKUP(K140,I140:J142,2,0)</f>
        <v/>
      </c>
      <c r="L142" s="51"/>
      <c r="M142" s="11"/>
      <c r="N142" s="11"/>
      <c r="O142" s="166"/>
      <c r="P142" s="11"/>
      <c r="Q142" s="8"/>
      <c r="R142" s="182"/>
      <c r="S142" s="8"/>
      <c r="T142" s="8"/>
      <c r="U142" s="8"/>
      <c r="V142" s="182"/>
      <c r="W142" s="8"/>
      <c r="X142" s="62"/>
      <c r="Y142" s="182"/>
      <c r="Z142" s="8"/>
      <c r="AA142" s="8"/>
      <c r="AB142" s="11"/>
      <c r="AC142" s="182"/>
      <c r="AD142" s="65"/>
      <c r="AE142" s="68"/>
      <c r="AF142" s="234">
        <v>0</v>
      </c>
      <c r="AG142" s="171" t="str">
        <f>IF(AJ144&lt;&gt;"",IF(AJ146&lt;&gt;"",IF(AJ144=AJ146,"",IF(AJ144&gt;AJ146,AK144,AK146)),""),"")</f>
        <v>LAURA REGINI GRIZANTE</v>
      </c>
      <c r="AH142" s="66"/>
      <c r="AI142" s="8"/>
      <c r="AJ142" s="11"/>
      <c r="AK142" s="166"/>
      <c r="AL142" s="11"/>
      <c r="AN142" s="2"/>
      <c r="AO142" s="2"/>
      <c r="AP142" s="13" t="str">
        <f>IF(AR142&lt;&gt;"",1+COUNTIF(AP136:AP141,"1")+COUNTIF(AP136:AP141,"2")+COUNTIF(AP136:AP141,"3")+COUNTIF(AP136:AP141,"4")+COUNTIF(AP136:AP141,"5")+COUNTIF(AP136:AP141,"6"),"")</f>
        <v/>
      </c>
      <c r="AQ142" s="14" t="str">
        <f t="shared" si="6"/>
        <v/>
      </c>
      <c r="AR142" s="21" t="str">
        <f>IF(AR138&lt;&gt;"",IF(K148=AR138,K150,IF(K150=AR138,K148,IF(K178=AR138,K180,IF(K180=AR138,K178,IF(AC148=AR138,AC150,IF(AC150=AR138,AC148,IF(AC178=AR138,AC180,IF(AC180=AR138,AC178)))))))),"")</f>
        <v/>
      </c>
      <c r="AS142" s="15" t="str">
        <f>IFERROR(IF(AR142="","",VLOOKUP(AR142,LISTAS!$F$5:$G$1004,2,0)),"0")</f>
        <v/>
      </c>
      <c r="AT142" s="15" t="str">
        <f t="shared" si="7"/>
        <v/>
      </c>
      <c r="AU142" s="15" t="str">
        <f t="shared" si="8"/>
        <v/>
      </c>
      <c r="AV142" s="2"/>
    </row>
    <row r="143" spans="2:48" ht="18" customHeight="1" thickBot="1" x14ac:dyDescent="0.3">
      <c r="B143" s="16"/>
      <c r="C143" s="166"/>
      <c r="D143" s="11"/>
      <c r="E143" s="18"/>
      <c r="F143" s="11"/>
      <c r="G143" s="172" t="str">
        <f>IFERROR(IF(G142="","",VLOOKUP(G142,LISTAS!$F$5:$G$1004,2,0)),"0")</f>
        <v/>
      </c>
      <c r="H143" s="235"/>
      <c r="I143" s="54"/>
      <c r="J143" s="51"/>
      <c r="K143" s="176"/>
      <c r="L143" s="51"/>
      <c r="M143" s="11"/>
      <c r="N143" s="11"/>
      <c r="O143" s="166"/>
      <c r="P143" s="11"/>
      <c r="Q143" s="8"/>
      <c r="R143" s="182"/>
      <c r="S143" s="8"/>
      <c r="T143" s="8"/>
      <c r="U143" s="8"/>
      <c r="V143" s="182"/>
      <c r="W143" s="8"/>
      <c r="X143" s="62"/>
      <c r="Y143" s="182"/>
      <c r="Z143" s="8"/>
      <c r="AA143" s="8"/>
      <c r="AB143" s="11"/>
      <c r="AC143" s="182"/>
      <c r="AD143" s="65"/>
      <c r="AE143" s="8"/>
      <c r="AF143" s="235"/>
      <c r="AG143" s="172" t="str">
        <f>IFERROR(IF(AG142="","",VLOOKUP(AG142,LISTAS!$F$5:$G$1004,2,0)),"0")</f>
        <v>COLÉGIO ARBOS SÃO CAETANO DO SUL</v>
      </c>
      <c r="AH143" s="8"/>
      <c r="AI143" s="69"/>
      <c r="AJ143" s="11"/>
      <c r="AK143" s="166"/>
      <c r="AL143" s="11"/>
      <c r="AM143" s="2"/>
      <c r="AN143" s="2"/>
      <c r="AO143" s="2"/>
      <c r="AP143" s="13">
        <f>IF(AR143&lt;&gt;"",1+COUNTIF(AP136:AP142,"1")+COUNTIF(AP136:AP142,"2")+COUNTIF(AP136:AP142,"3")+COUNTIF(AP136:AP142,"4")+COUNTIF(AP136:AP142,"5")+COUNTIF(AP136:AP142,"6")+COUNTIF(AP136:AP142,"7"),"")</f>
        <v>5</v>
      </c>
      <c r="AQ143" s="14" t="str">
        <f t="shared" si="6"/>
        <v>LUGAR</v>
      </c>
      <c r="AR143" s="21" t="str">
        <f>IF(AR139&lt;&gt;"",IF(K148=AR139,K150,IF(K150=AR139,K148,IF(K178=AR139,K180,IF(K180=AR139,K178,IF(AC148=AR139,AC150,IF(AC150=AR139,AC148,IF(AC178=AR139,AC180,IF(AC180=AR139,AC178)))))))),"")</f>
        <v>KAILA ATTIS</v>
      </c>
      <c r="AS143" s="15" t="str">
        <f>IFERROR(IF(AR143="","",VLOOKUP(AR143,LISTAS!$F$5:$G$1004,2,0)),"0")</f>
        <v>COLÉGIO ARBOS SÃO CAETANO DO SUL</v>
      </c>
      <c r="AT143" s="15">
        <f t="shared" si="7"/>
        <v>45</v>
      </c>
      <c r="AU143" s="15">
        <f t="shared" si="8"/>
        <v>45</v>
      </c>
      <c r="AV143" s="2"/>
    </row>
    <row r="144" spans="2:48" ht="18" customHeight="1" x14ac:dyDescent="0.25">
      <c r="B144" s="16">
        <v>17</v>
      </c>
      <c r="C144" s="171" t="str">
        <f>IF('13F GRP'!G5&gt;=3,'13F GRP'!J231,IF('13F GRP'!G5=2,"",IF('13F GRP'!G5=1,"","")))</f>
        <v/>
      </c>
      <c r="D144" s="234">
        <v>0</v>
      </c>
      <c r="E144" s="56">
        <f>IF(D144&lt;&gt;"",D144,"")</f>
        <v>0</v>
      </c>
      <c r="F144" s="51" t="str">
        <f>IF(D144&lt;&gt;"",IF(C144="","",C144),"")</f>
        <v/>
      </c>
      <c r="G144" s="176">
        <f>IF(E144&lt;&gt;"",IF(E146&lt;&gt;"",SMALL(E144:E146,1),""),"")</f>
        <v>0</v>
      </c>
      <c r="H144" s="51"/>
      <c r="I144" s="18"/>
      <c r="J144" s="11"/>
      <c r="K144" s="166"/>
      <c r="L144" s="11"/>
      <c r="M144" s="11"/>
      <c r="N144" s="11"/>
      <c r="O144" s="166"/>
      <c r="P144" s="11"/>
      <c r="Q144" s="8"/>
      <c r="R144" s="182"/>
      <c r="S144" s="8"/>
      <c r="T144" s="8"/>
      <c r="U144" s="8"/>
      <c r="V144" s="182"/>
      <c r="W144" s="8"/>
      <c r="X144" s="62"/>
      <c r="Y144" s="182"/>
      <c r="Z144" s="8"/>
      <c r="AA144" s="8"/>
      <c r="AB144" s="11"/>
      <c r="AC144" s="182"/>
      <c r="AD144" s="65"/>
      <c r="AE144" s="8"/>
      <c r="AF144" s="8"/>
      <c r="AG144" s="181">
        <f>IF(AJ144&lt;&gt;"",AJ144,"")</f>
        <v>1</v>
      </c>
      <c r="AH144" s="78" t="str">
        <f>IF(AJ144&lt;&gt;"",IF(AK144="","",AK144),"")</f>
        <v>LAURA REGINI GRIZANTE</v>
      </c>
      <c r="AI144" s="53">
        <f>IF(AG144&lt;&gt;"",IF(AG146&lt;&gt;"",SMALL(AG144:AG146,1),""),"")</f>
        <v>0</v>
      </c>
      <c r="AJ144" s="234">
        <v>1</v>
      </c>
      <c r="AK144" s="171" t="s">
        <v>432</v>
      </c>
      <c r="AL144" s="11">
        <v>14</v>
      </c>
      <c r="AM144" s="2"/>
      <c r="AP144" s="13">
        <f>IF(AR144&lt;&gt;"",1+COUNTIF(AP136:AP143,"1")+COUNTIF(AP136:AP143,"2")+COUNTIF(AP136:AP143,"3")+COUNTIF(AP136:AP143,"4")+COUNTIF(AP136:AP143,"5")+COUNTIF(AP136:AP143,"6")+COUNTIF(AP136:AP143,"7")+COUNTIF(AP136:AP143,"8"),"")</f>
        <v>6</v>
      </c>
      <c r="AQ144" s="14" t="str">
        <f t="shared" si="6"/>
        <v>LUGAR</v>
      </c>
      <c r="AR144" s="21" t="str">
        <f>IF(AR136&lt;&gt;"",IF(G140=AR136,G142,IF(G142=AR136,G140,IF(G156=AR136,G158,IF(G158=AR136,G156,IF(AG140=AR136,AG142,IF(AG142=AR136,AG140,IF(AG156=AR136,AG158,IF(AG158=AR136,AG156,IF(G170=AR136,G172,IF(G172=AR136,G170,IF(G186=AR136,G188,IF(G188=AR136,G186,IF(AG170=AR136,AG172,IF(AG172=AR136,AG170,IF(AG186=AR136,AG188,IF(AG188=AR136,AG186)))))))))))))))),"")</f>
        <v>LAURA REGINI GRIZANTE</v>
      </c>
      <c r="AS144" s="15" t="str">
        <f>IFERROR(IF(AR144="","",VLOOKUP(AR144,LISTAS!$F$5:$G$1004,2,0)),"0")</f>
        <v>COLÉGIO ARBOS SÃO CAETANO DO SUL</v>
      </c>
      <c r="AT144" s="15">
        <f t="shared" si="7"/>
        <v>40</v>
      </c>
      <c r="AU144" s="15">
        <f t="shared" si="8"/>
        <v>40</v>
      </c>
    </row>
    <row r="145" spans="2:47" ht="18" customHeight="1" thickBot="1" x14ac:dyDescent="0.3">
      <c r="B145" s="16"/>
      <c r="C145" s="172" t="str">
        <f>IFERROR(IF(C144="","",VLOOKUP(C144,LISTAS!$F$5:$G$1004,2,0)),"0")</f>
        <v/>
      </c>
      <c r="D145" s="235"/>
      <c r="E145" s="57"/>
      <c r="F145" s="51"/>
      <c r="G145" s="176"/>
      <c r="H145" s="51"/>
      <c r="I145" s="18"/>
      <c r="J145" s="11"/>
      <c r="K145" s="166"/>
      <c r="L145" s="11"/>
      <c r="M145" s="11"/>
      <c r="N145" s="11"/>
      <c r="O145" s="166"/>
      <c r="P145" s="11"/>
      <c r="Q145" s="8"/>
      <c r="R145" s="182"/>
      <c r="S145" s="8"/>
      <c r="T145" s="8"/>
      <c r="U145" s="8"/>
      <c r="V145" s="182"/>
      <c r="W145" s="8"/>
      <c r="X145" s="62"/>
      <c r="Y145" s="182"/>
      <c r="Z145" s="8"/>
      <c r="AA145" s="8"/>
      <c r="AB145" s="11"/>
      <c r="AC145" s="182"/>
      <c r="AD145" s="65"/>
      <c r="AE145" s="8"/>
      <c r="AF145" s="8"/>
      <c r="AG145" s="181"/>
      <c r="AH145" s="78"/>
      <c r="AI145" s="124"/>
      <c r="AJ145" s="235"/>
      <c r="AK145" s="172" t="str">
        <f>IFERROR(IF(AK144="","",VLOOKUP(AK144,LISTAS!$F$5:$G$1004,2,0)),"0")</f>
        <v>COLÉGIO ARBOS SÃO CAETANO DO SUL</v>
      </c>
      <c r="AL145" s="11"/>
      <c r="AP145" s="13" t="str">
        <f>IF(AR145&lt;&gt;"",1+COUNTIF(AP136:AP144,"1")+COUNTIF(AP136:AP144,"2")+COUNTIF(AP136:AP144,"3")+COUNTIF(AP136:AP144,"4")+COUNTIF(AP136:AP144,"5")+COUNTIF(AP136:AP144,"6")+COUNTIF(AP136:AP144,"7")+COUNTIF(AP136:AP144,"8")+COUNTIF(AP136:AP144,"9"),"")</f>
        <v/>
      </c>
      <c r="AQ145" s="14" t="str">
        <f t="shared" si="6"/>
        <v/>
      </c>
      <c r="AR145" s="21" t="str">
        <f>IF(AR137&lt;&gt;"",IF(G140=AR137,G142,IF(G142=AR137,G140,IF(G156=AR137,G158,IF(G158=AR137,G156,IF(AG140=AR137,AG142,IF(AG142=AR137,AG140,IF(AG156=AR137,AG158,IF(AG158=AR137,AG156,IF(G170=AR137,G172,IF(G172=AR137,G170,IF(G186=AR137,G188,IF(G188=AR137,G186,IF(AG170=AR137,AG172,IF(AG172=AR137,AG170,IF(AG186=AR137,AG188,IF(AG188=AR137,AG186)))))))))))))))),"")</f>
        <v/>
      </c>
      <c r="AS145" s="15" t="str">
        <f>IFERROR(IF(AR145="","",VLOOKUP(AR145,LISTAS!$F$5:$G$1004,2,0)),"0")</f>
        <v/>
      </c>
      <c r="AT145" s="15" t="str">
        <f t="shared" si="7"/>
        <v/>
      </c>
      <c r="AU145" s="15" t="str">
        <f t="shared" si="8"/>
        <v/>
      </c>
    </row>
    <row r="146" spans="2:47" ht="18" customHeight="1" x14ac:dyDescent="0.25">
      <c r="B146" s="16">
        <v>16</v>
      </c>
      <c r="C146" s="171" t="str">
        <f>IF('13F GRP'!G5&gt;=3,'13F GRP'!J218,IF('13F GRP'!G5=2,"",IF('13F GRP'!G5=1,"","")))</f>
        <v/>
      </c>
      <c r="D146" s="234">
        <v>0</v>
      </c>
      <c r="E146" s="57">
        <f>IF(D146&lt;&gt;"",D146,"")</f>
        <v>0</v>
      </c>
      <c r="F146" s="51" t="str">
        <f>IF(D146&lt;&gt;"",IF(C146="","",C146),"")</f>
        <v/>
      </c>
      <c r="G146" s="176" t="str">
        <f>VLOOKUP(G144,E144:F146,2,0)</f>
        <v/>
      </c>
      <c r="H146" s="51"/>
      <c r="I146" s="18"/>
      <c r="J146" s="11"/>
      <c r="K146" s="166"/>
      <c r="L146" s="11"/>
      <c r="M146" s="11"/>
      <c r="N146" s="11"/>
      <c r="O146" s="166"/>
      <c r="P146" s="11"/>
      <c r="Q146" s="8"/>
      <c r="R146" s="182"/>
      <c r="S146" s="8"/>
      <c r="T146" s="8"/>
      <c r="U146" s="8"/>
      <c r="V146" s="182"/>
      <c r="W146" s="8"/>
      <c r="X146" s="62"/>
      <c r="Y146" s="182"/>
      <c r="Z146" s="8"/>
      <c r="AA146" s="8"/>
      <c r="AB146" s="11"/>
      <c r="AC146" s="182"/>
      <c r="AD146" s="65"/>
      <c r="AE146" s="8"/>
      <c r="AF146" s="8"/>
      <c r="AG146" s="181">
        <f>IF(AJ146&lt;&gt;"",AJ146,"")</f>
        <v>0</v>
      </c>
      <c r="AH146" s="78" t="str">
        <f>IF(AJ146&lt;&gt;"",IF(AK146="","",AK146),"")</f>
        <v/>
      </c>
      <c r="AI146" s="76" t="str">
        <f>VLOOKUP(AI144,AG144:AH146,2,0)</f>
        <v/>
      </c>
      <c r="AJ146" s="234">
        <v>0</v>
      </c>
      <c r="AK146" s="171" t="str">
        <f>IF('13F GRP'!G5&gt;=3,'13F GRP'!J257,IF('13F GRP'!G5=2,"",IF('13F GRP'!G5=1,"","")))</f>
        <v/>
      </c>
      <c r="AL146" s="11">
        <v>19</v>
      </c>
      <c r="AP146" s="13" t="str">
        <f>IF(AR146&lt;&gt;"",1+COUNTIF(AP136:AP145,"1")+COUNTIF(AP136:AP145,"2")+COUNTIF(AP136:AP145,"3")+COUNTIF(AP136:AP145,"4")+COUNTIF(AP136:AP145,"5")+COUNTIF(AP136:AP145,"6")+COUNTIF(AP136:AP145,"7")+COUNTIF(AP136:AP145,"8")+COUNTIF(AP136:AP145,"9")+COUNTIF(AP136:AP145,"10"),"")</f>
        <v/>
      </c>
      <c r="AQ146" s="14" t="str">
        <f t="shared" si="6"/>
        <v/>
      </c>
      <c r="AR146" s="21" t="str">
        <f>IF(AR138&lt;&gt;"",IF(G140=AR138,G142,IF(G142=AR138,G140,IF(G156=AR138,G158,IF(G158=AR138,G156,IF(AG140=AR138,AG142,IF(AG142=AR138,AG140,IF(AG156=AR138,AG158,IF(AG158=AR138,AG156,IF(G170=AR138,G172,IF(G172=AR138,G170,IF(G186=AR138,G188,IF(G188=AR138,G186,IF(AG170=AR138,AG172,IF(AG172=AR138,AG170,IF(AG186=AR138,AG188,IF(AG188=AR138,AG186)))))))))))))))),"")</f>
        <v/>
      </c>
      <c r="AS146" s="15" t="str">
        <f>IFERROR(IF(AR146="","",VLOOKUP(AR146,LISTAS!$F$5:$G$1004,2,0)),"0")</f>
        <v/>
      </c>
      <c r="AT146" s="15" t="str">
        <f t="shared" si="7"/>
        <v/>
      </c>
      <c r="AU146" s="15" t="str">
        <f t="shared" si="8"/>
        <v/>
      </c>
    </row>
    <row r="147" spans="2:47" ht="18" customHeight="1" thickBot="1" x14ac:dyDescent="0.3">
      <c r="B147" s="16"/>
      <c r="C147" s="172" t="str">
        <f>IFERROR(IF(C146="","",VLOOKUP(C146,LISTAS!$F$5:$G$1004,2,0)),"0")</f>
        <v/>
      </c>
      <c r="D147" s="235"/>
      <c r="E147" s="51"/>
      <c r="F147" s="51"/>
      <c r="G147" s="176"/>
      <c r="H147" s="51"/>
      <c r="I147" s="18"/>
      <c r="J147" s="11"/>
      <c r="K147" s="166"/>
      <c r="L147" s="11"/>
      <c r="M147" s="51"/>
      <c r="N147" s="51"/>
      <c r="O147" s="176"/>
      <c r="P147" s="11"/>
      <c r="Q147" s="8"/>
      <c r="R147" s="182"/>
      <c r="S147" s="8"/>
      <c r="T147" s="8"/>
      <c r="U147" s="8"/>
      <c r="V147" s="182"/>
      <c r="W147" s="8"/>
      <c r="X147" s="62"/>
      <c r="Y147" s="182"/>
      <c r="Z147" s="8"/>
      <c r="AA147" s="8"/>
      <c r="AB147" s="11"/>
      <c r="AC147" s="182"/>
      <c r="AD147" s="65"/>
      <c r="AE147" s="8"/>
      <c r="AF147" s="8"/>
      <c r="AG147" s="181"/>
      <c r="AH147" s="78"/>
      <c r="AI147" s="51"/>
      <c r="AJ147" s="235"/>
      <c r="AK147" s="172" t="str">
        <f>IFERROR(IF(AK146="","",VLOOKUP(AK146,LISTAS!$F$5:$G$1004,2,0)),"0")</f>
        <v/>
      </c>
      <c r="AL147" s="11"/>
      <c r="AP147" s="13" t="str">
        <f>IF(AR147&lt;&gt;"",1+COUNTIF(AP136:AP146,"1")+COUNTIF(AP136:AP146,"2")+COUNTIF(AP136:AP146,"3")+COUNTIF(AP136:AP146,"4")+COUNTIF(AP136:AP146,"5")+COUNTIF(AP136:AP146,"6")+COUNTIF(AP136:AP146,"7")+COUNTIF(AP136:AP146,"8")+COUNTIF(AP136:AP146,"9")+COUNTIF(AP136:AP146,"10")+COUNTIF(AP136:AP146,"11"),"")</f>
        <v/>
      </c>
      <c r="AQ147" s="14" t="str">
        <f t="shared" si="6"/>
        <v/>
      </c>
      <c r="AR147" s="21" t="str">
        <f>IF(AR139&lt;&gt;"",IF(G140=AR139,G142,IF(G142=AR139,G140,IF(G156=AR139,G158,IF(G158=AR139,G156,IF(AG140=AR139,AG142,IF(AG142=AR139,AG140,IF(AG156=AR139,AG158,IF(AG158=AR139,AG156,IF(G170=AR139,G172,IF(G172=AR139,G170,IF(G186=AR139,G188,IF(G188=AR139,G186,IF(AG170=AR139,AG172,IF(AG172=AR139,AG170,IF(AG186=AR139,AG188,IF(AG188=AR139,AG186)))))))))))))))),"")</f>
        <v/>
      </c>
      <c r="AS147" s="15" t="str">
        <f>IFERROR(IF(AR147="","",VLOOKUP(AR147,LISTAS!$F$5:$G$1004,2,0)),"0")</f>
        <v/>
      </c>
      <c r="AT147" s="15" t="str">
        <f t="shared" si="7"/>
        <v/>
      </c>
      <c r="AU147" s="15" t="str">
        <f t="shared" si="8"/>
        <v/>
      </c>
    </row>
    <row r="148" spans="2:47" ht="18" customHeight="1" x14ac:dyDescent="0.25">
      <c r="B148" s="16"/>
      <c r="C148" s="166"/>
      <c r="D148" s="11"/>
      <c r="E148" s="11"/>
      <c r="F148" s="11"/>
      <c r="G148" s="166"/>
      <c r="H148" s="11"/>
      <c r="I148" s="18"/>
      <c r="J148" s="11"/>
      <c r="K148" s="171" t="str">
        <f>IF(H140&lt;&gt;"",IF(H142&lt;&gt;"",IF(H140=H142,"",IF(H140&gt;H142,G140,G142)),""),"")</f>
        <v>MANUELA TEJOS</v>
      </c>
      <c r="L148" s="234">
        <v>1</v>
      </c>
      <c r="M148" s="51">
        <f>IF(L148&lt;&gt;"",L148,"")</f>
        <v>1</v>
      </c>
      <c r="N148" s="51" t="str">
        <f>IF(L148&lt;&gt;"",IF(K148="","",K148),"")</f>
        <v>MANUELA TEJOS</v>
      </c>
      <c r="O148" s="176">
        <f>IF(M148&lt;&gt;"",IF(M150&lt;&gt;"",SMALL(M148:N150,1),""),"")</f>
        <v>0</v>
      </c>
      <c r="P148" s="11"/>
      <c r="Q148" s="8"/>
      <c r="R148" s="202"/>
      <c r="S148" s="202"/>
      <c r="T148" s="202" t="s">
        <v>87</v>
      </c>
      <c r="U148" s="202"/>
      <c r="V148" s="202"/>
      <c r="W148" s="8"/>
      <c r="X148" s="62"/>
      <c r="Y148" s="182"/>
      <c r="Z148" s="8"/>
      <c r="AA148" s="8"/>
      <c r="AB148" s="234">
        <v>2</v>
      </c>
      <c r="AC148" s="171" t="str">
        <f>IF(AF140&lt;&gt;"",IF(AF142&lt;&gt;"",IF(AF140=AF142,"",IF(AF140&gt;AF142,AG140,AG142)),""),"")</f>
        <v>GIOVANA CASTELLAN MAGIONE</v>
      </c>
      <c r="AD148" s="112"/>
      <c r="AE148" s="8"/>
      <c r="AF148" s="8"/>
      <c r="AG148" s="182"/>
      <c r="AH148" s="8"/>
      <c r="AI148" s="8"/>
      <c r="AJ148" s="11"/>
      <c r="AK148" s="166"/>
      <c r="AL148" s="11"/>
      <c r="AP148" s="13" t="str">
        <f>IF(AR148&lt;&gt;"",1+COUNTIF(AP136:AP147,"1")+COUNTIF(AP136:AP147,"2")+COUNTIF(AP136:AP147,"3")+COUNTIF(AP136:AP147,"4")+COUNTIF(AP136:AP147,"5")+COUNTIF(AP136:AP147,"6")+COUNTIF(AP136:AP147,"7")+COUNTIF(AP136:AP147,"8")+COUNTIF(AP136:AP147,"9")+COUNTIF(AP136:AP147,"10")+COUNTIF(AP136:AP147,"11")+COUNTIF(AP136:AP147,"12"),"")</f>
        <v/>
      </c>
      <c r="AQ148" s="14" t="str">
        <f t="shared" si="6"/>
        <v/>
      </c>
      <c r="AR148" s="21" t="str">
        <f>IF(AR140&lt;&gt;"",IF(G140=AR140,G142,IF(G142=AR140,G140,IF(G156=AR140,G158,IF(G158=AR140,G156,IF(AG140=AR140,AG142,IF(AG142=AR140,AG140,IF(AG156=AR140,AG158,IF(AG158=AR140,AG156,IF(G170=AR140,G172,IF(G172=AR140,G170,IF(G186=AR140,G188,IF(G188=AR140,G186,IF(AG170=AR140,AG172,IF(AG172=AR140,AG170,IF(AG186=AR140,AG188,IF(AG188=AR140,AG186)))))))))))))))),"")</f>
        <v/>
      </c>
      <c r="AS148" s="15" t="str">
        <f>IFERROR(IF(AR148="","",VLOOKUP(AR148,LISTAS!$F$5:$G$1004,2,0)),"0")</f>
        <v/>
      </c>
      <c r="AT148" s="15" t="str">
        <f t="shared" si="7"/>
        <v/>
      </c>
      <c r="AU148" s="15" t="str">
        <f t="shared" si="8"/>
        <v/>
      </c>
    </row>
    <row r="149" spans="2:47" ht="18" customHeight="1" thickBot="1" x14ac:dyDescent="0.3">
      <c r="B149" s="16"/>
      <c r="C149" s="166"/>
      <c r="D149" s="11"/>
      <c r="E149" s="11"/>
      <c r="F149" s="11"/>
      <c r="G149" s="166"/>
      <c r="H149" s="11"/>
      <c r="I149" s="18"/>
      <c r="J149" s="11"/>
      <c r="K149" s="172" t="str">
        <f>IFERROR(IF(K148="","",VLOOKUP(K148,LISTAS!$F$5:$G$1004,2,0)),"0")</f>
        <v>COLÉGIO ARBOS SÃO CAETANO DO SUL</v>
      </c>
      <c r="L149" s="235"/>
      <c r="M149" s="51"/>
      <c r="N149" s="51"/>
      <c r="O149" s="176"/>
      <c r="P149" s="11"/>
      <c r="Q149" s="8"/>
      <c r="R149" s="202"/>
      <c r="S149" s="202"/>
      <c r="T149" s="202" t="s">
        <v>29</v>
      </c>
      <c r="U149" s="202"/>
      <c r="V149" s="202"/>
      <c r="W149" s="8"/>
      <c r="X149" s="62"/>
      <c r="Y149" s="182"/>
      <c r="Z149" s="8"/>
      <c r="AA149" s="8"/>
      <c r="AB149" s="235"/>
      <c r="AC149" s="172" t="str">
        <f>IFERROR(IF(AC148="","",VLOOKUP(AC148,LISTAS!$F$5:$G$1004,2,0)),"0")</f>
        <v>COLÉGIO ENGENHEIRO SALVADOR ARENA</v>
      </c>
      <c r="AD149" s="8"/>
      <c r="AE149" s="69"/>
      <c r="AF149" s="8"/>
      <c r="AG149" s="182"/>
      <c r="AH149" s="8"/>
      <c r="AI149" s="8"/>
      <c r="AJ149" s="11"/>
      <c r="AK149" s="166"/>
      <c r="AL149" s="11"/>
      <c r="AP149" s="13" t="str">
        <f>IF(AR149&lt;&gt;"",1+COUNTIF(AP136:AP148,"1")+COUNTIF(AP136:AP148,"2")+COUNTIF(AP136:AP148,"3")+COUNTIF(AP136:AP148,"4")+COUNTIF(AP136:AP148,"5")+COUNTIF(AP136:AP148,"6")+COUNTIF(AP136:AP148,"7")+COUNTIF(AP136:AP148,"8")+COUNTIF(AP136:AP148,"9")+COUNTIF(AP136:AP148,"10")+COUNTIF(AP136:AP148,"11")+COUNTIF(AP136:AP148,"12")+COUNTIF(AP136:AP148,"13"),"")</f>
        <v/>
      </c>
      <c r="AQ149" s="14" t="str">
        <f t="shared" si="6"/>
        <v/>
      </c>
      <c r="AR149" s="21" t="str">
        <f>IF(AR141&lt;&gt;"",IF(G140=AR141,G142,IF(G142=AR141,G140,IF(G156=AR141,G158,IF(G158=AR141,G156,IF(AG140=AR141,AG142,IF(AG142=AR141,AG140,IF(AG156=AR141,AG158,IF(AG158=AR141,AG156,IF(G170=AR141,G172,IF(G172=AR141,G170,IF(G186=AR141,G188,IF(G188=AR141,G186,IF(AG170=AR141,AG172,IF(AG172=AR141,AG170,IF(AG186=AR141,AG188,IF(AG188=AR141,AG186)))))))))))))))),"")</f>
        <v/>
      </c>
      <c r="AS149" s="15" t="str">
        <f>IFERROR(IF(AR149="","",VLOOKUP(AR149,LISTAS!$F$5:$G$1004,2,0)),"0")</f>
        <v/>
      </c>
      <c r="AT149" s="15" t="str">
        <f t="shared" si="7"/>
        <v/>
      </c>
      <c r="AU149" s="15" t="str">
        <f t="shared" si="8"/>
        <v/>
      </c>
    </row>
    <row r="150" spans="2:47" ht="18" customHeight="1" x14ac:dyDescent="0.25">
      <c r="B150" s="16"/>
      <c r="C150" s="166"/>
      <c r="D150" s="11"/>
      <c r="E150" s="11"/>
      <c r="F150" s="11"/>
      <c r="G150" s="166"/>
      <c r="H150" s="11"/>
      <c r="I150" s="18"/>
      <c r="J150" s="19"/>
      <c r="K150" s="171" t="str">
        <f>IF(H156&lt;&gt;"",IF(H158&lt;&gt;"",IF(H156=H158,"",IF(H156&gt;H158,G156,G158)),""),"")</f>
        <v/>
      </c>
      <c r="L150" s="234">
        <v>0</v>
      </c>
      <c r="M150" s="52">
        <f>IF(L150&lt;&gt;"",L150,"")</f>
        <v>0</v>
      </c>
      <c r="N150" s="51" t="str">
        <f>IF(L150&lt;&gt;"",IF(K150="","",K150),"")</f>
        <v/>
      </c>
      <c r="O150" s="176" t="str">
        <f>VLOOKUP(O148,M148:N150,2,0)</f>
        <v/>
      </c>
      <c r="P150" s="11"/>
      <c r="Q150" s="8"/>
      <c r="R150" s="182"/>
      <c r="S150" s="8"/>
      <c r="T150" s="8"/>
      <c r="U150" s="8"/>
      <c r="V150" s="182"/>
      <c r="W150" s="8"/>
      <c r="X150" s="62"/>
      <c r="Y150" s="182"/>
      <c r="Z150" s="65"/>
      <c r="AA150" s="68"/>
      <c r="AB150" s="234">
        <v>0</v>
      </c>
      <c r="AC150" s="171" t="str">
        <f>IF(AF156&lt;&gt;"",IF(AF158&lt;&gt;"",IF(AF156=AF158,"",IF(AF156&gt;AF158,AG156,AG158)),""),"")</f>
        <v/>
      </c>
      <c r="AD150" s="8"/>
      <c r="AE150" s="69"/>
      <c r="AF150" s="8"/>
      <c r="AG150" s="182"/>
      <c r="AH150" s="8"/>
      <c r="AI150" s="8"/>
      <c r="AJ150" s="11"/>
      <c r="AK150" s="166"/>
      <c r="AL150" s="11"/>
      <c r="AP150" s="13" t="str">
        <f>IF(AR150&lt;&gt;"",1+COUNTIF(AP136:AP149,"1")+COUNTIF(AP136:AP149,"2")+COUNTIF(AP136:AP149,"3")+COUNTIF(AP136:AP149,"4")+COUNTIF(AP136:AP149,"5")+COUNTIF(AP136:AP149,"6")+COUNTIF(AP136:AP149,"7")+COUNTIF(AP136:AP149,"8")+COUNTIF(AP136:AP149,"9")+COUNTIF(AP136:AP149,"10")+COUNTIF(AP136:AP149,"11")+COUNTIF(AP136:AP149,"12")+COUNTIF(AP136:AP149,"13")+COUNTIF(AP136:AP149,"14"),"")</f>
        <v/>
      </c>
      <c r="AQ150" s="14" t="str">
        <f t="shared" si="6"/>
        <v/>
      </c>
      <c r="AR150" s="21" t="str">
        <f>IF(AR142&lt;&gt;"",IF(G140=AR142,G142,IF(G142=AR142,G140,IF(G156=AR142,G158,IF(G158=AR142,G156,IF(AG140=AR142,AG142,IF(AG142=AR142,AG140,IF(AG156=AR142,AG158,IF(AG158=AR142,AG156,IF(G170=AR142,G172,IF(G172=AR142,G170,IF(G186=AR142,G188,IF(G188=AR142,G186,IF(AG170=AR142,AG172,IF(AG172=AR142,AG170,IF(AG186=AR142,AG188,IF(AG188=AR142,AG186)))))))))))))))),"")</f>
        <v/>
      </c>
      <c r="AS150" s="15" t="str">
        <f>IFERROR(IF(AR150="","",VLOOKUP(AR150,LISTAS!$F$5:$G$1004,2,0)),"0")</f>
        <v/>
      </c>
      <c r="AT150" s="15" t="str">
        <f t="shared" si="7"/>
        <v/>
      </c>
      <c r="AU150" s="15" t="str">
        <f t="shared" si="8"/>
        <v/>
      </c>
    </row>
    <row r="151" spans="2:47" ht="18" customHeight="1" thickBot="1" x14ac:dyDescent="0.3">
      <c r="B151" s="16"/>
      <c r="C151" s="166"/>
      <c r="D151" s="11"/>
      <c r="E151" s="11"/>
      <c r="F151" s="11"/>
      <c r="G151" s="166"/>
      <c r="H151" s="11"/>
      <c r="I151" s="18"/>
      <c r="J151" s="11"/>
      <c r="K151" s="172" t="str">
        <f>IFERROR(IF(K150="","",VLOOKUP(K150,LISTAS!$F$5:$G$1004,2,0)),"0")</f>
        <v/>
      </c>
      <c r="L151" s="235"/>
      <c r="M151" s="54"/>
      <c r="N151" s="51"/>
      <c r="O151" s="176"/>
      <c r="P151" s="11"/>
      <c r="Q151" s="8"/>
      <c r="R151" s="182"/>
      <c r="S151" s="8"/>
      <c r="T151" s="8"/>
      <c r="U151" s="8"/>
      <c r="V151" s="182"/>
      <c r="W151" s="8"/>
      <c r="X151" s="62"/>
      <c r="Y151" s="182"/>
      <c r="Z151" s="65"/>
      <c r="AA151" s="8"/>
      <c r="AB151" s="235"/>
      <c r="AC151" s="172" t="str">
        <f>IFERROR(IF(AC150="","",VLOOKUP(AC150,LISTAS!$F$5:$G$1004,2,0)),"0")</f>
        <v/>
      </c>
      <c r="AD151" s="8"/>
      <c r="AE151" s="69"/>
      <c r="AF151" s="8"/>
      <c r="AG151" s="181"/>
      <c r="AH151" s="78"/>
      <c r="AI151" s="78"/>
      <c r="AJ151" s="11"/>
      <c r="AK151" s="166"/>
      <c r="AL151" s="11"/>
      <c r="AP151" s="13" t="str">
        <f>IF(AR151&lt;&gt;"",1+COUNTIF(AP136:AP150,"1")+COUNTIF(AP136:AP150,"2")+COUNTIF(AP136:AP150,"3")+COUNTIF(AP136:AP150,"4")+COUNTIF(AP136:AP150,"5")+COUNTIF(AP136:AP150,"6")+COUNTIF(AP136:AP150,"7")+COUNTIF(AP136:AP150,"8")+COUNTIF(AP136:AP150,"9")+COUNTIF(AP136:AP150,"10")+COUNTIF(AP136:AP150,"11")+COUNTIF(AP136:AP150,"12")+COUNTIF(AP136:AP150,"13")+COUNTIF(AP136:AP150,"14")+COUNTIF(AP136:AP150,"15"),"")</f>
        <v/>
      </c>
      <c r="AQ151" s="14" t="str">
        <f t="shared" si="6"/>
        <v/>
      </c>
      <c r="AR151" s="21" t="str">
        <f>IF(AR143&lt;&gt;"",IF(G140=AR143,G142,IF(G142=AR143,G140,IF(G156=AR143,G158,IF(G158=AR143,G156,IF(AG140=AR143,AG142,IF(AG142=AR143,AG140,IF(AG156=AR143,AG158,IF(AG158=AR143,AG156,IF(G170=AR143,G172,IF(G172=AR143,G170,IF(G186=AR143,G188,IF(G188=AR143,G186,IF(AG170=AR143,AG172,IF(AG172=AR143,AG170,IF(AG186=AR143,AG188,IF(AG188=AR143,AG186)))))))))))))))),"")</f>
        <v/>
      </c>
      <c r="AS151" s="15" t="str">
        <f>IFERROR(IF(AR151="","",VLOOKUP(AR151,LISTAS!$F$5:$G$1004,2,0)),"0")</f>
        <v/>
      </c>
      <c r="AT151" s="15" t="str">
        <f t="shared" si="7"/>
        <v/>
      </c>
      <c r="AU151" s="15" t="str">
        <f t="shared" si="8"/>
        <v/>
      </c>
    </row>
    <row r="152" spans="2:47" ht="18" customHeight="1" x14ac:dyDescent="0.25">
      <c r="B152" s="16">
        <v>9</v>
      </c>
      <c r="C152" s="171" t="str">
        <f>IF('13F GRP'!G5&gt;=3,'13F GRP'!J127,IF('13F GRP'!G5=2,"",IF('13F GRP'!G5=1,"","")))</f>
        <v/>
      </c>
      <c r="D152" s="234">
        <v>0</v>
      </c>
      <c r="E152" s="51">
        <f>IF(D152&lt;&gt;"",D152,"")</f>
        <v>0</v>
      </c>
      <c r="F152" s="51" t="str">
        <f>IF(D152&lt;&gt;"",IF(C152="","",C152),"")</f>
        <v/>
      </c>
      <c r="G152" s="176">
        <f>IF(E152&lt;&gt;"",IF(E154&lt;&gt;"",SMALL(E152:E154,1),""),"")</f>
        <v>0</v>
      </c>
      <c r="H152" s="51"/>
      <c r="I152" s="18"/>
      <c r="J152" s="11"/>
      <c r="K152" s="166"/>
      <c r="L152" s="11"/>
      <c r="M152" s="54"/>
      <c r="N152" s="51"/>
      <c r="O152" s="176"/>
      <c r="P152" s="11"/>
      <c r="Q152" s="8"/>
      <c r="R152" s="182"/>
      <c r="S152" s="8"/>
      <c r="T152" s="8"/>
      <c r="U152" s="8"/>
      <c r="V152" s="182"/>
      <c r="W152" s="8"/>
      <c r="X152" s="62"/>
      <c r="Y152" s="182"/>
      <c r="Z152" s="65"/>
      <c r="AA152" s="8"/>
      <c r="AB152" s="11"/>
      <c r="AC152" s="182"/>
      <c r="AD152" s="8"/>
      <c r="AE152" s="69"/>
      <c r="AF152" s="8"/>
      <c r="AG152" s="181">
        <f>IF(AJ152&lt;&gt;"",AJ152,"")</f>
        <v>0</v>
      </c>
      <c r="AH152" s="78" t="str">
        <f>IF(AJ152&lt;&gt;"",IF(AK152="","",AK152),"")</f>
        <v/>
      </c>
      <c r="AI152" s="51">
        <f>IF(AG152&lt;&gt;"",IF(AG154&lt;&gt;"",SMALL(AG152:AG154,1),""),"")</f>
        <v>0</v>
      </c>
      <c r="AJ152" s="234">
        <v>0</v>
      </c>
      <c r="AK152" s="171" t="str">
        <f>IF('13F GRP'!G5&gt;=3,'13F GRP'!J296,IF('13F GRP'!G5=2,"",IF('13F GRP'!G5=1,"","")))</f>
        <v/>
      </c>
      <c r="AL152" s="11">
        <v>22</v>
      </c>
      <c r="AP152" s="13" t="str">
        <f>IF(AR152&lt;&gt;"",1+COUNTIF(AP136:AP151,"1")+COUNTIF(AP136:AP151,"2")+COUNTIF(AP136:AP151,"3")+COUNTIF(AP136:AP151,"4")+COUNTIF(AP136:AP151,"5")+COUNTIF(AP136:AP151,"6")+COUNTIF(AP136:AP151,"7")+COUNTIF(AP136:AP151,"8")+COUNTIF(AP136:AP151,"9")+COUNTIF(AP136:AP151,"10")+COUNTIF(AP136:AP151,"11")+COUNTIF(AP136:AP151,"12")+COUNTIF(AP136:AP151,"13")+COUNTIF(AP136:AP151,"14")+COUNTIF(AP136:AP151,"15")+COUNTIF(AP136:AP151,"16"),"")</f>
        <v/>
      </c>
      <c r="AQ152" s="14" t="str">
        <f t="shared" si="6"/>
        <v/>
      </c>
      <c r="AR152" s="21" t="str">
        <f>IF(AR136&lt;&gt;"",IF(C136=AR136,G138,IF(C138=AR136,G138,IF(C144=AR136,G146,IF(C146=AR136,G146,IF(C166=AR136,G168,IF(C168=AR136,G168,IF(C174=AR136,G176,IF(C176=AR136,G176,IF(C152=AR136,G154,IF(C154=AR136,G154,IF(C160=AR136,G162,IF(C162=AR136,G162,IF(C182=AR136,G184,IF(C184=AR136,G184,IF(C190=AR136,G192,IF(C192=AR136,G192,IF(AK136=AR136,AI138,IF(AK138=AR136,AI138,IF(AK144=AR136,AI146,IF(AK146=AR136,AI146,IF(AK166=AR136,AI168,IF(AK168=AR136,AI168,IF(AK174=AR136,AI176,IF(AK176=AR136,AI176,IF(AK152=AR136,AI154,IF(AK154=AR136,AI154,IF(AK160=AR136,AI162,IF(AK162=AR136,AI162,IF(AK182=AR136,AI184,IF(AK184=AR136,AI184,IF(AK190=AR136,AI192,IF(AK192=AR136,AI192)))))))))))))))))))))))))))))))),"")</f>
        <v/>
      </c>
      <c r="AS152" s="15" t="str">
        <f>IFERROR(IF(AR152="","",VLOOKUP(AR152,LISTAS!$F$5:$G$1004,2,0)),"0")</f>
        <v/>
      </c>
      <c r="AT152" s="15" t="str">
        <f t="shared" si="7"/>
        <v/>
      </c>
      <c r="AU152" s="15" t="str">
        <f t="shared" si="8"/>
        <v/>
      </c>
    </row>
    <row r="153" spans="2:47" ht="18" customHeight="1" thickBot="1" x14ac:dyDescent="0.3">
      <c r="B153" s="16"/>
      <c r="C153" s="172" t="str">
        <f>IFERROR(IF(C152="","",VLOOKUP(C152,LISTAS!$F$5:$G$1004,2,0)),"0")</f>
        <v/>
      </c>
      <c r="D153" s="235"/>
      <c r="E153" s="51"/>
      <c r="F153" s="51"/>
      <c r="G153" s="176"/>
      <c r="H153" s="51"/>
      <c r="I153" s="18"/>
      <c r="J153" s="11"/>
      <c r="K153" s="166"/>
      <c r="L153" s="11"/>
      <c r="M153" s="18"/>
      <c r="N153" s="11"/>
      <c r="O153" s="166"/>
      <c r="P153" s="11"/>
      <c r="Q153" s="8"/>
      <c r="R153" s="182"/>
      <c r="S153" s="8"/>
      <c r="T153" s="8"/>
      <c r="U153" s="8"/>
      <c r="V153" s="182"/>
      <c r="W153" s="8"/>
      <c r="X153" s="62"/>
      <c r="Y153" s="182"/>
      <c r="Z153" s="65"/>
      <c r="AA153" s="8"/>
      <c r="AB153" s="11"/>
      <c r="AC153" s="182"/>
      <c r="AD153" s="8"/>
      <c r="AE153" s="69"/>
      <c r="AF153" s="8"/>
      <c r="AG153" s="181"/>
      <c r="AH153" s="78"/>
      <c r="AI153" s="51"/>
      <c r="AJ153" s="235"/>
      <c r="AK153" s="172" t="str">
        <f>IFERROR(IF(AK152="","",VLOOKUP(AK152,LISTAS!$F$5:$G$1004,2,0)),"0")</f>
        <v/>
      </c>
      <c r="AL153" s="11"/>
      <c r="AP153" s="13" t="str">
        <f>IF(AR153&lt;&gt;"",1+COUNTIF(AP136:AP152,"1")+COUNTIF(AP136:AP152,"2")+COUNTIF(AP136:AP152,"3")+COUNTIF(AP136:AP152,"4")+COUNTIF(AP136:AP152,"5")+COUNTIF(AP136:AP152,"6")+COUNTIF(AP136:AP152,"7")+COUNTIF(AP136:AP152,"8")+COUNTIF(AP136:AP152,"9")+COUNTIF(AP136:AP152,"10")+COUNTIF(AP136:AP152,"11")+COUNTIF(AP136:AP152,"12")+COUNTIF(AP136:AP152,"13")+COUNTIF(AP136:AP152,"14")+COUNTIF(AP136:AP152,"15")+COUNTIF(AP136:AP152,"16")+COUNTIF(AP136:AP152,"17"),"")</f>
        <v/>
      </c>
      <c r="AQ153" s="14" t="str">
        <f t="shared" si="6"/>
        <v/>
      </c>
      <c r="AR153" s="21" t="str">
        <f>IF(AR137&lt;&gt;"",IF(C136=AR137,G138,IF(C138=AR137,G138,IF(C144=AR137,G146,IF(C146=AR137,G146,IF(C166=AR137,G168,IF(C168=AR137,G168,IF(C174=AR137,G176,IF(C176=AR137,G176,IF(C152=AR137,G154,IF(C154=AR137,G154,IF(C160=AR137,G162,IF(C162=AR137,G162,IF(C182=AR137,G184,IF(C184=AR137,G184,IF(C190=AR137,G192,IF(C192=AR137,G192,IF(AK136=AR137,AI138,IF(AK138=AR137,AI138,IF(AK144=AR137,AI146,IF(AK146=AR137,AI146,IF(AK166=AR137,AI168,IF(AK168=AR137,AI168,IF(AK174=AR137,AI176,IF(AK176=AR137,AI176,IF(AK152=AR137,AI154,IF(AK154=AR137,AI154,IF(AK160=AR137,AI162,IF(AK162=AR137,AI162,IF(AK182=AR137,AI184,IF(AK184=AR137,AI184,IF(AK190=AR137,AI192,IF(AK192=AR137,AI192)))))))))))))))))))))))))))))))),"")</f>
        <v/>
      </c>
      <c r="AS153" s="15" t="str">
        <f>IFERROR(IF(AR153="","",VLOOKUP(AR153,LISTAS!$F$5:$G$1004,2,0)),"0")</f>
        <v/>
      </c>
      <c r="AT153" s="15" t="str">
        <f t="shared" si="7"/>
        <v/>
      </c>
      <c r="AU153" s="15" t="str">
        <f t="shared" si="8"/>
        <v/>
      </c>
    </row>
    <row r="154" spans="2:47" ht="18" customHeight="1" x14ac:dyDescent="0.25">
      <c r="B154" s="16">
        <v>24</v>
      </c>
      <c r="C154" s="171" t="str">
        <f>IF('13F GRP'!G5&gt;=3,'13F GRP'!J322,IF('13F GRP'!G5=2,"",IF('13F GRP'!G5=1,"","")))</f>
        <v/>
      </c>
      <c r="D154" s="234">
        <v>0</v>
      </c>
      <c r="E154" s="52">
        <f>IF(D154&lt;&gt;"",D154,"")</f>
        <v>0</v>
      </c>
      <c r="F154" s="51" t="str">
        <f>IF(D154&lt;&gt;"",IF(C154="","",C154),"")</f>
        <v/>
      </c>
      <c r="G154" s="176" t="str">
        <f>VLOOKUP(G152,E152:F154,2,0)</f>
        <v/>
      </c>
      <c r="H154" s="51"/>
      <c r="I154" s="18"/>
      <c r="J154" s="11"/>
      <c r="K154" s="166"/>
      <c r="L154" s="11"/>
      <c r="M154" s="18"/>
      <c r="N154" s="11"/>
      <c r="O154" s="166"/>
      <c r="P154" s="11"/>
      <c r="Q154" s="8"/>
      <c r="R154" s="182"/>
      <c r="S154" s="8"/>
      <c r="T154" s="8"/>
      <c r="U154" s="8"/>
      <c r="V154" s="182"/>
      <c r="W154" s="8"/>
      <c r="X154" s="62"/>
      <c r="Y154" s="182"/>
      <c r="Z154" s="65"/>
      <c r="AA154" s="8"/>
      <c r="AB154" s="11"/>
      <c r="AC154" s="182"/>
      <c r="AD154" s="8"/>
      <c r="AE154" s="69"/>
      <c r="AF154" s="8"/>
      <c r="AG154" s="181">
        <f>IF(AJ154&lt;&gt;"",AJ154,"")</f>
        <v>0</v>
      </c>
      <c r="AH154" s="78" t="str">
        <f>IF(AJ154&lt;&gt;"",IF(AK154="","",AK154),"")</f>
        <v/>
      </c>
      <c r="AI154" s="55" t="str">
        <f>VLOOKUP(AI152,AG152:AH154,2,0)</f>
        <v/>
      </c>
      <c r="AJ154" s="234">
        <v>0</v>
      </c>
      <c r="AK154" s="171" t="str">
        <f>IF('13F GRP'!G5&gt;=3,'13F GRP'!J153,IF('13F GRP'!G5=2,"",IF('13F GRP'!G5=1,"","")))</f>
        <v/>
      </c>
      <c r="AL154" s="11">
        <v>11</v>
      </c>
      <c r="AP154" s="13" t="str">
        <f>IF(AR154&lt;&gt;"",1+COUNTIF(AP136:AP153,"1")+COUNTIF(AP136:AP153,"2")+COUNTIF(AP136:AP153,"3")+COUNTIF(AP136:AP153,"4")+COUNTIF(AP136:AP153,"5")+COUNTIF(AP136:AP153,"6")+COUNTIF(AP136:AP153,"7")+COUNTIF(AP136:AP153,"8")+COUNTIF(AP136:AP153,"9")+COUNTIF(AP136:AP153,"10")+COUNTIF(AP136:AP153,"11")+COUNTIF(AP136:AP153,"12")+COUNTIF(AP136:AP153,"13")+COUNTIF(AP136:AP153,"14")+COUNTIF(AP136:AP153,"15")+COUNTIF(AP136:AP153,"16")+COUNTIF(AP136:AP153,"17")+COUNTIF(AP136:AP153,"18"),"")</f>
        <v/>
      </c>
      <c r="AQ154" s="14" t="str">
        <f t="shared" si="6"/>
        <v/>
      </c>
      <c r="AR154" s="21" t="str">
        <f>IF(AR138&lt;&gt;"",IF(C136=AR138,G138,IF(C138=AR138,G138,IF(C144=AR138,G146,IF(C146=AR138,G146,IF(C166=AR138,G168,IF(C168=AR138,G168,IF(C174=AR138,G176,IF(C176=AR138,G176,IF(C152=AR138,G154,IF(C154=AR138,G154,IF(C160=AR138,G162,IF(C162=AR138,G162,IF(C182=AR138,G184,IF(C184=AR138,G184,IF(C190=AR138,G192,IF(C192=AR138,G192,IF(AK136=AR138,AI138,IF(AK138=AR138,AI138,IF(AK144=AR138,AI146,IF(AK146=AR138,AI146,IF(AK166=AR138,AI168,IF(AK168=AR138,AI168,IF(AK174=AR138,AI176,IF(AK176=AR138,AI176,IF(AK152=AR138,AI154,IF(AK154=AR138,AI154,IF(AK160=AR138,AI162,IF(AK162=AR138,AI162,IF(AK182=AR138,AI184,IF(AK184=AR138,AI184,IF(AK190=AR138,AI192,IF(AK192=AR138,AI192)))))))))))))))))))))))))))))))),"")</f>
        <v/>
      </c>
      <c r="AS154" s="15" t="str">
        <f>IFERROR(IF(AR154="","",VLOOKUP(AR154,LISTAS!$F$5:$G$1004,2,0)),"0")</f>
        <v/>
      </c>
      <c r="AT154" s="15" t="str">
        <f t="shared" si="7"/>
        <v/>
      </c>
      <c r="AU154" s="15" t="str">
        <f t="shared" si="8"/>
        <v/>
      </c>
    </row>
    <row r="155" spans="2:47" ht="18" customHeight="1" thickBot="1" x14ac:dyDescent="0.3">
      <c r="B155" s="16"/>
      <c r="C155" s="172" t="str">
        <f>IFERROR(IF(C154="","",VLOOKUP(C154,LISTAS!$F$5:$G$1004,2,0)),"0")</f>
        <v/>
      </c>
      <c r="D155" s="235"/>
      <c r="E155" s="128"/>
      <c r="F155" s="51"/>
      <c r="G155" s="176"/>
      <c r="H155" s="51"/>
      <c r="I155" s="54"/>
      <c r="J155" s="51"/>
      <c r="K155" s="176"/>
      <c r="L155" s="51"/>
      <c r="M155" s="54"/>
      <c r="N155" s="11"/>
      <c r="O155" s="166"/>
      <c r="P155" s="11"/>
      <c r="Q155" s="8"/>
      <c r="R155" s="182"/>
      <c r="S155" s="8"/>
      <c r="T155" s="8"/>
      <c r="U155" s="8"/>
      <c r="V155" s="182"/>
      <c r="W155" s="8"/>
      <c r="X155" s="62"/>
      <c r="Y155" s="182"/>
      <c r="Z155" s="65"/>
      <c r="AA155" s="8"/>
      <c r="AB155" s="11"/>
      <c r="AC155" s="182"/>
      <c r="AD155" s="8"/>
      <c r="AE155" s="69"/>
      <c r="AF155" s="8"/>
      <c r="AG155" s="181"/>
      <c r="AH155" s="78"/>
      <c r="AI155" s="123"/>
      <c r="AJ155" s="235"/>
      <c r="AK155" s="172" t="str">
        <f>IFERROR(IF(AK154="","",VLOOKUP(AK154,LISTAS!$F$5:$G$1004,2,0)),"0")</f>
        <v/>
      </c>
      <c r="AL155" s="11"/>
      <c r="AP155" s="13" t="str">
        <f>IF(AR155&lt;&gt;"",1+COUNTIF(AP136:AP154,"1")+COUNTIF(AP136:AP154,"2")+COUNTIF(AP136:AP154,"3")+COUNTIF(AP136:AP154,"4")+COUNTIF(AP136:AP154,"5")+COUNTIF(AP136:AP154,"6")+COUNTIF(AP136:AP154,"7")+COUNTIF(AP136:AP154,"8")+COUNTIF(AP136:AP154,"9")+COUNTIF(AP136:AP154,"10")+COUNTIF(AP136:AP154,"11")+COUNTIF(AP136:AP154,"12")+COUNTIF(AP136:AP154,"13")+COUNTIF(AP136:AP154,"14")+COUNTIF(AP136:AP154,"15")+COUNTIF(AP136:AP154,"16")+COUNTIF(AP136:AP154,"17")+COUNTIF(AP136:AP154,"18")+COUNTIF(AP136:AP154,"19"),"")</f>
        <v/>
      </c>
      <c r="AQ155" s="14" t="str">
        <f t="shared" si="6"/>
        <v/>
      </c>
      <c r="AR155" s="21" t="str">
        <f>IF(AR139&lt;&gt;"",IF(C136=AR139,G138,IF(C138=AR139,G138,IF(C144=AR139,G146,IF(C146=AR139,G146,IF(C166=AR139,G168,IF(C168=AR139,G168,IF(C174=AR139,G176,IF(C176=AR139,G176,IF(C152=AR139,G154,IF(C154=AR139,G154,IF(C160=AR139,G162,IF(C162=AR139,G162,IF(C182=AR139,G184,IF(C184=AR139,G184,IF(C190=AR139,G192,IF(C192=AR139,G192,IF(AK136=AR139,AI138,IF(AK138=AR139,AI138,IF(AK144=AR139,AI146,IF(AK146=AR139,AI146,IF(AK166=AR139,AI168,IF(AK168=AR139,AI168,IF(AK174=AR139,AI176,IF(AK176=AR139,AI176,IF(AK152=AR139,AI154,IF(AK154=AR139,AI154,IF(AK160=AR139,AI162,IF(AK162=AR139,AI162,IF(AK182=AR139,AI184,IF(AK184=AR139,AI184,IF(AK190=AR139,AI192,IF(AK192=AR139,AI192)))))))))))))))))))))))))))))))),"")</f>
        <v/>
      </c>
      <c r="AS155" s="15" t="str">
        <f>IFERROR(IF(AR155="","",VLOOKUP(AR155,LISTAS!$F$5:$G$1004,2,0)),"0")</f>
        <v/>
      </c>
      <c r="AT155" s="15" t="str">
        <f t="shared" si="7"/>
        <v/>
      </c>
      <c r="AU155" s="15" t="str">
        <f t="shared" si="8"/>
        <v/>
      </c>
    </row>
    <row r="156" spans="2:47" ht="18" customHeight="1" x14ac:dyDescent="0.25">
      <c r="B156" s="16"/>
      <c r="C156" s="166"/>
      <c r="D156" s="11"/>
      <c r="E156" s="11"/>
      <c r="F156" s="17"/>
      <c r="G156" s="171" t="str">
        <f>IF(D152&lt;&gt;"",IF(D154&lt;&gt;"",IF(D152=D154,"",IF(D152&gt;D154,C152,C154)),""),"")</f>
        <v/>
      </c>
      <c r="H156" s="234">
        <v>0</v>
      </c>
      <c r="I156" s="56">
        <f>IF(H156&lt;&gt;"",H156,"")</f>
        <v>0</v>
      </c>
      <c r="J156" s="51" t="str">
        <f>IF(H156&lt;&gt;"",IF(G156="","",G156),"")</f>
        <v/>
      </c>
      <c r="K156" s="176">
        <f>IF(I156&lt;&gt;"",IF(I158&lt;&gt;"",SMALL(I156:J158,1),""),"")</f>
        <v>0</v>
      </c>
      <c r="L156" s="51"/>
      <c r="M156" s="54"/>
      <c r="N156" s="11"/>
      <c r="O156" s="166"/>
      <c r="P156" s="11"/>
      <c r="Q156" s="8"/>
      <c r="R156" s="182"/>
      <c r="S156" s="8"/>
      <c r="T156" s="8"/>
      <c r="U156" s="8"/>
      <c r="V156" s="182"/>
      <c r="W156" s="8"/>
      <c r="X156" s="62"/>
      <c r="Y156" s="182"/>
      <c r="Z156" s="65"/>
      <c r="AA156" s="8"/>
      <c r="AB156" s="11"/>
      <c r="AC156" s="182"/>
      <c r="AD156" s="8"/>
      <c r="AE156" s="17"/>
      <c r="AF156" s="234">
        <v>0</v>
      </c>
      <c r="AG156" s="171" t="str">
        <f>IF(AJ152&lt;&gt;"",IF(AJ154&lt;&gt;"",IF(AJ152=AJ154,"",IF(AJ152&gt;AJ154,AK152,AK154)),""),"")</f>
        <v/>
      </c>
      <c r="AH156" s="65"/>
      <c r="AI156" s="8"/>
      <c r="AJ156" s="11"/>
      <c r="AK156" s="166"/>
      <c r="AL156" s="11"/>
      <c r="AP156" s="13" t="str">
        <f>IF(AR156&lt;&gt;"",1+COUNTIF(AP136:AP155,"1")+COUNTIF(AP136:AP155,"2")+COUNTIF(AP136:AP155,"3")+COUNTIF(AP136:AP155,"4")+COUNTIF(AP136:AP155,"5")+COUNTIF(AP136:AP155,"6")+COUNTIF(AP136:AP155,"7")+COUNTIF(AP136:AP155,"8")+COUNTIF(AP136:AP155,"9")+COUNTIF(AP136:AP155,"10")+COUNTIF(AP136:AP155,"11")+COUNTIF(AP136:AP155,"12")+COUNTIF(AP136:AP155,"13")+COUNTIF(AP136:AP155,"14")+COUNTIF(AP136:AP155,"15")+COUNTIF(AP136:AP155,"16")+COUNTIF(AP136:AP155,"17")+COUNTIF(AP136:AP155,"18")+COUNTIF(AP136:AP155,"19")+COUNTIF(AP136:AP155,"20"),"")</f>
        <v/>
      </c>
      <c r="AQ156" s="14" t="str">
        <f t="shared" si="6"/>
        <v/>
      </c>
      <c r="AR156" s="21" t="str">
        <f>IF(AR140&lt;&gt;"",IF(C136=AR140,G138,IF(C138=AR140,G138,IF(C144=AR140,G146,IF(C146=AR140,G146,IF(C166=AR140,G168,IF(C168=AR140,G168,IF(C174=AR140,G176,IF(C176=AR140,G176,IF(C152=AR140,G154,IF(C154=AR140,G154,IF(C160=AR140,G162,IF(C162=AR140,G162,IF(C182=AR140,G184,IF(C184=AR140,G184,IF(C190=AR140,G192,IF(C192=AR140,G192,IF(AK136=AR140,AI138,IF(AK138=AR140,AI138,IF(AK144=AR140,AI146,IF(AK146=AR140,AI146,IF(AK166=AR140,AI168,IF(AK168=AR140,AI168,IF(AK174=AR140,AI176,IF(AK176=AR140,AI176,IF(AK152=AR140,AI154,IF(AK154=AR140,AI154,IF(AK160=AR140,AI162,IF(AK162=AR140,AI162,IF(AK182=AR140,AI184,IF(AK184=AR140,AI184,IF(AK190=AR140,AI192,IF(AK192=AR140,AI192)))))))))))))))))))))))))))))))),"")</f>
        <v/>
      </c>
      <c r="AS156" s="15" t="str">
        <f>IFERROR(IF(AR156="","",VLOOKUP(AR156,LISTAS!$F$5:$G$1004,2,0)),"0")</f>
        <v/>
      </c>
      <c r="AT156" s="15" t="str">
        <f t="shared" si="7"/>
        <v/>
      </c>
      <c r="AU156" s="15" t="str">
        <f t="shared" si="8"/>
        <v/>
      </c>
    </row>
    <row r="157" spans="2:47" ht="18" customHeight="1" thickBot="1" x14ac:dyDescent="0.3">
      <c r="B157" s="16"/>
      <c r="C157" s="166"/>
      <c r="D157" s="11"/>
      <c r="E157" s="11"/>
      <c r="F157" s="17"/>
      <c r="G157" s="172" t="str">
        <f>IFERROR(IF(G156="","",VLOOKUP(G156,LISTAS!$F$5:$G$1004,2,0)),"0")</f>
        <v/>
      </c>
      <c r="H157" s="235"/>
      <c r="I157" s="57"/>
      <c r="J157" s="51"/>
      <c r="K157" s="176"/>
      <c r="L157" s="51"/>
      <c r="M157" s="54"/>
      <c r="N157" s="11"/>
      <c r="O157" s="166"/>
      <c r="P157" s="11"/>
      <c r="Q157" s="8"/>
      <c r="R157" s="182"/>
      <c r="S157" s="8"/>
      <c r="T157" s="8"/>
      <c r="U157" s="8"/>
      <c r="V157" s="182"/>
      <c r="W157" s="8"/>
      <c r="X157" s="62"/>
      <c r="Y157" s="182"/>
      <c r="Z157" s="65"/>
      <c r="AA157" s="8"/>
      <c r="AB157" s="11"/>
      <c r="AC157" s="182"/>
      <c r="AD157" s="8"/>
      <c r="AE157" s="122"/>
      <c r="AF157" s="235"/>
      <c r="AG157" s="172" t="str">
        <f>IFERROR(IF(AG156="","",VLOOKUP(AG156,LISTAS!$F$5:$G$1004,2,0)),"0")</f>
        <v/>
      </c>
      <c r="AH157" s="65"/>
      <c r="AI157" s="8"/>
      <c r="AJ157" s="11"/>
      <c r="AK157" s="166"/>
      <c r="AL157" s="11"/>
      <c r="AP157" s="13" t="str">
        <f>IF(AR157&lt;&gt;"",1+COUNTIF(AP136:AP156,"1")+COUNTIF(AP136:AP156,"2")+COUNTIF(AP136:AP156,"3")+COUNTIF(AP136:AP156,"4")+COUNTIF(AP136:AP156,"5")+COUNTIF(AP136:AP156,"6")+COUNTIF(AP136:AP156,"7")+COUNTIF(AP136:AP156,"8")+COUNTIF(AP136:AP156,"9")+COUNTIF(AP136:AP156,"10")+COUNTIF(AP136:AP156,"11")+COUNTIF(AP136:AP156,"12")+COUNTIF(AP136:AP156,"13")+COUNTIF(AP136:AP156,"14")+COUNTIF(AP136:AP156,"15")+COUNTIF(AP136:AP156,"16")+COUNTIF(AP136:AP156,"17")+COUNTIF(AP136:AP156,"18")+COUNTIF(AP136:AP156,"19")+COUNTIF(AP136:AP156,"20")+COUNTIF(AP136:AP156,"21"),"")</f>
        <v/>
      </c>
      <c r="AQ157" s="14" t="str">
        <f t="shared" si="6"/>
        <v/>
      </c>
      <c r="AR157" s="21" t="str">
        <f>IF(AR141&lt;&gt;"",IF(C136=AR141,G138,IF(C138=AR141,G138,IF(C144=AR141,G146,IF(C146=AR141,G146,IF(C166=AR141,G168,IF(C168=AR141,G168,IF(C174=AR141,G176,IF(C176=AR141,G176,IF(C152=AR141,G154,IF(C154=AR141,G154,IF(C160=AR141,G162,IF(C162=AR141,G162,IF(C182=AR141,G184,IF(C184=AR141,G184,IF(C190=AR141,G192,IF(C192=AR141,G192,IF(AK136=AR141,AI138,IF(AK138=AR141,AI138,IF(AK144=AR141,AI146,IF(AK146=AR141,AI146,IF(AK166=AR141,AI168,IF(AK168=AR141,AI168,IF(AK174=AR141,AI176,IF(AK176=AR141,AI176,IF(AK152=AR141,AI154,IF(AK154=AR141,AI154,IF(AK160=AR141,AI162,IF(AK162=AR141,AI162,IF(AK182=AR141,AI184,IF(AK184=AR141,AI184,IF(AK190=AR141,AI192,IF(AK192=AR141,AI192)))))))))))))))))))))))))))))))),"")</f>
        <v/>
      </c>
      <c r="AS157" s="15" t="str">
        <f>IFERROR(IF(AR157="","",VLOOKUP(AR157,LISTAS!$F$5:$G$1004,2,0)),"0")</f>
        <v/>
      </c>
      <c r="AT157" s="15" t="str">
        <f t="shared" si="7"/>
        <v/>
      </c>
      <c r="AU157" s="15" t="str">
        <f t="shared" si="8"/>
        <v/>
      </c>
    </row>
    <row r="158" spans="2:47" ht="18" customHeight="1" x14ac:dyDescent="0.25">
      <c r="B158" s="16"/>
      <c r="C158" s="166"/>
      <c r="D158" s="11"/>
      <c r="E158" s="18"/>
      <c r="F158" s="19"/>
      <c r="G158" s="171" t="str">
        <f>IF(D160&lt;&gt;"",IF(D162&lt;&gt;"",IF(D160=D162,"",IF(D160&gt;D162,C160,C162)),""),"")</f>
        <v/>
      </c>
      <c r="H158" s="234">
        <v>0</v>
      </c>
      <c r="I158" s="57">
        <f>IF(H158&lt;&gt;"",H158,"")</f>
        <v>0</v>
      </c>
      <c r="J158" s="51" t="str">
        <f>IF(H158&lt;&gt;"",IF(G158="","",G158),"")</f>
        <v/>
      </c>
      <c r="K158" s="176" t="str">
        <f>VLOOKUP(K156,I156:J158,2,0)</f>
        <v/>
      </c>
      <c r="L158" s="51"/>
      <c r="M158" s="54"/>
      <c r="N158" s="11"/>
      <c r="O158" s="166"/>
      <c r="P158" s="11"/>
      <c r="Q158" s="8"/>
      <c r="R158" s="182"/>
      <c r="S158" s="8"/>
      <c r="T158" s="8"/>
      <c r="U158" s="8"/>
      <c r="V158" s="182"/>
      <c r="W158" s="8"/>
      <c r="X158" s="62"/>
      <c r="Y158" s="182"/>
      <c r="Z158" s="65"/>
      <c r="AA158" s="8"/>
      <c r="AB158" s="11"/>
      <c r="AC158" s="182"/>
      <c r="AD158" s="8"/>
      <c r="AE158" s="64"/>
      <c r="AF158" s="234">
        <v>0</v>
      </c>
      <c r="AG158" s="171" t="str">
        <f>IF(AJ160&lt;&gt;"",IF(AJ162&lt;&gt;"",IF(AJ160=AJ162,"",IF(AJ160&gt;AJ162,AK160,AK162)),""),"")</f>
        <v/>
      </c>
      <c r="AH158" s="66"/>
      <c r="AI158" s="8"/>
      <c r="AJ158" s="11"/>
      <c r="AK158" s="166"/>
      <c r="AL158" s="11"/>
      <c r="AP158" s="13" t="str">
        <f>IF(AR158&lt;&gt;"",1+COUNTIF(AP136:AP157,"1")+COUNTIF(AP136:AP157,"2")+COUNTIF(AP136:AP157,"3")+COUNTIF(AP136:AP157,"4")+COUNTIF(AP136:AP157,"5")+COUNTIF(AP136:AP157,"6")+COUNTIF(AP136:AP157,"7")+COUNTIF(AP136:AP157,"8")+COUNTIF(AP136:AP157,"9")+COUNTIF(AP136:AP157,"10")+COUNTIF(AP136:AP157,"11")+COUNTIF(AP136:AP157,"12")+COUNTIF(AP136:AP157,"13")+COUNTIF(AP136:AP157,"14")+COUNTIF(AP136:AP157,"15")+COUNTIF(AP136:AP157,"16")+COUNTIF(AP136:AP157,"17")+COUNTIF(AP136:AP157,"18")+COUNTIF(AP136:AP157,"19")+COUNTIF(AP136:AP157,"20")+COUNTIF(AP136:AP157,"21")+COUNTIF(AP136:AP157,"22"),"")</f>
        <v/>
      </c>
      <c r="AQ158" s="14" t="str">
        <f t="shared" si="6"/>
        <v/>
      </c>
      <c r="AR158" s="21" t="str">
        <f>IF(AR142&lt;&gt;"",IF(C136=AR142,G138,IF(C138=AR142,G138,IF(C144=AR142,G146,IF(C146=AR142,G146,IF(C166=AR142,G168,IF(C168=AR142,G168,IF(C174=AR142,G176,IF(C176=AR142,G176,IF(C152=AR142,G154,IF(C154=AR142,G154,IF(C160=AR142,G162,IF(C162=AR142,G162,IF(C182=AR142,G184,IF(C184=AR142,G184,IF(C190=AR142,G192,IF(C192=AR142,G192,IF(AK136=AR142,AI138,IF(AK138=AR142,AI138,IF(AK144=AR142,AI146,IF(AK146=AR142,AI146,IF(AK166=AR142,AI168,IF(AK168=AR142,AI168,IF(AK174=AR142,AI176,IF(AK176=AR142,AI176,IF(AK152=AR142,AI154,IF(AK154=AR142,AI154,IF(AK160=AR142,AI162,IF(AK162=AR142,AI162,IF(AK182=AR142,AI184,IF(AK184=AR142,AI184,IF(AK190=AR142,AI192,IF(AK192=AR142,AI192)))))))))))))))))))))))))))))))),"")</f>
        <v/>
      </c>
      <c r="AS158" s="15" t="str">
        <f>IFERROR(IF(AR158="","",VLOOKUP(AR158,LISTAS!$F$5:$G$1004,2,0)),"0")</f>
        <v/>
      </c>
      <c r="AT158" s="15" t="str">
        <f t="shared" si="7"/>
        <v/>
      </c>
      <c r="AU158" s="15" t="str">
        <f t="shared" si="8"/>
        <v/>
      </c>
    </row>
    <row r="159" spans="2:47" ht="18" customHeight="1" thickBot="1" x14ac:dyDescent="0.3">
      <c r="B159" s="16"/>
      <c r="C159" s="166"/>
      <c r="D159" s="11"/>
      <c r="E159" s="18"/>
      <c r="F159" s="11"/>
      <c r="G159" s="172" t="str">
        <f>IFERROR(IF(G158="","",VLOOKUP(G158,LISTAS!$F$5:$G$1004,2,0)),"0")</f>
        <v/>
      </c>
      <c r="H159" s="235"/>
      <c r="I159" s="51"/>
      <c r="J159" s="51"/>
      <c r="K159" s="176"/>
      <c r="L159" s="51"/>
      <c r="M159" s="54"/>
      <c r="N159" s="11"/>
      <c r="O159" s="166"/>
      <c r="P159" s="11"/>
      <c r="Q159" s="8"/>
      <c r="R159" s="182"/>
      <c r="S159" s="8"/>
      <c r="T159" s="8"/>
      <c r="U159" s="8"/>
      <c r="V159" s="182"/>
      <c r="W159" s="8"/>
      <c r="X159" s="62"/>
      <c r="Y159" s="182"/>
      <c r="Z159" s="65"/>
      <c r="AA159" s="8"/>
      <c r="AB159" s="11"/>
      <c r="AC159" s="182"/>
      <c r="AD159" s="8"/>
      <c r="AE159" s="8"/>
      <c r="AF159" s="235"/>
      <c r="AG159" s="172" t="str">
        <f>IFERROR(IF(AG158="","",VLOOKUP(AG158,LISTAS!$F$5:$G$1004,2,0)),"0")</f>
        <v/>
      </c>
      <c r="AH159" s="8"/>
      <c r="AI159" s="69"/>
      <c r="AJ159" s="11"/>
      <c r="AK159" s="166"/>
      <c r="AL159" s="11"/>
      <c r="AP159" s="13" t="str">
        <f>IF(AR159&lt;&gt;"",1+COUNTIF(AP136:AP158,"1")+COUNTIF(AP136:AP158,"2")+COUNTIF(AP136:AP158,"3")+COUNTIF(AP136:AP158,"4")+COUNTIF(AP136:AP158,"5")+COUNTIF(AP136:AP158,"6")+COUNTIF(AP136:AP158,"7")+COUNTIF(AP136:AP158,"8")+COUNTIF(AP136:AP158,"9")+COUNTIF(AP136:AP158,"10")+COUNTIF(AP136:AP158,"11")+COUNTIF(AP136:AP158,"12")+COUNTIF(AP136:AP158,"13")+COUNTIF(AP136:AP158,"14")+COUNTIF(AP136:AP158,"15")+COUNTIF(AP136:AP158,"16")+COUNTIF(AP136:AP158,"17")+COUNTIF(AP136:AP158,"18")+COUNTIF(AP136:AP158,"19")+COUNTIF(AP136:AP158,"20")+COUNTIF(AP136:AP158,"21")+COUNTIF(AP136:AP158,"22")+COUNTIF(AP136:AP158,"23"),"")</f>
        <v/>
      </c>
      <c r="AQ159" s="14" t="str">
        <f t="shared" si="6"/>
        <v/>
      </c>
      <c r="AR159" s="21" t="str">
        <f>IF(AR143&lt;&gt;"",IF(C136=AR143,G138,IF(C138=AR143,G138,IF(C144=AR143,G146,IF(C146=AR143,G146,IF(C166=AR143,G168,IF(C168=AR143,G168,IF(C174=AR143,G176,IF(C176=AR143,G176,IF(C152=AR143,G154,IF(C154=AR143,G154,IF(C160=AR143,G162,IF(C162=AR143,G162,IF(C182=AR143,G184,IF(C184=AR143,G184,IF(C190=AR143,G192,IF(C192=AR143,G192,IF(AK136=AR143,AI138,IF(AK138=AR143,AI138,IF(AK144=AR143,AI146,IF(AK146=AR143,AI146,IF(AK166=AR143,AI168,IF(AK168=AR143,AI168,IF(AK174=AR143,AI176,IF(AK176=AR143,AI176,IF(AK152=AR143,AI154,IF(AK154=AR143,AI154,IF(AK160=AR143,AI162,IF(AK162=AR143,AI162,IF(AK182=AR143,AI184,IF(AK184=AR143,AI184,IF(AK190=AR143,AI192,IF(AK192=AR143,AI192)))))))))))))))))))))))))))))))),"")</f>
        <v/>
      </c>
      <c r="AS159" s="15" t="str">
        <f>IFERROR(IF(AR159="","",VLOOKUP(AR159,LISTAS!$F$5:$G$1004,2,0)),"0")</f>
        <v/>
      </c>
      <c r="AT159" s="15" t="str">
        <f t="shared" si="7"/>
        <v/>
      </c>
      <c r="AU159" s="15" t="str">
        <f t="shared" si="8"/>
        <v/>
      </c>
    </row>
    <row r="160" spans="2:47" ht="18" customHeight="1" x14ac:dyDescent="0.25">
      <c r="B160" s="16">
        <v>25</v>
      </c>
      <c r="C160" s="171" t="str">
        <f>IF('13F GRP'!G5&gt;=3,'13F GRP'!J335,IF('13F GRP'!G5=2,"",IF('13F GRP'!G5=1,"","")))</f>
        <v/>
      </c>
      <c r="D160" s="234">
        <v>0</v>
      </c>
      <c r="E160" s="56">
        <f>IF(D160&lt;&gt;"",D160,"")</f>
        <v>0</v>
      </c>
      <c r="F160" s="51" t="str">
        <f>IF(D160&lt;&gt;"",IF(C160="","",C160),"")</f>
        <v/>
      </c>
      <c r="G160" s="176">
        <f>IF(E160&lt;&gt;"",IF(E162&lt;&gt;"",SMALL(E160:E162,1),""),"")</f>
        <v>0</v>
      </c>
      <c r="H160" s="51"/>
      <c r="I160" s="51"/>
      <c r="J160" s="51"/>
      <c r="K160" s="176"/>
      <c r="L160" s="51"/>
      <c r="M160" s="54"/>
      <c r="N160" s="11"/>
      <c r="O160" s="166"/>
      <c r="P160" s="11"/>
      <c r="Q160" s="8"/>
      <c r="R160" s="182"/>
      <c r="S160" s="8"/>
      <c r="T160" s="8"/>
      <c r="U160" s="8"/>
      <c r="V160" s="182"/>
      <c r="W160" s="8"/>
      <c r="X160" s="62"/>
      <c r="Y160" s="182"/>
      <c r="Z160" s="65"/>
      <c r="AA160" s="8"/>
      <c r="AB160" s="11"/>
      <c r="AC160" s="182"/>
      <c r="AD160" s="8"/>
      <c r="AE160" s="8"/>
      <c r="AF160" s="8"/>
      <c r="AG160" s="181">
        <f>IF(AJ160&lt;&gt;"",AJ160,"")</f>
        <v>0</v>
      </c>
      <c r="AH160" s="78" t="str">
        <f>IF(AJ160&lt;&gt;"",IF(AK160="","",AK160),"")</f>
        <v/>
      </c>
      <c r="AI160" s="53">
        <f>IF(AG160&lt;&gt;"",IF(AG162&lt;&gt;"",SMALL(AG160:AG162,1),""),"")</f>
        <v>0</v>
      </c>
      <c r="AJ160" s="234">
        <v>0</v>
      </c>
      <c r="AK160" s="171" t="str">
        <f>IF('13F GRP'!G5&gt;=3,'13F GRP'!J361,IF('13F GRP'!G5=2,"",IF('13F GRP'!G5=1,"","")))</f>
        <v/>
      </c>
      <c r="AL160" s="11">
        <v>27</v>
      </c>
      <c r="AP160" s="13" t="str">
        <f>IF(AR160&lt;&gt;"",1+COUNTIF(AP136:AP159,"1")+COUNTIF(AP136:AP159,"2")+COUNTIF(AP136:AP159,"3")+COUNTIF(AP136:AP159,"4")+COUNTIF(AP136:AP159,"5")+COUNTIF(AP136:AP159,"6")+COUNTIF(AP136:AP159,"7")+COUNTIF(AP136:AP159,"8")+COUNTIF(AP136:AP159,"9")+COUNTIF(AP136:AP159,"10")+COUNTIF(AP136:AP159,"11")+COUNTIF(AP136:AP159,"12")+COUNTIF(AP136:AP159,"13")+COUNTIF(AP136:AP159,"14")+COUNTIF(AP136:AP159,"15")+COUNTIF(AP136:AP159,"16")+COUNTIF(AP136:AP159,"17")+COUNTIF(AP136:AP159,"18")+COUNTIF(AP136:AP159,"19")+COUNTIF(AP136:AP159,"20")+COUNTIF(AP136:AP159,"21")+COUNTIF(AP136:AP159,"22")+COUNTIF(AP136:AP159,"23")+COUNTIF(AP136:AP159,"24"),"")</f>
        <v/>
      </c>
      <c r="AQ160" s="14" t="str">
        <f t="shared" si="6"/>
        <v/>
      </c>
      <c r="AR160" s="21" t="str">
        <f>IF(AR144&lt;&gt;"",IF(C136=AR144,G138,IF(C138=AR144,G138,IF(C144=AR144,G146,IF(C146=AR144,G146,IF(C166=AR144,G168,IF(C168=AR144,G168,IF(C174=AR144,G176,IF(C176=AR144,G176,IF(C152=AR144,G154,IF(C154=AR144,G154,IF(C160=AR144,G162,IF(C162=AR144,G162,IF(C182=AR144,G184,IF(C184=AR144,G184,IF(C190=AR144,G192,IF(C192=AR144,G192,IF(AK136=AR144,AI138,IF(AK138=AR144,AI138,IF(AK144=AR144,AI146,IF(AK146=AR144,AI146,IF(AK166=AR144,AI168,IF(AK168=AR144,AI168,IF(AK174=AR144,AI176,IF(AK176=AR144,AI176,IF(AK152=AR144,AI154,IF(AK154=AR144,AI154,IF(AK160=AR144,AI162,IF(AK162=AR144,AI162,IF(AK182=AR144,AI184,IF(AK184=AR144,AI184,IF(AK190=AR144,AI192,IF(AK192=AR144,AI192)))))))))))))))))))))))))))))))),"")</f>
        <v/>
      </c>
      <c r="AS160" s="15" t="str">
        <f>IFERROR(IF(AR160="","",VLOOKUP(AR160,LISTAS!$F$5:$G$1004,2,0)),"0")</f>
        <v/>
      </c>
      <c r="AT160" s="15" t="str">
        <f t="shared" si="7"/>
        <v/>
      </c>
      <c r="AU160" s="15" t="str">
        <f t="shared" si="8"/>
        <v/>
      </c>
    </row>
    <row r="161" spans="2:47" ht="18" customHeight="1" thickBot="1" x14ac:dyDescent="0.3">
      <c r="B161" s="16"/>
      <c r="C161" s="172" t="str">
        <f>IFERROR(IF(C160="","",VLOOKUP(C160,LISTAS!$F$5:$G$1004,2,0)),"0")</f>
        <v/>
      </c>
      <c r="D161" s="235"/>
      <c r="E161" s="57"/>
      <c r="F161" s="51"/>
      <c r="G161" s="176"/>
      <c r="H161" s="51"/>
      <c r="I161" s="11"/>
      <c r="J161" s="11"/>
      <c r="K161" s="166"/>
      <c r="L161" s="11"/>
      <c r="M161" s="18"/>
      <c r="N161" s="11"/>
      <c r="O161" s="166"/>
      <c r="P161" s="11"/>
      <c r="Q161" s="8"/>
      <c r="R161" s="182"/>
      <c r="S161" s="8"/>
      <c r="T161" s="8"/>
      <c r="U161" s="8"/>
      <c r="V161" s="182"/>
      <c r="W161" s="8"/>
      <c r="X161" s="62"/>
      <c r="Y161" s="182"/>
      <c r="Z161" s="65"/>
      <c r="AA161" s="8"/>
      <c r="AB161" s="11"/>
      <c r="AC161" s="182"/>
      <c r="AD161" s="8"/>
      <c r="AE161" s="8"/>
      <c r="AF161" s="8"/>
      <c r="AG161" s="181"/>
      <c r="AH161" s="78"/>
      <c r="AI161" s="124"/>
      <c r="AJ161" s="235"/>
      <c r="AK161" s="172" t="str">
        <f>IFERROR(IF(AK160="","",VLOOKUP(AK160,LISTAS!$F$5:$G$1004,2,0)),"0")</f>
        <v/>
      </c>
      <c r="AL161" s="11"/>
      <c r="AP161" s="13" t="str">
        <f>IF(AR161&lt;&gt;"",1+COUNTIF(AP136:AP160,"1")+COUNTIF(AP136:AP160,"2")+COUNTIF(AP136:AP160,"3")+COUNTIF(AP136:AP160,"4")+COUNTIF(AP136:AP160,"5")+COUNTIF(AP136:AP160,"6")+COUNTIF(AP136:AP160,"7")+COUNTIF(AP136:AP160,"8")+COUNTIF(AP136:AP160,"9")+COUNTIF(AP136:AP160,"10")+COUNTIF(AP136:AP160,"11")+COUNTIF(AP136:AP160,"12")+COUNTIF(AP136:AP160,"13")+COUNTIF(AP136:AP160,"14")+COUNTIF(AP136:AP160,"15")+COUNTIF(AP136:AP160,"16")+COUNTIF(AP136:AP160,"17")+COUNTIF(AP136:AP160,"18")+COUNTIF(AP136:AP160,"19")+COUNTIF(AP136:AP160,"20")+COUNTIF(AP136:AP160,"21")+COUNTIF(AP136:AP160,"22")+COUNTIF(AP136:AP160,"23")+COUNTIF(AP136:AP160,"24")+COUNTIF(AP136:AP160,"25"),"")</f>
        <v/>
      </c>
      <c r="AQ161" s="14" t="str">
        <f t="shared" si="6"/>
        <v/>
      </c>
      <c r="AR161" s="21" t="str">
        <f>IF(AR145&lt;&gt;"",IF(C136=AR145,G138,IF(C138=AR145,G138,IF(C144=AR145,G146,IF(C146=AR145,G146,IF(C166=AR145,G168,IF(C168=AR145,G168,IF(C174=AR145,G176,IF(C176=AR145,G176,IF(C152=AR145,G154,IF(C154=AR145,G154,IF(C160=AR145,G162,IF(C162=AR145,G162,IF(C182=AR145,G184,IF(C184=AR145,G184,IF(C190=AR145,G192,IF(C192=AR145,G192,IF(AK136=AR145,AI138,IF(AK138=AR145,AI138,IF(AK144=AR145,AI146,IF(AK146=AR145,AI146,IF(AK166=AR145,AI168,IF(AK168=AR145,AI168,IF(AK174=AR145,AI176,IF(AK176=AR145,AI176,IF(AK152=AR145,AI154,IF(AK154=AR145,AI154,IF(AK160=AR145,AI162,IF(AK162=AR145,AI162,IF(AK182=AR145,AI184,IF(AK184=AR145,AI184,IF(AK190=AR145,AI192,IF(AK192=AR145,AI192)))))))))))))))))))))))))))))))),"")</f>
        <v/>
      </c>
      <c r="AS161" s="15" t="str">
        <f>IFERROR(IF(AR161="","",VLOOKUP(AR161,LISTAS!$F$5:$G$1004,2,0)),"0")</f>
        <v/>
      </c>
      <c r="AT161" s="15" t="str">
        <f t="shared" si="7"/>
        <v/>
      </c>
      <c r="AU161" s="15" t="str">
        <f t="shared" si="8"/>
        <v/>
      </c>
    </row>
    <row r="162" spans="2:47" ht="18" customHeight="1" thickBot="1" x14ac:dyDescent="0.3">
      <c r="B162" s="16">
        <v>8</v>
      </c>
      <c r="C162" s="171" t="str">
        <f>IF('13F GRP'!G5&gt;=3,'13F GRP'!J114,IF('13F GRP'!G5=2,"",IF('13F GRP'!G5=1,"","")))</f>
        <v/>
      </c>
      <c r="D162" s="234">
        <v>0</v>
      </c>
      <c r="E162" s="57">
        <f>IF(D162&lt;&gt;"",D162,"")</f>
        <v>0</v>
      </c>
      <c r="F162" s="51" t="str">
        <f>IF(D162&lt;&gt;"",IF(C162="","",C162),"")</f>
        <v/>
      </c>
      <c r="G162" s="176" t="str">
        <f>VLOOKUP(G160,E160:F162,2,0)</f>
        <v/>
      </c>
      <c r="H162" s="51"/>
      <c r="I162" s="11"/>
      <c r="J162" s="11"/>
      <c r="K162" s="166"/>
      <c r="L162" s="11"/>
      <c r="M162" s="18"/>
      <c r="N162" s="11"/>
      <c r="O162" s="166"/>
      <c r="P162" s="11"/>
      <c r="Q162" s="8"/>
      <c r="R162" s="277" t="s">
        <v>37</v>
      </c>
      <c r="S162" s="236"/>
      <c r="T162" s="236"/>
      <c r="U162" s="236"/>
      <c r="V162" s="277"/>
      <c r="W162" s="8"/>
      <c r="X162" s="62"/>
      <c r="Y162" s="182"/>
      <c r="Z162" s="65"/>
      <c r="AA162" s="8"/>
      <c r="AB162" s="11"/>
      <c r="AC162" s="182"/>
      <c r="AD162" s="8"/>
      <c r="AE162" s="8"/>
      <c r="AF162" s="8"/>
      <c r="AG162" s="181">
        <f>IF(AJ162&lt;&gt;"",AJ162,"")</f>
        <v>0</v>
      </c>
      <c r="AH162" s="78" t="str">
        <f>IF(AJ162&lt;&gt;"",IF(AK162="","",AK162),"")</f>
        <v/>
      </c>
      <c r="AI162" s="125" t="str">
        <f>VLOOKUP(AI160,AG160:AH162,2,0)</f>
        <v/>
      </c>
      <c r="AJ162" s="234">
        <v>0</v>
      </c>
      <c r="AK162" s="171" t="str">
        <f>IF('13F GRP'!G5&gt;=3,'13F GRP'!J88,IF('13F GRP'!G5=2,"",IF('13F GRP'!G5=1,"","")))</f>
        <v/>
      </c>
      <c r="AL162" s="11">
        <v>6</v>
      </c>
      <c r="AP162" s="13" t="str">
        <f>IF(AR162&lt;&gt;"",1+COUNTIF(AP136:AP161,"1")+COUNTIF(AP136:AP161,"2")+COUNTIF(AP136:AP161,"3")+COUNTIF(AP136:AP161,"4")+COUNTIF(AP136:AP161,"5")+COUNTIF(AP136:AP161,"6")+COUNTIF(AP136:AP161,"7")+COUNTIF(AP136:AP161,"8")+COUNTIF(AP136:AP161,"9")+COUNTIF(AP136:AP161,"10")+COUNTIF(AP136:AP161,"11")+COUNTIF(AP136:AP161,"12")+COUNTIF(AP136:AP161,"13")+COUNTIF(AP136:AP161,"14")+COUNTIF(AP136:AP161,"15")+COUNTIF(AP136:AP161,"16")+COUNTIF(AP136:AP161,"17")+COUNTIF(AP136:AP161,"18")+COUNTIF(AP136:AP161,"19")+COUNTIF(AP136:AP161,"20")+COUNTIF(AP136:AP161,"21")+COUNTIF(AP136:AP161,"22")+COUNTIF(AP136:AP161,"23")+COUNTIF(AP136:AP161,"24")+COUNTIF(AP136:AP161,"25")+COUNTIF(AP136:AP161,"26"),"")</f>
        <v/>
      </c>
      <c r="AQ162" s="14" t="str">
        <f t="shared" si="6"/>
        <v/>
      </c>
      <c r="AR162" s="21" t="str">
        <f>IF(AR146&lt;&gt;"",IF(C136=AR146,G138,IF(C138=AR146,G138,IF(C144=AR146,G146,IF(C146=AR146,G146,IF(C166=AR146,G168,IF(C168=AR146,G168,IF(C174=AR146,G176,IF(C176=AR146,G176,IF(C152=AR146,G154,IF(C154=AR146,G154,IF(C160=AR146,G162,IF(C162=AR146,G162,IF(C182=AR146,G184,IF(C184=AR146,G184,IF(C190=AR146,G192,IF(C192=AR146,G192,IF(AK136=AR146,AI138,IF(AK138=AR146,AI138,IF(AK144=AR146,AI146,IF(AK146=AR146,AI146,IF(AK166=AR146,AI168,IF(AK168=AR146,AI168,IF(AK174=AR146,AI176,IF(AK176=AR146,AI176,IF(AK152=AR146,AI154,IF(AK154=AR146,AI154,IF(AK160=AR146,AI162,IF(AK162=AR146,AI162,IF(AK182=AR146,AI184,IF(AK184=AR146,AI184,IF(AK190=AR146,AI192,IF(AK192=AR146,AI192)))))))))))))))))))))))))))))))),"")</f>
        <v/>
      </c>
      <c r="AS162" s="15" t="str">
        <f>IFERROR(IF(AR162="","",VLOOKUP(AR162,LISTAS!$F$5:$G$1004,2,0)),"0")</f>
        <v/>
      </c>
      <c r="AT162" s="15" t="str">
        <f t="shared" si="7"/>
        <v/>
      </c>
      <c r="AU162" s="15" t="str">
        <f t="shared" si="8"/>
        <v/>
      </c>
    </row>
    <row r="163" spans="2:47" ht="18" customHeight="1" thickBot="1" x14ac:dyDescent="0.3">
      <c r="B163" s="16"/>
      <c r="C163" s="172" t="str">
        <f>IFERROR(IF(C162="","",VLOOKUP(C162,LISTAS!$F$5:$G$1004,2,0)),"0")</f>
        <v/>
      </c>
      <c r="D163" s="235"/>
      <c r="E163" s="51"/>
      <c r="F163" s="51"/>
      <c r="G163" s="176"/>
      <c r="H163" s="51"/>
      <c r="I163" s="11"/>
      <c r="J163" s="11"/>
      <c r="K163" s="166"/>
      <c r="L163" s="11"/>
      <c r="M163" s="18"/>
      <c r="N163" s="11"/>
      <c r="O163" s="171" t="str">
        <f>IF(L148&lt;&gt;"",IF(L150&lt;&gt;"",IF(L148=L150,"",IF(L148&gt;L150,K148,K150)),""),"")</f>
        <v>MANUELA TEJOS</v>
      </c>
      <c r="P163" s="234">
        <v>1</v>
      </c>
      <c r="Q163" s="8"/>
      <c r="R163" s="167"/>
      <c r="S163" s="71"/>
      <c r="T163" s="71"/>
      <c r="U163" s="71"/>
      <c r="V163" s="167"/>
      <c r="W163" s="8"/>
      <c r="X163" s="234">
        <v>1</v>
      </c>
      <c r="Y163" s="171" t="str">
        <f>IF(AB148&lt;&gt;"",IF(AB150&lt;&gt;"",IF(AB148=AB150,"",IF(AB148&gt;AB150,AC148,AC150)),""),"")</f>
        <v>GIOVANA CASTELLAN MAGIONE</v>
      </c>
      <c r="Z163" s="65"/>
      <c r="AA163" s="8"/>
      <c r="AB163" s="11"/>
      <c r="AC163" s="182"/>
      <c r="AD163" s="8"/>
      <c r="AE163" s="8"/>
      <c r="AF163" s="8"/>
      <c r="AG163" s="181"/>
      <c r="AH163" s="78"/>
      <c r="AI163" s="51"/>
      <c r="AJ163" s="235"/>
      <c r="AK163" s="172" t="str">
        <f>IFERROR(IF(AK162="","",VLOOKUP(AK162,LISTAS!$F$5:$G$1004,2,0)),"0")</f>
        <v/>
      </c>
      <c r="AL163" s="11"/>
      <c r="AP163" s="13" t="str">
        <f>IF(AR163&lt;&gt;"",1+COUNTIF(AP136:AP162,"1")+COUNTIF(AP136:AP162,"2")+COUNTIF(AP136:AP162,"3")+COUNTIF(AP136:AP162,"4")+COUNTIF(AP136:AP162,"5")+COUNTIF(AP136:AP162,"6")+COUNTIF(AP136:AP162,"7")+COUNTIF(AP136:AP162,"8")+COUNTIF(AP136:AP162,"9")+COUNTIF(AP136:AP162,"10")+COUNTIF(AP136:AP162,"11")+COUNTIF(AP136:AP162,"12")+COUNTIF(AP136:AP162,"13")+COUNTIF(AP136:AP162,"14")+COUNTIF(AP136:AP162,"15")+COUNTIF(AP136:AP162,"16")+COUNTIF(AP136:AP162,"17")+COUNTIF(AP136:AP162,"18")+COUNTIF(AP136:AP162,"19")+COUNTIF(AP136:AP162,"20")+COUNTIF(AP136:AP162,"21")+COUNTIF(AP136:AP162,"22")+COUNTIF(AP136:AP162,"23")+COUNTIF(AP136:AP162,"24")+COUNTIF(AP136:AP162,"25")+COUNTIF(AP136:AP162,"26")+COUNTIF(AP136:AP162,"27"),"")</f>
        <v/>
      </c>
      <c r="AQ163" s="14" t="str">
        <f t="shared" si="6"/>
        <v/>
      </c>
      <c r="AR163" s="21" t="str">
        <f>IF(AR147&lt;&gt;"",IF(C136=AR147,G138,IF(C138=AR147,G138,IF(C144=AR147,G146,IF(C146=AR147,G146,IF(C166=AR147,G168,IF(C168=AR147,G168,IF(C174=AR147,G176,IF(C176=AR147,G176,IF(C152=AR147,G154,IF(C154=AR147,G154,IF(C160=AR147,G162,IF(C162=AR147,G162,IF(C182=AR147,G184,IF(C184=AR147,G184,IF(C190=AR147,G192,IF(C192=AR147,G192,IF(AK136=AR147,AI138,IF(AK138=AR147,AI138,IF(AK144=AR147,AI146,IF(AK146=AR147,AI146,IF(AK166=AR147,AI168,IF(AK168=AR147,AI168,IF(AK174=AR147,AI176,IF(AK176=AR147,AI176,IF(AK152=AR147,AI154,IF(AK154=AR147,AI154,IF(AK160=AR147,AI162,IF(AK162=AR147,AI162,IF(AK182=AR147,AI184,IF(AK184=AR147,AI184,IF(AK190=AR147,AI192,IF(AK192=AR147,AI192)))))))))))))))))))))))))))))))),"")</f>
        <v/>
      </c>
      <c r="AS163" s="15" t="str">
        <f>IFERROR(IF(AR163="","",VLOOKUP(AR163,LISTAS!$F$5:$G$1004,2,0)),"0")</f>
        <v/>
      </c>
      <c r="AT163" s="15" t="str">
        <f t="shared" si="7"/>
        <v/>
      </c>
      <c r="AU163" s="15" t="str">
        <f t="shared" si="8"/>
        <v/>
      </c>
    </row>
    <row r="164" spans="2:47" ht="18" customHeight="1" thickBot="1" x14ac:dyDescent="0.3">
      <c r="B164" s="16"/>
      <c r="C164" s="166"/>
      <c r="D164" s="11"/>
      <c r="E164" s="11"/>
      <c r="F164" s="11"/>
      <c r="G164" s="166"/>
      <c r="H164" s="11"/>
      <c r="I164" s="11"/>
      <c r="J164" s="11"/>
      <c r="K164" s="166"/>
      <c r="L164" s="11"/>
      <c r="M164" s="18"/>
      <c r="N164" s="11"/>
      <c r="O164" s="172" t="str">
        <f>IFERROR(IF(O163="","",VLOOKUP(O163,LISTAS!$F$5:$G$1004,2,0)),"0")</f>
        <v>COLÉGIO ARBOS SÃO CAETANO DO SUL</v>
      </c>
      <c r="P164" s="235"/>
      <c r="Q164" s="8"/>
      <c r="R164" s="171" t="str">
        <f>IF(P163&lt;&gt;"",IF(P165&lt;&gt;"",IF(P163=P165,"",IF(P163&gt;P165,O163,O165)),""),"")</f>
        <v>MANUELA TEJOS</v>
      </c>
      <c r="S164" s="234">
        <v>0</v>
      </c>
      <c r="T164" s="237" t="s">
        <v>38</v>
      </c>
      <c r="U164" s="234">
        <v>1</v>
      </c>
      <c r="V164" s="171" t="str">
        <f>IF(X163&lt;&gt;"",IF(X165&lt;&gt;"",IF(X163=X165,"",IF(X163&gt;X165,Y163,Y165)),""),"")</f>
        <v>GIOVANA CASTELLAN MAGIONE</v>
      </c>
      <c r="W164" s="112"/>
      <c r="X164" s="235"/>
      <c r="Y164" s="172" t="str">
        <f>IFERROR(IF(Y163="","",VLOOKUP(Y163,LISTAS!$F$5:$G$1004,2,0)),"0")</f>
        <v>COLÉGIO ENGENHEIRO SALVADOR ARENA</v>
      </c>
      <c r="Z164" s="112"/>
      <c r="AA164" s="8"/>
      <c r="AB164" s="11"/>
      <c r="AC164" s="182"/>
      <c r="AD164" s="8"/>
      <c r="AE164" s="8"/>
      <c r="AF164" s="8"/>
      <c r="AG164" s="182"/>
      <c r="AH164" s="8"/>
      <c r="AI164" s="8"/>
      <c r="AJ164" s="11"/>
      <c r="AK164" s="166"/>
      <c r="AL164" s="11"/>
      <c r="AP164" s="13" t="str">
        <f>IF(AR164&lt;&gt;"",1+COUNTIF(AP136:AP163,"1")+COUNTIF(AP136:AP163,"2")+COUNTIF(AP136:AP163,"3")+COUNTIF(AP136:AP163,"4")+COUNTIF(AP136:AP163,"5")+COUNTIF(AP136:AP163,"6")+COUNTIF(AP136:AP163,"7")+COUNTIF(AP136:AP163,"8")+COUNTIF(AP136:AP163,"9")+COUNTIF(AP136:AP163,"10")+COUNTIF(AP136:AP163,"11")+COUNTIF(AP136:AP163,"12")+COUNTIF(AP136:AP163,"13")+COUNTIF(AP136:AP163,"14")+COUNTIF(AP136:AP163,"15")+COUNTIF(AP136:AP163,"16")+COUNTIF(AP136:AP163,"17")+COUNTIF(AP136:AP163,"18")+COUNTIF(AP136:AP163,"19")+COUNTIF(AP136:AP163,"20")+COUNTIF(AP136:AP163,"21")+COUNTIF(AP136:AP163,"22")+COUNTIF(AP136:AP163,"23")+COUNTIF(AP136:AP163,"24")+COUNTIF(AP136:AP163,"25")+COUNTIF(AP136:AP163,"26")+COUNTIF(AP136:AP163,"27")+COUNTIF(AP136:AP163,"28"),"")</f>
        <v/>
      </c>
      <c r="AQ164" s="14" t="str">
        <f t="shared" si="6"/>
        <v/>
      </c>
      <c r="AR164" s="21" t="str">
        <f>IF(AR148&lt;&gt;"",IF(C136=AR148,G138,IF(C138=AR148,G138,IF(C144=AR148,G146,IF(C146=AR148,G146,IF(C166=AR148,G168,IF(C168=AR148,G168,IF(C174=AR148,G176,IF(C176=AR148,G176,IF(C152=AR148,G154,IF(C154=AR148,G154,IF(C160=AR148,G162,IF(C162=AR148,G162,IF(C182=AR148,G184,IF(C184=AR148,G184,IF(C190=AR148,G192,IF(C192=AR148,G192,IF(AK136=AR148,AI138,IF(AK138=AR148,AI138,IF(AK144=AR148,AI146,IF(AK146=AR148,AI146,IF(AK166=AR148,AI168,IF(AK168=AR148,AI168,IF(AK174=AR148,AI176,IF(AK176=AR148,AI176,IF(AK152=AR148,AI154,IF(AK154=AR148,AI154,IF(AK160=AR148,AI162,IF(AK162=AR148,AI162,IF(AK182=AR148,AI184,IF(AK184=AR148,AI184,IF(AK190=AR148,AI192,IF(AK192=AR148,AI192)))))))))))))))))))))))))))))))),"")</f>
        <v/>
      </c>
      <c r="AS164" s="15" t="str">
        <f>IFERROR(IF(AR164="","",VLOOKUP(AR164,LISTAS!$F$5:$G$1004,2,0)),"0")</f>
        <v/>
      </c>
      <c r="AT164" s="15" t="str">
        <f t="shared" si="7"/>
        <v/>
      </c>
      <c r="AU164" s="15" t="str">
        <f t="shared" si="8"/>
        <v/>
      </c>
    </row>
    <row r="165" spans="2:47" ht="18" customHeight="1" thickBot="1" x14ac:dyDescent="0.3">
      <c r="B165" s="16"/>
      <c r="C165" s="166"/>
      <c r="D165" s="11"/>
      <c r="E165" s="11"/>
      <c r="F165" s="11"/>
      <c r="G165" s="166"/>
      <c r="H165" s="11"/>
      <c r="I165" s="11"/>
      <c r="J165" s="11"/>
      <c r="K165" s="166"/>
      <c r="L165" s="11"/>
      <c r="M165" s="18"/>
      <c r="N165" s="19"/>
      <c r="O165" s="171" t="str">
        <f>IF(L178&lt;&gt;"",IF(L180&lt;&gt;"",IF(L178=L180,"",IF(L178&gt;L180,K178,K180)),""),"")</f>
        <v>MARIA EDUARDA</v>
      </c>
      <c r="P165" s="234">
        <v>0</v>
      </c>
      <c r="Q165" s="72"/>
      <c r="R165" s="172" t="str">
        <f>IFERROR(IF(R164="","",VLOOKUP(R164,LISTAS!$F$5:$G$1004,2,0)),"0")</f>
        <v>COLÉGIO ARBOS SÃO CAETANO DO SUL</v>
      </c>
      <c r="S165" s="235"/>
      <c r="T165" s="237"/>
      <c r="U165" s="235"/>
      <c r="V165" s="172" t="str">
        <f>IFERROR(IF(V164="","",VLOOKUP(V164,LISTAS!$F$5:$G$1004,2,0)),"0")</f>
        <v>COLÉGIO ENGENHEIRO SALVADOR ARENA</v>
      </c>
      <c r="W165" s="66"/>
      <c r="X165" s="234">
        <v>0</v>
      </c>
      <c r="Y165" s="171" t="str">
        <f>IF(AB178&lt;&gt;"",IF(AB180&lt;&gt;"",IF(AB178=AB180,"",IF(AB178&gt;AB180,AC178,AC180)),""),"")</f>
        <v>MELISSA MATSUMOTO</v>
      </c>
      <c r="Z165" s="66"/>
      <c r="AA165" s="8"/>
      <c r="AB165" s="11"/>
      <c r="AC165" s="182"/>
      <c r="AD165" s="8"/>
      <c r="AE165" s="8"/>
      <c r="AF165" s="8"/>
      <c r="AG165" s="182"/>
      <c r="AH165" s="8"/>
      <c r="AI165" s="8"/>
      <c r="AJ165" s="11"/>
      <c r="AK165" s="166"/>
      <c r="AL165" s="11"/>
      <c r="AP165" s="13" t="str">
        <f>IF(AR165&lt;&gt;"",1+COUNTIF(AP136:AP164,"1")+COUNTIF(AP136:AP164,"2")+COUNTIF(AP136:AP164,"3")+COUNTIF(AP136:AP164,"4")+COUNTIF(AP136:AP164,"5")+COUNTIF(AP136:AP164,"6")+COUNTIF(AP136:AP164,"7")+COUNTIF(AP136:AP164,"8")+COUNTIF(AP136:AP164,"9")+COUNTIF(AP136:AP164,"10")+COUNTIF(AP136:AP164,"11")+COUNTIF(AP136:AP164,"12")+COUNTIF(AP136:AP164,"13")+COUNTIF(AP136:AP164,"14")+COUNTIF(AP136:AP164,"15")+COUNTIF(AP136:AP164,"16")+COUNTIF(AP136:AP164,"17")+COUNTIF(AP136:AP164,"18")+COUNTIF(AP136:AP164,"19")+COUNTIF(AP136:AP164,"20")+COUNTIF(AP136:AP164,"21")+COUNTIF(AP136:AP164,"22")+COUNTIF(AP136:AP164,"23")+COUNTIF(AP136:AP164,"24")+COUNTIF(AP136:AP164,"25")+COUNTIF(AP136:AP164,"26")+COUNTIF(AP136:AP164,"27")+COUNTIF(AP136:AP164,"28")+COUNTIF(AP136:AP164,"29"),"")</f>
        <v/>
      </c>
      <c r="AQ165" s="14" t="str">
        <f t="shared" si="6"/>
        <v/>
      </c>
      <c r="AR165" s="21" t="str">
        <f>IF(AR149&lt;&gt;"",IF(C136=AR149,G138,IF(C138=AR149,G138,IF(C144=AR149,G146,IF(C146=AR149,G146,IF(C166=AR149,G168,IF(C168=AR149,G168,IF(C174=AR149,G176,IF(C176=AR149,G176,IF(C152=AR149,G154,IF(C154=AR149,G154,IF(C160=AR149,G162,IF(C162=AR149,G162,IF(C182=AR149,G184,IF(C184=AR149,G184,IF(C190=AR149,G192,IF(C192=AR149,G192,IF(AK136=AR149,AI138,IF(AK138=AR149,AI138,IF(AK144=AR149,AI146,IF(AK146=AR149,AI146,IF(AK166=AR149,AI168,IF(AK168=AR149,AI168,IF(AK174=AR149,AI176,IF(AK176=AR149,AI176,IF(AK152=AR149,AI154,IF(AK154=AR149,AI154,IF(AK160=AR149,AI162,IF(AK162=AR149,AI162,IF(AK182=AR149,AI184,IF(AK184=AR149,AI184,IF(AK190=AR149,AI192,IF(AK192=AR149,AI192)))))))))))))))))))))))))))))))),"")</f>
        <v/>
      </c>
      <c r="AS165" s="15" t="str">
        <f>IFERROR(IF(AR165="","",VLOOKUP(AR165,LISTAS!$F$5:$G$1004,2,0)),"0")</f>
        <v/>
      </c>
      <c r="AT165" s="15" t="str">
        <f t="shared" si="7"/>
        <v/>
      </c>
      <c r="AU165" s="15" t="str">
        <f t="shared" si="8"/>
        <v/>
      </c>
    </row>
    <row r="166" spans="2:47" ht="18" customHeight="1" thickBot="1" x14ac:dyDescent="0.3">
      <c r="B166" s="16">
        <v>5</v>
      </c>
      <c r="C166" s="171" t="str">
        <f>IF('13F GRP'!G5&gt;=3,'13F GRP'!J75,IF('13F GRP'!G5=2,"",IF('13F GRP'!G5=1,"","")))</f>
        <v>KAILA ATTIS</v>
      </c>
      <c r="D166" s="234">
        <v>2</v>
      </c>
      <c r="E166" s="51">
        <f>IF(D166&lt;&gt;"",D166,"")</f>
        <v>2</v>
      </c>
      <c r="F166" s="51" t="str">
        <f>IF(D166&lt;&gt;"",IF(C166="","",C166),"")</f>
        <v>KAILA ATTIS</v>
      </c>
      <c r="G166" s="176">
        <f>IF(E166&lt;&gt;"",IF(E168&lt;&gt;"",SMALL(E166:E168,1),""),"")</f>
        <v>0</v>
      </c>
      <c r="H166" s="51"/>
      <c r="I166" s="51"/>
      <c r="J166" s="11"/>
      <c r="K166" s="166"/>
      <c r="L166" s="11"/>
      <c r="M166" s="18"/>
      <c r="N166" s="8"/>
      <c r="O166" s="172" t="str">
        <f>IFERROR(IF(O165="","",VLOOKUP(O165,LISTAS!$F$5:$G$1004,2,0)),"0")</f>
        <v>ESCOLA STAGIUM</v>
      </c>
      <c r="P166" s="235"/>
      <c r="Q166" s="60"/>
      <c r="R166" s="182"/>
      <c r="S166" s="8"/>
      <c r="T166" s="8"/>
      <c r="U166" s="8"/>
      <c r="V166" s="182"/>
      <c r="W166" s="8"/>
      <c r="X166" s="235"/>
      <c r="Y166" s="172" t="str">
        <f>IFERROR(IF(Y165="","",VLOOKUP(Y165,LISTAS!$F$5:$G$1004,2,0)),"0")</f>
        <v>COLÉGIO ARBOS - UNIDADE SANTO ANDRÉ</v>
      </c>
      <c r="Z166" s="65"/>
      <c r="AA166" s="8"/>
      <c r="AB166" s="11"/>
      <c r="AC166" s="182"/>
      <c r="AD166" s="8"/>
      <c r="AE166" s="8"/>
      <c r="AF166" s="8"/>
      <c r="AG166" s="181">
        <f>IF(AJ166&lt;&gt;"",AJ166,"")</f>
        <v>0</v>
      </c>
      <c r="AH166" s="78" t="str">
        <f>IF(AJ166&lt;&gt;"",IF(AK166="","",AK166),"")</f>
        <v/>
      </c>
      <c r="AI166" s="51">
        <f>IF(AG166&lt;&gt;"",IF(AG168&lt;&gt;"",SMALL(AG166:AG168,1),""),"")</f>
        <v>0</v>
      </c>
      <c r="AJ166" s="234">
        <v>0</v>
      </c>
      <c r="AK166" s="171" t="str">
        <f>IF('13F GRP'!G5&gt;=3,'13F GRP'!J101,IF('13F GRP'!G5=2,"",IF('13F GRP'!G5=1,"","")))</f>
        <v/>
      </c>
      <c r="AL166" s="11">
        <v>7</v>
      </c>
      <c r="AP166" s="13" t="str">
        <f>IF(AR166&lt;&gt;"",1+COUNTIF(AP136:AP165,"1")+COUNTIF(AP136:AP165,"2")+COUNTIF(AP136:AP165,"3")+COUNTIF(AP136:AP165,"4")+COUNTIF(AP136:AP165,"5")+COUNTIF(AP136:AP165,"6")+COUNTIF(AP136:AP165,"7")+COUNTIF(AP136:AP165,"8")+COUNTIF(AP136:AP165,"9")+COUNTIF(AP136:AP165,"10")+COUNTIF(AP136:AP165,"11")+COUNTIF(AP136:AP165,"12")+COUNTIF(AP136:AP165,"13")+COUNTIF(AP136:AP165,"14")+COUNTIF(AP136:AP165,"15")+COUNTIF(AP136:AP165,"16")+COUNTIF(AP136:AP165,"17")+COUNTIF(AP136:AP165,"18")+COUNTIF(AP136:AP165,"19")+COUNTIF(AP136:AP165,"20")+COUNTIF(AP136:AP165,"21")+COUNTIF(AP136:AP165,"22")+COUNTIF(AP136:AP165,"23")+COUNTIF(AP136:AP165,"24")+COUNTIF(AP136:AP165,"25")+COUNTIF(AP136:AP165,"26")+COUNTIF(AP136:AP165,"27")+COUNTIF(AP136:AP165,"28")+COUNTIF(AP136:AP165,"29")+COUNTIF(AP136:AP165,"30"),"")</f>
        <v/>
      </c>
      <c r="AQ166" s="14" t="str">
        <f t="shared" si="6"/>
        <v/>
      </c>
      <c r="AR166" s="21" t="str">
        <f>IF(AR150&lt;&gt;"",IF(C136=AR150,G138,IF(C138=AR150,G138,IF(C144=AR150,G146,IF(C146=AR150,G146,IF(C166=AR150,G168,IF(C168=AR150,G168,IF(C174=AR150,G176,IF(C176=AR150,G176,IF(C152=AR150,G154,IF(C154=AR150,G154,IF(C160=AR150,G162,IF(C162=AR150,G162,IF(C182=AR150,G184,IF(C184=AR150,G184,IF(C190=AR150,G192,IF(C192=AR150,G192,IF(AK136=AR150,AI138,IF(AK138=AR150,AI138,IF(AK144=AR150,AI146,IF(AK146=AR150,AI146,IF(AK166=AR150,AI168,IF(AK168=AR150,AI168,IF(AK174=AR150,AI176,IF(AK176=AR150,AI176,IF(AK152=AR150,AI154,IF(AK154=AR150,AI154,IF(AK160=AR150,AI162,IF(AK162=AR150,AI162,IF(AK182=AR150,AI184,IF(AK184=AR150,AI184,IF(AK190=AR150,AI192,IF(AK192=AR150,AI192)))))))))))))))))))))))))))))))),"")</f>
        <v/>
      </c>
      <c r="AS166" s="15" t="str">
        <f>IFERROR(IF(AR166="","",VLOOKUP(AR166,LISTAS!$F$5:$G$1004,2,0)),"0")</f>
        <v/>
      </c>
      <c r="AT166" s="15" t="str">
        <f t="shared" si="7"/>
        <v/>
      </c>
      <c r="AU166" s="15" t="str">
        <f t="shared" si="8"/>
        <v/>
      </c>
    </row>
    <row r="167" spans="2:47" ht="18" customHeight="1" thickBot="1" x14ac:dyDescent="0.3">
      <c r="B167" s="16"/>
      <c r="C167" s="172" t="str">
        <f>IFERROR(IF(C166="","",VLOOKUP(C166,LISTAS!$F$5:$G$1004,2,0)),"0")</f>
        <v>COLÉGIO ARBOS SÃO CAETANO DO SUL</v>
      </c>
      <c r="D167" s="235"/>
      <c r="E167" s="51"/>
      <c r="F167" s="51"/>
      <c r="G167" s="176"/>
      <c r="H167" s="51"/>
      <c r="I167" s="51"/>
      <c r="J167" s="51"/>
      <c r="K167" s="176"/>
      <c r="L167" s="51"/>
      <c r="M167" s="54"/>
      <c r="N167" s="78"/>
      <c r="O167" s="181"/>
      <c r="P167" s="78"/>
      <c r="Q167" s="78"/>
      <c r="R167" s="182"/>
      <c r="S167" s="8"/>
      <c r="T167" s="8"/>
      <c r="U167" s="8"/>
      <c r="V167" s="182"/>
      <c r="W167" s="8"/>
      <c r="X167" s="62"/>
      <c r="Y167" s="182"/>
      <c r="Z167" s="65"/>
      <c r="AA167" s="8"/>
      <c r="AB167" s="11"/>
      <c r="AC167" s="182"/>
      <c r="AD167" s="8"/>
      <c r="AE167" s="8"/>
      <c r="AF167" s="8"/>
      <c r="AG167" s="181"/>
      <c r="AH167" s="78"/>
      <c r="AI167" s="51"/>
      <c r="AJ167" s="235"/>
      <c r="AK167" s="172" t="str">
        <f>IFERROR(IF(AK166="","",VLOOKUP(AK166,LISTAS!$F$5:$G$1004,2,0)),"0")</f>
        <v/>
      </c>
      <c r="AL167" s="11"/>
      <c r="AP167" s="13" t="str">
        <f>IF(AR167&lt;&gt;"",1+COUNTIF(AP136:AP166,"1")+COUNTIF(AP136:AP166,"2")+COUNTIF(AP136:AP166,"3")+COUNTIF(AP136:AP166,"4")+COUNTIF(AP136:AP166,"5")+COUNTIF(AP136:AP166,"6")+COUNTIF(AP136:AP166,"7")+COUNTIF(AP136:AP166,"8")+COUNTIF(AP136:AP166,"9")+COUNTIF(AP136:AP166,"10")+COUNTIF(AP136:AP166,"11")+COUNTIF(AP136:AP166,"12")+COUNTIF(AP136:AP166,"13")+COUNTIF(AP136:AP166,"14")+COUNTIF(AP136:AP166,"15")+COUNTIF(AP136:AP166,"16")+COUNTIF(AP136:AP166,"17")+COUNTIF(AP136:AP166,"18")+COUNTIF(AP136:AP166,"19")+COUNTIF(AP136:AP166,"20")+COUNTIF(AP136:AP166,"21")+COUNTIF(AP136:AP166,"22")+COUNTIF(AP136:AP166,"23")+COUNTIF(AP136:AP166,"24")+COUNTIF(AP136:AP166,"25")+COUNTIF(AP136:AP166,"26")+COUNTIF(AP136:AP166,"27")+COUNTIF(AP136:AP166,"28")+COUNTIF(AP136:AP166,"29")+COUNTIF(AP136:AP166,"30")+COUNTIF(AP136:AP166,"31"),"")</f>
        <v/>
      </c>
      <c r="AQ167" s="14" t="str">
        <f t="shared" si="6"/>
        <v/>
      </c>
      <c r="AR167" s="21" t="str">
        <f>IF(AR151&lt;&gt;"",IF(C136=AR151,G138,IF(C138=AR151,G138,IF(C144=AR151,G146,IF(C146=AR151,G146,IF(C166=AR151,G168,IF(C168=AR151,G168,IF(C174=AR151,G176,IF(C176=AR151,G176,IF(C152=AR151,G154,IF(C154=AR151,G154,IF(C160=AR151,G162,IF(C162=AR151,G162,IF(C182=AR151,G184,IF(C184=AR151,G184,IF(C190=AR151,G192,IF(C192=AR151,G192,IF(AK136=AR151,AI138,IF(AK138=AR151,AI138,IF(AK144=AR151,AI146,IF(AK146=AR151,AI146,IF(AK166=AR151,AI168,IF(AK168=AR151,AI168,IF(AK174=AR151,AI176,IF(AK176=AR151,AI176,IF(AK152=AR151,AI154,IF(AK154=AR151,AI154,IF(AK160=AR151,AI162,IF(AK162=AR151,AI162,IF(AK182=AR151,AI184,IF(AK184=AR151,AI184,IF(AK190=AR151,AI192,IF(AK192=AR151,AI192)))))))))))))))))))))))))))))))),"")</f>
        <v/>
      </c>
      <c r="AS167" s="15" t="str">
        <f>IFERROR(IF(AR167="","",VLOOKUP(AR167,LISTAS!$F$5:$G$1004,2,0)),"0")</f>
        <v/>
      </c>
      <c r="AT167" s="15" t="str">
        <f>IF(AP167="","",IF(AP167=1,100,IF(AP167=2,80,IF(AP167=3,70,IF(AP167=4,50,IF(AP167=5,45,IF(AP167=6,40,IF(AP167=7,35,IF(AP167=8,30,IF(AP167=9,28,IF(AP167=10,28,IF(AP167=11,28,IF(AP167=12,28,IF(AP167=13,28,IF(AP167=14,28,IF(AP167=15,28,IF(AP167=16,28,IF(AP167&gt;16,"",""))))))))))))))))))</f>
        <v/>
      </c>
      <c r="AU167" s="15" t="str">
        <f>IF(AP167="","",IF($AS$5="NÃO","",IF(AP167=1,100,IF(AP167=2,80,IF(AP167=3,70,IF(AP167=4,50,IF(AP167=5,45,IF(AP167=6,40,IF(AP167=7,35,IF(AP167=8,30,IF(AP167=9,28,IF(AP167=10,28,IF(AP167=11,28,IF(AP167=12,28,IF(AP167=13,28,IF(AP167=14,28,IF(AP167=15,28,IF(AP167=16,28,IF(AP167&gt;16,"","")))))))))))))))))))</f>
        <v/>
      </c>
    </row>
    <row r="168" spans="2:47" ht="18" customHeight="1" x14ac:dyDescent="0.25">
      <c r="B168" s="16">
        <v>28</v>
      </c>
      <c r="C168" s="171" t="str">
        <f>IF('13F GRP'!G5&gt;=3,'13F GRP'!J374,IF('13F GRP'!G5=2,"",IF('13F GRP'!G5=1,"","")))</f>
        <v/>
      </c>
      <c r="D168" s="234">
        <v>0</v>
      </c>
      <c r="E168" s="52">
        <f>IF(D168&lt;&gt;"",D168,"")</f>
        <v>0</v>
      </c>
      <c r="F168" s="51" t="str">
        <f>IF(D168&lt;&gt;"",IF(C168="","",C168),"")</f>
        <v/>
      </c>
      <c r="G168" s="176" t="str">
        <f>VLOOKUP(G166,E166:F168,2,0)</f>
        <v/>
      </c>
      <c r="H168" s="51"/>
      <c r="I168" s="51"/>
      <c r="J168" s="51"/>
      <c r="K168" s="176"/>
      <c r="L168" s="51"/>
      <c r="M168" s="54"/>
      <c r="N168" s="51">
        <f>IF(P163&lt;&gt;"",P163,"")</f>
        <v>1</v>
      </c>
      <c r="O168" s="176" t="str">
        <f>IF(P163&lt;&gt;"",O163,"")</f>
        <v>MANUELA TEJOS</v>
      </c>
      <c r="P168" s="51">
        <f>IF(N168&lt;&gt;"",IF(N170&lt;&gt;"",LARGE(N168:N170,1),""),"")</f>
        <v>1</v>
      </c>
      <c r="Q168" s="78"/>
      <c r="R168" s="182"/>
      <c r="S168" s="8"/>
      <c r="T168" s="8"/>
      <c r="U168" s="8"/>
      <c r="V168" s="182"/>
      <c r="W168" s="8"/>
      <c r="X168" s="62"/>
      <c r="Y168" s="182"/>
      <c r="Z168" s="65"/>
      <c r="AA168" s="8"/>
      <c r="AB168" s="11"/>
      <c r="AC168" s="182"/>
      <c r="AD168" s="8"/>
      <c r="AE168" s="8"/>
      <c r="AF168" s="8"/>
      <c r="AG168" s="181">
        <f>IF(AJ168&lt;&gt;"",AJ168,"")</f>
        <v>0</v>
      </c>
      <c r="AH168" s="78" t="str">
        <f>IF(AJ168&lt;&gt;"",IF(AK168="","",AK168),"")</f>
        <v/>
      </c>
      <c r="AI168" s="55" t="str">
        <f>VLOOKUP(AI166,AG166:AH168,2,0)</f>
        <v/>
      </c>
      <c r="AJ168" s="234">
        <v>0</v>
      </c>
      <c r="AK168" s="171" t="str">
        <f>IF('13F GRP'!G5&gt;=3,'13F GRP'!J348,IF('13F GRP'!G5=2,"",IF('13F GRP'!G5=1,"","")))</f>
        <v/>
      </c>
      <c r="AL168" s="11">
        <v>26</v>
      </c>
    </row>
    <row r="169" spans="2:47" ht="18" customHeight="1" thickBot="1" x14ac:dyDescent="0.3">
      <c r="B169" s="16"/>
      <c r="C169" s="172" t="str">
        <f>IFERROR(IF(C168="","",VLOOKUP(C168,LISTAS!$F$5:$G$1004,2,0)),"0")</f>
        <v/>
      </c>
      <c r="D169" s="235"/>
      <c r="E169" s="128"/>
      <c r="F169" s="51"/>
      <c r="G169" s="176"/>
      <c r="H169" s="51"/>
      <c r="I169" s="51"/>
      <c r="J169" s="51"/>
      <c r="K169" s="176"/>
      <c r="L169" s="51"/>
      <c r="M169" s="54"/>
      <c r="N169" s="51"/>
      <c r="O169" s="176"/>
      <c r="P169" s="51"/>
      <c r="Q169" s="78"/>
      <c r="R169" s="182"/>
      <c r="S169" s="8"/>
      <c r="T169" s="8"/>
      <c r="U169" s="8"/>
      <c r="V169" s="182"/>
      <c r="W169" s="8"/>
      <c r="X169" s="62"/>
      <c r="Y169" s="182"/>
      <c r="Z169" s="65"/>
      <c r="AA169" s="8"/>
      <c r="AB169" s="11"/>
      <c r="AC169" s="182"/>
      <c r="AD169" s="8"/>
      <c r="AE169" s="8"/>
      <c r="AF169" s="8"/>
      <c r="AG169" s="181"/>
      <c r="AH169" s="78"/>
      <c r="AI169" s="123"/>
      <c r="AJ169" s="235"/>
      <c r="AK169" s="172" t="str">
        <f>IFERROR(IF(AK168="","",VLOOKUP(AK168,LISTAS!$F$5:$G$1004,2,0)),"0")</f>
        <v/>
      </c>
      <c r="AL169" s="11"/>
    </row>
    <row r="170" spans="2:47" ht="18" customHeight="1" x14ac:dyDescent="0.25">
      <c r="B170" s="16"/>
      <c r="C170" s="166"/>
      <c r="D170" s="11"/>
      <c r="E170" s="11"/>
      <c r="F170" s="17"/>
      <c r="G170" s="171" t="str">
        <f>IF(D166&lt;&gt;"",IF(D168&lt;&gt;"",IF(D166=D168,"",IF(D166&gt;D168,C166,C168)),""),"")</f>
        <v>KAILA ATTIS</v>
      </c>
      <c r="H170" s="234">
        <v>2</v>
      </c>
      <c r="I170" s="51">
        <f>IF(H170&lt;&gt;"",H170,"")</f>
        <v>2</v>
      </c>
      <c r="J170" s="51" t="str">
        <f>IF(H170&lt;&gt;"",IF(G170="","",G170),"")</f>
        <v>KAILA ATTIS</v>
      </c>
      <c r="K170" s="176">
        <f>IF(I170&lt;&gt;"",IF(I172&lt;&gt;"",SMALL(I170:J172,1),""),"")</f>
        <v>0</v>
      </c>
      <c r="L170" s="51"/>
      <c r="M170" s="54"/>
      <c r="N170" s="51">
        <f>IF(P165&lt;&gt;"",P165,"")</f>
        <v>0</v>
      </c>
      <c r="O170" s="176" t="str">
        <f>IF(P165&lt;&gt;"",O165,"")</f>
        <v>MARIA EDUARDA</v>
      </c>
      <c r="P170" s="51" t="str">
        <f>VLOOKUP(P168,N168:O170,2,0)</f>
        <v>MANUELA TEJOS</v>
      </c>
      <c r="Q170" s="78"/>
      <c r="R170" s="182"/>
      <c r="S170" s="8"/>
      <c r="T170" s="8"/>
      <c r="U170" s="8"/>
      <c r="V170" s="182"/>
      <c r="W170" s="8"/>
      <c r="X170" s="62"/>
      <c r="Y170" s="182"/>
      <c r="Z170" s="65"/>
      <c r="AA170" s="8"/>
      <c r="AB170" s="11"/>
      <c r="AC170" s="182"/>
      <c r="AD170" s="8"/>
      <c r="AE170" s="67"/>
      <c r="AF170" s="234">
        <v>0</v>
      </c>
      <c r="AG170" s="171" t="str">
        <f>IF(AJ166&lt;&gt;"",IF(AJ168&lt;&gt;"",IF(AJ166=AJ168,"",IF(AJ166&gt;AJ168,AK166,AK168)),""),"")</f>
        <v/>
      </c>
      <c r="AH170" s="65"/>
      <c r="AI170" s="8"/>
      <c r="AJ170" s="11"/>
      <c r="AK170" s="166"/>
      <c r="AL170" s="11"/>
      <c r="AP170" s="2"/>
      <c r="AQ170" s="2"/>
      <c r="AR170" s="2"/>
      <c r="AS170" s="2"/>
      <c r="AT170" s="2"/>
      <c r="AU170" s="2"/>
    </row>
    <row r="171" spans="2:47" ht="18" customHeight="1" thickBot="1" x14ac:dyDescent="0.3">
      <c r="B171" s="16"/>
      <c r="C171" s="166"/>
      <c r="D171" s="11"/>
      <c r="E171" s="11"/>
      <c r="F171" s="17"/>
      <c r="G171" s="172" t="str">
        <f>IFERROR(IF(G170="","",VLOOKUP(G170,LISTAS!$F$5:$G$1004,2,0)),"0")</f>
        <v>COLÉGIO ARBOS SÃO CAETANO DO SUL</v>
      </c>
      <c r="H171" s="235"/>
      <c r="I171" s="51"/>
      <c r="J171" s="51"/>
      <c r="K171" s="176"/>
      <c r="L171" s="51"/>
      <c r="M171" s="54"/>
      <c r="N171" s="51"/>
      <c r="O171" s="176"/>
      <c r="P171" s="51"/>
      <c r="Q171" s="78"/>
      <c r="R171" s="182"/>
      <c r="S171" s="8"/>
      <c r="T171" s="8"/>
      <c r="U171" s="8"/>
      <c r="V171" s="182"/>
      <c r="W171" s="8"/>
      <c r="X171" s="62"/>
      <c r="Y171" s="182"/>
      <c r="Z171" s="65"/>
      <c r="AA171" s="8"/>
      <c r="AB171" s="11"/>
      <c r="AC171" s="182"/>
      <c r="AD171" s="8"/>
      <c r="AE171" s="67"/>
      <c r="AF171" s="235"/>
      <c r="AG171" s="172" t="str">
        <f>IFERROR(IF(AG170="","",VLOOKUP(AG170,LISTAS!$F$5:$G$1004,2,0)),"0")</f>
        <v/>
      </c>
      <c r="AH171" s="65"/>
      <c r="AI171" s="8"/>
      <c r="AJ171" s="11"/>
      <c r="AK171" s="166"/>
      <c r="AL171" s="11"/>
      <c r="AP171" s="2"/>
      <c r="AQ171" s="2"/>
      <c r="AR171" s="2"/>
      <c r="AS171" s="2"/>
      <c r="AT171" s="2"/>
      <c r="AU171" s="2"/>
    </row>
    <row r="172" spans="2:47" ht="18" customHeight="1" x14ac:dyDescent="0.25">
      <c r="B172" s="16"/>
      <c r="C172" s="166"/>
      <c r="D172" s="11"/>
      <c r="E172" s="18"/>
      <c r="F172" s="19"/>
      <c r="G172" s="171" t="str">
        <f>IF(D174&lt;&gt;"",IF(D176&lt;&gt;"",IF(D174=D176,"",IF(D174&gt;D176,C174,C176)),""),"")</f>
        <v/>
      </c>
      <c r="H172" s="234">
        <v>0</v>
      </c>
      <c r="I172" s="52">
        <f>IF(H172&lt;&gt;"",H172,"")</f>
        <v>0</v>
      </c>
      <c r="J172" s="51" t="str">
        <f>IF(H172&lt;&gt;"",IF(G172="","",G172),"")</f>
        <v/>
      </c>
      <c r="K172" s="176" t="str">
        <f>VLOOKUP(K170,I170:J172,2,0)</f>
        <v/>
      </c>
      <c r="L172" s="51"/>
      <c r="M172" s="54"/>
      <c r="N172" s="51">
        <f>IF(P163&lt;&gt;"",P163,"")</f>
        <v>1</v>
      </c>
      <c r="O172" s="176" t="str">
        <f>IF(P163&lt;&gt;"",O163,"")</f>
        <v>MANUELA TEJOS</v>
      </c>
      <c r="P172" s="51">
        <f>IF(N172&lt;&gt;"",IF(N174&lt;&gt;"",SMALL(N172:N174,1),""),"")</f>
        <v>0</v>
      </c>
      <c r="Q172" s="78"/>
      <c r="R172" s="182"/>
      <c r="S172" s="8"/>
      <c r="T172" s="8"/>
      <c r="U172" s="8"/>
      <c r="V172" s="182"/>
      <c r="W172" s="8"/>
      <c r="X172" s="62"/>
      <c r="Y172" s="182"/>
      <c r="Z172" s="65"/>
      <c r="AA172" s="8"/>
      <c r="AB172" s="11"/>
      <c r="AC172" s="182"/>
      <c r="AD172" s="65"/>
      <c r="AE172" s="68"/>
      <c r="AF172" s="234">
        <v>0</v>
      </c>
      <c r="AG172" s="171" t="str">
        <f>IF(AJ174&lt;&gt;"",IF(AJ176&lt;&gt;"",IF(AJ174=AJ176,"",IF(AJ174&gt;AJ176,AK174,AK176)),""),"")</f>
        <v/>
      </c>
      <c r="AH172" s="66"/>
      <c r="AI172" s="8"/>
      <c r="AJ172" s="11"/>
      <c r="AK172" s="166"/>
      <c r="AL172" s="11"/>
    </row>
    <row r="173" spans="2:47" ht="18" customHeight="1" thickBot="1" x14ac:dyDescent="0.3">
      <c r="B173" s="16"/>
      <c r="C173" s="166"/>
      <c r="D173" s="11"/>
      <c r="E173" s="18"/>
      <c r="F173" s="11"/>
      <c r="G173" s="172" t="str">
        <f>IFERROR(IF(G172="","",VLOOKUP(G172,LISTAS!$F$5:$G$1004,2,0)),"0")</f>
        <v/>
      </c>
      <c r="H173" s="235"/>
      <c r="I173" s="54"/>
      <c r="J173" s="51"/>
      <c r="K173" s="176"/>
      <c r="L173" s="51"/>
      <c r="M173" s="54"/>
      <c r="N173" s="51"/>
      <c r="O173" s="176"/>
      <c r="P173" s="51"/>
      <c r="Q173" s="78"/>
      <c r="R173" s="182"/>
      <c r="S173" s="8"/>
      <c r="T173" s="8"/>
      <c r="U173" s="8"/>
      <c r="V173" s="182"/>
      <c r="W173" s="8"/>
      <c r="X173" s="62"/>
      <c r="Y173" s="182"/>
      <c r="Z173" s="8"/>
      <c r="AA173" s="69"/>
      <c r="AB173" s="11"/>
      <c r="AC173" s="182"/>
      <c r="AD173" s="65"/>
      <c r="AE173" s="8"/>
      <c r="AF173" s="235"/>
      <c r="AG173" s="172" t="str">
        <f>IFERROR(IF(AG172="","",VLOOKUP(AG172,LISTAS!$F$5:$G$1004,2,0)),"0")</f>
        <v/>
      </c>
      <c r="AH173" s="8"/>
      <c r="AI173" s="69"/>
      <c r="AJ173" s="11"/>
      <c r="AK173" s="166"/>
      <c r="AL173" s="11"/>
    </row>
    <row r="174" spans="2:47" ht="18" customHeight="1" x14ac:dyDescent="0.25">
      <c r="B174" s="16">
        <v>12</v>
      </c>
      <c r="C174" s="171" t="str">
        <f>IF('13F GRP'!G5&gt;=3,'13F GRP'!J166,IF('13F GRP'!G5=2,"",IF('13F GRP'!G5=1,"","")))</f>
        <v/>
      </c>
      <c r="D174" s="234">
        <v>0</v>
      </c>
      <c r="E174" s="56">
        <f>IF(D174&lt;&gt;"",D174,"")</f>
        <v>0</v>
      </c>
      <c r="F174" s="51" t="str">
        <f>IF(D174&lt;&gt;"",IF(C174="","",C174),"")</f>
        <v/>
      </c>
      <c r="G174" s="176">
        <f>IF(E174&lt;&gt;"",IF(E176&lt;&gt;"",SMALL(E174:E176,1),""),"")</f>
        <v>0</v>
      </c>
      <c r="H174" s="51"/>
      <c r="I174" s="54"/>
      <c r="J174" s="51"/>
      <c r="K174" s="176"/>
      <c r="L174" s="51"/>
      <c r="M174" s="54"/>
      <c r="N174" s="51">
        <f>IF(P165&lt;&gt;"",P165,"")</f>
        <v>0</v>
      </c>
      <c r="O174" s="176" t="str">
        <f>IF(P165&lt;&gt;"",O165,"")</f>
        <v>MARIA EDUARDA</v>
      </c>
      <c r="P174" s="51" t="str">
        <f>VLOOKUP(P172,N172:O174,2,0)</f>
        <v>MARIA EDUARDA</v>
      </c>
      <c r="Q174" s="78"/>
      <c r="R174" s="182"/>
      <c r="S174" s="8"/>
      <c r="T174" s="8"/>
      <c r="U174" s="8"/>
      <c r="V174" s="182"/>
      <c r="W174" s="8"/>
      <c r="X174" s="62"/>
      <c r="Y174" s="182"/>
      <c r="Z174" s="8"/>
      <c r="AA174" s="69"/>
      <c r="AB174" s="11"/>
      <c r="AC174" s="182"/>
      <c r="AD174" s="65"/>
      <c r="AE174" s="8"/>
      <c r="AF174" s="8"/>
      <c r="AG174" s="181">
        <f>IF(AJ174&lt;&gt;"",AJ174,"")</f>
        <v>0</v>
      </c>
      <c r="AH174" s="78" t="str">
        <f>IF(AJ174&lt;&gt;"",IF(AK174="","",AK174),"")</f>
        <v/>
      </c>
      <c r="AI174" s="53">
        <f>IF(AG174&lt;&gt;"",IF(AG176&lt;&gt;"",SMALL(AG174:AG176,1),""),"")</f>
        <v>0</v>
      </c>
      <c r="AJ174" s="234">
        <v>0</v>
      </c>
      <c r="AK174" s="171" t="str">
        <f>IF('13F GRP'!G5&gt;=3,'13F GRP'!J140,IF('13F GRP'!G5=2,"",IF('13F GRP'!G5=1,"","")))</f>
        <v/>
      </c>
      <c r="AL174" s="11">
        <v>10</v>
      </c>
    </row>
    <row r="175" spans="2:47" ht="18" customHeight="1" thickBot="1" x14ac:dyDescent="0.3">
      <c r="B175" s="16"/>
      <c r="C175" s="172" t="str">
        <f>IFERROR(IF(C174="","",VLOOKUP(C174,LISTAS!$F$5:$G$1004,2,0)),"0")</f>
        <v/>
      </c>
      <c r="D175" s="235"/>
      <c r="E175" s="57"/>
      <c r="F175" s="51"/>
      <c r="G175" s="176"/>
      <c r="H175" s="51"/>
      <c r="I175" s="54"/>
      <c r="J175" s="51"/>
      <c r="K175" s="176"/>
      <c r="L175" s="51"/>
      <c r="M175" s="54"/>
      <c r="N175" s="51"/>
      <c r="O175" s="176"/>
      <c r="P175" s="51"/>
      <c r="Q175" s="78"/>
      <c r="R175" s="182"/>
      <c r="S175" s="8"/>
      <c r="T175" s="8"/>
      <c r="U175" s="8"/>
      <c r="V175" s="182"/>
      <c r="W175" s="8"/>
      <c r="X175" s="62"/>
      <c r="Y175" s="182"/>
      <c r="Z175" s="8"/>
      <c r="AA175" s="69"/>
      <c r="AB175" s="11"/>
      <c r="AC175" s="182"/>
      <c r="AD175" s="65"/>
      <c r="AE175" s="8"/>
      <c r="AF175" s="8"/>
      <c r="AG175" s="181"/>
      <c r="AH175" s="78"/>
      <c r="AI175" s="124"/>
      <c r="AJ175" s="235"/>
      <c r="AK175" s="172" t="str">
        <f>IFERROR(IF(AK174="","",VLOOKUP(AK174,LISTAS!$F$5:$G$1004,2,0)),"0")</f>
        <v/>
      </c>
      <c r="AL175" s="11"/>
    </row>
    <row r="176" spans="2:47" ht="18" customHeight="1" x14ac:dyDescent="0.25">
      <c r="B176" s="16">
        <v>21</v>
      </c>
      <c r="C176" s="171" t="str">
        <f>IF('13F GRP'!G5&gt;=3,'13F GRP'!J283,IF('13F GRP'!G5=2,"",IF('13F GRP'!G5=1,"","")))</f>
        <v/>
      </c>
      <c r="D176" s="234">
        <v>0</v>
      </c>
      <c r="E176" s="57">
        <f>IF(D176&lt;&gt;"",D176,"")</f>
        <v>0</v>
      </c>
      <c r="F176" s="51" t="str">
        <f>IF(D176&lt;&gt;"",IF(C176="","",C176),"")</f>
        <v/>
      </c>
      <c r="G176" s="176" t="str">
        <f>VLOOKUP(G174,E174:F176,2,0)</f>
        <v/>
      </c>
      <c r="H176" s="51"/>
      <c r="I176" s="54"/>
      <c r="J176" s="51"/>
      <c r="K176" s="176"/>
      <c r="L176" s="51"/>
      <c r="M176" s="54"/>
      <c r="N176" s="51"/>
      <c r="O176" s="176"/>
      <c r="P176" s="51"/>
      <c r="Q176" s="78"/>
      <c r="R176" s="182"/>
      <c r="S176" s="8"/>
      <c r="T176" s="8"/>
      <c r="U176" s="8"/>
      <c r="V176" s="182"/>
      <c r="W176" s="8"/>
      <c r="X176" s="62"/>
      <c r="Y176" s="182"/>
      <c r="Z176" s="8"/>
      <c r="AA176" s="69"/>
      <c r="AB176" s="11"/>
      <c r="AC176" s="182"/>
      <c r="AD176" s="65"/>
      <c r="AE176" s="8"/>
      <c r="AF176" s="8"/>
      <c r="AG176" s="181">
        <f>IF(AJ176&lt;&gt;"",AJ176,"")</f>
        <v>0</v>
      </c>
      <c r="AH176" s="78" t="str">
        <f>IF(AJ176&lt;&gt;"",IF(AK176="","",AK176),"")</f>
        <v/>
      </c>
      <c r="AI176" s="125" t="str">
        <f>VLOOKUP(AI174,AG174:AH176,2,0)</f>
        <v/>
      </c>
      <c r="AJ176" s="234">
        <v>0</v>
      </c>
      <c r="AK176" s="171" t="str">
        <f>IF('13F GRP'!G5&gt;=3,'13F GRP'!J309,IF('13F GRP'!G5=2,"",IF('13F GRP'!G5=1,"","")))</f>
        <v/>
      </c>
      <c r="AL176" s="11">
        <v>23</v>
      </c>
    </row>
    <row r="177" spans="2:38" ht="18" customHeight="1" thickBot="1" x14ac:dyDescent="0.3">
      <c r="B177" s="16"/>
      <c r="C177" s="172" t="str">
        <f>IFERROR(IF(C176="","",VLOOKUP(C176,LISTAS!$F$5:$G$1004,2,0)),"0")</f>
        <v/>
      </c>
      <c r="D177" s="235"/>
      <c r="E177" s="51"/>
      <c r="F177" s="51"/>
      <c r="G177" s="176"/>
      <c r="H177" s="51"/>
      <c r="I177" s="54"/>
      <c r="J177" s="51"/>
      <c r="K177" s="176"/>
      <c r="L177" s="51"/>
      <c r="M177" s="54"/>
      <c r="N177" s="51"/>
      <c r="O177" s="176"/>
      <c r="P177" s="51"/>
      <c r="Q177" s="78"/>
      <c r="R177" s="182"/>
      <c r="S177" s="8"/>
      <c r="T177" s="8"/>
      <c r="U177" s="8"/>
      <c r="V177" s="182"/>
      <c r="W177" s="8"/>
      <c r="X177" s="62"/>
      <c r="Y177" s="182"/>
      <c r="Z177" s="8"/>
      <c r="AA177" s="69"/>
      <c r="AB177" s="11"/>
      <c r="AC177" s="182"/>
      <c r="AD177" s="65"/>
      <c r="AE177" s="8"/>
      <c r="AF177" s="8"/>
      <c r="AG177" s="181"/>
      <c r="AH177" s="78"/>
      <c r="AI177" s="51"/>
      <c r="AJ177" s="235"/>
      <c r="AK177" s="172" t="str">
        <f>IFERROR(IF(AK176="","",VLOOKUP(AK176,LISTAS!$F$5:$G$1004,2,0)),"0")</f>
        <v/>
      </c>
      <c r="AL177" s="11"/>
    </row>
    <row r="178" spans="2:38" ht="18" customHeight="1" x14ac:dyDescent="0.25">
      <c r="B178" s="16"/>
      <c r="C178" s="166"/>
      <c r="D178" s="11"/>
      <c r="E178" s="11"/>
      <c r="F178" s="11"/>
      <c r="G178" s="166"/>
      <c r="H178" s="11"/>
      <c r="I178" s="18"/>
      <c r="J178" s="11"/>
      <c r="K178" s="171" t="str">
        <f>IF(H170&lt;&gt;"",IF(H172&lt;&gt;"",IF(H170=H172,"",IF(H170&gt;H172,G170,G172)),""),"")</f>
        <v>KAILA ATTIS</v>
      </c>
      <c r="L178" s="234">
        <v>0</v>
      </c>
      <c r="M178" s="56">
        <f>IF(L178&lt;&gt;"",L178,"")</f>
        <v>0</v>
      </c>
      <c r="N178" s="51" t="str">
        <f>IF(L178&lt;&gt;"",IF(K178="","",K178),"")</f>
        <v>KAILA ATTIS</v>
      </c>
      <c r="O178" s="176">
        <f>IF(M178&lt;&gt;"",IF(M180&lt;&gt;"",SMALL(M178:N180,1),""),"")</f>
        <v>0</v>
      </c>
      <c r="P178" s="11"/>
      <c r="Q178" s="8"/>
      <c r="R178" s="182"/>
      <c r="S178" s="8"/>
      <c r="T178" s="8"/>
      <c r="U178" s="8"/>
      <c r="V178" s="182"/>
      <c r="W178" s="8"/>
      <c r="X178" s="62"/>
      <c r="Y178" s="182"/>
      <c r="Z178" s="8"/>
      <c r="AA178" s="70"/>
      <c r="AB178" s="234">
        <v>0</v>
      </c>
      <c r="AC178" s="171" t="str">
        <f>IF(AF170&lt;&gt;"",IF(AF172&lt;&gt;"",IF(AF170=AF172,"",IF(AF170&gt;AF172,AG170,AG172)),""),"")</f>
        <v/>
      </c>
      <c r="AD178" s="112"/>
      <c r="AE178" s="8"/>
      <c r="AF178" s="8"/>
      <c r="AG178" s="181"/>
      <c r="AH178" s="78"/>
      <c r="AI178" s="78"/>
      <c r="AJ178" s="11"/>
      <c r="AK178" s="166"/>
      <c r="AL178" s="11"/>
    </row>
    <row r="179" spans="2:38" ht="18" customHeight="1" thickBot="1" x14ac:dyDescent="0.3">
      <c r="B179" s="16"/>
      <c r="C179" s="166"/>
      <c r="D179" s="11"/>
      <c r="E179" s="11"/>
      <c r="F179" s="11"/>
      <c r="G179" s="166"/>
      <c r="H179" s="11"/>
      <c r="I179" s="18"/>
      <c r="J179" s="11"/>
      <c r="K179" s="172" t="str">
        <f>IFERROR(IF(K178="","",VLOOKUP(K178,LISTAS!$F$5:$G$1004,2,0)),"0")</f>
        <v>COLÉGIO ARBOS SÃO CAETANO DO SUL</v>
      </c>
      <c r="L179" s="235"/>
      <c r="M179" s="57"/>
      <c r="N179" s="51"/>
      <c r="O179" s="176"/>
      <c r="P179" s="11"/>
      <c r="Q179" s="8"/>
      <c r="R179" s="182"/>
      <c r="S179" s="8"/>
      <c r="T179" s="8"/>
      <c r="U179" s="8"/>
      <c r="V179" s="182"/>
      <c r="W179" s="8"/>
      <c r="X179" s="62"/>
      <c r="Y179" s="182"/>
      <c r="Z179" s="8"/>
      <c r="AA179" s="8"/>
      <c r="AB179" s="235"/>
      <c r="AC179" s="172" t="str">
        <f>IFERROR(IF(AC178="","",VLOOKUP(AC178,LISTAS!$F$5:$G$1004,2,0)),"0")</f>
        <v/>
      </c>
      <c r="AD179" s="8"/>
      <c r="AE179" s="69"/>
      <c r="AF179" s="8"/>
      <c r="AG179" s="182"/>
      <c r="AH179" s="8"/>
      <c r="AI179" s="8"/>
      <c r="AJ179" s="11"/>
      <c r="AK179" s="166"/>
      <c r="AL179" s="11"/>
    </row>
    <row r="180" spans="2:38" ht="18" customHeight="1" x14ac:dyDescent="0.25">
      <c r="B180" s="16"/>
      <c r="C180" s="166"/>
      <c r="D180" s="11"/>
      <c r="E180" s="11"/>
      <c r="F180" s="11"/>
      <c r="G180" s="166"/>
      <c r="H180" s="11"/>
      <c r="I180" s="18"/>
      <c r="J180" s="19"/>
      <c r="K180" s="171" t="str">
        <f>IF(H186&lt;&gt;"",IF(H188&lt;&gt;"",IF(H186=H188,"",IF(H186&gt;H188,G186,G188)),""),"")</f>
        <v>MARIA EDUARDA</v>
      </c>
      <c r="L180" s="234">
        <v>1</v>
      </c>
      <c r="M180" s="57">
        <f>IF(L180&lt;&gt;"",L180,"")</f>
        <v>1</v>
      </c>
      <c r="N180" s="51" t="str">
        <f>IF(L180&lt;&gt;"",IF(K180="","",K180),"")</f>
        <v>MARIA EDUARDA</v>
      </c>
      <c r="O180" s="176" t="str">
        <f>VLOOKUP(O178,M178:N180,2,0)</f>
        <v>KAILA ATTIS</v>
      </c>
      <c r="P180" s="11"/>
      <c r="Q180" s="8"/>
      <c r="R180" s="182"/>
      <c r="S180" s="8"/>
      <c r="T180" s="8"/>
      <c r="U180" s="8"/>
      <c r="V180" s="182"/>
      <c r="W180" s="8"/>
      <c r="X180" s="62"/>
      <c r="Y180" s="182"/>
      <c r="Z180" s="8"/>
      <c r="AA180" s="8"/>
      <c r="AB180" s="234">
        <v>2</v>
      </c>
      <c r="AC180" s="171" t="str">
        <f>IF(AF186&lt;&gt;"",IF(AF188&lt;&gt;"",IF(AF186=AF188,"",IF(AF186&gt;AF188,AG186,AG188)),""),"")</f>
        <v>MELISSA MATSUMOTO</v>
      </c>
      <c r="AD180" s="8"/>
      <c r="AE180" s="69"/>
      <c r="AF180" s="8"/>
      <c r="AG180" s="182"/>
      <c r="AH180" s="8"/>
      <c r="AI180" s="8"/>
      <c r="AJ180" s="11"/>
      <c r="AK180" s="166"/>
      <c r="AL180" s="11"/>
    </row>
    <row r="181" spans="2:38" ht="18" customHeight="1" thickBot="1" x14ac:dyDescent="0.3">
      <c r="B181" s="16"/>
      <c r="C181" s="166"/>
      <c r="D181" s="11"/>
      <c r="E181" s="11"/>
      <c r="F181" s="11"/>
      <c r="G181" s="166"/>
      <c r="H181" s="11"/>
      <c r="I181" s="18"/>
      <c r="J181" s="11"/>
      <c r="K181" s="172" t="str">
        <f>IFERROR(IF(K180="","",VLOOKUP(K180,LISTAS!$F$5:$G$1004,2,0)),"0")</f>
        <v>ESCOLA STAGIUM</v>
      </c>
      <c r="L181" s="235"/>
      <c r="M181" s="51"/>
      <c r="N181" s="51"/>
      <c r="O181" s="176"/>
      <c r="P181" s="11"/>
      <c r="Q181" s="8"/>
      <c r="R181" s="182"/>
      <c r="S181" s="8"/>
      <c r="T181" s="8"/>
      <c r="U181" s="8"/>
      <c r="V181" s="182"/>
      <c r="W181" s="8"/>
      <c r="X181" s="62"/>
      <c r="Y181" s="182"/>
      <c r="Z181" s="8"/>
      <c r="AA181" s="8"/>
      <c r="AB181" s="235"/>
      <c r="AC181" s="172" t="str">
        <f>IFERROR(IF(AC180="","",VLOOKUP(AC180,LISTAS!$F$5:$G$1004,2,0)),"0")</f>
        <v>COLÉGIO ARBOS - UNIDADE SANTO ANDRÉ</v>
      </c>
      <c r="AD181" s="8"/>
      <c r="AE181" s="69"/>
      <c r="AF181" s="8"/>
      <c r="AG181" s="182"/>
      <c r="AH181" s="8"/>
      <c r="AI181" s="8"/>
      <c r="AJ181" s="11"/>
      <c r="AK181" s="166"/>
      <c r="AL181" s="11"/>
    </row>
    <row r="182" spans="2:38" ht="18" customHeight="1" x14ac:dyDescent="0.25">
      <c r="B182" s="16">
        <v>20</v>
      </c>
      <c r="C182" s="171" t="str">
        <f>IF('13F GRP'!G5&gt;=3,'13F GRP'!J270,IF('13F GRP'!G5=2,"",IF('13F GRP'!G5=1,"","")))</f>
        <v/>
      </c>
      <c r="D182" s="234">
        <v>0</v>
      </c>
      <c r="E182" s="51">
        <f>IF(D182&lt;&gt;"",D182,"")</f>
        <v>0</v>
      </c>
      <c r="F182" s="51" t="str">
        <f>IF(D182&lt;&gt;"",IF(C182="","",C182),"")</f>
        <v/>
      </c>
      <c r="G182" s="176">
        <f>IF(E182&lt;&gt;"",IF(E184&lt;&gt;"",SMALL(E182:E184,1),""),"")</f>
        <v>0</v>
      </c>
      <c r="H182" s="51"/>
      <c r="I182" s="18"/>
      <c r="J182" s="11"/>
      <c r="K182" s="166"/>
      <c r="L182" s="11"/>
      <c r="M182" s="11"/>
      <c r="N182" s="11"/>
      <c r="O182" s="166"/>
      <c r="P182" s="11"/>
      <c r="Q182" s="8"/>
      <c r="R182" s="182"/>
      <c r="S182" s="8"/>
      <c r="T182" s="8"/>
      <c r="U182" s="8"/>
      <c r="V182" s="182"/>
      <c r="W182" s="8"/>
      <c r="X182" s="62"/>
      <c r="Y182" s="182"/>
      <c r="Z182" s="8"/>
      <c r="AA182" s="8"/>
      <c r="AB182" s="11"/>
      <c r="AC182" s="182"/>
      <c r="AD182" s="8"/>
      <c r="AE182" s="69"/>
      <c r="AF182" s="8"/>
      <c r="AG182" s="181">
        <f>IF(AJ182&lt;&gt;"",AJ182,"")</f>
        <v>0</v>
      </c>
      <c r="AH182" s="78" t="str">
        <f>IF(AJ182&lt;&gt;"",IF(AK182="","",AK182),"")</f>
        <v/>
      </c>
      <c r="AI182" s="51">
        <f>IF(AG182&lt;&gt;"",IF(AG184&lt;&gt;"",SMALL(AG182:AG184,1),""),"")</f>
        <v>0</v>
      </c>
      <c r="AJ182" s="234">
        <v>0</v>
      </c>
      <c r="AK182" s="171" t="str">
        <f>IF('13F GRP'!G5&gt;=3,'13F GRP'!J205,IF('13F GRP'!G5=2,"",IF('13F GRP'!G5=1,"","")))</f>
        <v/>
      </c>
      <c r="AL182" s="11">
        <v>15</v>
      </c>
    </row>
    <row r="183" spans="2:38" ht="18" customHeight="1" thickBot="1" x14ac:dyDescent="0.3">
      <c r="B183" s="16"/>
      <c r="C183" s="172" t="str">
        <f>IFERROR(IF(C182="","",VLOOKUP(C182,LISTAS!$F$5:$G$1004,2,0)),"0")</f>
        <v/>
      </c>
      <c r="D183" s="235"/>
      <c r="E183" s="51"/>
      <c r="F183" s="51"/>
      <c r="G183" s="176"/>
      <c r="H183" s="51"/>
      <c r="I183" s="18"/>
      <c r="J183" s="11"/>
      <c r="K183" s="166"/>
      <c r="L183" s="11"/>
      <c r="M183" s="11"/>
      <c r="N183" s="11"/>
      <c r="O183" s="166"/>
      <c r="P183" s="11"/>
      <c r="Q183" s="8"/>
      <c r="R183" s="182"/>
      <c r="S183" s="8"/>
      <c r="T183" s="8"/>
      <c r="U183" s="8"/>
      <c r="V183" s="182"/>
      <c r="W183" s="8"/>
      <c r="X183" s="62"/>
      <c r="Y183" s="182"/>
      <c r="Z183" s="8"/>
      <c r="AA183" s="8"/>
      <c r="AB183" s="11"/>
      <c r="AC183" s="182"/>
      <c r="AD183" s="8"/>
      <c r="AE183" s="69"/>
      <c r="AF183" s="8"/>
      <c r="AG183" s="181"/>
      <c r="AH183" s="78"/>
      <c r="AI183" s="51"/>
      <c r="AJ183" s="235"/>
      <c r="AK183" s="172" t="str">
        <f>IFERROR(IF(AK182="","",VLOOKUP(AK182,LISTAS!$F$5:$G$1004,2,0)),"0")</f>
        <v/>
      </c>
      <c r="AL183" s="11"/>
    </row>
    <row r="184" spans="2:38" ht="18" customHeight="1" x14ac:dyDescent="0.25">
      <c r="B184" s="16">
        <v>13</v>
      </c>
      <c r="C184" s="171" t="str">
        <f>IF('13F GRP'!G5&gt;=3,'13F GRP'!J179,IF('13F GRP'!G5=2,"",IF('13F GRP'!G5=1,"","")))</f>
        <v/>
      </c>
      <c r="D184" s="234">
        <v>0</v>
      </c>
      <c r="E184" s="52">
        <f>IF(D184&lt;&gt;"",D184,"")</f>
        <v>0</v>
      </c>
      <c r="F184" s="51" t="str">
        <f>IF(D184&lt;&gt;"",IF(C184="","",C184),"")</f>
        <v/>
      </c>
      <c r="G184" s="176" t="str">
        <f>VLOOKUP(G182,E182:F184,2,0)</f>
        <v/>
      </c>
      <c r="H184" s="51"/>
      <c r="I184" s="18"/>
      <c r="J184" s="11"/>
      <c r="K184" s="166"/>
      <c r="L184" s="11"/>
      <c r="M184" s="11"/>
      <c r="N184" s="11"/>
      <c r="O184" s="166"/>
      <c r="P184" s="11"/>
      <c r="Q184" s="8"/>
      <c r="R184" s="182"/>
      <c r="S184" s="8"/>
      <c r="T184" s="8"/>
      <c r="U184" s="8"/>
      <c r="V184" s="182"/>
      <c r="W184" s="8"/>
      <c r="X184" s="62"/>
      <c r="Y184" s="182"/>
      <c r="Z184" s="8"/>
      <c r="AA184" s="8"/>
      <c r="AB184" s="11"/>
      <c r="AC184" s="182"/>
      <c r="AD184" s="8"/>
      <c r="AE184" s="69"/>
      <c r="AF184" s="8"/>
      <c r="AG184" s="181">
        <f>IF(AJ184&lt;&gt;"",AJ184,"")</f>
        <v>0</v>
      </c>
      <c r="AH184" s="78" t="str">
        <f>IF(AJ184&lt;&gt;"",IF(AK184="","",AK184),"")</f>
        <v/>
      </c>
      <c r="AI184" s="55" t="str">
        <f>VLOOKUP(AI182,AG182:AH184,2,0)</f>
        <v/>
      </c>
      <c r="AJ184" s="234">
        <v>0</v>
      </c>
      <c r="AK184" s="171" t="str">
        <f>IF('13F GRP'!G5&gt;=3,'13F GRP'!J244,IF('13F GRP'!G5=2,"",IF('13F GRP'!G5=1,"","")))</f>
        <v/>
      </c>
      <c r="AL184" s="11">
        <v>18</v>
      </c>
    </row>
    <row r="185" spans="2:38" ht="18" customHeight="1" thickBot="1" x14ac:dyDescent="0.3">
      <c r="B185" s="16"/>
      <c r="C185" s="172" t="str">
        <f>IFERROR(IF(C184="","",VLOOKUP(C184,LISTAS!$F$5:$G$1004,2,0)),"0")</f>
        <v/>
      </c>
      <c r="D185" s="235"/>
      <c r="E185" s="121"/>
      <c r="F185" s="11"/>
      <c r="G185" s="166"/>
      <c r="H185" s="11"/>
      <c r="I185" s="18"/>
      <c r="J185" s="11"/>
      <c r="K185" s="166"/>
      <c r="L185" s="11"/>
      <c r="M185" s="11"/>
      <c r="N185" s="11"/>
      <c r="O185" s="166"/>
      <c r="P185" s="11"/>
      <c r="Q185" s="8"/>
      <c r="R185" s="182"/>
      <c r="S185" s="8"/>
      <c r="T185" s="8"/>
      <c r="U185" s="8"/>
      <c r="V185" s="182"/>
      <c r="W185" s="8"/>
      <c r="X185" s="62"/>
      <c r="Y185" s="182"/>
      <c r="Z185" s="8"/>
      <c r="AA185" s="8"/>
      <c r="AB185" s="11"/>
      <c r="AC185" s="182"/>
      <c r="AD185" s="8"/>
      <c r="AE185" s="69"/>
      <c r="AF185" s="8"/>
      <c r="AG185" s="181"/>
      <c r="AH185" s="126"/>
      <c r="AI185" s="51"/>
      <c r="AJ185" s="235"/>
      <c r="AK185" s="172" t="str">
        <f>IFERROR(IF(AK184="","",VLOOKUP(AK184,LISTAS!$F$5:$G$1004,2,0)),"0")</f>
        <v/>
      </c>
      <c r="AL185" s="11"/>
    </row>
    <row r="186" spans="2:38" ht="18" customHeight="1" x14ac:dyDescent="0.25">
      <c r="B186" s="16"/>
      <c r="C186" s="166"/>
      <c r="D186" s="11"/>
      <c r="E186" s="11"/>
      <c r="F186" s="17"/>
      <c r="G186" s="171" t="str">
        <f>IF(D182&lt;&gt;"",IF(D184&lt;&gt;"",IF(D182=D184,"",IF(D182&gt;D184,C182,C184)),""),"")</f>
        <v/>
      </c>
      <c r="H186" s="234">
        <v>0</v>
      </c>
      <c r="I186" s="56">
        <f>IF(H186&lt;&gt;"",H186,"")</f>
        <v>0</v>
      </c>
      <c r="J186" s="51" t="str">
        <f>IF(H186&lt;&gt;"",IF(G186="","",G186),"")</f>
        <v/>
      </c>
      <c r="K186" s="176">
        <f>IF(I186&lt;&gt;"",IF(I188&lt;&gt;"",SMALL(I186:J188,1),""),"")</f>
        <v>0</v>
      </c>
      <c r="L186" s="11"/>
      <c r="M186" s="11"/>
      <c r="N186" s="11"/>
      <c r="O186" s="166"/>
      <c r="P186" s="11"/>
      <c r="Q186" s="8"/>
      <c r="R186" s="182"/>
      <c r="S186" s="8"/>
      <c r="T186" s="8"/>
      <c r="U186" s="8"/>
      <c r="V186" s="182"/>
      <c r="W186" s="8"/>
      <c r="X186" s="62"/>
      <c r="Y186" s="182"/>
      <c r="Z186" s="8"/>
      <c r="AA186" s="8"/>
      <c r="AB186" s="11"/>
      <c r="AC186" s="182"/>
      <c r="AD186" s="8"/>
      <c r="AE186" s="69"/>
      <c r="AF186" s="234">
        <v>0</v>
      </c>
      <c r="AG186" s="171" t="str">
        <f>IF(AJ182&lt;&gt;"",IF(AJ184&lt;&gt;"",IF(AJ182=AJ184,"",IF(AJ182&gt;AJ184,AK182,AK184)),""),"")</f>
        <v/>
      </c>
      <c r="AH186" s="65"/>
      <c r="AI186" s="8"/>
      <c r="AJ186" s="11"/>
      <c r="AK186" s="166"/>
      <c r="AL186" s="11"/>
    </row>
    <row r="187" spans="2:38" ht="18" customHeight="1" thickBot="1" x14ac:dyDescent="0.3">
      <c r="B187" s="16"/>
      <c r="C187" s="166"/>
      <c r="D187" s="11"/>
      <c r="E187" s="11"/>
      <c r="F187" s="17"/>
      <c r="G187" s="172" t="str">
        <f>IFERROR(IF(G186="","",VLOOKUP(G186,LISTAS!$F$5:$G$1004,2,0)),"0")</f>
        <v/>
      </c>
      <c r="H187" s="235"/>
      <c r="I187" s="57"/>
      <c r="J187" s="51"/>
      <c r="K187" s="176"/>
      <c r="L187" s="11"/>
      <c r="M187" s="11"/>
      <c r="N187" s="11"/>
      <c r="O187" s="166"/>
      <c r="P187" s="11"/>
      <c r="Q187" s="8"/>
      <c r="R187" s="182"/>
      <c r="S187" s="8"/>
      <c r="T187" s="8"/>
      <c r="U187" s="8"/>
      <c r="V187" s="182"/>
      <c r="W187" s="8"/>
      <c r="X187" s="62"/>
      <c r="Y187" s="182"/>
      <c r="Z187" s="8"/>
      <c r="AA187" s="8"/>
      <c r="AB187" s="11"/>
      <c r="AC187" s="182"/>
      <c r="AD187" s="8"/>
      <c r="AE187" s="70"/>
      <c r="AF187" s="235"/>
      <c r="AG187" s="172" t="str">
        <f>IFERROR(IF(AG186="","",VLOOKUP(AG186,LISTAS!$F$5:$G$1004,2,0)),"0")</f>
        <v/>
      </c>
      <c r="AH187" s="65"/>
      <c r="AI187" s="8"/>
      <c r="AJ187" s="11"/>
      <c r="AK187" s="166"/>
      <c r="AL187" s="11"/>
    </row>
    <row r="188" spans="2:38" ht="18" customHeight="1" x14ac:dyDescent="0.25">
      <c r="B188" s="16"/>
      <c r="C188" s="166"/>
      <c r="D188" s="11"/>
      <c r="E188" s="18"/>
      <c r="F188" s="19"/>
      <c r="G188" s="171" t="str">
        <f>IF(D190&lt;&gt;"",IF(D192&lt;&gt;"",IF(D190=D192,"",IF(D190&gt;D192,C190,C192)),""),"")</f>
        <v>MARIA EDUARDA</v>
      </c>
      <c r="H188" s="234">
        <v>2</v>
      </c>
      <c r="I188" s="57">
        <f>IF(H188&lt;&gt;"",H188,"")</f>
        <v>2</v>
      </c>
      <c r="J188" s="51" t="str">
        <f>IF(H188&lt;&gt;"",IF(G188="","",G188),"")</f>
        <v>MARIA EDUARDA</v>
      </c>
      <c r="K188" s="176" t="str">
        <f>VLOOKUP(K186,I186:J188,2,0)</f>
        <v/>
      </c>
      <c r="L188" s="11"/>
      <c r="M188" s="11"/>
      <c r="N188" s="11"/>
      <c r="O188" s="166"/>
      <c r="P188" s="11"/>
      <c r="Q188" s="8"/>
      <c r="R188" s="182"/>
      <c r="S188" s="8"/>
      <c r="T188" s="8"/>
      <c r="U188" s="8"/>
      <c r="V188" s="182"/>
      <c r="W188" s="8"/>
      <c r="X188" s="62"/>
      <c r="Y188" s="182"/>
      <c r="Z188" s="8"/>
      <c r="AA188" s="8"/>
      <c r="AB188" s="11"/>
      <c r="AC188" s="182"/>
      <c r="AD188" s="8"/>
      <c r="AE188" s="64"/>
      <c r="AF188" s="234">
        <v>2</v>
      </c>
      <c r="AG188" s="171" t="str">
        <f>IF(AJ190&lt;&gt;"",IF(AJ192&lt;&gt;"",IF(AJ190=AJ192,"",IF(AJ190&gt;AJ192,AK190,AK192)),""),"")</f>
        <v>MELISSA MATSUMOTO</v>
      </c>
      <c r="AH188" s="66"/>
      <c r="AI188" s="8"/>
      <c r="AJ188" s="11"/>
      <c r="AK188" s="166"/>
      <c r="AL188" s="11"/>
    </row>
    <row r="189" spans="2:38" ht="18" customHeight="1" thickBot="1" x14ac:dyDescent="0.3">
      <c r="B189" s="16"/>
      <c r="C189" s="166"/>
      <c r="D189" s="11"/>
      <c r="E189" s="18"/>
      <c r="F189" s="11"/>
      <c r="G189" s="172" t="str">
        <f>IFERROR(IF(G188="","",VLOOKUP(G188,LISTAS!$F$5:$G$1004,2,0)),"0")</f>
        <v>ESCOLA STAGIUM</v>
      </c>
      <c r="H189" s="235"/>
      <c r="I189" s="51"/>
      <c r="J189" s="51"/>
      <c r="K189" s="176"/>
      <c r="L189" s="11"/>
      <c r="M189" s="11"/>
      <c r="N189" s="11"/>
      <c r="O189" s="166"/>
      <c r="P189" s="11"/>
      <c r="Q189" s="8"/>
      <c r="R189" s="182"/>
      <c r="S189" s="8"/>
      <c r="T189" s="8"/>
      <c r="U189" s="8"/>
      <c r="V189" s="182"/>
      <c r="W189" s="8"/>
      <c r="X189" s="62"/>
      <c r="Y189" s="182"/>
      <c r="Z189" s="8"/>
      <c r="AA189" s="8"/>
      <c r="AB189" s="11"/>
      <c r="AC189" s="182"/>
      <c r="AD189" s="8"/>
      <c r="AE189" s="8"/>
      <c r="AF189" s="235"/>
      <c r="AG189" s="172" t="str">
        <f>IFERROR(IF(AG188="","",VLOOKUP(AG188,LISTAS!$F$5:$G$1004,2,0)),"0")</f>
        <v>COLÉGIO ARBOS - UNIDADE SANTO ANDRÉ</v>
      </c>
      <c r="AH189" s="8"/>
      <c r="AI189" s="69"/>
      <c r="AJ189" s="11"/>
      <c r="AK189" s="166"/>
      <c r="AL189" s="11"/>
    </row>
    <row r="190" spans="2:38" ht="18" customHeight="1" x14ac:dyDescent="0.25">
      <c r="B190" s="16">
        <v>29</v>
      </c>
      <c r="C190" s="171" t="str">
        <f>IF('13F GRP'!G5&gt;=3,'13F GRP'!J387,IF('13F GRP'!G5=2,"",IF('13F GRP'!G5=1,"","")))</f>
        <v/>
      </c>
      <c r="D190" s="234">
        <v>0</v>
      </c>
      <c r="E190" s="56">
        <f>IF(D190&lt;&gt;"",D190,"")</f>
        <v>0</v>
      </c>
      <c r="F190" s="51" t="str">
        <f>IF(D190&lt;&gt;"",IF(C190="","",C190),"")</f>
        <v/>
      </c>
      <c r="G190" s="176">
        <f>IF(E190&lt;&gt;"",IF(E192&lt;&gt;"",SMALL(E190:E192,1),""),"")</f>
        <v>0</v>
      </c>
      <c r="H190" s="51"/>
      <c r="I190" s="11"/>
      <c r="J190" s="11"/>
      <c r="K190" s="166"/>
      <c r="L190" s="11"/>
      <c r="M190" s="11"/>
      <c r="N190" s="11"/>
      <c r="O190" s="166"/>
      <c r="P190" s="11"/>
      <c r="Q190" s="8"/>
      <c r="R190" s="182"/>
      <c r="S190" s="8"/>
      <c r="T190" s="8"/>
      <c r="U190" s="8"/>
      <c r="V190" s="182"/>
      <c r="W190" s="8"/>
      <c r="X190" s="62"/>
      <c r="Y190" s="182"/>
      <c r="Z190" s="8"/>
      <c r="AA190" s="8"/>
      <c r="AB190" s="11"/>
      <c r="AC190" s="182"/>
      <c r="AD190" s="8"/>
      <c r="AE190" s="8"/>
      <c r="AF190" s="8"/>
      <c r="AG190" s="181">
        <f>IF(AJ190&lt;&gt;"",AJ190,"")</f>
        <v>0</v>
      </c>
      <c r="AH190" s="78" t="str">
        <f>IF(AJ190&lt;&gt;"",IF(AK190="","",AK190),"")</f>
        <v/>
      </c>
      <c r="AI190" s="53">
        <f>IF(AG190&lt;&gt;"",IF(AG192&lt;&gt;"",SMALL(AG190:AG192,1),""),"")</f>
        <v>0</v>
      </c>
      <c r="AJ190" s="234">
        <v>0</v>
      </c>
      <c r="AK190" s="171" t="str">
        <f>IF('13F GRP'!G5&gt;=3,'13F GRP'!J413,IF('13F GRP'!G5=2,"",IF('13F GRP'!G5=1,"","")))</f>
        <v/>
      </c>
      <c r="AL190" s="11">
        <v>31</v>
      </c>
    </row>
    <row r="191" spans="2:38" ht="18" customHeight="1" thickBot="1" x14ac:dyDescent="0.3">
      <c r="B191" s="16"/>
      <c r="C191" s="172" t="str">
        <f>IFERROR(IF(C190="","",VLOOKUP(C190,LISTAS!$F$5:$G$1004,2,0)),"0")</f>
        <v/>
      </c>
      <c r="D191" s="235"/>
      <c r="E191" s="57"/>
      <c r="F191" s="51"/>
      <c r="G191" s="176"/>
      <c r="H191" s="51"/>
      <c r="I191" s="11"/>
      <c r="J191" s="11"/>
      <c r="K191" s="166"/>
      <c r="L191" s="11"/>
      <c r="M191" s="11"/>
      <c r="N191" s="11"/>
      <c r="O191" s="166"/>
      <c r="P191" s="11"/>
      <c r="Q191" s="8"/>
      <c r="R191" s="182"/>
      <c r="S191" s="8"/>
      <c r="T191" s="8"/>
      <c r="U191" s="8"/>
      <c r="V191" s="182"/>
      <c r="W191" s="8"/>
      <c r="X191" s="62"/>
      <c r="Y191" s="182"/>
      <c r="Z191" s="8"/>
      <c r="AA191" s="8"/>
      <c r="AB191" s="11"/>
      <c r="AC191" s="182"/>
      <c r="AD191" s="8"/>
      <c r="AE191" s="8"/>
      <c r="AF191" s="8"/>
      <c r="AG191" s="181"/>
      <c r="AH191" s="78"/>
      <c r="AI191" s="77"/>
      <c r="AJ191" s="235"/>
      <c r="AK191" s="172" t="str">
        <f>IFERROR(IF(AK190="","",VLOOKUP(AK190,LISTAS!$F$5:$G$1004,2,0)),"0")</f>
        <v/>
      </c>
      <c r="AL191" s="11"/>
    </row>
    <row r="192" spans="2:38" ht="30" x14ac:dyDescent="0.25">
      <c r="B192" s="16">
        <v>4</v>
      </c>
      <c r="C192" s="171" t="str">
        <f>IF('13F GRP'!G5&gt;=3,'13F GRP'!J62,IF('13F GRP'!G5=2,"",IF('13F GRP'!G5=1,"","")))</f>
        <v>MARIA EDUARDA</v>
      </c>
      <c r="D192" s="234">
        <v>2</v>
      </c>
      <c r="E192" s="57">
        <f>IF(D192&lt;&gt;"",D192,"")</f>
        <v>2</v>
      </c>
      <c r="F192" s="51" t="str">
        <f>IF(D192&lt;&gt;"",IF(C192="","",C192),"")</f>
        <v>MARIA EDUARDA</v>
      </c>
      <c r="G192" s="176" t="str">
        <f>VLOOKUP(G190,E190:F192,2,0)</f>
        <v/>
      </c>
      <c r="H192" s="51"/>
      <c r="I192" s="11"/>
      <c r="J192" s="11"/>
      <c r="K192" s="166"/>
      <c r="L192" s="11"/>
      <c r="M192" s="11"/>
      <c r="N192" s="11"/>
      <c r="O192" s="166"/>
      <c r="P192" s="11"/>
      <c r="Q192" s="8"/>
      <c r="R192" s="182"/>
      <c r="S192" s="8"/>
      <c r="T192" s="8"/>
      <c r="U192" s="8"/>
      <c r="V192" s="182"/>
      <c r="W192" s="8"/>
      <c r="X192" s="62"/>
      <c r="Y192" s="182"/>
      <c r="Z192" s="8"/>
      <c r="AA192" s="8"/>
      <c r="AB192" s="11"/>
      <c r="AC192" s="182"/>
      <c r="AD192" s="8"/>
      <c r="AE192" s="8"/>
      <c r="AF192" s="8"/>
      <c r="AG192" s="181">
        <f>IF(AJ192&lt;&gt;"",AJ192,"")</f>
        <v>2</v>
      </c>
      <c r="AH192" s="78" t="str">
        <f>IF(AJ192&lt;&gt;"",IF(AK192="","",AK192),"")</f>
        <v>MELISSA MATSUMOTO</v>
      </c>
      <c r="AI192" s="76" t="str">
        <f>VLOOKUP(AI190,AG190:AH192,2,0)</f>
        <v/>
      </c>
      <c r="AJ192" s="234">
        <v>2</v>
      </c>
      <c r="AK192" s="171" t="str">
        <f>IF('13F GRP'!G5&gt;=3,'13F GRP'!J32,IF('13F GRP'!G5=2,IF('13F GRP'!H8=3,'13F GRP'!J32,""),IF('13F GRP'!G5=1,"","")))</f>
        <v>MELISSA MATSUMOTO</v>
      </c>
      <c r="AL192" s="11">
        <v>2</v>
      </c>
    </row>
    <row r="193" spans="2:38" ht="21.75" customHeight="1" thickBot="1" x14ac:dyDescent="0.3">
      <c r="B193" s="16"/>
      <c r="C193" s="172" t="str">
        <f>IFERROR(IF(C192="","",VLOOKUP(C192,LISTAS!$F$5:$G$1004,2,0)),"0")</f>
        <v>ESCOLA STAGIUM</v>
      </c>
      <c r="D193" s="235"/>
      <c r="E193" s="51"/>
      <c r="F193" s="51"/>
      <c r="G193" s="176"/>
      <c r="H193" s="51"/>
      <c r="I193" s="11"/>
      <c r="J193" s="11"/>
      <c r="K193" s="166"/>
      <c r="L193" s="11"/>
      <c r="M193" s="11"/>
      <c r="N193" s="11"/>
      <c r="O193" s="166"/>
      <c r="P193" s="11"/>
      <c r="Q193" s="8"/>
      <c r="R193" s="182"/>
      <c r="S193" s="8"/>
      <c r="T193" s="8"/>
      <c r="U193" s="8"/>
      <c r="V193" s="182"/>
      <c r="W193" s="8"/>
      <c r="X193" s="62"/>
      <c r="Y193" s="182"/>
      <c r="Z193" s="8"/>
      <c r="AA193" s="8"/>
      <c r="AB193" s="11"/>
      <c r="AC193" s="182"/>
      <c r="AD193" s="8"/>
      <c r="AE193" s="8"/>
      <c r="AF193" s="8"/>
      <c r="AG193" s="181"/>
      <c r="AH193" s="78"/>
      <c r="AI193" s="51"/>
      <c r="AJ193" s="235"/>
      <c r="AK193" s="172" t="str">
        <f>IFERROR(IF(AK192="","",VLOOKUP(AK192,LISTAS!$F$5:$G$1004,2,0)),"0")</f>
        <v>COLÉGIO ARBOS - UNIDADE SANTO ANDRÉ</v>
      </c>
      <c r="AL193" s="11"/>
    </row>
    <row r="194" spans="2:38" x14ac:dyDescent="0.25">
      <c r="B194" s="16"/>
      <c r="C194" s="167"/>
      <c r="D194" s="71"/>
      <c r="E194" s="127"/>
      <c r="F194" s="127"/>
      <c r="G194" s="177"/>
      <c r="H194" s="127"/>
      <c r="I194" s="71"/>
      <c r="J194" s="71"/>
      <c r="K194" s="167"/>
      <c r="L194" s="71"/>
      <c r="M194" s="71"/>
      <c r="N194" s="71"/>
      <c r="O194" s="167"/>
      <c r="P194" s="71"/>
      <c r="Q194" s="8"/>
      <c r="R194" s="182"/>
      <c r="S194" s="8"/>
      <c r="T194" s="8"/>
      <c r="U194" s="8"/>
      <c r="V194" s="182"/>
      <c r="W194" s="8"/>
      <c r="X194" s="62"/>
      <c r="Y194" s="182"/>
      <c r="Z194" s="8"/>
      <c r="AA194" s="8"/>
      <c r="AB194" s="11"/>
      <c r="AC194" s="182"/>
      <c r="AD194" s="8"/>
      <c r="AE194" s="8"/>
      <c r="AF194" s="8"/>
      <c r="AG194" s="182"/>
      <c r="AH194" s="8"/>
      <c r="AI194" s="8"/>
      <c r="AJ194" s="71"/>
      <c r="AK194" s="167"/>
      <c r="AL194" s="11"/>
    </row>
    <row r="195" spans="2:38" x14ac:dyDescent="0.25">
      <c r="B195" s="11"/>
      <c r="C195" s="167"/>
      <c r="D195" s="71"/>
      <c r="E195" s="71"/>
      <c r="F195" s="71"/>
      <c r="G195" s="167"/>
      <c r="H195" s="71"/>
      <c r="I195" s="71"/>
      <c r="J195" s="71"/>
      <c r="K195" s="167"/>
      <c r="L195" s="71"/>
      <c r="M195" s="71"/>
      <c r="N195" s="71"/>
      <c r="O195" s="167"/>
      <c r="P195" s="71"/>
      <c r="Q195" s="8"/>
      <c r="R195" s="182"/>
      <c r="S195" s="8"/>
      <c r="T195" s="8"/>
      <c r="U195" s="8"/>
      <c r="V195" s="182"/>
      <c r="W195" s="8"/>
      <c r="X195" s="62"/>
      <c r="Y195" s="182"/>
      <c r="Z195" s="8"/>
      <c r="AA195" s="8"/>
      <c r="AB195" s="11"/>
      <c r="AC195" s="182"/>
      <c r="AD195" s="8"/>
      <c r="AE195" s="8"/>
      <c r="AF195" s="8"/>
      <c r="AG195" s="182"/>
      <c r="AH195" s="8"/>
      <c r="AI195" s="8"/>
      <c r="AJ195" s="71"/>
      <c r="AK195" s="167"/>
      <c r="AL195" s="11"/>
    </row>
    <row r="196" spans="2:38" x14ac:dyDescent="0.25">
      <c r="B196" s="2"/>
      <c r="D196" s="2"/>
      <c r="E196" s="2"/>
      <c r="F196" s="2"/>
      <c r="G196" s="163"/>
      <c r="H196" s="2"/>
      <c r="I196" s="2"/>
      <c r="J196" s="2"/>
      <c r="K196" s="163"/>
      <c r="L196" s="2"/>
      <c r="M196" s="2"/>
      <c r="N196" s="2"/>
      <c r="O196" s="163"/>
      <c r="P196" s="2"/>
      <c r="W196" s="2"/>
      <c r="Y196" s="163"/>
      <c r="Z196" s="2"/>
      <c r="AA196" s="2"/>
      <c r="AB196" s="2"/>
      <c r="AC196" s="163"/>
      <c r="AD196" s="2"/>
      <c r="AE196" s="2"/>
      <c r="AF196" s="2"/>
      <c r="AG196" s="163"/>
      <c r="AH196" s="2"/>
      <c r="AI196" s="2"/>
      <c r="AJ196" s="2"/>
      <c r="AK196" s="163"/>
    </row>
    <row r="197" spans="2:38" x14ac:dyDescent="0.25">
      <c r="B197" s="2"/>
      <c r="D197" s="2"/>
      <c r="E197" s="2"/>
      <c r="F197" s="2"/>
      <c r="G197" s="163"/>
      <c r="H197" s="2"/>
      <c r="I197" s="2"/>
      <c r="J197" s="2"/>
      <c r="K197" s="163"/>
      <c r="L197" s="2"/>
      <c r="M197" s="2"/>
      <c r="N197" s="2"/>
      <c r="O197" s="163"/>
      <c r="P197" s="2"/>
      <c r="W197" s="2"/>
      <c r="Y197" s="163"/>
      <c r="Z197" s="2"/>
      <c r="AA197" s="2"/>
      <c r="AB197" s="2"/>
      <c r="AC197" s="163"/>
      <c r="AD197" s="2"/>
      <c r="AE197" s="2"/>
      <c r="AF197" s="2"/>
      <c r="AG197" s="163"/>
      <c r="AH197" s="2"/>
      <c r="AI197" s="2"/>
      <c r="AJ197" s="2"/>
      <c r="AK197" s="163"/>
    </row>
    <row r="198" spans="2:38" x14ac:dyDescent="0.25">
      <c r="B198" s="2"/>
      <c r="D198" s="2"/>
      <c r="E198" s="2"/>
      <c r="F198" s="2"/>
      <c r="G198" s="163"/>
      <c r="H198" s="2"/>
      <c r="I198" s="2"/>
      <c r="J198" s="2"/>
      <c r="K198" s="163"/>
      <c r="L198" s="2"/>
      <c r="M198" s="2"/>
      <c r="N198" s="2"/>
      <c r="O198" s="163"/>
      <c r="P198" s="2"/>
      <c r="W198" s="2"/>
      <c r="Y198" s="163"/>
      <c r="Z198" s="2"/>
      <c r="AA198" s="2"/>
      <c r="AB198" s="2"/>
      <c r="AC198" s="163"/>
      <c r="AD198" s="2"/>
      <c r="AE198" s="2"/>
      <c r="AF198" s="2"/>
      <c r="AG198" s="163"/>
      <c r="AH198" s="2"/>
      <c r="AI198" s="2"/>
      <c r="AJ198" s="2"/>
      <c r="AK198" s="163"/>
    </row>
    <row r="199" spans="2:38" x14ac:dyDescent="0.25">
      <c r="B199" s="2"/>
      <c r="D199" s="2"/>
      <c r="E199" s="2"/>
      <c r="F199" s="2"/>
      <c r="G199" s="163"/>
      <c r="H199" s="2"/>
      <c r="I199" s="2"/>
      <c r="J199" s="2"/>
      <c r="K199" s="163"/>
      <c r="L199" s="2"/>
      <c r="M199" s="2"/>
      <c r="N199" s="2"/>
      <c r="O199" s="163"/>
      <c r="P199" s="2"/>
      <c r="W199" s="2"/>
      <c r="Y199" s="163"/>
      <c r="Z199" s="2"/>
      <c r="AA199" s="2"/>
      <c r="AB199" s="2"/>
      <c r="AC199" s="163"/>
      <c r="AD199" s="2"/>
      <c r="AE199" s="2"/>
      <c r="AF199" s="2"/>
      <c r="AG199" s="163"/>
      <c r="AH199" s="2"/>
      <c r="AI199" s="2"/>
      <c r="AJ199" s="2"/>
      <c r="AK199" s="163"/>
    </row>
    <row r="200" spans="2:38" x14ac:dyDescent="0.25">
      <c r="B200" s="2"/>
      <c r="D200" s="2"/>
      <c r="E200" s="2"/>
      <c r="F200" s="2"/>
      <c r="G200" s="163"/>
      <c r="H200" s="2"/>
      <c r="I200" s="2"/>
      <c r="J200" s="2"/>
      <c r="K200" s="163"/>
      <c r="L200" s="2"/>
      <c r="M200" s="2"/>
      <c r="N200" s="2"/>
      <c r="O200" s="163"/>
      <c r="P200" s="2"/>
      <c r="W200" s="2"/>
      <c r="Y200" s="163"/>
      <c r="Z200" s="2"/>
      <c r="AA200" s="2"/>
      <c r="AB200" s="2"/>
      <c r="AC200" s="163"/>
      <c r="AD200" s="2"/>
      <c r="AE200" s="2"/>
      <c r="AF200" s="2"/>
      <c r="AG200" s="163"/>
      <c r="AH200" s="2"/>
      <c r="AI200" s="2"/>
      <c r="AJ200" s="2"/>
      <c r="AK200" s="163"/>
    </row>
  </sheetData>
  <mergeCells count="205">
    <mergeCell ref="B2:AL4"/>
    <mergeCell ref="B5:D5"/>
    <mergeCell ref="AP5:AQ5"/>
    <mergeCell ref="B6:AL6"/>
    <mergeCell ref="H14:H15"/>
    <mergeCell ref="AF14:AF15"/>
    <mergeCell ref="D16:D17"/>
    <mergeCell ref="AJ16:AJ17"/>
    <mergeCell ref="AP2:AU3"/>
    <mergeCell ref="AP6:AU6"/>
    <mergeCell ref="D18:D19"/>
    <mergeCell ref="AJ18:AJ19"/>
    <mergeCell ref="AP7:AQ7"/>
    <mergeCell ref="D8:D9"/>
    <mergeCell ref="AJ8:AJ9"/>
    <mergeCell ref="D10:D11"/>
    <mergeCell ref="AJ10:AJ11"/>
    <mergeCell ref="H12:H13"/>
    <mergeCell ref="AF12:AF13"/>
    <mergeCell ref="D26:D27"/>
    <mergeCell ref="AJ26:AJ27"/>
    <mergeCell ref="H28:H29"/>
    <mergeCell ref="AF28:AF29"/>
    <mergeCell ref="H30:H31"/>
    <mergeCell ref="AF30:AF31"/>
    <mergeCell ref="L20:L21"/>
    <mergeCell ref="AB20:AB21"/>
    <mergeCell ref="L22:L23"/>
    <mergeCell ref="AB22:AB23"/>
    <mergeCell ref="D24:D25"/>
    <mergeCell ref="AJ24:AJ25"/>
    <mergeCell ref="P37:P38"/>
    <mergeCell ref="X37:X38"/>
    <mergeCell ref="D38:D39"/>
    <mergeCell ref="AJ38:AJ39"/>
    <mergeCell ref="D40:D41"/>
    <mergeCell ref="AJ40:AJ41"/>
    <mergeCell ref="D32:D33"/>
    <mergeCell ref="AJ32:AJ33"/>
    <mergeCell ref="D34:D35"/>
    <mergeCell ref="R34:V34"/>
    <mergeCell ref="AJ34:AJ35"/>
    <mergeCell ref="P35:P36"/>
    <mergeCell ref="X35:X36"/>
    <mergeCell ref="S36:S37"/>
    <mergeCell ref="T36:T37"/>
    <mergeCell ref="U36:U37"/>
    <mergeCell ref="D48:D49"/>
    <mergeCell ref="AJ48:AJ49"/>
    <mergeCell ref="L50:L51"/>
    <mergeCell ref="AB50:AB51"/>
    <mergeCell ref="L52:L53"/>
    <mergeCell ref="AB52:AB53"/>
    <mergeCell ref="H42:H43"/>
    <mergeCell ref="AF42:AF43"/>
    <mergeCell ref="H44:H45"/>
    <mergeCell ref="AF44:AF45"/>
    <mergeCell ref="D46:D47"/>
    <mergeCell ref="AJ46:AJ47"/>
    <mergeCell ref="H60:H61"/>
    <mergeCell ref="AF60:AF61"/>
    <mergeCell ref="D62:D63"/>
    <mergeCell ref="AJ62:AJ63"/>
    <mergeCell ref="D64:D65"/>
    <mergeCell ref="AJ64:AJ65"/>
    <mergeCell ref="D54:D55"/>
    <mergeCell ref="AJ54:AJ55"/>
    <mergeCell ref="D56:D57"/>
    <mergeCell ref="AJ56:AJ57"/>
    <mergeCell ref="H58:H59"/>
    <mergeCell ref="AF58:AF59"/>
    <mergeCell ref="H76:H77"/>
    <mergeCell ref="AF76:AF77"/>
    <mergeCell ref="H78:H79"/>
    <mergeCell ref="AF78:AF79"/>
    <mergeCell ref="D80:D81"/>
    <mergeCell ref="AJ80:AJ81"/>
    <mergeCell ref="B70:AL70"/>
    <mergeCell ref="AP71:AQ71"/>
    <mergeCell ref="D72:D73"/>
    <mergeCell ref="AJ72:AJ73"/>
    <mergeCell ref="D74:D75"/>
    <mergeCell ref="AJ74:AJ75"/>
    <mergeCell ref="AP70:AU70"/>
    <mergeCell ref="D88:D89"/>
    <mergeCell ref="AJ88:AJ89"/>
    <mergeCell ref="D90:D91"/>
    <mergeCell ref="AJ90:AJ91"/>
    <mergeCell ref="H92:H93"/>
    <mergeCell ref="AF92:AF93"/>
    <mergeCell ref="D82:D83"/>
    <mergeCell ref="AJ82:AJ83"/>
    <mergeCell ref="L84:L85"/>
    <mergeCell ref="AB84:AB85"/>
    <mergeCell ref="L86:L87"/>
    <mergeCell ref="AB86:AB87"/>
    <mergeCell ref="H94:H95"/>
    <mergeCell ref="AF94:AF95"/>
    <mergeCell ref="D96:D97"/>
    <mergeCell ref="AJ96:AJ97"/>
    <mergeCell ref="D98:D99"/>
    <mergeCell ref="R98:V98"/>
    <mergeCell ref="AJ98:AJ99"/>
    <mergeCell ref="P99:P100"/>
    <mergeCell ref="X99:X100"/>
    <mergeCell ref="S100:S101"/>
    <mergeCell ref="D104:D105"/>
    <mergeCell ref="AJ104:AJ105"/>
    <mergeCell ref="H106:H107"/>
    <mergeCell ref="AF106:AF107"/>
    <mergeCell ref="H108:H109"/>
    <mergeCell ref="AF108:AF109"/>
    <mergeCell ref="T100:T101"/>
    <mergeCell ref="U100:U101"/>
    <mergeCell ref="P101:P102"/>
    <mergeCell ref="X101:X102"/>
    <mergeCell ref="D102:D103"/>
    <mergeCell ref="AJ102:AJ103"/>
    <mergeCell ref="L116:L117"/>
    <mergeCell ref="AB116:AB117"/>
    <mergeCell ref="D118:D119"/>
    <mergeCell ref="AJ118:AJ119"/>
    <mergeCell ref="D120:D121"/>
    <mergeCell ref="AJ120:AJ121"/>
    <mergeCell ref="D110:D111"/>
    <mergeCell ref="AJ110:AJ111"/>
    <mergeCell ref="D112:D113"/>
    <mergeCell ref="AJ112:AJ113"/>
    <mergeCell ref="L114:L115"/>
    <mergeCell ref="AB114:AB115"/>
    <mergeCell ref="D128:D129"/>
    <mergeCell ref="AJ128:AJ129"/>
    <mergeCell ref="B134:AL134"/>
    <mergeCell ref="AP135:AQ135"/>
    <mergeCell ref="D136:D137"/>
    <mergeCell ref="AJ136:AJ137"/>
    <mergeCell ref="H122:H123"/>
    <mergeCell ref="AF122:AF123"/>
    <mergeCell ref="H124:H125"/>
    <mergeCell ref="AF124:AF125"/>
    <mergeCell ref="D126:D127"/>
    <mergeCell ref="AJ126:AJ127"/>
    <mergeCell ref="AP134:AU134"/>
    <mergeCell ref="D144:D145"/>
    <mergeCell ref="AJ144:AJ145"/>
    <mergeCell ref="D146:D147"/>
    <mergeCell ref="AJ146:AJ147"/>
    <mergeCell ref="L148:L149"/>
    <mergeCell ref="AB148:AB149"/>
    <mergeCell ref="D138:D139"/>
    <mergeCell ref="AJ138:AJ139"/>
    <mergeCell ref="H140:H141"/>
    <mergeCell ref="AF140:AF141"/>
    <mergeCell ref="H142:H143"/>
    <mergeCell ref="AF142:AF143"/>
    <mergeCell ref="H156:H157"/>
    <mergeCell ref="AF156:AF157"/>
    <mergeCell ref="H158:H159"/>
    <mergeCell ref="AF158:AF159"/>
    <mergeCell ref="D160:D161"/>
    <mergeCell ref="AJ160:AJ161"/>
    <mergeCell ref="L150:L151"/>
    <mergeCell ref="AB150:AB151"/>
    <mergeCell ref="D152:D153"/>
    <mergeCell ref="AJ152:AJ153"/>
    <mergeCell ref="D154:D155"/>
    <mergeCell ref="AJ154:AJ155"/>
    <mergeCell ref="D166:D167"/>
    <mergeCell ref="AJ166:AJ167"/>
    <mergeCell ref="D168:D169"/>
    <mergeCell ref="AJ168:AJ169"/>
    <mergeCell ref="H170:H171"/>
    <mergeCell ref="AF170:AF171"/>
    <mergeCell ref="D162:D163"/>
    <mergeCell ref="R162:V162"/>
    <mergeCell ref="AJ162:AJ163"/>
    <mergeCell ref="P163:P164"/>
    <mergeCell ref="X163:X164"/>
    <mergeCell ref="S164:S165"/>
    <mergeCell ref="T164:T165"/>
    <mergeCell ref="U164:U165"/>
    <mergeCell ref="P165:P166"/>
    <mergeCell ref="X165:X166"/>
    <mergeCell ref="L178:L179"/>
    <mergeCell ref="AB178:AB179"/>
    <mergeCell ref="L180:L181"/>
    <mergeCell ref="AB180:AB181"/>
    <mergeCell ref="D182:D183"/>
    <mergeCell ref="AJ182:AJ183"/>
    <mergeCell ref="H172:H173"/>
    <mergeCell ref="AF172:AF173"/>
    <mergeCell ref="D174:D175"/>
    <mergeCell ref="AJ174:AJ175"/>
    <mergeCell ref="D176:D177"/>
    <mergeCell ref="AJ176:AJ177"/>
    <mergeCell ref="D190:D191"/>
    <mergeCell ref="AJ190:AJ191"/>
    <mergeCell ref="D192:D193"/>
    <mergeCell ref="AJ192:AJ193"/>
    <mergeCell ref="D184:D185"/>
    <mergeCell ref="AJ184:AJ185"/>
    <mergeCell ref="H186:H187"/>
    <mergeCell ref="AF186:AF187"/>
    <mergeCell ref="H188:H189"/>
    <mergeCell ref="AF188:AF189"/>
  </mergeCells>
  <printOptions horizontalCentered="1"/>
  <pageMargins left="0.23622047244094491" right="0.23622047244094491" top="0.74803149606299213" bottom="0.74803149606299213" header="0.31496062992125984" footer="0.31496062992125984"/>
  <pageSetup paperSize="9" scale="13"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LISTAS!$D$5:$D$6</xm:f>
          </x14:formula1>
          <xm:sqref>AS5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tabColor theme="4" tint="0.39997558519241921"/>
  </sheetPr>
  <dimension ref="B1:Q504"/>
  <sheetViews>
    <sheetView showGridLines="0" topLeftCell="A394" zoomScale="85" zoomScaleNormal="85" workbookViewId="0">
      <selection activeCell="B426" sqref="B426"/>
    </sheetView>
  </sheetViews>
  <sheetFormatPr defaultColWidth="25.28515625" defaultRowHeight="16.5" x14ac:dyDescent="0.25"/>
  <cols>
    <col min="1" max="1" width="1.140625" style="1" customWidth="1"/>
    <col min="2" max="2" width="49.7109375" style="1" customWidth="1"/>
    <col min="3" max="3" width="32.42578125" style="2" bestFit="1" customWidth="1"/>
    <col min="4" max="8" width="8" style="1" customWidth="1"/>
    <col min="9" max="9" width="8.140625" style="1" customWidth="1"/>
    <col min="10" max="10" width="49.85546875" style="1" customWidth="1"/>
    <col min="11" max="11" width="21.42578125" style="1" customWidth="1"/>
    <col min="12" max="12" width="14.42578125" style="1" customWidth="1"/>
    <col min="13" max="13" width="7" style="20" bestFit="1" customWidth="1"/>
    <col min="14" max="14" width="10.42578125" style="20" bestFit="1" customWidth="1"/>
    <col min="15" max="15" width="8.42578125" style="20" bestFit="1" customWidth="1"/>
    <col min="16" max="16" width="10.42578125" style="20" bestFit="1" customWidth="1"/>
    <col min="17" max="17" width="25.28515625" style="20"/>
    <col min="18" max="16384" width="25.28515625" style="1"/>
  </cols>
  <sheetData>
    <row r="1" spans="2:17" ht="6" customHeight="1" x14ac:dyDescent="0.25"/>
    <row r="2" spans="2:17" s="3" customFormat="1" ht="60.75" customHeight="1" x14ac:dyDescent="0.25">
      <c r="B2" s="233"/>
      <c r="C2" s="233"/>
      <c r="D2" s="233"/>
      <c r="E2" s="233"/>
      <c r="F2" s="233"/>
      <c r="G2" s="233"/>
      <c r="H2" s="233"/>
      <c r="I2" s="233"/>
      <c r="J2" s="233"/>
      <c r="K2" s="233"/>
      <c r="L2" s="233"/>
      <c r="M2" s="25"/>
      <c r="N2" s="25"/>
      <c r="O2" s="25"/>
      <c r="P2" s="25"/>
      <c r="Q2" s="25"/>
    </row>
    <row r="3" spans="2:17" s="3" customFormat="1" ht="60.75" customHeight="1" x14ac:dyDescent="0.25">
      <c r="B3" s="233"/>
      <c r="C3" s="233"/>
      <c r="D3" s="233"/>
      <c r="E3" s="233"/>
      <c r="F3" s="233"/>
      <c r="G3" s="233"/>
      <c r="H3" s="233"/>
      <c r="I3" s="233"/>
      <c r="J3" s="233"/>
      <c r="K3" s="233"/>
      <c r="L3" s="233"/>
      <c r="M3" s="25"/>
      <c r="N3" s="25"/>
      <c r="O3" s="25"/>
      <c r="P3" s="25"/>
      <c r="Q3" s="25"/>
    </row>
    <row r="4" spans="2:17" s="3" customFormat="1" ht="13.5" customHeight="1" x14ac:dyDescent="0.25">
      <c r="B4" s="233"/>
      <c r="C4" s="233"/>
      <c r="D4" s="233"/>
      <c r="E4" s="233"/>
      <c r="F4" s="233"/>
      <c r="G4" s="233"/>
      <c r="H4" s="233"/>
      <c r="I4" s="233"/>
      <c r="J4" s="233"/>
      <c r="K4" s="233"/>
      <c r="L4" s="233"/>
      <c r="M4" s="25"/>
      <c r="N4" s="25"/>
      <c r="O4" s="25"/>
      <c r="P4" s="25"/>
      <c r="Q4" s="25"/>
    </row>
    <row r="5" spans="2:17" s="3" customFormat="1" ht="30" customHeight="1" x14ac:dyDescent="0.25">
      <c r="B5" s="59" t="s">
        <v>30</v>
      </c>
      <c r="C5" s="221" t="s">
        <v>82</v>
      </c>
      <c r="D5" s="222"/>
      <c r="E5" s="222"/>
      <c r="F5" s="222"/>
      <c r="G5" s="120">
        <v>31</v>
      </c>
      <c r="I5" s="4"/>
      <c r="J5" s="4"/>
      <c r="M5" s="25"/>
      <c r="N5" s="25"/>
      <c r="O5" s="25"/>
      <c r="P5" s="25"/>
      <c r="Q5" s="25"/>
    </row>
    <row r="6" spans="2:17" ht="30" customHeight="1" x14ac:dyDescent="0.25">
      <c r="B6" s="161" t="s">
        <v>39</v>
      </c>
      <c r="C6" s="79"/>
      <c r="D6" s="263" t="s">
        <v>42</v>
      </c>
      <c r="E6" s="264"/>
      <c r="F6" s="264"/>
      <c r="G6" s="265"/>
      <c r="H6" s="113"/>
      <c r="I6" s="263" t="s">
        <v>3</v>
      </c>
      <c r="J6" s="264"/>
      <c r="K6" s="264"/>
      <c r="L6" s="265"/>
    </row>
    <row r="7" spans="2:17" ht="18" customHeight="1" x14ac:dyDescent="0.25">
      <c r="B7" s="131" t="s">
        <v>15</v>
      </c>
      <c r="C7" s="28" t="s">
        <v>0</v>
      </c>
      <c r="D7" s="28" t="s">
        <v>43</v>
      </c>
      <c r="E7" s="28" t="s">
        <v>44</v>
      </c>
      <c r="F7" s="28" t="s">
        <v>77</v>
      </c>
      <c r="G7" s="28" t="s">
        <v>78</v>
      </c>
      <c r="H7" s="114"/>
      <c r="I7" s="28" t="s">
        <v>18</v>
      </c>
      <c r="J7" s="28" t="s">
        <v>15</v>
      </c>
      <c r="K7" s="28" t="s">
        <v>0</v>
      </c>
      <c r="L7" s="28" t="s">
        <v>45</v>
      </c>
    </row>
    <row r="8" spans="2:17" ht="18" customHeight="1" x14ac:dyDescent="0.25">
      <c r="B8" s="33" t="s">
        <v>367</v>
      </c>
      <c r="C8" s="33" t="str">
        <f>IFERROR(IF(B8="","",VLOOKUP(B8,LISTAS!$F$5:$G$1004,2,0)),"0")</f>
        <v>ABACO IPIRANGA</v>
      </c>
      <c r="D8" s="33" t="str">
        <f>IF(H8&lt;3,"",IF(H8=3,IF(D16&lt;&gt;"",IF(H16&lt;&gt;"",IF(D16&lt;&gt;H16,IF(D16&gt;H16,"V","D"),""),""),""),IF(H8=4,IF(D16&lt;&gt;"",IF(H16&lt;&gt;"",IF(D16&lt;&gt;H16,IF(D16&gt;H16,"V","D"),""),""),""),IF(H8=5,IF(D16&lt;&gt;"",IF(H16&lt;&gt;"",IF(D16&lt;&gt;H16,IF(D16&gt;H16,"V","D"),""),""),"")))))</f>
        <v>V</v>
      </c>
      <c r="E8" s="33" t="str">
        <f>IF(H8&lt;3,"",IF(H8=3,IF(D18&lt;&gt;"",IF(H18&lt;&gt;"",IF(D18&lt;&gt;H18,IF(D18&gt;H18,"V","D"),""),""),""),IF(H8=4,IF(D18&lt;&gt;"",IF(H18&lt;&gt;"",IF(D18&lt;&gt;H18,IF(D18&gt;H18,"V","D"),""),""),""),IF(H8=5,IF(D20&lt;&gt;"",IF(H20&lt;&gt;"",IF(D20&lt;&gt;H20,IF(D18&gt;H18,"D","V"),""),""),"")))))</f>
        <v>V</v>
      </c>
      <c r="F8" s="33" t="str">
        <f>IF(H8&lt;4,"-",IF(H8=3,"",IF(H8=4,IF(D21&lt;&gt;"",IF(H21&lt;&gt;"",IF(D21&lt;&gt;H21,IF(D21&gt;H21,"V","D"),""),""),""),IF(H8=5,IF(D23&lt;&gt;"",IF(H23&lt;&gt;"",IF(D23&lt;&gt;H23,IF(D23&gt;H23,"D","V"),""),""),"")))))</f>
        <v>-</v>
      </c>
      <c r="G8" s="33" t="str">
        <f>IF(H8&lt;5,"-",IF(H8=3,"",IF(H8=4,"",IF(H8=5,IF(D25&lt;&gt;"",IF(H25&lt;&gt;"",IF(D25&lt;&gt;H25,IF(D25&gt;H25,"D","V"),""),""),"")))))</f>
        <v>-</v>
      </c>
      <c r="H8" s="117">
        <f>COUNTA(B8:B12)</f>
        <v>3</v>
      </c>
      <c r="I8" s="33">
        <f>IF(B8&lt;&gt;"",1,"")</f>
        <v>1</v>
      </c>
      <c r="J8" s="33" t="str">
        <f>IF(I8&lt;&gt;"",P8,"")</f>
        <v>ALEXANDRE BORBA MARQUES</v>
      </c>
      <c r="K8" s="33" t="str">
        <f>IFERROR(IF(J8="","",VLOOKUP(J8,LISTAS!$F$5:$G$1004,2,0)),"0")</f>
        <v>ABACO IPIRANGA</v>
      </c>
      <c r="L8" s="130" t="str">
        <f>IF(B8&lt;&gt;"",IF(G5=1,"OURO",IF(G5=2,IF(H8&lt;3,"",IF(H8&gt;4,"",IF(H8=3,"OURO",IF(H8=4,"OURO")))),IF(G5&gt;=3,"OURO",""))),"")</f>
        <v>OURO</v>
      </c>
      <c r="M8" s="20">
        <f>IF(B8&lt;&gt;"",COUNTIF(D8:G8,"V")+(SUMIF(B16:B25,B8,D16:E25)/1000)+(SUMIF(J16:J25,B8,H16:I25)/1000)-(SUMIF(B16:B25,B8,H16:I25)/1000)-(SUMIF(J16:J25,B8,D16:E25)/1000)+0.005,"")</f>
        <v>2.0070000000000001</v>
      </c>
      <c r="N8" s="20" t="str">
        <f>IF(B8="","",B8)</f>
        <v>ALEXANDRE BORBA MARQUES</v>
      </c>
      <c r="O8" s="20">
        <f>IF(B8&lt;&gt;"",LARGE(M8:M12,1),"")</f>
        <v>2.0070000000000001</v>
      </c>
      <c r="P8" s="20" t="str">
        <f>VLOOKUP(O8,M8:N12,2,0)</f>
        <v>ALEXANDRE BORBA MARQUES</v>
      </c>
    </row>
    <row r="9" spans="2:17" ht="18" customHeight="1" x14ac:dyDescent="0.25">
      <c r="B9" s="33" t="s">
        <v>633</v>
      </c>
      <c r="C9" s="33" t="str">
        <f>IFERROR(IF(B9="","",VLOOKUP(B9,LISTAS!$F$5:$G$1004,2,0)),"0")</f>
        <v>ESCOLA INTERAÇÃO</v>
      </c>
      <c r="D9" s="33" t="str">
        <f>IF(H8&lt;3,"",IF(H8=3,IF(D17&lt;&gt;"",IF(H17&lt;&gt;"",IF(D17&lt;&gt;H17,IF(D17&gt;H17,"V","D"),""),""),""),IF(H8=4,IF(D17&lt;&gt;"",IF(H17&lt;&gt;"",IF(D17&lt;&gt;H17,IF(D17&gt;H17,"V","D"),""),""),""),IF(H8=5,IF(D17&lt;&gt;"",IF(H17&lt;&gt;"",IF(D17&lt;&gt;H17,IF(D17&gt;H17,"V","D"),""),""),"")))))</f>
        <v>D</v>
      </c>
      <c r="E9" s="33" t="str">
        <f>IF(H8&lt;3,"",IF(H8=3,IF(D18&lt;&gt;"",IF(H18&lt;&gt;"",IF(D18&lt;&gt;H18,IF(D18&gt;H18,"D","V"),""),""),""),IF(H8=4,IF(D19&lt;&gt;"",IF(H19&lt;&gt;"",IF(D19&lt;&gt;H19,IF(D19&gt;H19,"V","D"),""),""),""),IF(H8=5,IF(D18&lt;&gt;"",IF(H18&lt;&gt;"",IF(D18&lt;&gt;H18,IF(D18&gt;H18,"V","D"),""),""),"")))))</f>
        <v>D</v>
      </c>
      <c r="F9" s="33" t="str">
        <f>IF(H8&lt;4,"-",IF(H8=3,"",IF(H8=4,IF(D21&lt;&gt;"",IF(H21&lt;&gt;"",IF(D21&lt;&gt;H21,IF(D21&gt;H21,"D","V"),""),""),""),IF(H8=5,IF(D22&lt;&gt;"",IF(H22&lt;&gt;"",IF(D22&lt;&gt;H22,IF(D22&gt;H22,"D","V"),""),""),"")))))</f>
        <v>-</v>
      </c>
      <c r="G9" s="33" t="str">
        <f>IF(H8&lt;5,"-",IF(H8=3,"",IF(H8=4,"",IF(H8=5,IF(D25&lt;&gt;"",IF(H25&lt;&gt;"",IF(D25&lt;&gt;H25,IF(D25&gt;H25,"V","D"),""),""),"")))))</f>
        <v>-</v>
      </c>
      <c r="H9" s="115"/>
      <c r="I9" s="33">
        <f>IF(B9&lt;&gt;"",2,"")</f>
        <v>2</v>
      </c>
      <c r="J9" s="33" t="str">
        <f>IF(I9&lt;&gt;"",P9,"")</f>
        <v>ARTHUR VIEIRA SICART</v>
      </c>
      <c r="K9" s="33" t="str">
        <f>IFERROR(IF(J9="","",VLOOKUP(J9,LISTAS!$F$5:$G$1004,2,0)),"0")</f>
        <v>COLEGIO PETROPOLIS</v>
      </c>
      <c r="L9" s="130" t="str">
        <f>IF(B9&lt;&gt;"",IF(G5=1,"OURO",IF(G5=2,IF(H8&lt;3,"",IF(H8&gt;4,"",IF(H8=3,"PRATA",IF(H8=4,"OURO")))),IF(G5&gt;=3,"PRATA",""))),"")</f>
        <v>PRATA</v>
      </c>
      <c r="M9" s="118">
        <f>IF(B9&lt;&gt;"",COUNTIF(D9:G9,"V")+(SUMIF(B16:B25,B9,D16:E25)/1000)+(SUMIF(J16:J25,B9,H16:I25)/1000)-(SUMIF(B16:B25,B9,H16:I25)/1000)-(SUMIF(J16:J25,B9,D16:E25)/1000)+0.004,"")</f>
        <v>1E-3</v>
      </c>
      <c r="N9" s="20" t="str">
        <f t="shared" ref="N9" si="0">IF(B9="","",B9)</f>
        <v>Leonardo Cassitas Souza</v>
      </c>
      <c r="O9" s="20">
        <f>IF(B9&lt;&gt;"",LARGE(M8:M12,2),"")</f>
        <v>1.0039999999999998</v>
      </c>
      <c r="P9" s="20" t="str">
        <f>VLOOKUP(O9,M8:N12,2,0)</f>
        <v>ARTHUR VIEIRA SICART</v>
      </c>
    </row>
    <row r="10" spans="2:17" ht="18" customHeight="1" x14ac:dyDescent="0.25">
      <c r="B10" s="33" t="s">
        <v>374</v>
      </c>
      <c r="C10" s="33" t="str">
        <f>IFERROR(IF(B10="","",VLOOKUP(B10,LISTAS!$F$5:$G$1004,2,0)),"0")</f>
        <v>COLEGIO PETROPOLIS</v>
      </c>
      <c r="D10" s="33" t="str">
        <f>IF(H8&lt;3,"",IF(H8=3,IF(D16&lt;&gt;"",IF(H16&lt;&gt;"",IF(D16&lt;&gt;H16,IF(D16&gt;H16,"D","V"),""),""),""),IF(H8=4,IF(D17&lt;&gt;"",IF(H17&lt;&gt;"",IF(D17&lt;&gt;H17,IF(D17&gt;H17,"D","V"),""),""),""),IF(H8=5,IF(D18&lt;&gt;"",IF(H18&lt;&gt;"",IF(D18&lt;&gt;H18,IF(D18&gt;H18,"D","V"),""),""),"")))))</f>
        <v>D</v>
      </c>
      <c r="E10" s="33" t="str">
        <f>IF(H8&lt;3,"",IF(H8=3,IF(D17&lt;&gt;"",IF(H17&lt;&gt;"",IF(D17&lt;&gt;H17,IF(D17&gt;H17,"D","V"),""),""),""),IF(H8=4,IF(D18&lt;&gt;"",IF(H18&lt;&gt;"",IF(D18&lt;&gt;H18,IF(D18&gt;H18,"D","V"),""),""),""),IF(H8=5,IF(D21&lt;&gt;"",IF(H21&lt;&gt;"",IF(D21&lt;&gt;H21,IF(D21&gt;H21,"D","V"),""),""),"")))))</f>
        <v>V</v>
      </c>
      <c r="F10" s="33" t="str">
        <f>IF(H8&lt;4,"-",IF(H8=3,"",IF(H8=4,IF(D20&lt;&gt;"",IF(H20&lt;&gt;"",IF(D20&lt;&gt;H20,IF(D20&gt;H20,"V","D"),""),""),""),IF(H8=5,IF(D23&lt;&gt;"",IF(H23&lt;&gt;"",IF(D23&lt;&gt;H23,IF(D23&gt;H23,"V","D"),""),""),"")))))</f>
        <v>-</v>
      </c>
      <c r="G10" s="33" t="str">
        <f>IF(H8&lt;5,"-",IF(H8=3,"",IF(H8=4,"",IF(H8=5,IF(D24&lt;&gt;"",IF(H24&lt;&gt;"",IF(D24&lt;&gt;H24,IF(D24&gt;H24,"V","D"),""),""),"")))))</f>
        <v>-</v>
      </c>
      <c r="H10" s="115"/>
      <c r="I10" s="33">
        <f>IF(B10&lt;&gt;"",3,"")</f>
        <v>3</v>
      </c>
      <c r="J10" s="33" t="str">
        <f>IF(I10&lt;&gt;"",P10,"")</f>
        <v>Leonardo Cassitas Souza</v>
      </c>
      <c r="K10" s="33" t="str">
        <f>IFERROR(IF(J10="","",VLOOKUP(J10,LISTAS!$F$5:$G$1004,2,0)),"0")</f>
        <v>ESCOLA INTERAÇÃO</v>
      </c>
      <c r="L10" s="130" t="str">
        <f>IF(B10&lt;&gt;"",IF(G5=1,"OURO",IF(G5=2,IF(H8&lt;3,"",IF(H8&gt;4,"",IF(H8=3,"BRONZE",IF(H8=4,"PRATA")))),IF(G5&gt;=3,"BRONZE",""))),"")</f>
        <v>BRONZE</v>
      </c>
      <c r="M10" s="118">
        <f>IF(B10&lt;&gt;"",COUNTIF(D10:G10,"V")+(SUMIF(B16:B25,B10,D16:E25)/1000)+(SUMIF(J16:J25,B10,H16:I25)/1000)-(SUMIF(B16:B25,B10,H16:I25)/1000)-(SUMIF(J16:J25,B10,D16:E25)/1000)+0.003,"")</f>
        <v>1.0039999999999998</v>
      </c>
      <c r="N10" s="20" t="str">
        <f>IF(B10="","",B10)</f>
        <v>ARTHUR VIEIRA SICART</v>
      </c>
      <c r="O10" s="20">
        <f>IF(B10&lt;&gt;"",LARGE(M8:M12,3),"")</f>
        <v>1E-3</v>
      </c>
      <c r="P10" s="20" t="str">
        <f>VLOOKUP(O10,M8:N12,2,0)</f>
        <v>Leonardo Cassitas Souza</v>
      </c>
    </row>
    <row r="11" spans="2:17" ht="18" customHeight="1" x14ac:dyDescent="0.25">
      <c r="B11" s="33"/>
      <c r="C11" s="33" t="str">
        <f>IFERROR(IF(B11="","",VLOOKUP(B11,LISTAS!$F$5:$G$1004,2,0)),"0")</f>
        <v/>
      </c>
      <c r="D11" s="33" t="str">
        <f>IF(H8&lt;3,"",IF(H8=3,"",IF(H8=4,IF(D16&lt;&gt;"",IF(H16&lt;&gt;"",IF(D16&lt;&gt;H16,IF(D16&gt;H16,"D","V"),""),""),""),IF(H8=5,IF(D17&lt;&gt;"",IF(H17&lt;&gt;"",IF(D17&lt;&gt;H17,IF(D17&gt;H17,"D","V"),""),""),"")))))</f>
        <v/>
      </c>
      <c r="E11" s="33" t="str">
        <f>IF(H8&lt;3,"",IF(H8=3,"",IF(H8=4,IF(D19&lt;&gt;"",IF(H19&lt;&gt;"",IF(D19&lt;&gt;H19,IF(D19&gt;H19,"D","V"),""),""),""),IF(H8=5,IF(D19&lt;&gt;"",IF(H19&lt;&gt;"",IF(D19&lt;&gt;H19,IF(D19&gt;H19,"V","D"),""),""),"")))))</f>
        <v/>
      </c>
      <c r="F11" s="33" t="str">
        <f>IF(H8&lt;4,"-",IF(H8=3,"",IF(H8=4,IF(D20&lt;&gt;"",IF(H20&lt;&gt;"",IF(D20&lt;&gt;H20,IF(D20&gt;H20,"D","V"),""),""),""),IF(H8=5,IF(D20&lt;&gt;"",IF(H20&lt;&gt;"",IF(D20&lt;&gt;H20,IF(D20&gt;H20,"V","D"),""),""),"")))))</f>
        <v>-</v>
      </c>
      <c r="G11" s="33" t="str">
        <f>IF(H8&lt;5,"-",IF(H8=3,"",IF(H8=4,"",IF(H8=5,IF(D24&lt;&gt;"",IF(H24&lt;&gt;"",IF(D24&lt;&gt;H24,IF(D24&gt;H24,"D","V"),""),""),"")))))</f>
        <v>-</v>
      </c>
      <c r="H11" s="115"/>
      <c r="I11" s="33" t="str">
        <f>IF(B11&lt;&gt;"",4,"")</f>
        <v/>
      </c>
      <c r="J11" s="33" t="str">
        <f>IF(I11&lt;&gt;"",P11,"")</f>
        <v/>
      </c>
      <c r="K11" s="33" t="str">
        <f>IFERROR(IF(J11="","",VLOOKUP(J11,LISTAS!$F$5:$G$1004,2,0)),"0")</f>
        <v/>
      </c>
      <c r="L11" s="130" t="str">
        <f>IF(B11&lt;&gt;"",IF(G5=1,"OURO",IF(G5=2,IF(H8&lt;3,"",IF(H8&gt;4,"",IF(H8=3,"",IF(H8=4,"PRATA")))),IF(G5&gt;=3,"",""))),"")</f>
        <v/>
      </c>
      <c r="M11" s="20" t="str">
        <f>IF(B11&lt;&gt;"",COUNTIF(D11:G11,"V")+(SUMIF(B16:B25,B11,D16:E25)/1000)+(SUMIF(J16:J25,B11,H16:I25)/1000)-(SUMIF(B16:B25,B11,H16:I25)/1000)-(SUMIF(J16:J25,B11,D16:E25)/1000)+0.002,"")</f>
        <v/>
      </c>
      <c r="N11" s="20" t="str">
        <f>IF(B11="","",B11)</f>
        <v/>
      </c>
      <c r="O11" s="20" t="str">
        <f>IF(B11&lt;&gt;"",LARGE(M8:M12,4),"")</f>
        <v/>
      </c>
      <c r="P11" s="20" t="str">
        <f>VLOOKUP(O11,M8:N12,2,0)</f>
        <v/>
      </c>
    </row>
    <row r="12" spans="2:17" ht="18" customHeight="1" x14ac:dyDescent="0.25">
      <c r="B12" s="33"/>
      <c r="C12" s="33" t="str">
        <f>IFERROR(IF(B12="","",VLOOKUP(B12,LISTAS!$F$5:$G$1004,2,0)),"0")</f>
        <v/>
      </c>
      <c r="D12" s="33" t="str">
        <f>IF(H8&lt;3,"",IF(H8=3,"",IF(H8=4,"",IF(H8=5,IF(D16&lt;&gt;"",IF(H16&lt;&gt;"",IF(D16&lt;&gt;H16,IF(D16&gt;H16,"D","V"),""),""),"")))))</f>
        <v/>
      </c>
      <c r="E12" s="33" t="str">
        <f>IF(H8&lt;3,"",IF(H8=3,"",IF(H8=4,"",IF(H8=5,IF(D19&lt;&gt;"",IF(H19&lt;&gt;"",IF(D19&lt;&gt;H19,IF(D19&gt;H19,"D","V"),""),""),"")))))</f>
        <v/>
      </c>
      <c r="F12" s="33" t="str">
        <f>IF(H8&lt;4,"-",IF(H8=3,"",IF(H8=4,"",IF(H8=5,IF(D21&lt;&gt;"",IF(H21&lt;&gt;"",IF(D21&lt;&gt;H21,IF(D21&gt;H21,"V","D"),""),""),"")))))</f>
        <v>-</v>
      </c>
      <c r="G12" s="33" t="str">
        <f>IF(H8&lt;5,"-",IF(H8=3,"",IF(H8=4,"",IF(H8=5,IF(D22&lt;&gt;"",IF(H22&lt;&gt;"",IF(D22&lt;&gt;H22,IF(D22&gt;H22,"V","D"),""),""),"")))))</f>
        <v>-</v>
      </c>
      <c r="H12" s="116"/>
      <c r="I12" s="33" t="str">
        <f>IF(B12&lt;&gt;"",5,"")</f>
        <v/>
      </c>
      <c r="J12" s="33" t="str">
        <f>IF(I12&lt;&gt;"",P12,"")</f>
        <v/>
      </c>
      <c r="K12" s="33" t="str">
        <f>IFERROR(IF(J12="","",VLOOKUP(J12,LISTAS!$F$5:$G$1004,2,0)),"0")</f>
        <v/>
      </c>
      <c r="L12" s="130" t="str">
        <f>IF(B12&lt;&gt;"",IF(G5=1,"OURO",IF(G5=2,IF(H8&lt;3,"",IF(H8&gt;4,"",IF(H8=3,"",IF(H8=4,"")))),IF(G5&gt;=3,"",""))),"")</f>
        <v/>
      </c>
      <c r="M12" s="20" t="str">
        <f>IF(B12&lt;&gt;"",COUNTIF(D12:G12,"V")+(SUMIF(B16:B25,B12,D16:E25)/1000)+(SUMIF(J16:J25,B12,H16:I25)/1000)-(SUMIF(B16:B25,B12,H16:I25)/1000)-(SUMIF(J16:J25,B12,D16:E25)/1000)+0.001,"")</f>
        <v/>
      </c>
      <c r="N12" s="20" t="str">
        <f>IF(B12="","",B12)</f>
        <v/>
      </c>
      <c r="O12" s="20" t="str">
        <f>IF(B12&lt;&gt;"",LARGE(M8:M12,5),"")</f>
        <v/>
      </c>
      <c r="P12" s="20" t="str">
        <f>VLOOKUP(O12,M8:N12,2,0)</f>
        <v/>
      </c>
    </row>
    <row r="13" spans="2:17" ht="18" customHeight="1" x14ac:dyDescent="0.25">
      <c r="B13" s="79"/>
      <c r="C13" s="79"/>
      <c r="D13" s="79"/>
      <c r="E13" s="79"/>
      <c r="F13" s="79"/>
      <c r="G13" s="79"/>
      <c r="I13" s="80"/>
      <c r="J13" s="79"/>
      <c r="K13" s="81"/>
      <c r="L13" s="81"/>
    </row>
    <row r="14" spans="2:17" ht="23.25" customHeight="1" x14ac:dyDescent="0.25">
      <c r="B14" s="82" t="s">
        <v>40</v>
      </c>
      <c r="C14" s="79"/>
      <c r="D14" s="79"/>
      <c r="E14" s="79"/>
      <c r="F14" s="79"/>
      <c r="G14" s="79"/>
      <c r="H14" s="79"/>
      <c r="I14" s="79"/>
      <c r="J14" s="79"/>
      <c r="K14" s="79"/>
      <c r="L14" s="79"/>
    </row>
    <row r="15" spans="2:17" ht="18" customHeight="1" x14ac:dyDescent="0.25">
      <c r="B15" s="132" t="s">
        <v>15</v>
      </c>
      <c r="C15" s="132" t="s">
        <v>0</v>
      </c>
      <c r="D15" s="258" t="s">
        <v>41</v>
      </c>
      <c r="E15" s="259"/>
      <c r="F15" s="259"/>
      <c r="G15" s="259"/>
      <c r="H15" s="259"/>
      <c r="I15" s="260"/>
      <c r="J15" s="132" t="s">
        <v>15</v>
      </c>
      <c r="K15" s="132" t="s">
        <v>0</v>
      </c>
      <c r="L15" s="79"/>
    </row>
    <row r="16" spans="2:17" ht="18" customHeight="1" x14ac:dyDescent="0.25">
      <c r="B16" s="33" t="str">
        <f>IF(H8=3,B8,IF(H8=4,B8,IF(H8=5,B8,"")))</f>
        <v>ALEXANDRE BORBA MARQUES</v>
      </c>
      <c r="C16" s="33" t="str">
        <f>IFERROR(IF(B16="","",VLOOKUP(B16,LISTAS!$F$5:$G$1004,2,0)),"0")</f>
        <v>ABACO IPIRANGA</v>
      </c>
      <c r="D16" s="253">
        <v>2</v>
      </c>
      <c r="E16" s="254"/>
      <c r="F16" s="253" t="s">
        <v>38</v>
      </c>
      <c r="G16" s="254"/>
      <c r="H16" s="253">
        <v>1</v>
      </c>
      <c r="I16" s="254"/>
      <c r="J16" s="111" t="str">
        <f>IF(H8=3,B10,IF(H8=4,B11,IF(H8=5,B12,"")))</f>
        <v>ARTHUR VIEIRA SICART</v>
      </c>
      <c r="K16" s="33" t="str">
        <f>IFERROR(IF(J16="","",VLOOKUP(J16,LISTAS!$F$5:$G$1004,2,0)),"0")</f>
        <v>COLEGIO PETROPOLIS</v>
      </c>
      <c r="L16" s="81"/>
    </row>
    <row r="17" spans="2:16" ht="18" customHeight="1" x14ac:dyDescent="0.25">
      <c r="B17" s="33" t="str">
        <f>IF(H8=3,B9,IF(H8=4,B9,IF(H8=5,B9,"")))</f>
        <v>Leonardo Cassitas Souza</v>
      </c>
      <c r="C17" s="33" t="str">
        <f>IFERROR(IF(B17="","",VLOOKUP(B17,LISTAS!$F$5:$G$1004,2,0)),"0")</f>
        <v>ESCOLA INTERAÇÃO</v>
      </c>
      <c r="D17" s="253">
        <v>0</v>
      </c>
      <c r="E17" s="254"/>
      <c r="F17" s="253" t="s">
        <v>38</v>
      </c>
      <c r="G17" s="254"/>
      <c r="H17" s="253">
        <v>2</v>
      </c>
      <c r="I17" s="254"/>
      <c r="J17" s="111" t="str">
        <f>IF(H8=3,B10,IF(H8=4,B10,IF(H8=5,B11,"")))</f>
        <v>ARTHUR VIEIRA SICART</v>
      </c>
      <c r="K17" s="33" t="str">
        <f>IFERROR(IF(J17="","",VLOOKUP(J17,LISTAS!$F$5:$G$1004,2,0)),"0")</f>
        <v>COLEGIO PETROPOLIS</v>
      </c>
      <c r="L17" s="79"/>
    </row>
    <row r="18" spans="2:16" ht="18" customHeight="1" x14ac:dyDescent="0.25">
      <c r="B18" s="33" t="str">
        <f>IF(H8=3,B8,IF(H8=4,B8,IF(H8=5,B9,"")))</f>
        <v>ALEXANDRE BORBA MARQUES</v>
      </c>
      <c r="C18" s="33" t="str">
        <f>IFERROR(IF(B18="","",VLOOKUP(B18,LISTAS!$F$5:$G$1004,2,0)),"0")</f>
        <v>ABACO IPIRANGA</v>
      </c>
      <c r="D18" s="253">
        <v>2</v>
      </c>
      <c r="E18" s="254"/>
      <c r="F18" s="253" t="s">
        <v>38</v>
      </c>
      <c r="G18" s="254"/>
      <c r="H18" s="253">
        <v>1</v>
      </c>
      <c r="I18" s="254"/>
      <c r="J18" s="111" t="str">
        <f>IF(H8=3,B9,IF(H8=4,B10,IF(H8=5,B10,"")))</f>
        <v>Leonardo Cassitas Souza</v>
      </c>
      <c r="K18" s="33" t="str">
        <f>IFERROR(IF(J18="","",VLOOKUP(J18,LISTAS!$F$5:$G$1004,2,0)),"0")</f>
        <v>ESCOLA INTERAÇÃO</v>
      </c>
      <c r="L18" s="81"/>
    </row>
    <row r="19" spans="2:16" ht="18" customHeight="1" x14ac:dyDescent="0.25">
      <c r="B19" s="33" t="str">
        <f>IF(H8=3,"",IF(H8=4,B9,IF(H8=5,B11,"")))</f>
        <v/>
      </c>
      <c r="C19" s="33" t="str">
        <f>IFERROR(IF(B19="","",VLOOKUP(B19,LISTAS!$F$5:$G$1004,2,0)),"0")</f>
        <v/>
      </c>
      <c r="D19" s="253"/>
      <c r="E19" s="254"/>
      <c r="F19" s="253" t="s">
        <v>38</v>
      </c>
      <c r="G19" s="254"/>
      <c r="H19" s="253"/>
      <c r="I19" s="254"/>
      <c r="J19" s="111" t="str">
        <f>IF(H8=3,"",IF(H8=4,B11,IF(H8=5,B12,"")))</f>
        <v/>
      </c>
      <c r="K19" s="33" t="str">
        <f>IFERROR(IF(J19="","",VLOOKUP(J19,LISTAS!$F$5:$G$1004,2,0)),"0")</f>
        <v/>
      </c>
      <c r="L19" s="81"/>
    </row>
    <row r="20" spans="2:16" ht="18" customHeight="1" x14ac:dyDescent="0.25">
      <c r="B20" s="33" t="str">
        <f>IF(H8=3,"",IF(H8=4,B10,IF(H8=5,B11,"")))</f>
        <v/>
      </c>
      <c r="C20" s="33" t="str">
        <f>IFERROR(IF(B20="","",VLOOKUP(B20,LISTAS!$F$5:$G$1004,2,0)),"0")</f>
        <v/>
      </c>
      <c r="D20" s="253"/>
      <c r="E20" s="254"/>
      <c r="F20" s="253" t="s">
        <v>38</v>
      </c>
      <c r="G20" s="254"/>
      <c r="H20" s="253"/>
      <c r="I20" s="254"/>
      <c r="J20" s="111" t="str">
        <f>IF(H8=3,"",IF(H8=4,B11,IF(H8=5,B8,"")))</f>
        <v/>
      </c>
      <c r="K20" s="33" t="str">
        <f>IFERROR(IF(J20="","",VLOOKUP(J20,LISTAS!$F$5:$G$1004,2,0)),"0")</f>
        <v/>
      </c>
      <c r="L20" s="81"/>
    </row>
    <row r="21" spans="2:16" ht="18" customHeight="1" x14ac:dyDescent="0.25">
      <c r="B21" s="33" t="str">
        <f>IF(H8=3,"",IF(H8=4,B8,IF(H8=5,B12,"")))</f>
        <v/>
      </c>
      <c r="C21" s="33" t="str">
        <f>IFERROR(IF(B21="","",VLOOKUP(B21,LISTAS!$F$5:$G$1004,2,0)),"0")</f>
        <v/>
      </c>
      <c r="D21" s="253"/>
      <c r="E21" s="254"/>
      <c r="F21" s="253" t="s">
        <v>38</v>
      </c>
      <c r="G21" s="254"/>
      <c r="H21" s="253"/>
      <c r="I21" s="254"/>
      <c r="J21" s="111" t="str">
        <f>IF(H8=3,"",IF(H8=4,B9,IF(H8=5,B10,"")))</f>
        <v/>
      </c>
      <c r="K21" s="33" t="str">
        <f>IFERROR(IF(J21="","",VLOOKUP(J21,LISTAS!$F$5:$G$1004,2,0)),"0")</f>
        <v/>
      </c>
      <c r="L21" s="81"/>
    </row>
    <row r="22" spans="2:16" ht="18" customHeight="1" x14ac:dyDescent="0.25">
      <c r="B22" s="33" t="str">
        <f>IF(H8=3,"",IF(H8=4,"",IF(H8=5,B12,"")))</f>
        <v/>
      </c>
      <c r="C22" s="33" t="str">
        <f>IFERROR(IF(B22="","",VLOOKUP(B22,LISTAS!$F$5:$G$1004,2,0)),"0")</f>
        <v/>
      </c>
      <c r="D22" s="253"/>
      <c r="E22" s="254"/>
      <c r="F22" s="253" t="s">
        <v>38</v>
      </c>
      <c r="G22" s="254"/>
      <c r="H22" s="253"/>
      <c r="I22" s="254"/>
      <c r="J22" s="111" t="str">
        <f>IF(H8=3,"",IF(H8=4,"",IF(H8=5,B9,"")))</f>
        <v/>
      </c>
      <c r="K22" s="33" t="str">
        <f>IFERROR(IF(J22="","",VLOOKUP(J22,LISTAS!$F$5:$G$1004,2,0)),"0")</f>
        <v/>
      </c>
      <c r="L22" s="81"/>
    </row>
    <row r="23" spans="2:16" ht="18" customHeight="1" x14ac:dyDescent="0.25">
      <c r="B23" s="99" t="str">
        <f>IF(H8=3,"",IF(H8=4,"",IF(H8=5,B10,"")))</f>
        <v/>
      </c>
      <c r="C23" s="33" t="str">
        <f>IFERROR(IF(B23="","",VLOOKUP(B23,LISTAS!$F$5:$G$1004,2,0)),"0")</f>
        <v/>
      </c>
      <c r="D23" s="253"/>
      <c r="E23" s="254"/>
      <c r="F23" s="253" t="s">
        <v>38</v>
      </c>
      <c r="G23" s="254"/>
      <c r="H23" s="253"/>
      <c r="I23" s="254"/>
      <c r="J23" s="111" t="str">
        <f>IF(H8=3,"",IF(H8=4,"",IF(H8=5,B8,"")))</f>
        <v/>
      </c>
      <c r="K23" s="33" t="str">
        <f>IFERROR(IF(J23="","",VLOOKUP(J23,LISTAS!$F$5:$G$1004,2,0)),"0")</f>
        <v/>
      </c>
      <c r="L23" s="81"/>
    </row>
    <row r="24" spans="2:16" ht="18" customHeight="1" x14ac:dyDescent="0.25">
      <c r="B24" s="33" t="str">
        <f>IF(H8=3,"",IF(H8=4,"",IF(H8=5,B10,"")))</f>
        <v/>
      </c>
      <c r="C24" s="33" t="str">
        <f>IFERROR(IF(B24="","",VLOOKUP(B24,LISTAS!$F$5:$G$1004,2,0)),"0")</f>
        <v/>
      </c>
      <c r="D24" s="253"/>
      <c r="E24" s="254"/>
      <c r="F24" s="253" t="s">
        <v>38</v>
      </c>
      <c r="G24" s="254"/>
      <c r="H24" s="253"/>
      <c r="I24" s="254"/>
      <c r="J24" s="111" t="str">
        <f>IF(H8=3,"",IF(H8=4,"",IF(H8=5,B11,"")))</f>
        <v/>
      </c>
      <c r="K24" s="33" t="str">
        <f>IFERROR(IF(J24="","",VLOOKUP(J24,LISTAS!$F$5:$G$1004,2,0)),"0")</f>
        <v/>
      </c>
      <c r="L24" s="81"/>
    </row>
    <row r="25" spans="2:16" ht="18" customHeight="1" x14ac:dyDescent="0.25">
      <c r="B25" s="99" t="str">
        <f>IF(H8=3,"",IF(H8=4,"",IF(H8=5,B9,"")))</f>
        <v/>
      </c>
      <c r="C25" s="33" t="str">
        <f>IFERROR(IF(B25="","",VLOOKUP(B25,LISTAS!$F$5:$G$1004,2,0)),"0")</f>
        <v/>
      </c>
      <c r="D25" s="253"/>
      <c r="E25" s="254"/>
      <c r="F25" s="261" t="s">
        <v>38</v>
      </c>
      <c r="G25" s="262"/>
      <c r="H25" s="253"/>
      <c r="I25" s="254"/>
      <c r="J25" s="111" t="str">
        <f>IF(H8=3,"",IF(H8=4,"",IF(H8=5,B8,"")))</f>
        <v/>
      </c>
      <c r="K25" s="33" t="str">
        <f>IFERROR(IF(J25="","",VLOOKUP(J25,LISTAS!$F$5:$G$1004,2,0)),"0")</f>
        <v/>
      </c>
      <c r="L25" s="81"/>
    </row>
    <row r="28" spans="2:16" ht="30" customHeight="1" x14ac:dyDescent="0.25">
      <c r="B28" s="161" t="s">
        <v>46</v>
      </c>
      <c r="C28" s="79"/>
      <c r="D28" s="255" t="s">
        <v>42</v>
      </c>
      <c r="E28" s="256"/>
      <c r="F28" s="256"/>
      <c r="G28" s="257"/>
      <c r="H28" s="113"/>
      <c r="I28" s="255" t="s">
        <v>3</v>
      </c>
      <c r="J28" s="256"/>
      <c r="K28" s="256"/>
      <c r="L28" s="256"/>
    </row>
    <row r="29" spans="2:16" ht="18" customHeight="1" x14ac:dyDescent="0.25">
      <c r="B29" s="132" t="s">
        <v>15</v>
      </c>
      <c r="C29" s="132" t="s">
        <v>0</v>
      </c>
      <c r="D29" s="132" t="s">
        <v>43</v>
      </c>
      <c r="E29" s="132" t="s">
        <v>44</v>
      </c>
      <c r="F29" s="132" t="s">
        <v>77</v>
      </c>
      <c r="G29" s="132" t="s">
        <v>78</v>
      </c>
      <c r="H29" s="114"/>
      <c r="I29" s="132" t="s">
        <v>18</v>
      </c>
      <c r="J29" s="132" t="s">
        <v>15</v>
      </c>
      <c r="K29" s="132" t="s">
        <v>0</v>
      </c>
      <c r="L29" s="132" t="s">
        <v>45</v>
      </c>
    </row>
    <row r="30" spans="2:16" ht="18" customHeight="1" x14ac:dyDescent="0.25">
      <c r="B30" s="33" t="s">
        <v>370</v>
      </c>
      <c r="C30" s="33" t="str">
        <f>IFERROR(IF(B30="","",VLOOKUP(B30,LISTAS!$F$5:$G$1004,2,0)),"0")</f>
        <v>COLÉGIO ARBOS - UNIDADE SANTO ANDRÉ</v>
      </c>
      <c r="D30" s="33" t="str">
        <f>IF(H30&lt;3,"",IF(H30=3,IF(D37&lt;&gt;"",IF(H37&lt;&gt;"",IF(D37&lt;&gt;H37,IF(D37&gt;H37,"V","D"),""),""),""),IF(H30=4,IF(D37&lt;&gt;"",IF(H37&lt;&gt;"",IF(D37&lt;&gt;H37,IF(D37&gt;H37,"V","D"),""),""),""))))</f>
        <v>V</v>
      </c>
      <c r="E30" s="33" t="str">
        <f>IF(H30&lt;3,"",IF(H30=3,IF(D39&lt;&gt;"",IF(H39&lt;&gt;"",IF(D39&lt;&gt;H39,IF(D39&gt;H39,"V","D"),""),""),""),IF(H30=4,IF(D39&lt;&gt;"",IF(H39&lt;&gt;"",IF(D39&lt;&gt;H39,IF(D39&gt;H39,"V","D"),""),""),""))))</f>
        <v>V</v>
      </c>
      <c r="F30" s="33" t="str">
        <f>IF(H30&lt;4,"-",IF(H30=3,"",IF(H30=4,IF(D42&lt;&gt;"",IF(H42&lt;&gt;"",IF(D42&lt;&gt;H42,IF(D42&gt;H42,"V","D"),""),""),""))))</f>
        <v>-</v>
      </c>
      <c r="G30" s="33" t="s">
        <v>81</v>
      </c>
      <c r="H30" s="117">
        <f>COUNTA(B30:B33)</f>
        <v>3</v>
      </c>
      <c r="I30" s="33">
        <f>IF(B30&lt;&gt;"",1,"")</f>
        <v>1</v>
      </c>
      <c r="J30" s="33" t="str">
        <f>IF(I30&lt;&gt;"",P30,"")</f>
        <v>ANTÔNIO SILVEIRA DE CARVALHO</v>
      </c>
      <c r="K30" s="33" t="str">
        <f>IFERROR(IF(J30="","",VLOOKUP(J30,LISTAS!$F$5:$G$1004,2,0)),"0")</f>
        <v>COLÉGIO ARBOS - UNIDADE SANTO ANDRÉ</v>
      </c>
      <c r="L30" s="130" t="str">
        <f>IF(B30&lt;&gt;"",IF(G5=1,"OURO",IF(G5=2,IF(H8&lt;3,"",IF(H8=3,"OURO",IF(H8=4,"OURO"))),IF(G5&gt;=3,"OURO",""))),"")</f>
        <v>OURO</v>
      </c>
      <c r="M30" s="20">
        <f>IF(B30&lt;&gt;"",COUNTIF(D30:G30,"V")+(SUMIF(B37:B42,B30,D37:E42)/1000)+(SUMIF(J37:J42,B30,H37:I42)/1000)-(SUMIF(B37:B42,B30,H37:I42)/1000)-(SUMIF(J37:J42,B30,D37:E42)/1000)+0.005,"")</f>
        <v>2.0089999999999999</v>
      </c>
      <c r="N30" s="20" t="str">
        <f>IF(B30="","",B30)</f>
        <v>ANTÔNIO SILVEIRA DE CARVALHO</v>
      </c>
      <c r="O30" s="20">
        <f>IF(B30&lt;&gt;"",LARGE(M30:M33,1),"")</f>
        <v>2.0089999999999999</v>
      </c>
      <c r="P30" s="20" t="str">
        <f>VLOOKUP(O30,M30:N33,2,0)</f>
        <v>ANTÔNIO SILVEIRA DE CARVALHO</v>
      </c>
    </row>
    <row r="31" spans="2:16" ht="18" customHeight="1" x14ac:dyDescent="0.25">
      <c r="B31" s="33" t="s">
        <v>601</v>
      </c>
      <c r="C31" s="33" t="str">
        <f>IFERROR(IF(B31="","",VLOOKUP(B31,LISTAS!$F$5:$G$1004,2,0)),"0")</f>
        <v>BYE</v>
      </c>
      <c r="D31" s="33" t="str">
        <f>IF(H30&lt;3,"",IF(H30=3,IF(D38&lt;&gt;"",IF(H38&lt;&gt;"",IF(D38&lt;&gt;H38,IF(D38&gt;H38,"V","D"),""),""),""),IF(H30=4,IF(D38&lt;&gt;"",IF(H38&lt;&gt;"",IF(D38&lt;&gt;H38,IF(D38&gt;H38,"V","D"),""),""),""))))</f>
        <v/>
      </c>
      <c r="E31" s="33" t="str">
        <f>IF(H30&lt;3,"",IF(H30=3,IF(D39&lt;&gt;"",IF(H39&lt;&gt;"",IF(D39&lt;&gt;H39,IF(D39&gt;H39,"D","V"),""),""),""),IF(H30=4,IF(D40&lt;&gt;"",IF(H40&lt;&gt;"",IF(D40&lt;&gt;H40,IF(D40&gt;H40,"V","D"),""),""),""))))</f>
        <v>D</v>
      </c>
      <c r="F31" s="33" t="str">
        <f>IF(H30&lt;4,"-",IF(H30=3,"",IF(H30=4,IF(D42&lt;&gt;"",IF(H42&lt;&gt;"",IF(D42&lt;&gt;H42,IF(D42&gt;H42,"D","V"),""),""),""))))</f>
        <v>-</v>
      </c>
      <c r="G31" s="33" t="s">
        <v>81</v>
      </c>
      <c r="H31" s="117"/>
      <c r="I31" s="33">
        <f>IF(B31&lt;&gt;"",2,"")</f>
        <v>2</v>
      </c>
      <c r="J31" s="33" t="str">
        <f>IF(I31&lt;&gt;"",P31,"")</f>
        <v>BYE</v>
      </c>
      <c r="K31" s="33" t="str">
        <f>IFERROR(IF(J31="","",VLOOKUP(J31,LISTAS!$F$5:$G$1004,2,0)),"0")</f>
        <v>BYE</v>
      </c>
      <c r="L31" s="130" t="str">
        <f>IF(B31&lt;&gt;"",IF(G5=1,"OURO",IF(G5=2,IF(H8&lt;3,"",IF(H8=3,"PRATA",IF(H8=4,"OURO"))),IF(G5&gt;=3,"PRATA",""))),"")</f>
        <v>PRATA</v>
      </c>
      <c r="M31" s="118">
        <f>IF(B31&lt;&gt;"",COUNTIF(D31:G31,"V")+(SUMIF(B37:B42,B31,D37:E42)/1000)+(SUMIF(J37:J42,B31,H37:I42)/1000)-(SUMIF(B37:B42,B31,H37:I42)/1000)-(SUMIF(J37:J42,B31,D37:E42)/1000)+0.004,"")</f>
        <v>0</v>
      </c>
      <c r="N31" s="20" t="str">
        <f t="shared" ref="N31" si="1">IF(B31="","",B31)</f>
        <v>BYE</v>
      </c>
      <c r="O31" s="20">
        <f>IF(B31&lt;&gt;"",LARGE(M30:M33,2),"")</f>
        <v>0</v>
      </c>
      <c r="P31" s="20" t="str">
        <f>VLOOKUP(O31,M30:N33,2,0)</f>
        <v>BYE</v>
      </c>
    </row>
    <row r="32" spans="2:16" ht="18" customHeight="1" x14ac:dyDescent="0.25">
      <c r="B32" s="33" t="s">
        <v>601</v>
      </c>
      <c r="C32" s="33" t="str">
        <f>IFERROR(IF(B32="","",VLOOKUP(B32,LISTAS!$F$5:$G$1004,2,0)),"0")</f>
        <v>BYE</v>
      </c>
      <c r="D32" s="33" t="str">
        <f>IF(H30&lt;3,"",IF(H30=3,IF(D37&lt;&gt;"",IF(H37&lt;&gt;"",IF(D37&lt;&gt;H37,IF(D37&gt;H37,"D","V"),""),""),""),IF(H30=4,IF(D38&lt;&gt;"",IF(H38&lt;&gt;"",IF(D38&lt;&gt;H38,IF(D38&gt;H38,"D","V"),""),""),""))))</f>
        <v>D</v>
      </c>
      <c r="E32" s="33" t="str">
        <f>IF(H30&lt;3,"",IF(H30=3,IF(D38&lt;&gt;"",IF(H38&lt;&gt;"",IF(D38&lt;&gt;H38,IF(D38&gt;H38,"D","V"),""),""),""),IF(H30=4,IF(D39&lt;&gt;"",IF(H39&lt;&gt;"",IF(D39&lt;&gt;H39,IF(D39&gt;H39,"D","V"),""),""),""))))</f>
        <v/>
      </c>
      <c r="F32" s="33" t="str">
        <f>IF(H30&lt;4,"-",IF(H30=3,"-",IF(H30=4,IF(D41&lt;&gt;"",IF(H41&lt;&gt;"",IF(D41&lt;&gt;H41,IF(D41&gt;H41,"V","D"),""),""),""))))</f>
        <v>-</v>
      </c>
      <c r="G32" s="33" t="s">
        <v>81</v>
      </c>
      <c r="H32" s="117"/>
      <c r="I32" s="33">
        <f>IF(B32&lt;&gt;"",3,"")</f>
        <v>3</v>
      </c>
      <c r="J32" s="33" t="str">
        <f>IF(I32&lt;&gt;"",P32,"")</f>
        <v>BYE</v>
      </c>
      <c r="K32" s="33" t="str">
        <f>IFERROR(IF(J32="","",VLOOKUP(J32,LISTAS!$F$5:$G$1004,2,0)),"0")</f>
        <v>BYE</v>
      </c>
      <c r="L32" s="130" t="str">
        <f>IF(B32&lt;&gt;"",IF(G5=1,"OURO",IF(G5=2,IF(H8&lt;3,"",IF(H8=3,"BRONZE",IF(H8=4,"PRATA"))),IF(G5&gt;=3,"BRONZE",""))),"")</f>
        <v>BRONZE</v>
      </c>
      <c r="M32" s="118">
        <f>IF(B32&lt;&gt;"",COUNTIF(D32:G32,"V")+(SUMIF(B37:B42,B32,D37:E42)/1000)+(SUMIF(J37:J42,B32,H37:I42)/1000)-(SUMIF(B37:B42,B32,H37:I42)/1000)-(SUMIF(J37:J42,B32,D37:E42)/1000)+0.003,"")</f>
        <v>-1E-3</v>
      </c>
      <c r="N32" s="20" t="str">
        <f>IF(B32="","",B32)</f>
        <v>BYE</v>
      </c>
      <c r="O32" s="20">
        <f>IF(B32&lt;&gt;"",LARGE(M30:M33,3),"")</f>
        <v>-1E-3</v>
      </c>
      <c r="P32" s="20" t="str">
        <f>VLOOKUP(O32,M30:N33,2,0)</f>
        <v>BYE</v>
      </c>
    </row>
    <row r="33" spans="2:16" ht="18" customHeight="1" x14ac:dyDescent="0.25">
      <c r="B33" s="33"/>
      <c r="C33" s="33" t="str">
        <f>IFERROR(IF(B33="","",VLOOKUP(B33,LISTAS!$F$5:$G$1004,2,0)),"0")</f>
        <v/>
      </c>
      <c r="D33" s="33" t="str">
        <f>IF(H30&lt;3,"",IF(H30=3,"",IF(H30=4,IF(D37&lt;&gt;"",IF(H37&lt;&gt;"",IF(D37&lt;&gt;H37,IF(D37&gt;H37,"D","V"),""),""),""))))</f>
        <v/>
      </c>
      <c r="E33" s="33" t="str">
        <f>IF(H30&lt;3,"",IF(H30=3,"",IF(H30=4,IF(D40&lt;&gt;"",IF(H40&lt;&gt;"",IF(D40&lt;&gt;H40,IF(D40&gt;H40,"D","V"),""),""),""))))</f>
        <v/>
      </c>
      <c r="F33" s="33" t="str">
        <f>IF(H30&lt;4,"-",IF(H30=3,"",IF(H30=4,IF(D41&lt;&gt;"",IF(H41&lt;&gt;"",IF(D41&lt;&gt;H41,IF(D41&gt;H41,"D","V"),""),""),""))))</f>
        <v>-</v>
      </c>
      <c r="G33" s="33" t="s">
        <v>81</v>
      </c>
      <c r="H33" s="117"/>
      <c r="I33" s="33" t="str">
        <f>IF(B33&lt;&gt;"",4,"")</f>
        <v/>
      </c>
      <c r="J33" s="33" t="str">
        <f>IF(I33&lt;&gt;"",P33,"")</f>
        <v/>
      </c>
      <c r="K33" s="33" t="str">
        <f>IFERROR(IF(J33="","",VLOOKUP(J33,LISTAS!$F$5:$G$1004,2,0)),"0")</f>
        <v/>
      </c>
      <c r="L33" s="130" t="str">
        <f>IF(B33&lt;&gt;"",IF(G5=1,"OURO",IF(G5=2,IF(H8&lt;3,"",IF(H8=3,"",IF(H8=4,"PRATA"))),IF(G5&gt;=3,"",""))),"")</f>
        <v/>
      </c>
      <c r="M33" s="20" t="str">
        <f>IF(B33&lt;&gt;"",COUNTIF(D33:G33,"V")+(SUMIF(B37:B42,B33,D37:E42)/1000)+(SUMIF(J37:J42,B33,H37:I42)/1000)-(SUMIF(B37:B42,B33,H37:I42)/1000)-(SUMIF(J37:J42,B33,D37:E42)/1000)+0.002,"")</f>
        <v/>
      </c>
      <c r="N33" s="20" t="str">
        <f>IF(B33="","",B33)</f>
        <v/>
      </c>
      <c r="O33" s="20" t="str">
        <f>IF(B33&lt;&gt;"",LARGE(M30:M33,4),"")</f>
        <v/>
      </c>
      <c r="P33" s="20" t="str">
        <f>VLOOKUP(O33,M30:N33,2,0)</f>
        <v/>
      </c>
    </row>
    <row r="34" spans="2:16" ht="18" customHeight="1" x14ac:dyDescent="0.25">
      <c r="B34" s="79"/>
      <c r="C34" s="79"/>
      <c r="D34" s="79"/>
      <c r="E34" s="79"/>
      <c r="F34" s="79"/>
      <c r="G34" s="79"/>
      <c r="I34" s="80"/>
      <c r="J34" s="79"/>
      <c r="K34" s="81"/>
      <c r="L34" s="81"/>
    </row>
    <row r="35" spans="2:16" ht="23.25" customHeight="1" x14ac:dyDescent="0.25">
      <c r="B35" s="82" t="s">
        <v>40</v>
      </c>
      <c r="C35" s="79"/>
      <c r="D35" s="79"/>
      <c r="E35" s="79"/>
      <c r="F35" s="79"/>
      <c r="G35" s="79"/>
      <c r="H35" s="79"/>
      <c r="I35" s="79"/>
      <c r="J35" s="79"/>
      <c r="K35" s="79"/>
      <c r="L35" s="79"/>
    </row>
    <row r="36" spans="2:16" ht="18" customHeight="1" x14ac:dyDescent="0.25">
      <c r="B36" s="132" t="s">
        <v>15</v>
      </c>
      <c r="C36" s="132" t="s">
        <v>0</v>
      </c>
      <c r="D36" s="258" t="s">
        <v>41</v>
      </c>
      <c r="E36" s="259"/>
      <c r="F36" s="259"/>
      <c r="G36" s="259"/>
      <c r="H36" s="259"/>
      <c r="I36" s="260"/>
      <c r="J36" s="132" t="s">
        <v>15</v>
      </c>
      <c r="K36" s="132" t="s">
        <v>0</v>
      </c>
      <c r="L36" s="79"/>
    </row>
    <row r="37" spans="2:16" ht="18" customHeight="1" x14ac:dyDescent="0.25">
      <c r="B37" s="33" t="str">
        <f>IF(H30=3,B30,IF(H30=4,B30,""))</f>
        <v>ANTÔNIO SILVEIRA DE CARVALHO</v>
      </c>
      <c r="C37" s="33" t="str">
        <f>IFERROR(IF(B37="","",VLOOKUP(B37,LISTAS!$F$5:$G$1004,2,0)),"0")</f>
        <v>COLÉGIO ARBOS - UNIDADE SANTO ANDRÉ</v>
      </c>
      <c r="D37" s="253">
        <v>2</v>
      </c>
      <c r="E37" s="254"/>
      <c r="F37" s="253" t="s">
        <v>38</v>
      </c>
      <c r="G37" s="254"/>
      <c r="H37" s="253">
        <v>0</v>
      </c>
      <c r="I37" s="254"/>
      <c r="J37" s="111" t="str">
        <f>IF(H30=3,B32,IF(H30=4,B33,""))</f>
        <v>BYE</v>
      </c>
      <c r="K37" s="33" t="str">
        <f>IFERROR(IF(J37="","",VLOOKUP(J37,LISTAS!$F$5:$G$1004,2,0)),"0")</f>
        <v>BYE</v>
      </c>
      <c r="L37" s="81"/>
    </row>
    <row r="38" spans="2:16" ht="18" customHeight="1" x14ac:dyDescent="0.25">
      <c r="B38" s="33" t="str">
        <f>IF(H30=3,B31,IF(H30=4,B31,""))</f>
        <v>BYE</v>
      </c>
      <c r="C38" s="33" t="str">
        <f>IFERROR(IF(B38="","",VLOOKUP(B38,LISTAS!$F$5:$G$1004,2,0)),"0")</f>
        <v>BYE</v>
      </c>
      <c r="D38" s="253">
        <v>0</v>
      </c>
      <c r="E38" s="254"/>
      <c r="F38" s="253" t="s">
        <v>38</v>
      </c>
      <c r="G38" s="254"/>
      <c r="H38" s="253">
        <v>0</v>
      </c>
      <c r="I38" s="254"/>
      <c r="J38" s="111" t="str">
        <f>IF(H30=3,B32,IF(H30=4,B32,""))</f>
        <v>BYE</v>
      </c>
      <c r="K38" s="33" t="str">
        <f>IFERROR(IF(J38="","",VLOOKUP(J38,LISTAS!$F$5:$G$1004,2,0)),"0")</f>
        <v>BYE</v>
      </c>
      <c r="L38" s="79"/>
    </row>
    <row r="39" spans="2:16" ht="18" customHeight="1" x14ac:dyDescent="0.25">
      <c r="B39" s="33" t="str">
        <f>IF(H30=3,B30,IF(H30=4,B30,""))</f>
        <v>ANTÔNIO SILVEIRA DE CARVALHO</v>
      </c>
      <c r="C39" s="33" t="str">
        <f>IFERROR(IF(B39="","",VLOOKUP(B39,LISTAS!$F$5:$G$1004,2,0)),"0")</f>
        <v>COLÉGIO ARBOS - UNIDADE SANTO ANDRÉ</v>
      </c>
      <c r="D39" s="253">
        <v>2</v>
      </c>
      <c r="E39" s="254"/>
      <c r="F39" s="253" t="s">
        <v>38</v>
      </c>
      <c r="G39" s="254"/>
      <c r="H39" s="253">
        <v>0</v>
      </c>
      <c r="I39" s="254"/>
      <c r="J39" s="111" t="str">
        <f>IF(H30=3,B31,IF(H30=4,B32,""))</f>
        <v>BYE</v>
      </c>
      <c r="K39" s="33" t="str">
        <f>IFERROR(IF(J39="","",VLOOKUP(J39,LISTAS!$F$5:$G$1004,2,0)),"0")</f>
        <v>BYE</v>
      </c>
      <c r="L39" s="81"/>
    </row>
    <row r="40" spans="2:16" ht="18" customHeight="1" x14ac:dyDescent="0.25">
      <c r="B40" s="33" t="str">
        <f>IF(H30=3,"",IF(H30=4,B31,""))</f>
        <v/>
      </c>
      <c r="C40" s="33" t="str">
        <f>IFERROR(IF(B40="","",VLOOKUP(B40,LISTAS!$F$5:$G$1004,2,0)),"0")</f>
        <v/>
      </c>
      <c r="D40" s="253"/>
      <c r="E40" s="254"/>
      <c r="F40" s="253" t="s">
        <v>38</v>
      </c>
      <c r="G40" s="254"/>
      <c r="H40" s="253"/>
      <c r="I40" s="254"/>
      <c r="J40" s="111" t="str">
        <f>IF(H30=3,"",IF(H30=4,B33,""))</f>
        <v/>
      </c>
      <c r="K40" s="33" t="str">
        <f>IFERROR(IF(J40="","",VLOOKUP(J40,LISTAS!$F$5:$G$1004,2,0)),"0")</f>
        <v/>
      </c>
      <c r="L40" s="81"/>
    </row>
    <row r="41" spans="2:16" ht="18" customHeight="1" x14ac:dyDescent="0.25">
      <c r="B41" s="33" t="str">
        <f>IF(H30=3,"",IF(H30=4,B32,""))</f>
        <v/>
      </c>
      <c r="C41" s="33" t="str">
        <f>IFERROR(IF(B41="","",VLOOKUP(B41,LISTAS!$F$5:$G$1004,2,0)),"0")</f>
        <v/>
      </c>
      <c r="D41" s="253"/>
      <c r="E41" s="254"/>
      <c r="F41" s="253" t="s">
        <v>38</v>
      </c>
      <c r="G41" s="254"/>
      <c r="H41" s="253"/>
      <c r="I41" s="254"/>
      <c r="J41" s="111" t="str">
        <f>IF(H30=3,"",IF(H30=4,B33,""))</f>
        <v/>
      </c>
      <c r="K41" s="33" t="str">
        <f>IFERROR(IF(J41="","",VLOOKUP(J41,LISTAS!$F$5:$G$1004,2,0)),"0")</f>
        <v/>
      </c>
      <c r="L41" s="81"/>
    </row>
    <row r="42" spans="2:16" ht="18" customHeight="1" x14ac:dyDescent="0.25">
      <c r="B42" s="33" t="str">
        <f>IF(H30=3,"",IF(H30=4,B30,""))</f>
        <v/>
      </c>
      <c r="C42" s="33" t="str">
        <f>IFERROR(IF(B42="","",VLOOKUP(B42,LISTAS!$F$5:$G$1004,2,0)),"0")</f>
        <v/>
      </c>
      <c r="D42" s="253"/>
      <c r="E42" s="254"/>
      <c r="F42" s="253" t="s">
        <v>38</v>
      </c>
      <c r="G42" s="254"/>
      <c r="H42" s="253"/>
      <c r="I42" s="254"/>
      <c r="J42" s="111" t="str">
        <f>IF(H30=3,"",IF(H30=4,B31,""))</f>
        <v/>
      </c>
      <c r="K42" s="33" t="str">
        <f>IFERROR(IF(J42="","",VLOOKUP(J42,LISTAS!$F$5:$G$1004,2,0)),"0")</f>
        <v/>
      </c>
      <c r="L42" s="81"/>
    </row>
    <row r="45" spans="2:16" ht="30" customHeight="1" x14ac:dyDescent="0.25">
      <c r="B45" s="161" t="s">
        <v>47</v>
      </c>
      <c r="C45" s="79"/>
      <c r="D45" s="255" t="s">
        <v>42</v>
      </c>
      <c r="E45" s="256"/>
      <c r="F45" s="256"/>
      <c r="G45" s="257"/>
      <c r="H45" s="113"/>
      <c r="I45" s="255" t="s">
        <v>3</v>
      </c>
      <c r="J45" s="256"/>
      <c r="K45" s="256"/>
      <c r="L45" s="256"/>
    </row>
    <row r="46" spans="2:16" ht="18" customHeight="1" x14ac:dyDescent="0.25">
      <c r="B46" s="132" t="s">
        <v>15</v>
      </c>
      <c r="C46" s="132" t="s">
        <v>0</v>
      </c>
      <c r="D46" s="132" t="s">
        <v>43</v>
      </c>
      <c r="E46" s="132" t="s">
        <v>44</v>
      </c>
      <c r="F46" s="132" t="s">
        <v>77</v>
      </c>
      <c r="G46" s="132" t="s">
        <v>78</v>
      </c>
      <c r="H46" s="114"/>
      <c r="I46" s="132" t="s">
        <v>18</v>
      </c>
      <c r="J46" s="132" t="s">
        <v>15</v>
      </c>
      <c r="K46" s="132" t="s">
        <v>0</v>
      </c>
      <c r="L46" s="132" t="s">
        <v>45</v>
      </c>
    </row>
    <row r="47" spans="2:16" ht="18" customHeight="1" x14ac:dyDescent="0.25">
      <c r="B47" s="33" t="s">
        <v>450</v>
      </c>
      <c r="C47" s="33" t="str">
        <f>IFERROR(IF(B47="","",VLOOKUP(B47,LISTAS!$F$5:$G$1004,2,0)),"0")</f>
        <v>COLÉGIO MARCONI - GRU</v>
      </c>
      <c r="D47" s="33" t="str">
        <f>IF(H47&lt;3,"",IF(H47=3,IF(D53&lt;&gt;"",IF(H53&lt;&gt;"",IF(D53&lt;&gt;H53,IF(D53&gt;H53,"V","D"),""),""),"")))</f>
        <v>V</v>
      </c>
      <c r="E47" s="33" t="str">
        <f>IF(H47&lt;3,"",IF(H47=3,IF(D55&lt;&gt;"",IF(H55&lt;&gt;"",IF(D55&lt;&gt;H55,IF(D55&gt;H55,"V","D"),""),""),"")))</f>
        <v>V</v>
      </c>
      <c r="F47" s="33" t="s">
        <v>81</v>
      </c>
      <c r="G47" s="33" t="s">
        <v>81</v>
      </c>
      <c r="H47" s="117">
        <f>COUNTA(B47:B49)</f>
        <v>3</v>
      </c>
      <c r="I47" s="33">
        <f>IF(B47&lt;&gt;"",1,"")</f>
        <v>1</v>
      </c>
      <c r="J47" s="33" t="str">
        <f>IF(I47&lt;&gt;"",P47,"")</f>
        <v>MIGUEL AGUIAR</v>
      </c>
      <c r="K47" s="33" t="str">
        <f>IFERROR(IF(J47="","",VLOOKUP(J47,LISTAS!$F$5:$G$1004,2,0)),"0")</f>
        <v>COLÉGIO MARCONI - GRU</v>
      </c>
      <c r="L47" s="130" t="str">
        <f>IF(H47=3,"OURO",IF(H47=4,"OURO",IF(H47=5,"OURO","")))</f>
        <v>OURO</v>
      </c>
      <c r="M47" s="20">
        <f>IF(B47&lt;&gt;"",COUNTIF(D47:G47,"V")+(SUMIF(B53:B55,B47,D53:E55)/1000)+(SUMIF(J53:J55,B47,H53:I55)/1000)-(SUMIF(B53:B55,B47,H53:I55)/1000)-(SUMIF(J53:J55,B47,D53:E55)/1000)+0.003,"")</f>
        <v>2.0070000000000001</v>
      </c>
      <c r="N47" s="20" t="str">
        <f>IF(B47="","",B47)</f>
        <v>MIGUEL AGUIAR</v>
      </c>
      <c r="O47" s="20">
        <f>IF(B47&lt;&gt;"",LARGE(M47:M49,1),"")</f>
        <v>2.0070000000000001</v>
      </c>
      <c r="P47" s="20" t="str">
        <f>VLOOKUP(O47,M47:N49,2,0)</f>
        <v>MIGUEL AGUIAR</v>
      </c>
    </row>
    <row r="48" spans="2:16" ht="18" customHeight="1" x14ac:dyDescent="0.25">
      <c r="B48" s="33" t="s">
        <v>422</v>
      </c>
      <c r="C48" s="33" t="str">
        <f>IFERROR(IF(B48="","",VLOOKUP(B48,LISTAS!$F$5:$G$1004,2,0)),"0")</f>
        <v>LICEU JARDIM</v>
      </c>
      <c r="D48" s="33" t="str">
        <f>IF(H47&lt;3,"",IF(H47=3,IF(D54&lt;&gt;"",IF(H54&lt;&gt;"",IF(D54&lt;&gt;H54,IF(D54&gt;H54,"V","D"),""),""),"")))</f>
        <v>D</v>
      </c>
      <c r="E48" s="33" t="str">
        <f>IF(H47&lt;3,"",IF(H47=3,IF(D55&lt;&gt;"",IF(H55&lt;&gt;"",IF(D55&lt;&gt;H55,IF(D55&gt;H55,"D","V"),""),""),"")))</f>
        <v>D</v>
      </c>
      <c r="F48" s="33" t="s">
        <v>81</v>
      </c>
      <c r="G48" s="33" t="s">
        <v>81</v>
      </c>
      <c r="H48" s="117"/>
      <c r="I48" s="33">
        <f>IF(B48&lt;&gt;"",2,"")</f>
        <v>2</v>
      </c>
      <c r="J48" s="33" t="str">
        <f>IF(I48&lt;&gt;"",P48,"")</f>
        <v>RAFAEL GUIMARÃES FURTADO</v>
      </c>
      <c r="K48" s="33" t="str">
        <f>IFERROR(IF(J48="","",VLOOKUP(J48,LISTAS!$F$5:$G$1004,2,0)),"0")</f>
        <v>PEN LIFE</v>
      </c>
      <c r="L48" s="130" t="str">
        <f>IF(H47=3,"PRATA",IF(H47=4,"OURO",IF(H47=5,"OURO","")))</f>
        <v>PRATA</v>
      </c>
      <c r="M48" s="20">
        <f>IF(B48&lt;&gt;"",COUNTIF(D48:G48,"V")+(SUMIF(B53:B55,B48,D53:E55)/1000)+(SUMIF(J53:J55,B48,H53:I55)/1000)-(SUMIF(B53:B55,B48,H53:I55)/1000)-(SUMIF(J53:J55,B48,D53:E55)/1000)+0.002,"")</f>
        <v>-2E-3</v>
      </c>
      <c r="N48" s="20" t="str">
        <f t="shared" ref="N48" si="2">IF(B48="","",B48)</f>
        <v>JOÃO LUCA CEOLDO RUBIRA</v>
      </c>
      <c r="O48" s="20">
        <f>IF(B48&lt;&gt;"",LARGE(M47:M49,2),"")</f>
        <v>1.0009999999999999</v>
      </c>
      <c r="P48" s="20" t="str">
        <f>VLOOKUP(O48,M47:N49,2,0)</f>
        <v>RAFAEL GUIMARÃES FURTADO</v>
      </c>
    </row>
    <row r="49" spans="2:16" ht="18" customHeight="1" x14ac:dyDescent="0.25">
      <c r="B49" s="33" t="s">
        <v>467</v>
      </c>
      <c r="C49" s="33" t="str">
        <f>IFERROR(IF(B49="","",VLOOKUP(B49,LISTAS!$F$5:$G$1004,2,0)),"0")</f>
        <v>PEN LIFE</v>
      </c>
      <c r="D49" s="33" t="str">
        <f>IF(H47&lt;3,"",IF(H47=3,IF(D53&lt;&gt;"",IF(H53&lt;&gt;"",IF(D53&lt;&gt;H53,IF(D53&gt;H53,"D","V"),""),""),"")))</f>
        <v>D</v>
      </c>
      <c r="E49" s="33" t="str">
        <f>IF(H47&lt;3,"",IF(H47=3,IF(D54&lt;&gt;"",IF(H54&lt;&gt;"",IF(D54&lt;&gt;H54,IF(D54&gt;H54,"D","V"),""),""),"")))</f>
        <v>V</v>
      </c>
      <c r="F49" s="33" t="s">
        <v>81</v>
      </c>
      <c r="G49" s="33" t="s">
        <v>81</v>
      </c>
      <c r="H49" s="117"/>
      <c r="I49" s="33">
        <f>IF(B49&lt;&gt;"",3,"")</f>
        <v>3</v>
      </c>
      <c r="J49" s="33" t="str">
        <f>IF(I49&lt;&gt;"",P49,"")</f>
        <v>JOÃO LUCA CEOLDO RUBIRA</v>
      </c>
      <c r="K49" s="33" t="str">
        <f>IFERROR(IF(J49="","",VLOOKUP(J49,LISTAS!$F$5:$G$1004,2,0)),"0")</f>
        <v>LICEU JARDIM</v>
      </c>
      <c r="L49" s="130" t="str">
        <f>IF(H47=3,"BRONZE",IF(H47=4,"PRATA",IF(H47=5,"OURO","")))</f>
        <v>BRONZE</v>
      </c>
      <c r="M49" s="20">
        <f>IF(B49&lt;&gt;"",COUNTIF(D49:G49,"V")+(SUMIF(B53:B55,B49,D53:E55)/1000)+(SUMIF(J53:J55,B49,H53:I55)/1000)-(SUMIF(B53:B55,B49,H53:I55)/1000)-(SUMIF(J53:J55,B49,D53:E55)/1000)+0.001,"")</f>
        <v>1.0009999999999999</v>
      </c>
      <c r="N49" s="20" t="str">
        <f>IF(B49="","",B49)</f>
        <v>RAFAEL GUIMARÃES FURTADO</v>
      </c>
      <c r="O49" s="20">
        <f>IF(B49&lt;&gt;"",LARGE(M47:M49,3),"")</f>
        <v>-2E-3</v>
      </c>
      <c r="P49" s="20" t="str">
        <f>VLOOKUP(O49,M47:N49,2,0)</f>
        <v>JOÃO LUCA CEOLDO RUBIRA</v>
      </c>
    </row>
    <row r="50" spans="2:16" ht="18" customHeight="1" x14ac:dyDescent="0.25">
      <c r="B50" s="79"/>
      <c r="C50" s="79"/>
      <c r="D50" s="79"/>
      <c r="E50" s="79"/>
      <c r="F50" s="79"/>
      <c r="G50" s="79"/>
      <c r="I50" s="80"/>
      <c r="J50" s="79"/>
      <c r="K50" s="81"/>
      <c r="L50" s="81"/>
    </row>
    <row r="51" spans="2:16" ht="23.25" customHeight="1" x14ac:dyDescent="0.25">
      <c r="B51" s="82" t="s">
        <v>40</v>
      </c>
      <c r="C51" s="79"/>
      <c r="D51" s="79"/>
      <c r="E51" s="79"/>
      <c r="F51" s="79"/>
      <c r="G51" s="79"/>
      <c r="H51" s="79"/>
      <c r="I51" s="79"/>
      <c r="J51" s="79"/>
      <c r="K51" s="79"/>
      <c r="L51" s="79"/>
    </row>
    <row r="52" spans="2:16" ht="18" customHeight="1" x14ac:dyDescent="0.25">
      <c r="B52" s="132" t="s">
        <v>15</v>
      </c>
      <c r="C52" s="132" t="s">
        <v>0</v>
      </c>
      <c r="D52" s="258" t="s">
        <v>41</v>
      </c>
      <c r="E52" s="259"/>
      <c r="F52" s="259"/>
      <c r="G52" s="259"/>
      <c r="H52" s="259"/>
      <c r="I52" s="260"/>
      <c r="J52" s="132" t="s">
        <v>15</v>
      </c>
      <c r="K52" s="132" t="s">
        <v>0</v>
      </c>
      <c r="L52" s="79"/>
    </row>
    <row r="53" spans="2:16" ht="18" customHeight="1" x14ac:dyDescent="0.25">
      <c r="B53" s="33" t="str">
        <f>IF(H47=3,B47,"")</f>
        <v>MIGUEL AGUIAR</v>
      </c>
      <c r="C53" s="33" t="str">
        <f>IFERROR(IF(B53="","",VLOOKUP(B53,LISTAS!$F$5:$G$1004,2,0)),"0")</f>
        <v>COLÉGIO MARCONI - GRU</v>
      </c>
      <c r="D53" s="253">
        <v>2</v>
      </c>
      <c r="E53" s="254"/>
      <c r="F53" s="253" t="s">
        <v>38</v>
      </c>
      <c r="G53" s="254"/>
      <c r="H53" s="253">
        <v>0</v>
      </c>
      <c r="I53" s="254"/>
      <c r="J53" s="111" t="str">
        <f>IF(H47=3,B49,"")</f>
        <v>RAFAEL GUIMARÃES FURTADO</v>
      </c>
      <c r="K53" s="33" t="str">
        <f>IFERROR(IF(J53="","",VLOOKUP(J53,LISTAS!$F$5:$G$1004,2,0)),"0")</f>
        <v>PEN LIFE</v>
      </c>
      <c r="L53" s="81"/>
    </row>
    <row r="54" spans="2:16" ht="18" customHeight="1" x14ac:dyDescent="0.25">
      <c r="B54" s="33" t="str">
        <f>IF(H47=3,B48,"")</f>
        <v>JOÃO LUCA CEOLDO RUBIRA</v>
      </c>
      <c r="C54" s="33" t="str">
        <f>IFERROR(IF(B54="","",VLOOKUP(B54,LISTAS!$F$5:$G$1004,2,0)),"0")</f>
        <v>LICEU JARDIM</v>
      </c>
      <c r="D54" s="253">
        <v>0</v>
      </c>
      <c r="E54" s="254"/>
      <c r="F54" s="253" t="s">
        <v>38</v>
      </c>
      <c r="G54" s="254"/>
      <c r="H54" s="253">
        <v>2</v>
      </c>
      <c r="I54" s="254"/>
      <c r="J54" s="111" t="str">
        <f>IF(H47=3,B49,"")</f>
        <v>RAFAEL GUIMARÃES FURTADO</v>
      </c>
      <c r="K54" s="33" t="str">
        <f>IFERROR(IF(J54="","",VLOOKUP(J54,LISTAS!$F$5:$G$1004,2,0)),"0")</f>
        <v>PEN LIFE</v>
      </c>
      <c r="L54" s="79"/>
    </row>
    <row r="55" spans="2:16" ht="18" customHeight="1" x14ac:dyDescent="0.25">
      <c r="B55" s="33" t="str">
        <f>IF(H47=3,B47,"")</f>
        <v>MIGUEL AGUIAR</v>
      </c>
      <c r="C55" s="33" t="str">
        <f>IFERROR(IF(B55="","",VLOOKUP(B55,LISTAS!$F$5:$G$1004,2,0)),"0")</f>
        <v>COLÉGIO MARCONI - GRU</v>
      </c>
      <c r="D55" s="253">
        <v>2</v>
      </c>
      <c r="E55" s="254"/>
      <c r="F55" s="253" t="s">
        <v>38</v>
      </c>
      <c r="G55" s="254"/>
      <c r="H55" s="253">
        <v>0</v>
      </c>
      <c r="I55" s="254"/>
      <c r="J55" s="111" t="str">
        <f>IF(H47=3,B48,"")</f>
        <v>JOÃO LUCA CEOLDO RUBIRA</v>
      </c>
      <c r="K55" s="33" t="str">
        <f>IFERROR(IF(J55="","",VLOOKUP(J55,LISTAS!$F$5:$G$1004,2,0)),"0")</f>
        <v>LICEU JARDIM</v>
      </c>
      <c r="L55" s="81"/>
    </row>
    <row r="58" spans="2:16" ht="30" customHeight="1" x14ac:dyDescent="0.25">
      <c r="B58" s="161" t="s">
        <v>48</v>
      </c>
      <c r="C58" s="79"/>
      <c r="D58" s="255" t="s">
        <v>42</v>
      </c>
      <c r="E58" s="256"/>
      <c r="F58" s="256"/>
      <c r="G58" s="257"/>
      <c r="H58" s="113"/>
      <c r="I58" s="255" t="s">
        <v>3</v>
      </c>
      <c r="J58" s="256"/>
      <c r="K58" s="256"/>
      <c r="L58" s="256"/>
    </row>
    <row r="59" spans="2:16" ht="18" customHeight="1" x14ac:dyDescent="0.25">
      <c r="B59" s="132" t="s">
        <v>15</v>
      </c>
      <c r="C59" s="132" t="s">
        <v>0</v>
      </c>
      <c r="D59" s="132" t="s">
        <v>43</v>
      </c>
      <c r="E59" s="132" t="s">
        <v>44</v>
      </c>
      <c r="F59" s="132" t="s">
        <v>77</v>
      </c>
      <c r="G59" s="132" t="s">
        <v>78</v>
      </c>
      <c r="H59" s="114"/>
      <c r="I59" s="132" t="s">
        <v>18</v>
      </c>
      <c r="J59" s="132" t="s">
        <v>15</v>
      </c>
      <c r="K59" s="132" t="s">
        <v>0</v>
      </c>
      <c r="L59" s="132" t="s">
        <v>45</v>
      </c>
    </row>
    <row r="60" spans="2:16" ht="18" customHeight="1" x14ac:dyDescent="0.25">
      <c r="B60" s="33" t="s">
        <v>474</v>
      </c>
      <c r="C60" s="33" t="str">
        <f>IFERROR(IF(B60="","",VLOOKUP(B60,LISTAS!$F$5:$G$1004,2,0)),"0")</f>
        <v>LICEU JARDIM</v>
      </c>
      <c r="D60" s="33" t="str">
        <f>IF(H60&lt;3,"",IF(H60=3,IF(D66&lt;&gt;"",IF(H66&lt;&gt;"",IF(D66&lt;&gt;H66,IF(D66&gt;H66,"V","D"),""),""),"")))</f>
        <v>V</v>
      </c>
      <c r="E60" s="33" t="str">
        <f>IF(H60&lt;3,"",IF(H60=3,IF(D68&lt;&gt;"",IF(H68&lt;&gt;"",IF(D68&lt;&gt;H68,IF(D68&gt;H68,"V","D"),""),""),"")))</f>
        <v>D</v>
      </c>
      <c r="F60" s="33" t="s">
        <v>81</v>
      </c>
      <c r="G60" s="33" t="s">
        <v>81</v>
      </c>
      <c r="H60" s="117">
        <f>COUNTA(B60:B62)</f>
        <v>3</v>
      </c>
      <c r="I60" s="33">
        <f>IF(B60&lt;&gt;"",1,"")</f>
        <v>1</v>
      </c>
      <c r="J60" s="33" t="str">
        <f>IF(I60&lt;&gt;"",P60,"")</f>
        <v>MATEUS YUDI SUIZO NINCAO</v>
      </c>
      <c r="K60" s="33" t="str">
        <f>IFERROR(IF(J60="","",VLOOKUP(J60,LISTAS!$F$5:$G$1004,2,0)),"0")</f>
        <v>COLÉGIO SÃO JOSÉ</v>
      </c>
      <c r="L60" s="130" t="str">
        <f>IF(H60=3,"OURO",IF(H60=4,"OURO",IF(H60=5,"OURO","")))</f>
        <v>OURO</v>
      </c>
      <c r="M60" s="20">
        <f>IF(B60&lt;&gt;"",COUNTIF(D60:G60,"V")+(SUMIF(B66:B68,B60,D66:E68)/1000)+(SUMIF(J66:J68,B60,H66:I68)/1000)-(SUMIF(B66:B68,B60,H66:I68)/1000)-(SUMIF(J66:J68,B60,D66:E68)/1000)+0.003,"")</f>
        <v>1.0029999999999999</v>
      </c>
      <c r="N60" s="20" t="str">
        <f>IF(B60="","",B60)</f>
        <v>RENZO CUNHA DI FRANCESCO CEPPO</v>
      </c>
      <c r="O60" s="20">
        <f>IF(B60&lt;&gt;"",LARGE(M60:M62,1),"")</f>
        <v>2.0059999999999993</v>
      </c>
      <c r="P60" s="20" t="str">
        <f>VLOOKUP(O60,M60:N62,2,0)</f>
        <v>MATEUS YUDI SUIZO NINCAO</v>
      </c>
    </row>
    <row r="61" spans="2:16" ht="18" customHeight="1" x14ac:dyDescent="0.25">
      <c r="B61" s="33" t="s">
        <v>448</v>
      </c>
      <c r="C61" s="33" t="str">
        <f>IFERROR(IF(B61="","",VLOOKUP(B61,LISTAS!$F$5:$G$1004,2,0)),"0")</f>
        <v>COLÉGIO SÃO JOSÉ</v>
      </c>
      <c r="D61" s="33" t="str">
        <f>IF(H60&lt;3,"",IF(H60=3,IF(D67&lt;&gt;"",IF(H67&lt;&gt;"",IF(D67&lt;&gt;H67,IF(D67&gt;H67,"V","D"),""),""),"")))</f>
        <v>V</v>
      </c>
      <c r="E61" s="33" t="str">
        <f>IF(H60&lt;3,"",IF(H60=3,IF(D68&lt;&gt;"",IF(H68&lt;&gt;"",IF(D68&lt;&gt;H68,IF(D68&gt;H68,"D","V"),""),""),"")))</f>
        <v>V</v>
      </c>
      <c r="F61" s="33" t="s">
        <v>81</v>
      </c>
      <c r="G61" s="33" t="s">
        <v>81</v>
      </c>
      <c r="H61" s="117"/>
      <c r="I61" s="33">
        <f>IF(B61&lt;&gt;"",2,"")</f>
        <v>2</v>
      </c>
      <c r="J61" s="33" t="str">
        <f>IF(I61&lt;&gt;"",P61,"")</f>
        <v>RENZO CUNHA DI FRANCESCO CEPPO</v>
      </c>
      <c r="K61" s="33" t="str">
        <f>IFERROR(IF(J61="","",VLOOKUP(J61,LISTAS!$F$5:$G$1004,2,0)),"0")</f>
        <v>LICEU JARDIM</v>
      </c>
      <c r="L61" s="130" t="str">
        <f>IF(H60=3,"PRATA",IF(H60=4,"OURO",IF(H60=5,"OURO","")))</f>
        <v>PRATA</v>
      </c>
      <c r="M61" s="20">
        <f>IF(B61&lt;&gt;"",COUNTIF(D61:G61,"V")+(SUMIF(B66:B68,B61,D66:E68)/1000)+(SUMIF(J66:J68,B61,H66:I68)/1000)-(SUMIF(B66:B68,B61,H66:I68)/1000)-(SUMIF(J66:J68,B61,D66:E68)/1000)+0.002,"")</f>
        <v>2.0059999999999993</v>
      </c>
      <c r="N61" s="20" t="str">
        <f t="shared" ref="N61" si="3">IF(B61="","",B61)</f>
        <v>MATEUS YUDI SUIZO NINCAO</v>
      </c>
      <c r="O61" s="20">
        <f>IF(B61&lt;&gt;"",LARGE(M60:M62,2),"")</f>
        <v>1.0029999999999999</v>
      </c>
      <c r="P61" s="20" t="str">
        <f>VLOOKUP(O61,M60:N62,2,0)</f>
        <v>RENZO CUNHA DI FRANCESCO CEPPO</v>
      </c>
    </row>
    <row r="62" spans="2:16" ht="18" customHeight="1" x14ac:dyDescent="0.25">
      <c r="B62" s="33" t="s">
        <v>601</v>
      </c>
      <c r="C62" s="33" t="str">
        <f>IFERROR(IF(B62="","",VLOOKUP(B62,LISTAS!$F$5:$G$1004,2,0)),"0")</f>
        <v>BYE</v>
      </c>
      <c r="D62" s="33" t="str">
        <f>IF(H60&lt;3,"",IF(H60=3,IF(D66&lt;&gt;"",IF(H66&lt;&gt;"",IF(D66&lt;&gt;H66,IF(D66&gt;H66,"D","V"),""),""),"")))</f>
        <v>D</v>
      </c>
      <c r="E62" s="33" t="str">
        <f>IF(H60&lt;3,"",IF(H60=3,IF(D67&lt;&gt;"",IF(H67&lt;&gt;"",IF(D67&lt;&gt;H67,IF(D67&gt;H67,"D","V"),""),""),"")))</f>
        <v>D</v>
      </c>
      <c r="F62" s="33" t="s">
        <v>81</v>
      </c>
      <c r="G62" s="33" t="s">
        <v>81</v>
      </c>
      <c r="H62" s="117"/>
      <c r="I62" s="33">
        <f>IF(B62&lt;&gt;"",3,"")</f>
        <v>3</v>
      </c>
      <c r="J62" s="33" t="str">
        <f>IF(I62&lt;&gt;"",P62,"")</f>
        <v>BYE</v>
      </c>
      <c r="K62" s="33" t="str">
        <f>IFERROR(IF(J62="","",VLOOKUP(J62,LISTAS!$F$5:$G$1004,2,0)),"0")</f>
        <v>BYE</v>
      </c>
      <c r="L62" s="130" t="str">
        <f>IF(H60=3,"BRONZE",IF(H60=4,"PRATA",IF(H60=5,"OURO","")))</f>
        <v>BRONZE</v>
      </c>
      <c r="M62" s="20">
        <f>IF(B62&lt;&gt;"",COUNTIF(D62:G62,"V")+(SUMIF(B66:B68,B62,D66:E68)/1000)+(SUMIF(J66:J68,B62,H66:I68)/1000)-(SUMIF(B66:B68,B62,H66:I68)/1000)-(SUMIF(J66:J68,B62,D66:E68)/1000)+0.001,"")</f>
        <v>-3.0000000000000001E-3</v>
      </c>
      <c r="N62" s="20" t="str">
        <f>IF(B62="","",B62)</f>
        <v>BYE</v>
      </c>
      <c r="O62" s="20">
        <f>IF(B62&lt;&gt;"",LARGE(M60:M62,3),"")</f>
        <v>-3.0000000000000001E-3</v>
      </c>
      <c r="P62" s="20" t="str">
        <f>VLOOKUP(O62,M60:N62,2,0)</f>
        <v>BYE</v>
      </c>
    </row>
    <row r="63" spans="2:16" ht="18" customHeight="1" x14ac:dyDescent="0.25">
      <c r="B63" s="79"/>
      <c r="C63" s="79"/>
      <c r="D63" s="79"/>
      <c r="E63" s="79"/>
      <c r="F63" s="79"/>
      <c r="G63" s="79"/>
      <c r="I63" s="80"/>
      <c r="J63" s="79"/>
      <c r="K63" s="81"/>
      <c r="L63" s="81"/>
    </row>
    <row r="64" spans="2:16" ht="23.25" customHeight="1" x14ac:dyDescent="0.25">
      <c r="B64" s="82" t="s">
        <v>40</v>
      </c>
      <c r="C64" s="79"/>
      <c r="D64" s="79"/>
      <c r="E64" s="79"/>
      <c r="F64" s="79"/>
      <c r="G64" s="79"/>
      <c r="H64" s="79"/>
      <c r="I64" s="79"/>
      <c r="J64" s="79"/>
      <c r="K64" s="79"/>
      <c r="L64" s="79"/>
    </row>
    <row r="65" spans="2:16" ht="18" customHeight="1" x14ac:dyDescent="0.25">
      <c r="B65" s="132" t="s">
        <v>15</v>
      </c>
      <c r="C65" s="132" t="s">
        <v>0</v>
      </c>
      <c r="D65" s="258" t="s">
        <v>41</v>
      </c>
      <c r="E65" s="259"/>
      <c r="F65" s="259"/>
      <c r="G65" s="259"/>
      <c r="H65" s="259"/>
      <c r="I65" s="260"/>
      <c r="J65" s="132" t="s">
        <v>15</v>
      </c>
      <c r="K65" s="132" t="s">
        <v>0</v>
      </c>
      <c r="L65" s="79"/>
    </row>
    <row r="66" spans="2:16" ht="18" customHeight="1" x14ac:dyDescent="0.25">
      <c r="B66" s="33" t="str">
        <f>IF(H60=3,B60,"")</f>
        <v>RENZO CUNHA DI FRANCESCO CEPPO</v>
      </c>
      <c r="C66" s="33" t="str">
        <f>IFERROR(IF(B66="","",VLOOKUP(B66,LISTAS!$F$5:$G$1004,2,0)),"0")</f>
        <v>LICEU JARDIM</v>
      </c>
      <c r="D66" s="253">
        <v>2</v>
      </c>
      <c r="E66" s="254"/>
      <c r="F66" s="253" t="s">
        <v>38</v>
      </c>
      <c r="G66" s="254"/>
      <c r="H66" s="253">
        <v>0</v>
      </c>
      <c r="I66" s="254"/>
      <c r="J66" s="111" t="str">
        <f>IF(H60=3,B62,"")</f>
        <v>BYE</v>
      </c>
      <c r="K66" s="33" t="str">
        <f>IFERROR(IF(J66="","",VLOOKUP(J66,LISTAS!$F$5:$G$1004,2,0)),"0")</f>
        <v>BYE</v>
      </c>
      <c r="L66" s="81"/>
    </row>
    <row r="67" spans="2:16" ht="18" customHeight="1" x14ac:dyDescent="0.25">
      <c r="B67" s="33" t="str">
        <f>IF(H60=3,B61,"")</f>
        <v>MATEUS YUDI SUIZO NINCAO</v>
      </c>
      <c r="C67" s="33" t="str">
        <f>IFERROR(IF(B67="","",VLOOKUP(B67,LISTAS!$F$5:$G$1004,2,0)),"0")</f>
        <v>COLÉGIO SÃO JOSÉ</v>
      </c>
      <c r="D67" s="253">
        <v>2</v>
      </c>
      <c r="E67" s="254"/>
      <c r="F67" s="253" t="s">
        <v>38</v>
      </c>
      <c r="G67" s="254"/>
      <c r="H67" s="253">
        <v>0</v>
      </c>
      <c r="I67" s="254"/>
      <c r="J67" s="111" t="str">
        <f>IF(H60=3,B62,"")</f>
        <v>BYE</v>
      </c>
      <c r="K67" s="33" t="str">
        <f>IFERROR(IF(J67="","",VLOOKUP(J67,LISTAS!$F$5:$G$1004,2,0)),"0")</f>
        <v>BYE</v>
      </c>
      <c r="L67" s="79"/>
    </row>
    <row r="68" spans="2:16" ht="18" customHeight="1" x14ac:dyDescent="0.25">
      <c r="B68" s="33" t="str">
        <f>IF(H60=3,B60,"")</f>
        <v>RENZO CUNHA DI FRANCESCO CEPPO</v>
      </c>
      <c r="C68" s="33" t="str">
        <f>IFERROR(IF(B68="","",VLOOKUP(B68,LISTAS!$F$5:$G$1004,2,0)),"0")</f>
        <v>LICEU JARDIM</v>
      </c>
      <c r="D68" s="253">
        <v>0</v>
      </c>
      <c r="E68" s="254"/>
      <c r="F68" s="253" t="s">
        <v>38</v>
      </c>
      <c r="G68" s="254"/>
      <c r="H68" s="253">
        <v>2</v>
      </c>
      <c r="I68" s="254"/>
      <c r="J68" s="111" t="str">
        <f>IF(H60=3,B61,"")</f>
        <v>MATEUS YUDI SUIZO NINCAO</v>
      </c>
      <c r="K68" s="33" t="str">
        <f>IFERROR(IF(J68="","",VLOOKUP(J68,LISTAS!$F$5:$G$1004,2,0)),"0")</f>
        <v>COLÉGIO SÃO JOSÉ</v>
      </c>
      <c r="L68" s="81"/>
    </row>
    <row r="71" spans="2:16" ht="30" customHeight="1" x14ac:dyDescent="0.25">
      <c r="B71" s="161" t="s">
        <v>49</v>
      </c>
      <c r="C71" s="79"/>
      <c r="D71" s="255" t="s">
        <v>42</v>
      </c>
      <c r="E71" s="256"/>
      <c r="F71" s="256"/>
      <c r="G71" s="257"/>
      <c r="H71" s="113"/>
      <c r="I71" s="255" t="s">
        <v>3</v>
      </c>
      <c r="J71" s="256"/>
      <c r="K71" s="256"/>
      <c r="L71" s="256"/>
    </row>
    <row r="72" spans="2:16" ht="18" customHeight="1" x14ac:dyDescent="0.25">
      <c r="B72" s="132" t="s">
        <v>15</v>
      </c>
      <c r="C72" s="132" t="s">
        <v>0</v>
      </c>
      <c r="D72" s="132" t="s">
        <v>43</v>
      </c>
      <c r="E72" s="132" t="s">
        <v>44</v>
      </c>
      <c r="F72" s="132" t="s">
        <v>77</v>
      </c>
      <c r="G72" s="132" t="s">
        <v>78</v>
      </c>
      <c r="H72" s="114"/>
      <c r="I72" s="132" t="s">
        <v>18</v>
      </c>
      <c r="J72" s="132" t="s">
        <v>15</v>
      </c>
      <c r="K72" s="132" t="s">
        <v>0</v>
      </c>
      <c r="L72" s="132" t="s">
        <v>45</v>
      </c>
    </row>
    <row r="73" spans="2:16" ht="18" customHeight="1" x14ac:dyDescent="0.25">
      <c r="B73" s="33" t="s">
        <v>475</v>
      </c>
      <c r="C73" s="33" t="str">
        <f>IFERROR(IF(B73="","",VLOOKUP(B73,LISTAS!$F$5:$G$1004,2,0)),"0")</f>
        <v>COLÉGIO SÃO JOSÉ</v>
      </c>
      <c r="D73" s="33" t="str">
        <f>IF(H73&lt;3,"",IF(H73=3,IF(D79&lt;&gt;"",IF(H79&lt;&gt;"",IF(D79&lt;&gt;H79,IF(D79&gt;H79,"V","D"),""),""),"")))</f>
        <v>V</v>
      </c>
      <c r="E73" s="33" t="str">
        <f>IF(H73&lt;3,"",IF(H73=3,IF(D81&lt;&gt;"",IF(H81&lt;&gt;"",IF(D81&lt;&gt;H81,IF(D81&gt;H81,"V","D"),""),""),"")))</f>
        <v>V</v>
      </c>
      <c r="F73" s="33" t="s">
        <v>81</v>
      </c>
      <c r="G73" s="33" t="s">
        <v>81</v>
      </c>
      <c r="H73" s="117">
        <f>COUNTA(B73:B75)</f>
        <v>3</v>
      </c>
      <c r="I73" s="33">
        <f>IF(B73&lt;&gt;"",1,"")</f>
        <v>1</v>
      </c>
      <c r="J73" s="33" t="str">
        <f>IF(I73&lt;&gt;"",P73,"")</f>
        <v>THEO PANARIELLO PESSUTO CRUZ</v>
      </c>
      <c r="K73" s="33" t="str">
        <f>IFERROR(IF(J73="","",VLOOKUP(J73,LISTAS!$F$5:$G$1004,2,0)),"0")</f>
        <v>COLÉGIO SÃO JOSÉ</v>
      </c>
      <c r="L73" s="130" t="str">
        <f>IF(H73=3,"OURO",IF(H73=4,"OURO",IF(H73=5,"OURO","")))</f>
        <v>OURO</v>
      </c>
      <c r="M73" s="20">
        <f>IF(B73&lt;&gt;"",COUNTIF(D73:G73,"V")+(SUMIF(B79:B81,B73,D79:E81)/1000)+(SUMIF(J79:J81,B73,H79:I81)/1000)-(SUMIF(B79:B81,B73,H79:I81)/1000)-(SUMIF(J79:J81,B73,D79:E81)/1000)+0.003,"")</f>
        <v>2.0070000000000001</v>
      </c>
      <c r="N73" s="20" t="str">
        <f>IF(B73="","",B73)</f>
        <v>THEO PANARIELLO PESSUTO CRUZ</v>
      </c>
      <c r="O73" s="20">
        <f>IF(B73&lt;&gt;"",LARGE(M73:M75,1),"")</f>
        <v>2.0070000000000001</v>
      </c>
      <c r="P73" s="20" t="str">
        <f>VLOOKUP(O73,M73:N75,2,0)</f>
        <v>THEO PANARIELLO PESSUTO CRUZ</v>
      </c>
    </row>
    <row r="74" spans="2:16" ht="18" customHeight="1" x14ac:dyDescent="0.25">
      <c r="B74" s="33" t="s">
        <v>437</v>
      </c>
      <c r="C74" s="33" t="str">
        <f>IFERROR(IF(B74="","",VLOOKUP(B74,LISTAS!$F$5:$G$1004,2,0)),"0")</f>
        <v>COLÉGIO MARCONI - GRU</v>
      </c>
      <c r="D74" s="33" t="str">
        <f>IF(H73&lt;3,"",IF(H73=3,IF(D80&lt;&gt;"",IF(H80&lt;&gt;"",IF(D80&lt;&gt;H80,IF(D80&gt;H80,"V","D"),""),""),"")))</f>
        <v>V</v>
      </c>
      <c r="E74" s="33" t="str">
        <f>IF(H73&lt;3,"",IF(H73=3,IF(D81&lt;&gt;"",IF(H81&lt;&gt;"",IF(D81&lt;&gt;H81,IF(D81&gt;H81,"D","V"),""),""),"")))</f>
        <v>D</v>
      </c>
      <c r="F74" s="33" t="s">
        <v>81</v>
      </c>
      <c r="G74" s="33" t="s">
        <v>81</v>
      </c>
      <c r="H74" s="117"/>
      <c r="I74" s="33">
        <f>IF(B74&lt;&gt;"",2,"")</f>
        <v>2</v>
      </c>
      <c r="J74" s="33" t="str">
        <f>IF(I74&lt;&gt;"",P74,"")</f>
        <v>LUCAS CLAUDINO</v>
      </c>
      <c r="K74" s="33" t="str">
        <f>IFERROR(IF(J74="","",VLOOKUP(J74,LISTAS!$F$5:$G$1004,2,0)),"0")</f>
        <v>COLÉGIO MARCONI - GRU</v>
      </c>
      <c r="L74" s="130" t="str">
        <f>IF(H73=3,"PRATA",IF(H73=4,"OURO",IF(H73=5,"OURO","")))</f>
        <v>PRATA</v>
      </c>
      <c r="M74" s="20">
        <f>IF(B74&lt;&gt;"",COUNTIF(D74:G74,"V")+(SUMIF(B79:B81,B74,D79:E81)/1000)+(SUMIF(J79:J81,B74,H79:I81)/1000)-(SUMIF(B79:B81,B74,H79:I81)/1000)-(SUMIF(J79:J81,B74,D79:E81)/1000)+0.002,"")</f>
        <v>1.002</v>
      </c>
      <c r="N74" s="20" t="str">
        <f t="shared" ref="N74" si="4">IF(B74="","",B74)</f>
        <v>LUCAS CLAUDINO</v>
      </c>
      <c r="O74" s="20">
        <f>IF(B74&lt;&gt;"",LARGE(M73:M75,2),"")</f>
        <v>1.002</v>
      </c>
      <c r="P74" s="20" t="str">
        <f>VLOOKUP(O74,M73:N75,2,0)</f>
        <v>LUCAS CLAUDINO</v>
      </c>
    </row>
    <row r="75" spans="2:16" ht="18" customHeight="1" x14ac:dyDescent="0.25">
      <c r="B75" s="33" t="s">
        <v>372</v>
      </c>
      <c r="C75" s="33" t="str">
        <f>IFERROR(IF(B75="","",VLOOKUP(B75,LISTAS!$F$5:$G$1004,2,0)),"0")</f>
        <v>COLÉGIO ARBOS - UNIDADE SANTO ANDRÉ</v>
      </c>
      <c r="D75" s="33" t="str">
        <f>IF(H73&lt;3,"",IF(H73=3,IF(D79&lt;&gt;"",IF(H79&lt;&gt;"",IF(D79&lt;&gt;H79,IF(D79&gt;H79,"D","V"),""),""),"")))</f>
        <v>D</v>
      </c>
      <c r="E75" s="33" t="str">
        <f>IF(H73&lt;3,"",IF(H73=3,IF(D80&lt;&gt;"",IF(H80&lt;&gt;"",IF(D80&lt;&gt;H80,IF(D80&gt;H80,"D","V"),""),""),"")))</f>
        <v>D</v>
      </c>
      <c r="F75" s="33" t="s">
        <v>81</v>
      </c>
      <c r="G75" s="33" t="s">
        <v>81</v>
      </c>
      <c r="H75" s="117"/>
      <c r="I75" s="33">
        <f>IF(B75&lt;&gt;"",3,"")</f>
        <v>3</v>
      </c>
      <c r="J75" s="33" t="str">
        <f>IF(I75&lt;&gt;"",P75,"")</f>
        <v>ARTHUR GIACOMASSI PITA</v>
      </c>
      <c r="K75" s="33" t="str">
        <f>IFERROR(IF(J75="","",VLOOKUP(J75,LISTAS!$F$5:$G$1004,2,0)),"0")</f>
        <v>COLÉGIO ARBOS - UNIDADE SANTO ANDRÉ</v>
      </c>
      <c r="L75" s="130" t="str">
        <f>IF(H73=3,"BRONZE",IF(H73=4,"PRATA",IF(H73=5,"OURO","")))</f>
        <v>BRONZE</v>
      </c>
      <c r="M75" s="20">
        <f>IF(B75&lt;&gt;"",COUNTIF(D75:G75,"V")+(SUMIF(B79:B81,B75,D79:E81)/1000)+(SUMIF(J79:J81,B75,H79:I81)/1000)-(SUMIF(B79:B81,B75,H79:I81)/1000)-(SUMIF(J79:J81,B75,D79:E81)/1000)+0.001,"")</f>
        <v>-3.0000000000000001E-3</v>
      </c>
      <c r="N75" s="20" t="str">
        <f>IF(B75="","",B75)</f>
        <v>ARTHUR GIACOMASSI PITA</v>
      </c>
      <c r="O75" s="20">
        <f>IF(B75&lt;&gt;"",LARGE(M73:M75,3),"")</f>
        <v>-3.0000000000000001E-3</v>
      </c>
      <c r="P75" s="20" t="str">
        <f>VLOOKUP(O75,M73:N75,2,0)</f>
        <v>ARTHUR GIACOMASSI PITA</v>
      </c>
    </row>
    <row r="76" spans="2:16" ht="18" customHeight="1" x14ac:dyDescent="0.25">
      <c r="B76" s="79"/>
      <c r="C76" s="79"/>
      <c r="D76" s="79"/>
      <c r="E76" s="79"/>
      <c r="F76" s="79"/>
      <c r="G76" s="79"/>
      <c r="I76" s="80"/>
      <c r="J76" s="79"/>
      <c r="K76" s="81"/>
      <c r="L76" s="81"/>
    </row>
    <row r="77" spans="2:16" ht="23.25" customHeight="1" x14ac:dyDescent="0.25">
      <c r="B77" s="82" t="s">
        <v>40</v>
      </c>
      <c r="C77" s="79"/>
      <c r="D77" s="79"/>
      <c r="E77" s="79"/>
      <c r="F77" s="79"/>
      <c r="G77" s="79"/>
      <c r="H77" s="79"/>
      <c r="I77" s="79"/>
      <c r="J77" s="79"/>
      <c r="K77" s="79"/>
      <c r="L77" s="79"/>
    </row>
    <row r="78" spans="2:16" ht="18" customHeight="1" x14ac:dyDescent="0.25">
      <c r="B78" s="132" t="s">
        <v>15</v>
      </c>
      <c r="C78" s="132" t="s">
        <v>0</v>
      </c>
      <c r="D78" s="258" t="s">
        <v>41</v>
      </c>
      <c r="E78" s="259"/>
      <c r="F78" s="259"/>
      <c r="G78" s="259"/>
      <c r="H78" s="259"/>
      <c r="I78" s="260"/>
      <c r="J78" s="132" t="s">
        <v>15</v>
      </c>
      <c r="K78" s="132" t="s">
        <v>0</v>
      </c>
      <c r="L78" s="79"/>
    </row>
    <row r="79" spans="2:16" ht="18" customHeight="1" x14ac:dyDescent="0.25">
      <c r="B79" s="33" t="str">
        <f>IF(H73=3,B73,"")</f>
        <v>THEO PANARIELLO PESSUTO CRUZ</v>
      </c>
      <c r="C79" s="33" t="str">
        <f>IFERROR(IF(B79="","",VLOOKUP(B79,LISTAS!$F$5:$G$1004,2,0)),"0")</f>
        <v>COLÉGIO SÃO JOSÉ</v>
      </c>
      <c r="D79" s="253">
        <v>2</v>
      </c>
      <c r="E79" s="254"/>
      <c r="F79" s="253" t="s">
        <v>38</v>
      </c>
      <c r="G79" s="254"/>
      <c r="H79" s="253">
        <v>0</v>
      </c>
      <c r="I79" s="254"/>
      <c r="J79" s="111" t="str">
        <f>IF(H73=3,B75,"")</f>
        <v>ARTHUR GIACOMASSI PITA</v>
      </c>
      <c r="K79" s="33" t="str">
        <f>IFERROR(IF(J79="","",VLOOKUP(J79,LISTAS!$F$5:$G$1004,2,0)),"0")</f>
        <v>COLÉGIO ARBOS - UNIDADE SANTO ANDRÉ</v>
      </c>
      <c r="L79" s="81"/>
    </row>
    <row r="80" spans="2:16" ht="18" customHeight="1" x14ac:dyDescent="0.25">
      <c r="B80" s="33" t="str">
        <f>IF(H73=3,B74,"")</f>
        <v>LUCAS CLAUDINO</v>
      </c>
      <c r="C80" s="33" t="str">
        <f>IFERROR(IF(B80="","",VLOOKUP(B80,LISTAS!$F$5:$G$1004,2,0)),"0")</f>
        <v>COLÉGIO MARCONI - GRU</v>
      </c>
      <c r="D80" s="253">
        <v>2</v>
      </c>
      <c r="E80" s="254"/>
      <c r="F80" s="253" t="s">
        <v>38</v>
      </c>
      <c r="G80" s="254"/>
      <c r="H80" s="253">
        <v>0</v>
      </c>
      <c r="I80" s="254"/>
      <c r="J80" s="111" t="str">
        <f>IF(H73=3,B75,"")</f>
        <v>ARTHUR GIACOMASSI PITA</v>
      </c>
      <c r="K80" s="33" t="str">
        <f>IFERROR(IF(J80="","",VLOOKUP(J80,LISTAS!$F$5:$G$1004,2,0)),"0")</f>
        <v>COLÉGIO ARBOS - UNIDADE SANTO ANDRÉ</v>
      </c>
      <c r="L80" s="79"/>
    </row>
    <row r="81" spans="2:16" ht="18" customHeight="1" x14ac:dyDescent="0.25">
      <c r="B81" s="33" t="str">
        <f>IF(H73=3,B73,"")</f>
        <v>THEO PANARIELLO PESSUTO CRUZ</v>
      </c>
      <c r="C81" s="33" t="str">
        <f>IFERROR(IF(B81="","",VLOOKUP(B81,LISTAS!$F$5:$G$1004,2,0)),"0")</f>
        <v>COLÉGIO SÃO JOSÉ</v>
      </c>
      <c r="D81" s="253">
        <v>2</v>
      </c>
      <c r="E81" s="254"/>
      <c r="F81" s="253" t="s">
        <v>38</v>
      </c>
      <c r="G81" s="254"/>
      <c r="H81" s="253">
        <v>0</v>
      </c>
      <c r="I81" s="254"/>
      <c r="J81" s="111" t="str">
        <f>IF(H73=3,B74,"")</f>
        <v>LUCAS CLAUDINO</v>
      </c>
      <c r="K81" s="33" t="str">
        <f>IFERROR(IF(J81="","",VLOOKUP(J81,LISTAS!$F$5:$G$1004,2,0)),"0")</f>
        <v>COLÉGIO MARCONI - GRU</v>
      </c>
      <c r="L81" s="81"/>
    </row>
    <row r="84" spans="2:16" ht="30" customHeight="1" x14ac:dyDescent="0.25">
      <c r="B84" s="161" t="s">
        <v>50</v>
      </c>
      <c r="C84" s="79"/>
      <c r="D84" s="255" t="s">
        <v>42</v>
      </c>
      <c r="E84" s="256"/>
      <c r="F84" s="256"/>
      <c r="G84" s="257"/>
      <c r="H84" s="113"/>
      <c r="I84" s="255" t="s">
        <v>3</v>
      </c>
      <c r="J84" s="256"/>
      <c r="K84" s="256"/>
      <c r="L84" s="256"/>
    </row>
    <row r="85" spans="2:16" ht="18" customHeight="1" x14ac:dyDescent="0.25">
      <c r="B85" s="132" t="s">
        <v>15</v>
      </c>
      <c r="C85" s="132" t="s">
        <v>0</v>
      </c>
      <c r="D85" s="132" t="s">
        <v>43</v>
      </c>
      <c r="E85" s="132" t="s">
        <v>44</v>
      </c>
      <c r="F85" s="132" t="s">
        <v>77</v>
      </c>
      <c r="G85" s="132" t="s">
        <v>78</v>
      </c>
      <c r="H85" s="114"/>
      <c r="I85" s="132" t="s">
        <v>18</v>
      </c>
      <c r="J85" s="132" t="s">
        <v>15</v>
      </c>
      <c r="K85" s="132" t="s">
        <v>0</v>
      </c>
      <c r="L85" s="132" t="s">
        <v>45</v>
      </c>
    </row>
    <row r="86" spans="2:16" ht="18" customHeight="1" x14ac:dyDescent="0.25">
      <c r="B86" s="33" t="s">
        <v>458</v>
      </c>
      <c r="C86" s="33" t="str">
        <f>IFERROR(IF(B86="","",VLOOKUP(B86,LISTAS!$F$5:$G$1004,2,0)),"0")</f>
        <v>COLÉGIO MARCONI - GRU</v>
      </c>
      <c r="D86" s="33" t="str">
        <f>IF(H86&lt;3,"",IF(H86=3,IF(D92&lt;&gt;"",IF(H92&lt;&gt;"",IF(D92&lt;&gt;H92,IF(D92&gt;H92,"V","D"),""),""),"")))</f>
        <v>V</v>
      </c>
      <c r="E86" s="33" t="str">
        <f>IF(H86&lt;3,"",IF(H86=3,IF(D94&lt;&gt;"",IF(H94&lt;&gt;"",IF(D94&lt;&gt;H94,IF(D94&gt;H94,"V","D"),""),""),"")))</f>
        <v>V</v>
      </c>
      <c r="F86" s="33" t="s">
        <v>81</v>
      </c>
      <c r="G86" s="33" t="s">
        <v>81</v>
      </c>
      <c r="H86" s="117">
        <f>COUNTA(B86:B88)</f>
        <v>3</v>
      </c>
      <c r="I86" s="33">
        <f>IF(B86&lt;&gt;"",1,"")</f>
        <v>1</v>
      </c>
      <c r="J86" s="33" t="str">
        <f>IF(I86&lt;&gt;"",P86,"")</f>
        <v>NICOLAS GRACIANO</v>
      </c>
      <c r="K86" s="33" t="str">
        <f>IFERROR(IF(J86="","",VLOOKUP(J86,LISTAS!$F$5:$G$1004,2,0)),"0")</f>
        <v>COLÉGIO MARCONI - GRU</v>
      </c>
      <c r="L86" s="130" t="str">
        <f>IF(H86=3,"OURO",IF(H86=4,"OURO",IF(H86=5,"OURO","")))</f>
        <v>OURO</v>
      </c>
      <c r="M86" s="20">
        <f>IF(B86&lt;&gt;"",COUNTIF(D86:G86,"V")+(SUMIF(B92:B94,B86,D92:E94)/1000)+(SUMIF(J92:J94,B86,H92:I94)/1000)-(SUMIF(B92:B94,B86,H92:I94)/1000)-(SUMIF(J92:J94,B86,D92:E94)/1000)+0.003,"")</f>
        <v>2.0070000000000001</v>
      </c>
      <c r="N86" s="20" t="str">
        <f>IF(B86="","",B86)</f>
        <v>NICOLAS GRACIANO</v>
      </c>
      <c r="O86" s="20">
        <f>IF(B86&lt;&gt;"",LARGE(M86:M88,1),"")</f>
        <v>2.0070000000000001</v>
      </c>
      <c r="P86" s="20" t="str">
        <f>VLOOKUP(O86,M86:N88,2,0)</f>
        <v>NICOLAS GRACIANO</v>
      </c>
    </row>
    <row r="87" spans="2:16" ht="18" customHeight="1" x14ac:dyDescent="0.25">
      <c r="B87" s="33" t="s">
        <v>373</v>
      </c>
      <c r="C87" s="33" t="str">
        <f>IFERROR(IF(B87="","",VLOOKUP(B87,LISTAS!$F$5:$G$1004,2,0)),"0")</f>
        <v>COLÉGIO ARBOS - UNIDADE SANTO ANDRÉ</v>
      </c>
      <c r="D87" s="33" t="str">
        <f>IF(H86&lt;3,"",IF(H86=3,IF(D93&lt;&gt;"",IF(H93&lt;&gt;"",IF(D93&lt;&gt;H93,IF(D93&gt;H93,"V","D"),""),""),"")))</f>
        <v>V</v>
      </c>
      <c r="E87" s="33" t="str">
        <f>IF(H86&lt;3,"",IF(H86=3,IF(D94&lt;&gt;"",IF(H94&lt;&gt;"",IF(D94&lt;&gt;H94,IF(D94&gt;H94,"D","V"),""),""),"")))</f>
        <v>D</v>
      </c>
      <c r="F87" s="33" t="s">
        <v>81</v>
      </c>
      <c r="G87" s="33" t="s">
        <v>81</v>
      </c>
      <c r="H87" s="117"/>
      <c r="I87" s="33">
        <f>IF(B87&lt;&gt;"",2,"")</f>
        <v>2</v>
      </c>
      <c r="J87" s="33" t="str">
        <f>IF(I87&lt;&gt;"",P87,"")</f>
        <v>ARTHUR OLIVEIRA DA ROCHA</v>
      </c>
      <c r="K87" s="33" t="str">
        <f>IFERROR(IF(J87="","",VLOOKUP(J87,LISTAS!$F$5:$G$1004,2,0)),"0")</f>
        <v>COLÉGIO ARBOS - UNIDADE SANTO ANDRÉ</v>
      </c>
      <c r="L87" s="130" t="str">
        <f>IF(H86=3,"PRATA",IF(H86=4,"OURO",IF(H86=5,"OURO","")))</f>
        <v>PRATA</v>
      </c>
      <c r="M87" s="20">
        <f>IF(B87&lt;&gt;"",COUNTIF(D87:G87,"V")+(SUMIF(B92:B94,B87,D92:E94)/1000)+(SUMIF(J92:J94,B87,H92:I94)/1000)-(SUMIF(B92:B94,B87,H92:I94)/1000)-(SUMIF(J92:J94,B87,D92:E94)/1000)+0.002,"")</f>
        <v>1.002</v>
      </c>
      <c r="N87" s="20" t="str">
        <f t="shared" ref="N87" si="5">IF(B87="","",B87)</f>
        <v>ARTHUR OLIVEIRA DA ROCHA</v>
      </c>
      <c r="O87" s="20">
        <f>IF(B87&lt;&gt;"",LARGE(M86:M88,2),"")</f>
        <v>1.002</v>
      </c>
      <c r="P87" s="20" t="str">
        <f>VLOOKUP(O87,M86:N88,2,0)</f>
        <v>ARTHUR OLIVEIRA DA ROCHA</v>
      </c>
    </row>
    <row r="88" spans="2:16" ht="18" customHeight="1" x14ac:dyDescent="0.25">
      <c r="B88" s="39" t="s">
        <v>680</v>
      </c>
      <c r="C88" s="33" t="str">
        <f>IFERROR(IF(B88="","",VLOOKUP(B88,LISTAS!$F$5:$G$1004,2,0)),"0")</f>
        <v>ESCOLA STAGIUM</v>
      </c>
      <c r="D88" s="33" t="str">
        <f>IF(H86&lt;3,"",IF(H86=3,IF(D92&lt;&gt;"",IF(H92&lt;&gt;"",IF(D92&lt;&gt;H92,IF(D92&gt;H92,"D","V"),""),""),"")))</f>
        <v>D</v>
      </c>
      <c r="E88" s="33" t="str">
        <f>IF(H86&lt;3,"",IF(H86=3,IF(D93&lt;&gt;"",IF(H93&lt;&gt;"",IF(D93&lt;&gt;H93,IF(D93&gt;H93,"D","V"),""),""),"")))</f>
        <v>D</v>
      </c>
      <c r="F88" s="33" t="s">
        <v>81</v>
      </c>
      <c r="G88" s="33" t="s">
        <v>81</v>
      </c>
      <c r="H88" s="117"/>
      <c r="I88" s="33">
        <f>IF(B88&lt;&gt;"",3,"")</f>
        <v>3</v>
      </c>
      <c r="J88" s="33" t="str">
        <f>IF(I88&lt;&gt;"",P88,"")</f>
        <v>ARTHUR REIS</v>
      </c>
      <c r="K88" s="33" t="str">
        <f>IFERROR(IF(J88="","",VLOOKUP(J88,LISTAS!$F$5:$G$1004,2,0)),"0")</f>
        <v>ESCOLA STAGIUM</v>
      </c>
      <c r="L88" s="130" t="str">
        <f>IF(H86=3,"BRONZE",IF(H86=4,"PRATA",IF(H86=5,"OURO","")))</f>
        <v>BRONZE</v>
      </c>
      <c r="M88" s="20">
        <f>IF(B88&lt;&gt;"",COUNTIF(D88:G88,"V")+(SUMIF(B92:B94,B88,D92:E94)/1000)+(SUMIF(J92:J94,B88,H92:I94)/1000)-(SUMIF(B92:B94,B88,H92:I94)/1000)-(SUMIF(J92:J94,B88,D92:E94)/1000)+0.001,"")</f>
        <v>-3.0000000000000001E-3</v>
      </c>
      <c r="N88" s="20" t="str">
        <f>IF(B88="","",B88)</f>
        <v>ARTHUR REIS</v>
      </c>
      <c r="O88" s="20">
        <f>IF(B88&lt;&gt;"",LARGE(M86:M88,3),"")</f>
        <v>-3.0000000000000001E-3</v>
      </c>
      <c r="P88" s="20" t="str">
        <f>VLOOKUP(O88,M86:N88,2,0)</f>
        <v>ARTHUR REIS</v>
      </c>
    </row>
    <row r="89" spans="2:16" ht="18" customHeight="1" x14ac:dyDescent="0.25">
      <c r="B89" s="79"/>
      <c r="C89" s="79"/>
      <c r="D89" s="79"/>
      <c r="E89" s="79"/>
      <c r="F89" s="79"/>
      <c r="G89" s="79"/>
      <c r="I89" s="80"/>
      <c r="J89" s="79"/>
      <c r="K89" s="81"/>
      <c r="L89" s="81"/>
    </row>
    <row r="90" spans="2:16" ht="23.25" customHeight="1" x14ac:dyDescent="0.25">
      <c r="B90" s="82" t="s">
        <v>40</v>
      </c>
      <c r="C90" s="79"/>
      <c r="D90" s="79"/>
      <c r="E90" s="79"/>
      <c r="F90" s="79"/>
      <c r="G90" s="79"/>
      <c r="H90" s="79"/>
      <c r="I90" s="79"/>
      <c r="J90" s="79"/>
      <c r="K90" s="79"/>
      <c r="L90" s="79"/>
    </row>
    <row r="91" spans="2:16" ht="18" customHeight="1" x14ac:dyDescent="0.25">
      <c r="B91" s="132" t="s">
        <v>15</v>
      </c>
      <c r="C91" s="132" t="s">
        <v>0</v>
      </c>
      <c r="D91" s="258" t="s">
        <v>41</v>
      </c>
      <c r="E91" s="259"/>
      <c r="F91" s="259"/>
      <c r="G91" s="259"/>
      <c r="H91" s="259"/>
      <c r="I91" s="260"/>
      <c r="J91" s="132" t="s">
        <v>15</v>
      </c>
      <c r="K91" s="132" t="s">
        <v>0</v>
      </c>
      <c r="L91" s="79"/>
    </row>
    <row r="92" spans="2:16" ht="18" customHeight="1" x14ac:dyDescent="0.25">
      <c r="B92" s="33" t="str">
        <f>IF(H86=3,B86,"")</f>
        <v>NICOLAS GRACIANO</v>
      </c>
      <c r="C92" s="33" t="str">
        <f>IFERROR(IF(B92="","",VLOOKUP(B92,LISTAS!$F$5:$G$1004,2,0)),"0")</f>
        <v>COLÉGIO MARCONI - GRU</v>
      </c>
      <c r="D92" s="253">
        <v>2</v>
      </c>
      <c r="E92" s="254"/>
      <c r="F92" s="253" t="s">
        <v>38</v>
      </c>
      <c r="G92" s="254"/>
      <c r="H92" s="253">
        <v>0</v>
      </c>
      <c r="I92" s="254"/>
      <c r="J92" s="111" t="str">
        <f>IF(H86=3,B88,"")</f>
        <v>ARTHUR REIS</v>
      </c>
      <c r="K92" s="33" t="str">
        <f>IFERROR(IF(J92="","",VLOOKUP(J92,LISTAS!$F$5:$G$1004,2,0)),"0")</f>
        <v>ESCOLA STAGIUM</v>
      </c>
      <c r="L92" s="81"/>
    </row>
    <row r="93" spans="2:16" ht="18" customHeight="1" x14ac:dyDescent="0.25">
      <c r="B93" s="33" t="str">
        <f>IF(H86=3,B87,"")</f>
        <v>ARTHUR OLIVEIRA DA ROCHA</v>
      </c>
      <c r="C93" s="33" t="str">
        <f>IFERROR(IF(B93="","",VLOOKUP(B93,LISTAS!$F$5:$G$1004,2,0)),"0")</f>
        <v>COLÉGIO ARBOS - UNIDADE SANTO ANDRÉ</v>
      </c>
      <c r="D93" s="253">
        <v>2</v>
      </c>
      <c r="E93" s="254"/>
      <c r="F93" s="253" t="s">
        <v>38</v>
      </c>
      <c r="G93" s="254"/>
      <c r="H93" s="253">
        <v>0</v>
      </c>
      <c r="I93" s="254"/>
      <c r="J93" s="111" t="str">
        <f>IF(H86=3,B88,"")</f>
        <v>ARTHUR REIS</v>
      </c>
      <c r="K93" s="33" t="str">
        <f>IFERROR(IF(J93="","",VLOOKUP(J93,LISTAS!$F$5:$G$1004,2,0)),"0")</f>
        <v>ESCOLA STAGIUM</v>
      </c>
      <c r="L93" s="79"/>
    </row>
    <row r="94" spans="2:16" ht="18" customHeight="1" x14ac:dyDescent="0.25">
      <c r="B94" s="33" t="str">
        <f>IF(H86=3,B86,"")</f>
        <v>NICOLAS GRACIANO</v>
      </c>
      <c r="C94" s="33" t="str">
        <f>IFERROR(IF(B94="","",VLOOKUP(B94,LISTAS!$F$5:$G$1004,2,0)),"0")</f>
        <v>COLÉGIO MARCONI - GRU</v>
      </c>
      <c r="D94" s="253">
        <v>2</v>
      </c>
      <c r="E94" s="254"/>
      <c r="F94" s="253" t="s">
        <v>38</v>
      </c>
      <c r="G94" s="254"/>
      <c r="H94" s="253">
        <v>0</v>
      </c>
      <c r="I94" s="254"/>
      <c r="J94" s="111" t="str">
        <f>IF(H86=3,B87,"")</f>
        <v>ARTHUR OLIVEIRA DA ROCHA</v>
      </c>
      <c r="K94" s="33" t="str">
        <f>IFERROR(IF(J94="","",VLOOKUP(J94,LISTAS!$F$5:$G$1004,2,0)),"0")</f>
        <v>COLÉGIO ARBOS - UNIDADE SANTO ANDRÉ</v>
      </c>
      <c r="L94" s="81"/>
    </row>
    <row r="97" spans="2:16" ht="30" customHeight="1" x14ac:dyDescent="0.25">
      <c r="B97" s="161" t="s">
        <v>51</v>
      </c>
      <c r="C97" s="79"/>
      <c r="D97" s="255" t="s">
        <v>42</v>
      </c>
      <c r="E97" s="256"/>
      <c r="F97" s="256"/>
      <c r="G97" s="257"/>
      <c r="H97" s="113"/>
      <c r="I97" s="255" t="s">
        <v>3</v>
      </c>
      <c r="J97" s="256"/>
      <c r="K97" s="256"/>
      <c r="L97" s="256"/>
    </row>
    <row r="98" spans="2:16" ht="18" customHeight="1" x14ac:dyDescent="0.25">
      <c r="B98" s="132" t="s">
        <v>15</v>
      </c>
      <c r="C98" s="132" t="s">
        <v>0</v>
      </c>
      <c r="D98" s="132" t="s">
        <v>43</v>
      </c>
      <c r="E98" s="132" t="s">
        <v>44</v>
      </c>
      <c r="F98" s="132" t="s">
        <v>77</v>
      </c>
      <c r="G98" s="132" t="s">
        <v>78</v>
      </c>
      <c r="H98" s="114"/>
      <c r="I98" s="132" t="s">
        <v>18</v>
      </c>
      <c r="J98" s="132" t="s">
        <v>15</v>
      </c>
      <c r="K98" s="132" t="s">
        <v>0</v>
      </c>
      <c r="L98" s="132" t="s">
        <v>45</v>
      </c>
    </row>
    <row r="99" spans="2:16" ht="18" customHeight="1" x14ac:dyDescent="0.25">
      <c r="B99" s="33" t="s">
        <v>371</v>
      </c>
      <c r="C99" s="33" t="str">
        <f>IFERROR(IF(B99="","",VLOOKUP(B99,LISTAS!$F$5:$G$1004,2,0)),"0")</f>
        <v>ESCOLA VILLARE</v>
      </c>
      <c r="D99" s="33" t="str">
        <f>IF(H99&lt;3,"",IF(H99=3,IF(D105&lt;&gt;"",IF(H105&lt;&gt;"",IF(D105&lt;&gt;H105,IF(D105&gt;H105,"V","D"),""),""),"")))</f>
        <v>V</v>
      </c>
      <c r="E99" s="33" t="str">
        <f>IF(H99&lt;3,"",IF(H99=3,IF(D107&lt;&gt;"",IF(H107&lt;&gt;"",IF(D107&lt;&gt;H107,IF(D107&gt;H107,"V","D"),""),""),"")))</f>
        <v>V</v>
      </c>
      <c r="F99" s="33" t="s">
        <v>81</v>
      </c>
      <c r="G99" s="33" t="s">
        <v>81</v>
      </c>
      <c r="H99" s="117">
        <f>COUNTA(B99:B101)</f>
        <v>3</v>
      </c>
      <c r="I99" s="33">
        <f>IF(B99&lt;&gt;"",1,"")</f>
        <v>1</v>
      </c>
      <c r="J99" s="33" t="str">
        <f>IF(I99&lt;&gt;"",P99,"")</f>
        <v>APOLO GROSSO BEVILAQUA</v>
      </c>
      <c r="K99" s="33" t="str">
        <f>IFERROR(IF(J99="","",VLOOKUP(J99,LISTAS!$F$5:$G$1004,2,0)),"0")</f>
        <v>ESCOLA VILLARE</v>
      </c>
      <c r="L99" s="130" t="str">
        <f>IF(H99=3,"OURO",IF(H99=4,"OURO",IF(H99=5,"OURO","")))</f>
        <v>OURO</v>
      </c>
      <c r="M99" s="20">
        <f>IF(B99&lt;&gt;"",COUNTIF(D99:G99,"V")+(SUMIF(B105:B107,B99,D105:E107)/1000)+(SUMIF(J105:J107,B99,H105:I107)/1000)-(SUMIF(B105:B107,B99,H105:I107)/1000)-(SUMIF(J105:J107,B99,D105:E107)/1000)+0.003,"")</f>
        <v>2.0070000000000001</v>
      </c>
      <c r="N99" s="20" t="str">
        <f>IF(B99="","",B99)</f>
        <v>APOLO GROSSO BEVILAQUA</v>
      </c>
      <c r="O99" s="20">
        <f>IF(B99&lt;&gt;"",LARGE(M99:M101,1),"")</f>
        <v>2.0070000000000001</v>
      </c>
      <c r="P99" s="20" t="str">
        <f>VLOOKUP(O99,M99:N101,2,0)</f>
        <v>APOLO GROSSO BEVILAQUA</v>
      </c>
    </row>
    <row r="100" spans="2:16" ht="18" customHeight="1" x14ac:dyDescent="0.25">
      <c r="B100" s="33" t="s">
        <v>378</v>
      </c>
      <c r="C100" s="33" t="str">
        <f>IFERROR(IF(B100="","",VLOOKUP(B100,LISTAS!$F$5:$G$1004,2,0)),"0")</f>
        <v>COLÉGIO ARBOS - UNIDADE SANTO ANDRÉ</v>
      </c>
      <c r="D100" s="33" t="str">
        <f>IF(H99&lt;3,"",IF(H99=3,IF(D106&lt;&gt;"",IF(H106&lt;&gt;"",IF(D106&lt;&gt;H106,IF(D106&gt;H106,"V","D"),""),""),"")))</f>
        <v>D</v>
      </c>
      <c r="E100" s="33" t="str">
        <f>IF(H99&lt;3,"",IF(H99=3,IF(D107&lt;&gt;"",IF(H107&lt;&gt;"",IF(D107&lt;&gt;H107,IF(D107&gt;H107,"D","V"),""),""),"")))</f>
        <v>D</v>
      </c>
      <c r="F100" s="33" t="s">
        <v>81</v>
      </c>
      <c r="G100" s="33" t="s">
        <v>81</v>
      </c>
      <c r="H100" s="117"/>
      <c r="I100" s="33">
        <f>IF(B100&lt;&gt;"",2,"")</f>
        <v>2</v>
      </c>
      <c r="J100" s="33" t="str">
        <f>IF(I100&lt;&gt;"",P100,"")</f>
        <v>BENTO MARCHETI UEDA</v>
      </c>
      <c r="K100" s="33" t="str">
        <f>IFERROR(IF(J100="","",VLOOKUP(J100,LISTAS!$F$5:$G$1004,2,0)),"0")</f>
        <v>ABACO IPIRANGA</v>
      </c>
      <c r="L100" s="130" t="str">
        <f>IF(H99=3,"PRATA",IF(H99=4,"OURO",IF(H99=5,"OURO","")))</f>
        <v>PRATA</v>
      </c>
      <c r="M100" s="20">
        <f>IF(B100&lt;&gt;"",COUNTIF(D100:G100,"V")+(SUMIF(B105:B107,B100,D105:E107)/1000)+(SUMIF(J105:J107,B100,H105:I107)/1000)-(SUMIF(B105:B107,B100,H105:I107)/1000)-(SUMIF(J105:J107,B100,D105:E107)/1000)+0.002,"")</f>
        <v>-2E-3</v>
      </c>
      <c r="N100" s="20" t="str">
        <f t="shared" ref="N100" si="6">IF(B100="","",B100)</f>
        <v>BENÍCIO COELHO FORTES</v>
      </c>
      <c r="O100" s="20">
        <f>IF(B100&lt;&gt;"",LARGE(M99:M101,2),"")</f>
        <v>1.0009999999999999</v>
      </c>
      <c r="P100" s="20" t="str">
        <f>VLOOKUP(O100,M99:N101,2,0)</f>
        <v>BENTO MARCHETI UEDA</v>
      </c>
    </row>
    <row r="101" spans="2:16" ht="18" customHeight="1" x14ac:dyDescent="0.25">
      <c r="B101" s="33" t="s">
        <v>381</v>
      </c>
      <c r="C101" s="33" t="str">
        <f>IFERROR(IF(B101="","",VLOOKUP(B101,LISTAS!$F$5:$G$1004,2,0)),"0")</f>
        <v>ABACO IPIRANGA</v>
      </c>
      <c r="D101" s="33" t="str">
        <f>IF(H99&lt;3,"",IF(H99=3,IF(D105&lt;&gt;"",IF(H105&lt;&gt;"",IF(D105&lt;&gt;H105,IF(D105&gt;H105,"D","V"),""),""),"")))</f>
        <v>D</v>
      </c>
      <c r="E101" s="33" t="str">
        <f>IF(H99&lt;3,"",IF(H99=3,IF(D106&lt;&gt;"",IF(H106&lt;&gt;"",IF(D106&lt;&gt;H106,IF(D106&gt;H106,"D","V"),""),""),"")))</f>
        <v>V</v>
      </c>
      <c r="F101" s="33" t="s">
        <v>81</v>
      </c>
      <c r="G101" s="33" t="s">
        <v>81</v>
      </c>
      <c r="H101" s="117"/>
      <c r="I101" s="33">
        <f>IF(B101&lt;&gt;"",3,"")</f>
        <v>3</v>
      </c>
      <c r="J101" s="33" t="str">
        <f>IF(I101&lt;&gt;"",P101,"")</f>
        <v>BENÍCIO COELHO FORTES</v>
      </c>
      <c r="K101" s="33" t="str">
        <f>IFERROR(IF(J101="","",VLOOKUP(J101,LISTAS!$F$5:$G$1004,2,0)),"0")</f>
        <v>COLÉGIO ARBOS - UNIDADE SANTO ANDRÉ</v>
      </c>
      <c r="L101" s="130" t="str">
        <f>IF(H99=3,"BRONZE",IF(H99=4,"PRATA",IF(H99=5,"OURO","")))</f>
        <v>BRONZE</v>
      </c>
      <c r="M101" s="20">
        <f>IF(B101&lt;&gt;"",COUNTIF(D101:G101,"V")+(SUMIF(B105:B107,B101,D105:E107)/1000)+(SUMIF(J105:J107,B101,H105:I107)/1000)-(SUMIF(B105:B107,B101,H105:I107)/1000)-(SUMIF(J105:J107,B101,D105:E107)/1000)+0.001,"")</f>
        <v>1.0009999999999999</v>
      </c>
      <c r="N101" s="20" t="str">
        <f>IF(B101="","",B101)</f>
        <v>BENTO MARCHETI UEDA</v>
      </c>
      <c r="O101" s="20">
        <f>IF(B101&lt;&gt;"",LARGE(M99:M101,3),"")</f>
        <v>-2E-3</v>
      </c>
      <c r="P101" s="20" t="str">
        <f>VLOOKUP(O101,M99:N101,2,0)</f>
        <v>BENÍCIO COELHO FORTES</v>
      </c>
    </row>
    <row r="102" spans="2:16" ht="18" customHeight="1" x14ac:dyDescent="0.25">
      <c r="B102" s="79"/>
      <c r="C102" s="79"/>
      <c r="D102" s="79"/>
      <c r="E102" s="79"/>
      <c r="F102" s="79"/>
      <c r="G102" s="79"/>
      <c r="I102" s="80"/>
      <c r="J102" s="79"/>
      <c r="K102" s="81"/>
      <c r="L102" s="81"/>
    </row>
    <row r="103" spans="2:16" ht="23.25" customHeight="1" x14ac:dyDescent="0.25">
      <c r="B103" s="82" t="s">
        <v>40</v>
      </c>
      <c r="C103" s="79"/>
      <c r="D103" s="79"/>
      <c r="E103" s="79"/>
      <c r="F103" s="79"/>
      <c r="G103" s="79"/>
      <c r="H103" s="79"/>
      <c r="I103" s="79"/>
      <c r="J103" s="79"/>
      <c r="K103" s="79"/>
      <c r="L103" s="79"/>
    </row>
    <row r="104" spans="2:16" ht="18" customHeight="1" x14ac:dyDescent="0.25">
      <c r="B104" s="132" t="s">
        <v>15</v>
      </c>
      <c r="C104" s="132" t="s">
        <v>0</v>
      </c>
      <c r="D104" s="258" t="s">
        <v>41</v>
      </c>
      <c r="E104" s="259"/>
      <c r="F104" s="259"/>
      <c r="G104" s="259"/>
      <c r="H104" s="259"/>
      <c r="I104" s="260"/>
      <c r="J104" s="132" t="s">
        <v>15</v>
      </c>
      <c r="K104" s="132" t="s">
        <v>0</v>
      </c>
      <c r="L104" s="79"/>
    </row>
    <row r="105" spans="2:16" ht="18" customHeight="1" x14ac:dyDescent="0.25">
      <c r="B105" s="33" t="str">
        <f>IF(H99=3,B99,"")</f>
        <v>APOLO GROSSO BEVILAQUA</v>
      </c>
      <c r="C105" s="33" t="str">
        <f>IFERROR(IF(B105="","",VLOOKUP(B105,LISTAS!$F$5:$G$1004,2,0)),"0")</f>
        <v>ESCOLA VILLARE</v>
      </c>
      <c r="D105" s="253">
        <v>2</v>
      </c>
      <c r="E105" s="254"/>
      <c r="F105" s="253" t="s">
        <v>38</v>
      </c>
      <c r="G105" s="254"/>
      <c r="H105" s="253">
        <v>0</v>
      </c>
      <c r="I105" s="254"/>
      <c r="J105" s="111" t="str">
        <f>IF(H99=3,B101,"")</f>
        <v>BENTO MARCHETI UEDA</v>
      </c>
      <c r="K105" s="33" t="str">
        <f>IFERROR(IF(J105="","",VLOOKUP(J105,LISTAS!$F$5:$G$1004,2,0)),"0")</f>
        <v>ABACO IPIRANGA</v>
      </c>
      <c r="L105" s="81"/>
    </row>
    <row r="106" spans="2:16" ht="18" customHeight="1" x14ac:dyDescent="0.25">
      <c r="B106" s="33" t="str">
        <f>IF(H99=3,B100,"")</f>
        <v>BENÍCIO COELHO FORTES</v>
      </c>
      <c r="C106" s="33" t="str">
        <f>IFERROR(IF(B106="","",VLOOKUP(B106,LISTAS!$F$5:$G$1004,2,0)),"0")</f>
        <v>COLÉGIO ARBOS - UNIDADE SANTO ANDRÉ</v>
      </c>
      <c r="D106" s="253">
        <v>0</v>
      </c>
      <c r="E106" s="254"/>
      <c r="F106" s="253" t="s">
        <v>38</v>
      </c>
      <c r="G106" s="254"/>
      <c r="H106" s="253">
        <v>2</v>
      </c>
      <c r="I106" s="254"/>
      <c r="J106" s="111" t="str">
        <f>IF(H99=3,B101,"")</f>
        <v>BENTO MARCHETI UEDA</v>
      </c>
      <c r="K106" s="33" t="str">
        <f>IFERROR(IF(J106="","",VLOOKUP(J106,LISTAS!$F$5:$G$1004,2,0)),"0")</f>
        <v>ABACO IPIRANGA</v>
      </c>
      <c r="L106" s="79"/>
    </row>
    <row r="107" spans="2:16" ht="18" customHeight="1" x14ac:dyDescent="0.25">
      <c r="B107" s="33" t="str">
        <f>IF(H99=3,B99,"")</f>
        <v>APOLO GROSSO BEVILAQUA</v>
      </c>
      <c r="C107" s="33" t="str">
        <f>IFERROR(IF(B107="","",VLOOKUP(B107,LISTAS!$F$5:$G$1004,2,0)),"0")</f>
        <v>ESCOLA VILLARE</v>
      </c>
      <c r="D107" s="253">
        <v>2</v>
      </c>
      <c r="E107" s="254"/>
      <c r="F107" s="253" t="s">
        <v>38</v>
      </c>
      <c r="G107" s="254"/>
      <c r="H107" s="253">
        <v>0</v>
      </c>
      <c r="I107" s="254"/>
      <c r="J107" s="111" t="str">
        <f>IF(H99=3,B100,"")</f>
        <v>BENÍCIO COELHO FORTES</v>
      </c>
      <c r="K107" s="33" t="str">
        <f>IFERROR(IF(J107="","",VLOOKUP(J107,LISTAS!$F$5:$G$1004,2,0)),"0")</f>
        <v>COLÉGIO ARBOS - UNIDADE SANTO ANDRÉ</v>
      </c>
      <c r="L107" s="81"/>
    </row>
    <row r="110" spans="2:16" ht="30" customHeight="1" x14ac:dyDescent="0.25">
      <c r="B110" s="161" t="s">
        <v>52</v>
      </c>
      <c r="C110" s="79"/>
      <c r="D110" s="255" t="s">
        <v>42</v>
      </c>
      <c r="E110" s="256"/>
      <c r="F110" s="256"/>
      <c r="G110" s="257"/>
      <c r="H110" s="113"/>
      <c r="I110" s="255" t="s">
        <v>3</v>
      </c>
      <c r="J110" s="256"/>
      <c r="K110" s="256"/>
      <c r="L110" s="256"/>
    </row>
    <row r="111" spans="2:16" ht="18" customHeight="1" x14ac:dyDescent="0.25">
      <c r="B111" s="132" t="s">
        <v>15</v>
      </c>
      <c r="C111" s="132" t="s">
        <v>0</v>
      </c>
      <c r="D111" s="132" t="s">
        <v>43</v>
      </c>
      <c r="E111" s="132" t="s">
        <v>44</v>
      </c>
      <c r="F111" s="132" t="s">
        <v>77</v>
      </c>
      <c r="G111" s="132" t="s">
        <v>78</v>
      </c>
      <c r="H111" s="114"/>
      <c r="I111" s="132" t="s">
        <v>18</v>
      </c>
      <c r="J111" s="132" t="s">
        <v>15</v>
      </c>
      <c r="K111" s="132" t="s">
        <v>0</v>
      </c>
      <c r="L111" s="132" t="s">
        <v>45</v>
      </c>
    </row>
    <row r="112" spans="2:16" ht="18" customHeight="1" x14ac:dyDescent="0.25">
      <c r="B112" s="33" t="s">
        <v>387</v>
      </c>
      <c r="C112" s="33" t="str">
        <f>IFERROR(IF(B112="","",VLOOKUP(B112,LISTAS!$F$5:$G$1004,2,0)),"0")</f>
        <v>ABACO IPIRANGA</v>
      </c>
      <c r="D112" s="33" t="str">
        <f>IF(H112&lt;3,"",IF(H112=3,IF(D118&lt;&gt;"",IF(H118&lt;&gt;"",IF(D118&lt;&gt;H118,IF(D118&gt;H118,"V","D"),""),""),"")))</f>
        <v>V</v>
      </c>
      <c r="E112" s="33" t="str">
        <f>IF(H112&lt;3,"",IF(H112=3,IF(D120&lt;&gt;"",IF(H120&lt;&gt;"",IF(D120&lt;&gt;H120,IF(D120&gt;H120,"V","D"),""),""),"")))</f>
        <v>V</v>
      </c>
      <c r="F112" s="33" t="s">
        <v>81</v>
      </c>
      <c r="G112" s="33" t="s">
        <v>81</v>
      </c>
      <c r="H112" s="117">
        <f>COUNTA(B112:B114)</f>
        <v>3</v>
      </c>
      <c r="I112" s="33">
        <f>IF(B112&lt;&gt;"",1,"")</f>
        <v>1</v>
      </c>
      <c r="J112" s="33" t="str">
        <f>IF(I112&lt;&gt;"",P112,"")</f>
        <v>BERNARDO PAGETTI GUEDES</v>
      </c>
      <c r="K112" s="33" t="str">
        <f>IFERROR(IF(J112="","",VLOOKUP(J112,LISTAS!$F$5:$G$1004,2,0)),"0")</f>
        <v>ABACO IPIRANGA</v>
      </c>
      <c r="L112" s="130" t="str">
        <f>IF(H112=3,"OURO",IF(H112=4,"OURO",IF(H112=5,"OURO","")))</f>
        <v>OURO</v>
      </c>
      <c r="M112" s="20">
        <f>IF(B112&lt;&gt;"",COUNTIF(D112:G112,"V")+(SUMIF(B118:B120,B112,D118:E120)/1000)+(SUMIF(J118:J120,B112,H118:I120)/1000)-(SUMIF(B118:B120,B112,H118:I120)/1000)-(SUMIF(J118:J120,B112,D118:E120)/1000)+0.003,"")</f>
        <v>2.0070000000000001</v>
      </c>
      <c r="N112" s="20" t="str">
        <f>IF(B112="","",B112)</f>
        <v>BERNARDO PAGETTI GUEDES</v>
      </c>
      <c r="O112" s="20">
        <f>IF(B112&lt;&gt;"",LARGE(M112:M114,1),"")</f>
        <v>2.0070000000000001</v>
      </c>
      <c r="P112" s="20" t="str">
        <f>VLOOKUP(O112,M112:N114,2,0)</f>
        <v>BERNARDO PAGETTI GUEDES</v>
      </c>
    </row>
    <row r="113" spans="2:16" ht="18" customHeight="1" x14ac:dyDescent="0.25">
      <c r="B113" s="33" t="s">
        <v>601</v>
      </c>
      <c r="C113" s="33" t="str">
        <f>IFERROR(IF(B113="","",VLOOKUP(B113,LISTAS!$F$5:$G$1004,2,0)),"0")</f>
        <v>BYE</v>
      </c>
      <c r="D113" s="33" t="str">
        <f>IF(H112&lt;3,"",IF(H112=3,IF(D119&lt;&gt;"",IF(H119&lt;&gt;"",IF(D119&lt;&gt;H119,IF(D119&gt;H119,"V","D"),""),""),"")))</f>
        <v>D</v>
      </c>
      <c r="E113" s="33" t="str">
        <f>IF(H112&lt;3,"",IF(H112=3,IF(D120&lt;&gt;"",IF(H120&lt;&gt;"",IF(D120&lt;&gt;H120,IF(D120&gt;H120,"D","V"),""),""),"")))</f>
        <v>D</v>
      </c>
      <c r="F113" s="33" t="s">
        <v>81</v>
      </c>
      <c r="G113" s="33" t="s">
        <v>81</v>
      </c>
      <c r="H113" s="117"/>
      <c r="I113" s="33">
        <f>IF(B113&lt;&gt;"",2,"")</f>
        <v>2</v>
      </c>
      <c r="J113" s="33" t="str">
        <f>IF(I113&lt;&gt;"",P113,"")</f>
        <v>BRUNO PICHELLI ZUCHETTO</v>
      </c>
      <c r="K113" s="33" t="str">
        <f>IFERROR(IF(J113="","",VLOOKUP(J113,LISTAS!$F$5:$G$1004,2,0)),"0")</f>
        <v>COLÉGIO SINGULAR SÃO CAETANO</v>
      </c>
      <c r="L113" s="130" t="str">
        <f>IF(H112=3,"PRATA",IF(H112=4,"OURO",IF(H112=5,"OURO","")))</f>
        <v>PRATA</v>
      </c>
      <c r="M113" s="20">
        <f>IF(B113&lt;&gt;"",COUNTIF(D113:G113,"V")+(SUMIF(B118:B120,B113,D118:E120)/1000)+(SUMIF(J118:J120,B113,H118:I120)/1000)-(SUMIF(B118:B120,B113,H118:I120)/1000)-(SUMIF(J118:J120,B113,D118:E120)/1000)+0.002,"")</f>
        <v>-2E-3</v>
      </c>
      <c r="N113" s="20" t="str">
        <f t="shared" ref="N113" si="7">IF(B113="","",B113)</f>
        <v>BYE</v>
      </c>
      <c r="O113" s="20">
        <f>IF(B113&lt;&gt;"",LARGE(M112:M114,2),"")</f>
        <v>1.0009999999999999</v>
      </c>
      <c r="P113" s="20" t="str">
        <f>VLOOKUP(O113,M112:N114,2,0)</f>
        <v>BRUNO PICHELLI ZUCHETTO</v>
      </c>
    </row>
    <row r="114" spans="2:16" ht="18" customHeight="1" x14ac:dyDescent="0.25">
      <c r="B114" s="33" t="s">
        <v>388</v>
      </c>
      <c r="C114" s="33" t="str">
        <f>IFERROR(IF(B114="","",VLOOKUP(B114,LISTAS!$F$5:$G$1004,2,0)),"0")</f>
        <v>COLÉGIO SINGULAR SÃO CAETANO</v>
      </c>
      <c r="D114" s="33" t="str">
        <f>IF(H112&lt;3,"",IF(H112=3,IF(D118&lt;&gt;"",IF(H118&lt;&gt;"",IF(D118&lt;&gt;H118,IF(D118&gt;H118,"D","V"),""),""),"")))</f>
        <v>D</v>
      </c>
      <c r="E114" s="33" t="str">
        <f>IF(H112&lt;3,"",IF(H112=3,IF(D119&lt;&gt;"",IF(H119&lt;&gt;"",IF(D119&lt;&gt;H119,IF(D119&gt;H119,"D","V"),""),""),"")))</f>
        <v>V</v>
      </c>
      <c r="F114" s="33" t="s">
        <v>81</v>
      </c>
      <c r="G114" s="33" t="s">
        <v>81</v>
      </c>
      <c r="H114" s="117"/>
      <c r="I114" s="33">
        <f>IF(B114&lt;&gt;"",3,"")</f>
        <v>3</v>
      </c>
      <c r="J114" s="33" t="str">
        <f>IF(I114&lt;&gt;"",P114,"")</f>
        <v>BYE</v>
      </c>
      <c r="K114" s="33" t="str">
        <f>IFERROR(IF(J114="","",VLOOKUP(J114,LISTAS!$F$5:$G$1004,2,0)),"0")</f>
        <v>BYE</v>
      </c>
      <c r="L114" s="130" t="str">
        <f>IF(H112=3,"BRONZE",IF(H112=4,"PRATA",IF(H112=5,"OURO","")))</f>
        <v>BRONZE</v>
      </c>
      <c r="M114" s="20">
        <f>IF(B114&lt;&gt;"",COUNTIF(D114:G114,"V")+(SUMIF(B118:B120,B114,D118:E120)/1000)+(SUMIF(J118:J120,B114,H118:I120)/1000)-(SUMIF(B118:B120,B114,H118:I120)/1000)-(SUMIF(J118:J120,B114,D118:E120)/1000)+0.001,"")</f>
        <v>1.0009999999999999</v>
      </c>
      <c r="N114" s="20" t="str">
        <f>IF(B114="","",B114)</f>
        <v>BRUNO PICHELLI ZUCHETTO</v>
      </c>
      <c r="O114" s="20">
        <f>IF(B114&lt;&gt;"",LARGE(M112:M114,3),"")</f>
        <v>-2E-3</v>
      </c>
      <c r="P114" s="20" t="str">
        <f>VLOOKUP(O114,M112:N114,2,0)</f>
        <v>BYE</v>
      </c>
    </row>
    <row r="115" spans="2:16" ht="18" customHeight="1" x14ac:dyDescent="0.25">
      <c r="B115" s="79"/>
      <c r="C115" s="79"/>
      <c r="D115" s="79"/>
      <c r="E115" s="79"/>
      <c r="F115" s="79"/>
      <c r="G115" s="79"/>
      <c r="I115" s="80"/>
      <c r="J115" s="79"/>
      <c r="K115" s="81"/>
      <c r="L115" s="81"/>
    </row>
    <row r="116" spans="2:16" ht="23.25" customHeight="1" x14ac:dyDescent="0.25">
      <c r="B116" s="82" t="s">
        <v>40</v>
      </c>
      <c r="C116" s="79"/>
      <c r="D116" s="79"/>
      <c r="E116" s="79"/>
      <c r="F116" s="79"/>
      <c r="G116" s="79"/>
      <c r="H116" s="79"/>
      <c r="I116" s="79"/>
      <c r="J116" s="79"/>
      <c r="K116" s="79"/>
      <c r="L116" s="79"/>
    </row>
    <row r="117" spans="2:16" ht="18" customHeight="1" x14ac:dyDescent="0.25">
      <c r="B117" s="132" t="s">
        <v>15</v>
      </c>
      <c r="C117" s="132" t="s">
        <v>0</v>
      </c>
      <c r="D117" s="258" t="s">
        <v>41</v>
      </c>
      <c r="E117" s="259"/>
      <c r="F117" s="259"/>
      <c r="G117" s="259"/>
      <c r="H117" s="259"/>
      <c r="I117" s="260"/>
      <c r="J117" s="132" t="s">
        <v>15</v>
      </c>
      <c r="K117" s="132" t="s">
        <v>0</v>
      </c>
      <c r="L117" s="79"/>
    </row>
    <row r="118" spans="2:16" ht="18" customHeight="1" x14ac:dyDescent="0.25">
      <c r="B118" s="33" t="str">
        <f>IF(H112=3,B112,"")</f>
        <v>BERNARDO PAGETTI GUEDES</v>
      </c>
      <c r="C118" s="33" t="str">
        <f>IFERROR(IF(B118="","",VLOOKUP(B118,LISTAS!$F$5:$G$1004,2,0)),"0")</f>
        <v>ABACO IPIRANGA</v>
      </c>
      <c r="D118" s="253">
        <v>2</v>
      </c>
      <c r="E118" s="254"/>
      <c r="F118" s="253" t="s">
        <v>38</v>
      </c>
      <c r="G118" s="254"/>
      <c r="H118" s="253">
        <v>0</v>
      </c>
      <c r="I118" s="254"/>
      <c r="J118" s="111" t="str">
        <f>IF(H112=3,B114,"")</f>
        <v>BRUNO PICHELLI ZUCHETTO</v>
      </c>
      <c r="K118" s="33" t="str">
        <f>IFERROR(IF(J118="","",VLOOKUP(J118,LISTAS!$F$5:$G$1004,2,0)),"0")</f>
        <v>COLÉGIO SINGULAR SÃO CAETANO</v>
      </c>
      <c r="L118" s="81"/>
    </row>
    <row r="119" spans="2:16" ht="18" customHeight="1" x14ac:dyDescent="0.25">
      <c r="B119" s="33" t="str">
        <f>IF(H112=3,B113,"")</f>
        <v>BYE</v>
      </c>
      <c r="C119" s="33" t="str">
        <f>IFERROR(IF(B119="","",VLOOKUP(B119,LISTAS!$F$5:$G$1004,2,0)),"0")</f>
        <v>BYE</v>
      </c>
      <c r="D119" s="253">
        <v>0</v>
      </c>
      <c r="E119" s="254"/>
      <c r="F119" s="253" t="s">
        <v>38</v>
      </c>
      <c r="G119" s="254"/>
      <c r="H119" s="253">
        <v>2</v>
      </c>
      <c r="I119" s="254"/>
      <c r="J119" s="111" t="str">
        <f>IF(H112=3,B114,"")</f>
        <v>BRUNO PICHELLI ZUCHETTO</v>
      </c>
      <c r="K119" s="33" t="str">
        <f>IFERROR(IF(J119="","",VLOOKUP(J119,LISTAS!$F$5:$G$1004,2,0)),"0")</f>
        <v>COLÉGIO SINGULAR SÃO CAETANO</v>
      </c>
      <c r="L119" s="79"/>
    </row>
    <row r="120" spans="2:16" ht="18" customHeight="1" x14ac:dyDescent="0.25">
      <c r="B120" s="33" t="str">
        <f>IF(H112=3,B112,"")</f>
        <v>BERNARDO PAGETTI GUEDES</v>
      </c>
      <c r="C120" s="33" t="str">
        <f>IFERROR(IF(B120="","",VLOOKUP(B120,LISTAS!$F$5:$G$1004,2,0)),"0")</f>
        <v>ABACO IPIRANGA</v>
      </c>
      <c r="D120" s="253">
        <v>2</v>
      </c>
      <c r="E120" s="254"/>
      <c r="F120" s="253" t="s">
        <v>38</v>
      </c>
      <c r="G120" s="254"/>
      <c r="H120" s="253">
        <v>0</v>
      </c>
      <c r="I120" s="254"/>
      <c r="J120" s="111" t="str">
        <f>IF(H112=3,B113,"")</f>
        <v>BYE</v>
      </c>
      <c r="K120" s="33" t="str">
        <f>IFERROR(IF(J120="","",VLOOKUP(J120,LISTAS!$F$5:$G$1004,2,0)),"0")</f>
        <v>BYE</v>
      </c>
      <c r="L120" s="81"/>
    </row>
    <row r="123" spans="2:16" ht="30" customHeight="1" x14ac:dyDescent="0.25">
      <c r="B123" s="161" t="s">
        <v>53</v>
      </c>
      <c r="C123" s="79"/>
      <c r="D123" s="255" t="s">
        <v>42</v>
      </c>
      <c r="E123" s="256"/>
      <c r="F123" s="256"/>
      <c r="G123" s="257"/>
      <c r="H123" s="113"/>
      <c r="I123" s="255" t="s">
        <v>3</v>
      </c>
      <c r="J123" s="256"/>
      <c r="K123" s="256"/>
      <c r="L123" s="256"/>
    </row>
    <row r="124" spans="2:16" ht="18" customHeight="1" x14ac:dyDescent="0.25">
      <c r="B124" s="132" t="s">
        <v>15</v>
      </c>
      <c r="C124" s="132" t="s">
        <v>0</v>
      </c>
      <c r="D124" s="132" t="s">
        <v>43</v>
      </c>
      <c r="E124" s="132" t="s">
        <v>44</v>
      </c>
      <c r="F124" s="132" t="s">
        <v>77</v>
      </c>
      <c r="G124" s="132" t="s">
        <v>78</v>
      </c>
      <c r="H124" s="114"/>
      <c r="I124" s="132" t="s">
        <v>18</v>
      </c>
      <c r="J124" s="132" t="s">
        <v>15</v>
      </c>
      <c r="K124" s="132" t="s">
        <v>0</v>
      </c>
      <c r="L124" s="132" t="s">
        <v>45</v>
      </c>
    </row>
    <row r="125" spans="2:16" ht="18" customHeight="1" x14ac:dyDescent="0.25">
      <c r="B125" s="33" t="s">
        <v>380</v>
      </c>
      <c r="C125" s="33" t="str">
        <f>IFERROR(IF(B125="","",VLOOKUP(B125,LISTAS!$F$5:$G$1004,2,0)),"0")</f>
        <v>COLÉGIO SÃO MAURO</v>
      </c>
      <c r="D125" s="33" t="str">
        <f>IF(H125&lt;3,"",IF(H125=3,IF(D131&lt;&gt;"",IF(H131&lt;&gt;"",IF(D131&lt;&gt;H131,IF(D131&gt;H131,"V","D"),""),""),"")))</f>
        <v>D</v>
      </c>
      <c r="E125" s="33" t="str">
        <f>IF(H125&lt;3,"",IF(H125=3,IF(D133&lt;&gt;"",IF(H133&lt;&gt;"",IF(D133&lt;&gt;H133,IF(D133&gt;H133,"V","D"),""),""),"")))</f>
        <v>D</v>
      </c>
      <c r="F125" s="33" t="s">
        <v>81</v>
      </c>
      <c r="G125" s="33" t="s">
        <v>81</v>
      </c>
      <c r="H125" s="117">
        <f>COUNTA(B125:B127)</f>
        <v>3</v>
      </c>
      <c r="I125" s="33">
        <f>IF(B125&lt;&gt;"",1,"")</f>
        <v>1</v>
      </c>
      <c r="J125" s="33" t="str">
        <f>IF(I125&lt;&gt;"",P125,"")</f>
        <v>BERNARDO CARREIRA GUANDALIGNI</v>
      </c>
      <c r="K125" s="33" t="str">
        <f>IFERROR(IF(J125="","",VLOOKUP(J125,LISTAS!$F$5:$G$1004,2,0)),"0")</f>
        <v>COLÉGIO ARBOS - UNIDADE SANTO ANDRÉ</v>
      </c>
      <c r="L125" s="130" t="str">
        <f>IF(H125=3,"OURO",IF(H125=4,"OURO",IF(H125=5,"OURO","")))</f>
        <v>OURO</v>
      </c>
      <c r="M125" s="20">
        <f>IF(B125&lt;&gt;"",COUNTIF(D125:G125,"V")+(SUMIF(B131:B133,B125,D131:E133)/1000)+(SUMIF(J131:J133,B125,H131:I133)/1000)-(SUMIF(B131:B133,B125,H131:I133)/1000)-(SUMIF(J131:J133,B125,D131:E133)/1000)+0.003,"")</f>
        <v>-1E-3</v>
      </c>
      <c r="N125" s="20" t="str">
        <f>IF(B125="","",B125)</f>
        <v>BENJAMIN OLIVEIRA AMORIM</v>
      </c>
      <c r="O125" s="20">
        <f>IF(B125&lt;&gt;"",LARGE(M125:M127,1),"")</f>
        <v>2.0049999999999994</v>
      </c>
      <c r="P125" s="20" t="str">
        <f>VLOOKUP(O125,M125:N127,2,0)</f>
        <v>BERNARDO CARREIRA GUANDALIGNI</v>
      </c>
    </row>
    <row r="126" spans="2:16" ht="18" customHeight="1" x14ac:dyDescent="0.25">
      <c r="B126" s="33" t="s">
        <v>384</v>
      </c>
      <c r="C126" s="33" t="str">
        <f>IFERROR(IF(B126="","",VLOOKUP(B126,LISTAS!$F$5:$G$1004,2,0)),"0")</f>
        <v>COLÉGIO ARBOS - UNIDADE SANTO ANDRÉ</v>
      </c>
      <c r="D126" s="33" t="str">
        <f>IF(H125&lt;3,"",IF(H125=3,IF(D132&lt;&gt;"",IF(H132&lt;&gt;"",IF(D132&lt;&gt;H132,IF(D132&gt;H132,"V","D"),""),""),"")))</f>
        <v>V</v>
      </c>
      <c r="E126" s="33" t="str">
        <f>IF(H125&lt;3,"",IF(H125=3,IF(D133&lt;&gt;"",IF(H133&lt;&gt;"",IF(D133&lt;&gt;H133,IF(D133&gt;H133,"D","V"),""),""),"")))</f>
        <v>V</v>
      </c>
      <c r="F126" s="33" t="s">
        <v>81</v>
      </c>
      <c r="G126" s="33" t="s">
        <v>81</v>
      </c>
      <c r="H126" s="117"/>
      <c r="I126" s="33">
        <f>IF(B126&lt;&gt;"",2,"")</f>
        <v>2</v>
      </c>
      <c r="J126" s="33" t="str">
        <f>IF(I126&lt;&gt;"",P126,"")</f>
        <v>GABRIEL LOURENÇO LESSA</v>
      </c>
      <c r="K126" s="33" t="str">
        <f>IFERROR(IF(J126="","",VLOOKUP(J126,LISTAS!$F$5:$G$1004,2,0)),"0")</f>
        <v>CENTRO DE ESTUDOS JÚLIO VERNE</v>
      </c>
      <c r="L126" s="130" t="str">
        <f>IF(H125=3,"PRATA",IF(H125=4,"OURO",IF(H125=5,"OURO","")))</f>
        <v>PRATA</v>
      </c>
      <c r="M126" s="20">
        <f>IF(B126&lt;&gt;"",COUNTIF(D126:G126,"V")+(SUMIF(B131:B133,B126,D131:E133)/1000)+(SUMIF(J131:J133,B126,H131:I133)/1000)-(SUMIF(B131:B133,B126,H131:I133)/1000)-(SUMIF(J131:J133,B126,D131:E133)/1000)+0.002,"")</f>
        <v>2.0049999999999994</v>
      </c>
      <c r="N126" s="20" t="str">
        <f t="shared" ref="N126" si="8">IF(B126="","",B126)</f>
        <v>BERNARDO CARREIRA GUANDALIGNI</v>
      </c>
      <c r="O126" s="20">
        <f>IF(B126&lt;&gt;"",LARGE(M125:M127,2),"")</f>
        <v>1.0019999999999998</v>
      </c>
      <c r="P126" s="20" t="str">
        <f>VLOOKUP(O126,M125:N127,2,0)</f>
        <v>GABRIEL LOURENÇO LESSA</v>
      </c>
    </row>
    <row r="127" spans="2:16" ht="18" customHeight="1" x14ac:dyDescent="0.25">
      <c r="B127" s="33" t="s">
        <v>409</v>
      </c>
      <c r="C127" s="33" t="str">
        <f>IFERROR(IF(B127="","",VLOOKUP(B127,LISTAS!$F$5:$G$1004,2,0)),"0")</f>
        <v>CENTRO DE ESTUDOS JÚLIO VERNE</v>
      </c>
      <c r="D127" s="33" t="str">
        <f>IF(H125&lt;3,"",IF(H125=3,IF(D131&lt;&gt;"",IF(H131&lt;&gt;"",IF(D131&lt;&gt;H131,IF(D131&gt;H131,"D","V"),""),""),"")))</f>
        <v>V</v>
      </c>
      <c r="E127" s="33" t="str">
        <f>IF(H125&lt;3,"",IF(H125=3,IF(D132&lt;&gt;"",IF(H132&lt;&gt;"",IF(D132&lt;&gt;H132,IF(D132&gt;H132,"D","V"),""),""),"")))</f>
        <v>D</v>
      </c>
      <c r="F127" s="33" t="s">
        <v>81</v>
      </c>
      <c r="G127" s="33" t="s">
        <v>81</v>
      </c>
      <c r="H127" s="117"/>
      <c r="I127" s="33">
        <f>IF(B127&lt;&gt;"",3,"")</f>
        <v>3</v>
      </c>
      <c r="J127" s="33" t="str">
        <f>IF(I127&lt;&gt;"",P127,"")</f>
        <v>BENJAMIN OLIVEIRA AMORIM</v>
      </c>
      <c r="K127" s="33" t="str">
        <f>IFERROR(IF(J127="","",VLOOKUP(J127,LISTAS!$F$5:$G$1004,2,0)),"0")</f>
        <v>COLÉGIO SÃO MAURO</v>
      </c>
      <c r="L127" s="130" t="str">
        <f>IF(H125=3,"BRONZE",IF(H125=4,"PRATA",IF(H125=5,"OURO","")))</f>
        <v>BRONZE</v>
      </c>
      <c r="M127" s="20">
        <f>IF(B127&lt;&gt;"",COUNTIF(D127:G127,"V")+(SUMIF(B131:B133,B127,D131:E133)/1000)+(SUMIF(J131:J133,B127,H131:I133)/1000)-(SUMIF(B131:B133,B127,H131:I133)/1000)-(SUMIF(J131:J133,B127,D131:E133)/1000)+0.001,"")</f>
        <v>1.0019999999999998</v>
      </c>
      <c r="N127" s="20" t="str">
        <f>IF(B127="","",B127)</f>
        <v>GABRIEL LOURENÇO LESSA</v>
      </c>
      <c r="O127" s="20">
        <f>IF(B127&lt;&gt;"",LARGE(M125:M127,3),"")</f>
        <v>-1E-3</v>
      </c>
      <c r="P127" s="20" t="str">
        <f>VLOOKUP(O127,M125:N127,2,0)</f>
        <v>BENJAMIN OLIVEIRA AMORIM</v>
      </c>
    </row>
    <row r="128" spans="2:16" ht="18" customHeight="1" x14ac:dyDescent="0.25">
      <c r="B128" s="79"/>
      <c r="C128" s="79"/>
      <c r="D128" s="79"/>
      <c r="E128" s="79"/>
      <c r="F128" s="79"/>
      <c r="G128" s="79"/>
      <c r="I128" s="80"/>
      <c r="J128" s="79"/>
      <c r="K128" s="81"/>
      <c r="L128" s="81"/>
    </row>
    <row r="129" spans="2:16" ht="23.25" customHeight="1" x14ac:dyDescent="0.25">
      <c r="B129" s="82" t="s">
        <v>40</v>
      </c>
      <c r="C129" s="79"/>
      <c r="D129" s="79"/>
      <c r="E129" s="79"/>
      <c r="F129" s="79"/>
      <c r="G129" s="79"/>
      <c r="H129" s="79"/>
      <c r="I129" s="79"/>
      <c r="J129" s="79"/>
      <c r="K129" s="79"/>
      <c r="L129" s="79"/>
    </row>
    <row r="130" spans="2:16" ht="18" customHeight="1" x14ac:dyDescent="0.25">
      <c r="B130" s="132" t="s">
        <v>15</v>
      </c>
      <c r="C130" s="132" t="s">
        <v>0</v>
      </c>
      <c r="D130" s="258" t="s">
        <v>41</v>
      </c>
      <c r="E130" s="259"/>
      <c r="F130" s="259"/>
      <c r="G130" s="259"/>
      <c r="H130" s="259"/>
      <c r="I130" s="260"/>
      <c r="J130" s="132" t="s">
        <v>15</v>
      </c>
      <c r="K130" s="132" t="s">
        <v>0</v>
      </c>
      <c r="L130" s="79"/>
    </row>
    <row r="131" spans="2:16" ht="18" customHeight="1" x14ac:dyDescent="0.25">
      <c r="B131" s="33" t="str">
        <f>IF(H125=3,B125,"")</f>
        <v>BENJAMIN OLIVEIRA AMORIM</v>
      </c>
      <c r="C131" s="33" t="str">
        <f>IFERROR(IF(B131="","",VLOOKUP(B131,LISTAS!$F$5:$G$1004,2,0)),"0")</f>
        <v>COLÉGIO SÃO MAURO</v>
      </c>
      <c r="D131" s="253">
        <v>0</v>
      </c>
      <c r="E131" s="254"/>
      <c r="F131" s="253" t="s">
        <v>38</v>
      </c>
      <c r="G131" s="254"/>
      <c r="H131" s="253">
        <v>2</v>
      </c>
      <c r="I131" s="254"/>
      <c r="J131" s="111" t="str">
        <f>IF(H125=3,B127,"")</f>
        <v>GABRIEL LOURENÇO LESSA</v>
      </c>
      <c r="K131" s="33" t="str">
        <f>IFERROR(IF(J131="","",VLOOKUP(J131,LISTAS!$F$5:$G$1004,2,0)),"0")</f>
        <v>CENTRO DE ESTUDOS JÚLIO VERNE</v>
      </c>
      <c r="L131" s="81"/>
    </row>
    <row r="132" spans="2:16" ht="18" customHeight="1" x14ac:dyDescent="0.25">
      <c r="B132" s="33" t="str">
        <f>IF(H125=3,B126,"")</f>
        <v>BERNARDO CARREIRA GUANDALIGNI</v>
      </c>
      <c r="C132" s="33" t="str">
        <f>IFERROR(IF(B132="","",VLOOKUP(B132,LISTAS!$F$5:$G$1004,2,0)),"0")</f>
        <v>COLÉGIO ARBOS - UNIDADE SANTO ANDRÉ</v>
      </c>
      <c r="D132" s="253">
        <v>2</v>
      </c>
      <c r="E132" s="254"/>
      <c r="F132" s="253" t="s">
        <v>38</v>
      </c>
      <c r="G132" s="254"/>
      <c r="H132" s="253">
        <v>1</v>
      </c>
      <c r="I132" s="254"/>
      <c r="J132" s="111" t="str">
        <f>IF(H125=3,B127,"")</f>
        <v>GABRIEL LOURENÇO LESSA</v>
      </c>
      <c r="K132" s="33" t="str">
        <f>IFERROR(IF(J132="","",VLOOKUP(J132,LISTAS!$F$5:$G$1004,2,0)),"0")</f>
        <v>CENTRO DE ESTUDOS JÚLIO VERNE</v>
      </c>
      <c r="L132" s="79"/>
    </row>
    <row r="133" spans="2:16" ht="18" customHeight="1" x14ac:dyDescent="0.25">
      <c r="B133" s="33" t="str">
        <f>IF(H125=3,B125,"")</f>
        <v>BENJAMIN OLIVEIRA AMORIM</v>
      </c>
      <c r="C133" s="33" t="str">
        <f>IFERROR(IF(B133="","",VLOOKUP(B133,LISTAS!$F$5:$G$1004,2,0)),"0")</f>
        <v>COLÉGIO SÃO MAURO</v>
      </c>
      <c r="D133" s="253">
        <v>0</v>
      </c>
      <c r="E133" s="254"/>
      <c r="F133" s="253" t="s">
        <v>38</v>
      </c>
      <c r="G133" s="254"/>
      <c r="H133" s="253">
        <v>2</v>
      </c>
      <c r="I133" s="254"/>
      <c r="J133" s="111" t="str">
        <f>IF(H125=3,B126,"")</f>
        <v>BERNARDO CARREIRA GUANDALIGNI</v>
      </c>
      <c r="K133" s="33" t="str">
        <f>IFERROR(IF(J133="","",VLOOKUP(J133,LISTAS!$F$5:$G$1004,2,0)),"0")</f>
        <v>COLÉGIO ARBOS - UNIDADE SANTO ANDRÉ</v>
      </c>
      <c r="L133" s="81"/>
    </row>
    <row r="136" spans="2:16" ht="30" customHeight="1" x14ac:dyDescent="0.25">
      <c r="B136" s="161" t="s">
        <v>54</v>
      </c>
      <c r="C136" s="79"/>
      <c r="D136" s="255" t="s">
        <v>42</v>
      </c>
      <c r="E136" s="256"/>
      <c r="F136" s="256"/>
      <c r="G136" s="257"/>
      <c r="H136" s="113"/>
      <c r="I136" s="255" t="s">
        <v>3</v>
      </c>
      <c r="J136" s="256"/>
      <c r="K136" s="256"/>
      <c r="L136" s="256"/>
    </row>
    <row r="137" spans="2:16" ht="18" customHeight="1" x14ac:dyDescent="0.25">
      <c r="B137" s="132" t="s">
        <v>15</v>
      </c>
      <c r="C137" s="132" t="s">
        <v>0</v>
      </c>
      <c r="D137" s="132" t="s">
        <v>43</v>
      </c>
      <c r="E137" s="132" t="s">
        <v>44</v>
      </c>
      <c r="F137" s="132" t="s">
        <v>77</v>
      </c>
      <c r="G137" s="132" t="s">
        <v>78</v>
      </c>
      <c r="H137" s="114"/>
      <c r="I137" s="132" t="s">
        <v>18</v>
      </c>
      <c r="J137" s="132" t="s">
        <v>15</v>
      </c>
      <c r="K137" s="132" t="s">
        <v>0</v>
      </c>
      <c r="L137" s="132" t="s">
        <v>45</v>
      </c>
    </row>
    <row r="138" spans="2:16" ht="18" customHeight="1" x14ac:dyDescent="0.25">
      <c r="B138" s="33" t="s">
        <v>416</v>
      </c>
      <c r="C138" s="33" t="str">
        <f>IFERROR(IF(B138="","",VLOOKUP(B138,LISTAS!$F$5:$G$1004,2,0)),"0")</f>
        <v>CENTRO DE ESTUDOS JÚLIO VERNE</v>
      </c>
      <c r="D138" s="33" t="str">
        <f>IF(H138&lt;3,"",IF(H138=3,IF(D144&lt;&gt;"",IF(H144&lt;&gt;"",IF(D144&lt;&gt;H144,IF(D144&gt;H144,"V","D"),""),""),"")))</f>
        <v>D</v>
      </c>
      <c r="E138" s="33" t="str">
        <f>IF(H138&lt;3,"",IF(H138=3,IF(D146&lt;&gt;"",IF(H146&lt;&gt;"",IF(D146&lt;&gt;H146,IF(D146&gt;H146,"V","D"),""),""),"")))</f>
        <v>V</v>
      </c>
      <c r="F138" s="33" t="s">
        <v>81</v>
      </c>
      <c r="G138" s="33" t="s">
        <v>81</v>
      </c>
      <c r="H138" s="117">
        <f>COUNTA(B138:B140)</f>
        <v>3</v>
      </c>
      <c r="I138" s="33">
        <f>IF(B138&lt;&gt;"",1,"")</f>
        <v>1</v>
      </c>
      <c r="J138" s="33" t="str">
        <f>IF(I138&lt;&gt;"",P138,"")</f>
        <v>BENICIO LOURENÇON VARELA SCOPEL</v>
      </c>
      <c r="K138" s="33" t="str">
        <f>IFERROR(IF(J138="","",VLOOKUP(J138,LISTAS!$F$5:$G$1004,2,0)),"0")</f>
        <v>COLEGIO PETROPOLIS</v>
      </c>
      <c r="L138" s="130" t="str">
        <f>IF(H138=3,"OURO",IF(H138=4,"OURO",IF(H138=5,"OURO","")))</f>
        <v>OURO</v>
      </c>
      <c r="M138" s="20">
        <f>IF(B138&lt;&gt;"",COUNTIF(D138:G138,"V")+(SUMIF(B144:B146,B138,D144:E146)/1000)+(SUMIF(J144:J146,B138,H144:I146)/1000)-(SUMIF(B144:B146,B138,H144:I146)/1000)-(SUMIF(J144:J146,B138,D144:E146)/1000)+0.003,"")</f>
        <v>1.0039999999999998</v>
      </c>
      <c r="N138" s="20" t="str">
        <f>IF(B138="","",B138)</f>
        <v>GUSTAVO NOGUEIRA FEITOSA</v>
      </c>
      <c r="O138" s="20">
        <f>IF(B138&lt;&gt;"",LARGE(M138:M140,1),"")</f>
        <v>2.0030000000000001</v>
      </c>
      <c r="P138" s="20" t="str">
        <f>VLOOKUP(O138,M138:N140,2,0)</f>
        <v>BENICIO LOURENÇON VARELA SCOPEL</v>
      </c>
    </row>
    <row r="139" spans="2:16" ht="18" customHeight="1" x14ac:dyDescent="0.25">
      <c r="B139" s="33" t="s">
        <v>389</v>
      </c>
      <c r="C139" s="33" t="str">
        <f>IFERROR(IF(B139="","",VLOOKUP(B139,LISTAS!$F$5:$G$1004,2,0)),"0")</f>
        <v>ABACO IPIRANGA</v>
      </c>
      <c r="D139" s="33" t="str">
        <f>IF(H138&lt;3,"",IF(H138=3,IF(D145&lt;&gt;"",IF(H145&lt;&gt;"",IF(D145&lt;&gt;H145,IF(D145&gt;H145,"V","D"),""),""),"")))</f>
        <v>D</v>
      </c>
      <c r="E139" s="33" t="str">
        <f>IF(H138&lt;3,"",IF(H138=3,IF(D146&lt;&gt;"",IF(H146&lt;&gt;"",IF(D146&lt;&gt;H146,IF(D146&gt;H146,"D","V"),""),""),"")))</f>
        <v>D</v>
      </c>
      <c r="F139" s="33" t="s">
        <v>81</v>
      </c>
      <c r="G139" s="33" t="s">
        <v>81</v>
      </c>
      <c r="H139" s="117"/>
      <c r="I139" s="33">
        <f>IF(B139&lt;&gt;"",2,"")</f>
        <v>2</v>
      </c>
      <c r="J139" s="33" t="str">
        <f>IF(I139&lt;&gt;"",P139,"")</f>
        <v>GUSTAVO NOGUEIRA FEITOSA</v>
      </c>
      <c r="K139" s="33" t="str">
        <f>IFERROR(IF(J139="","",VLOOKUP(J139,LISTAS!$F$5:$G$1004,2,0)),"0")</f>
        <v>CENTRO DE ESTUDOS JÚLIO VERNE</v>
      </c>
      <c r="L139" s="130" t="str">
        <f>IF(H138=3,"PRATA",IF(H138=4,"OURO",IF(H138=5,"OURO","")))</f>
        <v>PRATA</v>
      </c>
      <c r="M139" s="20">
        <f>IF(B139&lt;&gt;"",COUNTIF(D139:G139,"V")+(SUMIF(B144:B146,B139,D144:E146)/1000)+(SUMIF(J144:J146,B139,H144:I146)/1000)-(SUMIF(B144:B146,B139,H144:I146)/1000)-(SUMIF(J144:J146,B139,D144:E146)/1000)+0.002,"")</f>
        <v>-1E-3</v>
      </c>
      <c r="N139" s="20" t="str">
        <f t="shared" ref="N139" si="9">IF(B139="","",B139)</f>
        <v>CALVIN DELAZERI</v>
      </c>
      <c r="O139" s="20">
        <f>IF(B139&lt;&gt;"",LARGE(M138:M140,2),"")</f>
        <v>1.0039999999999998</v>
      </c>
      <c r="P139" s="20" t="str">
        <f>VLOOKUP(O139,M138:N140,2,0)</f>
        <v>GUSTAVO NOGUEIRA FEITOSA</v>
      </c>
    </row>
    <row r="140" spans="2:16" ht="18" customHeight="1" x14ac:dyDescent="0.25">
      <c r="B140" s="33" t="s">
        <v>379</v>
      </c>
      <c r="C140" s="33" t="str">
        <f>IFERROR(IF(B140="","",VLOOKUP(B140,LISTAS!$F$5:$G$1004,2,0)),"0")</f>
        <v>COLEGIO PETROPOLIS</v>
      </c>
      <c r="D140" s="33" t="str">
        <f>IF(H138&lt;3,"",IF(H138=3,IF(D144&lt;&gt;"",IF(H144&lt;&gt;"",IF(D144&lt;&gt;H144,IF(D144&gt;H144,"D","V"),""),""),"")))</f>
        <v>V</v>
      </c>
      <c r="E140" s="33" t="str">
        <f>IF(H138&lt;3,"",IF(H138=3,IF(D145&lt;&gt;"",IF(H145&lt;&gt;"",IF(D145&lt;&gt;H145,IF(D145&gt;H145,"D","V"),""),""),"")))</f>
        <v>V</v>
      </c>
      <c r="F140" s="33" t="s">
        <v>81</v>
      </c>
      <c r="G140" s="33" t="s">
        <v>81</v>
      </c>
      <c r="H140" s="117"/>
      <c r="I140" s="33">
        <f>IF(B140&lt;&gt;"",3,"")</f>
        <v>3</v>
      </c>
      <c r="J140" s="33" t="str">
        <f>IF(I140&lt;&gt;"",P140,"")</f>
        <v>CALVIN DELAZERI</v>
      </c>
      <c r="K140" s="33" t="str">
        <f>IFERROR(IF(J140="","",VLOOKUP(J140,LISTAS!$F$5:$G$1004,2,0)),"0")</f>
        <v>ABACO IPIRANGA</v>
      </c>
      <c r="L140" s="130" t="str">
        <f>IF(H138=3,"BRONZE",IF(H138=4,"PRATA",IF(H138=5,"OURO","")))</f>
        <v>BRONZE</v>
      </c>
      <c r="M140" s="20">
        <f>IF(B140&lt;&gt;"",COUNTIF(D140:G140,"V")+(SUMIF(B144:B146,B140,D144:E146)/1000)+(SUMIF(J144:J146,B140,H144:I146)/1000)-(SUMIF(B144:B146,B140,H144:I146)/1000)-(SUMIF(J144:J146,B140,D144:E146)/1000)+0.001,"")</f>
        <v>2.0030000000000001</v>
      </c>
      <c r="N140" s="20" t="str">
        <f>IF(B140="","",B140)</f>
        <v>BENICIO LOURENÇON VARELA SCOPEL</v>
      </c>
      <c r="O140" s="20">
        <f>IF(B140&lt;&gt;"",LARGE(M138:M140,3),"")</f>
        <v>-1E-3</v>
      </c>
      <c r="P140" s="20" t="str">
        <f>VLOOKUP(O140,M138:N140,2,0)</f>
        <v>CALVIN DELAZERI</v>
      </c>
    </row>
    <row r="141" spans="2:16" ht="18" customHeight="1" x14ac:dyDescent="0.25">
      <c r="B141" s="79"/>
      <c r="C141" s="79"/>
      <c r="D141" s="79"/>
      <c r="E141" s="79"/>
      <c r="F141" s="79"/>
      <c r="G141" s="79"/>
      <c r="I141" s="80"/>
      <c r="J141" s="79"/>
      <c r="K141" s="81"/>
      <c r="L141" s="81"/>
    </row>
    <row r="142" spans="2:16" ht="23.25" customHeight="1" x14ac:dyDescent="0.25">
      <c r="B142" s="82" t="s">
        <v>40</v>
      </c>
      <c r="C142" s="79"/>
      <c r="D142" s="79"/>
      <c r="E142" s="79"/>
      <c r="F142" s="79"/>
      <c r="G142" s="79"/>
      <c r="H142" s="79"/>
      <c r="I142" s="79"/>
      <c r="J142" s="79"/>
      <c r="K142" s="79"/>
      <c r="L142" s="79"/>
    </row>
    <row r="143" spans="2:16" ht="18" customHeight="1" x14ac:dyDescent="0.25">
      <c r="B143" s="132" t="s">
        <v>15</v>
      </c>
      <c r="C143" s="132" t="s">
        <v>0</v>
      </c>
      <c r="D143" s="258" t="s">
        <v>41</v>
      </c>
      <c r="E143" s="259"/>
      <c r="F143" s="259"/>
      <c r="G143" s="259"/>
      <c r="H143" s="259"/>
      <c r="I143" s="260"/>
      <c r="J143" s="132" t="s">
        <v>15</v>
      </c>
      <c r="K143" s="132" t="s">
        <v>0</v>
      </c>
      <c r="L143" s="79"/>
    </row>
    <row r="144" spans="2:16" ht="18" customHeight="1" x14ac:dyDescent="0.25">
      <c r="B144" s="33" t="str">
        <f>IF(H138=3,B138,"")</f>
        <v>GUSTAVO NOGUEIRA FEITOSA</v>
      </c>
      <c r="C144" s="33" t="str">
        <f>IFERROR(IF(B144="","",VLOOKUP(B144,LISTAS!$F$5:$G$1004,2,0)),"0")</f>
        <v>CENTRO DE ESTUDOS JÚLIO VERNE</v>
      </c>
      <c r="D144" s="253">
        <v>1</v>
      </c>
      <c r="E144" s="254"/>
      <c r="F144" s="253" t="s">
        <v>38</v>
      </c>
      <c r="G144" s="254"/>
      <c r="H144" s="253">
        <v>2</v>
      </c>
      <c r="I144" s="254"/>
      <c r="J144" s="111" t="str">
        <f>IF(H138=3,B140,"")</f>
        <v>BENICIO LOURENÇON VARELA SCOPEL</v>
      </c>
      <c r="K144" s="33" t="str">
        <f>IFERROR(IF(J144="","",VLOOKUP(J144,LISTAS!$F$5:$G$1004,2,0)),"0")</f>
        <v>COLEGIO PETROPOLIS</v>
      </c>
      <c r="L144" s="81"/>
    </row>
    <row r="145" spans="2:16" ht="18" customHeight="1" x14ac:dyDescent="0.25">
      <c r="B145" s="33" t="str">
        <f>IF(H138=3,B139,"")</f>
        <v>CALVIN DELAZERI</v>
      </c>
      <c r="C145" s="33" t="str">
        <f>IFERROR(IF(B145="","",VLOOKUP(B145,LISTAS!$F$5:$G$1004,2,0)),"0")</f>
        <v>ABACO IPIRANGA</v>
      </c>
      <c r="D145" s="253">
        <v>1</v>
      </c>
      <c r="E145" s="254"/>
      <c r="F145" s="253" t="s">
        <v>38</v>
      </c>
      <c r="G145" s="254"/>
      <c r="H145" s="253">
        <v>2</v>
      </c>
      <c r="I145" s="254"/>
      <c r="J145" s="111" t="str">
        <f>IF(H138=3,B140,"")</f>
        <v>BENICIO LOURENÇON VARELA SCOPEL</v>
      </c>
      <c r="K145" s="33" t="str">
        <f>IFERROR(IF(J145="","",VLOOKUP(J145,LISTAS!$F$5:$G$1004,2,0)),"0")</f>
        <v>COLEGIO PETROPOLIS</v>
      </c>
      <c r="L145" s="79"/>
    </row>
    <row r="146" spans="2:16" ht="18" customHeight="1" x14ac:dyDescent="0.25">
      <c r="B146" s="33" t="str">
        <f>IF(H138=3,B138,"")</f>
        <v>GUSTAVO NOGUEIRA FEITOSA</v>
      </c>
      <c r="C146" s="33" t="str">
        <f>IFERROR(IF(B146="","",VLOOKUP(B146,LISTAS!$F$5:$G$1004,2,0)),"0")</f>
        <v>CENTRO DE ESTUDOS JÚLIO VERNE</v>
      </c>
      <c r="D146" s="253">
        <v>2</v>
      </c>
      <c r="E146" s="254"/>
      <c r="F146" s="253" t="s">
        <v>38</v>
      </c>
      <c r="G146" s="254"/>
      <c r="H146" s="253">
        <v>0</v>
      </c>
      <c r="I146" s="254"/>
      <c r="J146" s="111" t="str">
        <f>IF(H138=3,B139,"")</f>
        <v>CALVIN DELAZERI</v>
      </c>
      <c r="K146" s="33" t="str">
        <f>IFERROR(IF(J146="","",VLOOKUP(J146,LISTAS!$F$5:$G$1004,2,0)),"0")</f>
        <v>ABACO IPIRANGA</v>
      </c>
      <c r="L146" s="81"/>
    </row>
    <row r="149" spans="2:16" ht="30" customHeight="1" x14ac:dyDescent="0.25">
      <c r="B149" s="161" t="s">
        <v>55</v>
      </c>
      <c r="C149" s="79"/>
      <c r="D149" s="255" t="s">
        <v>42</v>
      </c>
      <c r="E149" s="256"/>
      <c r="F149" s="256"/>
      <c r="G149" s="257"/>
      <c r="H149" s="113"/>
      <c r="I149" s="255" t="s">
        <v>3</v>
      </c>
      <c r="J149" s="256"/>
      <c r="K149" s="256"/>
      <c r="L149" s="256"/>
    </row>
    <row r="150" spans="2:16" ht="18" customHeight="1" x14ac:dyDescent="0.25">
      <c r="B150" s="132" t="s">
        <v>15</v>
      </c>
      <c r="C150" s="132" t="s">
        <v>0</v>
      </c>
      <c r="D150" s="132" t="s">
        <v>43</v>
      </c>
      <c r="E150" s="132" t="s">
        <v>44</v>
      </c>
      <c r="F150" s="132" t="s">
        <v>77</v>
      </c>
      <c r="G150" s="132" t="s">
        <v>78</v>
      </c>
      <c r="H150" s="114"/>
      <c r="I150" s="132" t="s">
        <v>18</v>
      </c>
      <c r="J150" s="132" t="s">
        <v>15</v>
      </c>
      <c r="K150" s="132" t="s">
        <v>0</v>
      </c>
      <c r="L150" s="132" t="s">
        <v>45</v>
      </c>
    </row>
    <row r="151" spans="2:16" ht="18" customHeight="1" x14ac:dyDescent="0.25">
      <c r="B151" s="33" t="s">
        <v>601</v>
      </c>
      <c r="C151" s="33" t="str">
        <f>IFERROR(IF(B151="","",VLOOKUP(B151,LISTAS!$F$5:$G$1004,2,0)),"0")</f>
        <v>BYE</v>
      </c>
      <c r="D151" s="33" t="str">
        <f>IF(H151&lt;3,"",IF(H151=3,IF(D157&lt;&gt;"",IF(H157&lt;&gt;"",IF(D157&lt;&gt;H157,IF(D157&gt;H157,"V","D"),""),""),"")))</f>
        <v>D</v>
      </c>
      <c r="E151" s="33" t="str">
        <f>IF(H151&lt;3,"",IF(H151=3,IF(D159&lt;&gt;"",IF(H159&lt;&gt;"",IF(D159&lt;&gt;H159,IF(D159&gt;H159,"V","D"),""),""),"")))</f>
        <v>D</v>
      </c>
      <c r="F151" s="33" t="s">
        <v>81</v>
      </c>
      <c r="G151" s="33" t="s">
        <v>81</v>
      </c>
      <c r="H151" s="117">
        <f>COUNTA(B151:B153)</f>
        <v>3</v>
      </c>
      <c r="I151" s="33">
        <f>IF(B151&lt;&gt;"",1,"")</f>
        <v>1</v>
      </c>
      <c r="J151" s="33" t="str">
        <f>IF(I151&lt;&gt;"",P151,"")</f>
        <v>JULIANO MOLINA DE OLIVEIRA</v>
      </c>
      <c r="K151" s="33" t="str">
        <f>IFERROR(IF(J151="","",VLOOKUP(J151,LISTAS!$F$5:$G$1004,2,0)),"0")</f>
        <v>ESCOLA VILLARE</v>
      </c>
      <c r="L151" s="130" t="str">
        <f>IF(H151=3,"OURO",IF(H151=4,"OURO",IF(H151=5,"OURO","")))</f>
        <v>OURO</v>
      </c>
      <c r="M151" s="20">
        <f>IF(B151&lt;&gt;"",COUNTIF(D151:G151,"V")+(SUMIF(B157:B159,B151,D157:E159)/1000)+(SUMIF(J157:J159,B151,H157:I159)/1000)-(SUMIF(B157:B159,B151,H157:I159)/1000)-(SUMIF(J157:J159,B151,D157:E159)/1000)+0.003,"")</f>
        <v>-1E-3</v>
      </c>
      <c r="N151" s="20" t="str">
        <f>IF(B151="","",B151)</f>
        <v>BYE</v>
      </c>
      <c r="O151" s="20">
        <f>IF(B151&lt;&gt;"",LARGE(M151:M153,1),"")</f>
        <v>2.0049999999999999</v>
      </c>
      <c r="P151" s="20" t="str">
        <f>VLOOKUP(O151,M151:N153,2,0)</f>
        <v>JULIANO MOLINA DE OLIVEIRA</v>
      </c>
    </row>
    <row r="152" spans="2:16" ht="18" customHeight="1" x14ac:dyDescent="0.25">
      <c r="B152" s="33" t="s">
        <v>392</v>
      </c>
      <c r="C152" s="33" t="str">
        <f>IFERROR(IF(B152="","",VLOOKUP(B152,LISTAS!$F$5:$G$1004,2,0)),"0")</f>
        <v>COLÉGIO ARBOS - UNIDADE SANTO ANDRÉ</v>
      </c>
      <c r="D152" s="33" t="str">
        <f>IF(H151&lt;3,"",IF(H151=3,IF(D158&lt;&gt;"",IF(H158&lt;&gt;"",IF(D158&lt;&gt;H158,IF(D158&gt;H158,"V","D"),""),""),"")))</f>
        <v>D</v>
      </c>
      <c r="E152" s="33" t="str">
        <f>IF(H151&lt;3,"",IF(H151=3,IF(D159&lt;&gt;"",IF(H159&lt;&gt;"",IF(D159&lt;&gt;H159,IF(D159&gt;H159,"D","V"),""),""),"")))</f>
        <v>V</v>
      </c>
      <c r="F152" s="33" t="s">
        <v>81</v>
      </c>
      <c r="G152" s="33" t="s">
        <v>81</v>
      </c>
      <c r="H152" s="117"/>
      <c r="I152" s="33">
        <f>IF(B152&lt;&gt;"",2,"")</f>
        <v>2</v>
      </c>
      <c r="J152" s="33" t="str">
        <f>IF(I152&lt;&gt;"",P152,"")</f>
        <v>DANIEL MAYER BONTEMPI</v>
      </c>
      <c r="K152" s="33" t="str">
        <f>IFERROR(IF(J152="","",VLOOKUP(J152,LISTAS!$F$5:$G$1004,2,0)),"0")</f>
        <v>COLÉGIO ARBOS - UNIDADE SANTO ANDRÉ</v>
      </c>
      <c r="L152" s="130" t="str">
        <f>IF(H151=3,"PRATA",IF(H151=4,"OURO",IF(H151=5,"OURO","")))</f>
        <v>PRATA</v>
      </c>
      <c r="M152" s="20">
        <f>IF(B152&lt;&gt;"",COUNTIF(D152:G152,"V")+(SUMIF(B157:B159,B152,D157:E159)/1000)+(SUMIF(J157:J159,B152,H157:I159)/1000)-(SUMIF(B157:B159,B152,H157:I159)/1000)-(SUMIF(J157:J159,B152,D157:E159)/1000)+0.002,"")</f>
        <v>1.002</v>
      </c>
      <c r="N152" s="20" t="str">
        <f t="shared" ref="N152" si="10">IF(B152="","",B152)</f>
        <v>DANIEL MAYER BONTEMPI</v>
      </c>
      <c r="O152" s="20">
        <f>IF(B152&lt;&gt;"",LARGE(M151:M153,2),"")</f>
        <v>1.002</v>
      </c>
      <c r="P152" s="20" t="str">
        <f>VLOOKUP(O152,M151:N153,2,0)</f>
        <v>DANIEL MAYER BONTEMPI</v>
      </c>
    </row>
    <row r="153" spans="2:16" ht="18" customHeight="1" x14ac:dyDescent="0.25">
      <c r="B153" s="33" t="s">
        <v>428</v>
      </c>
      <c r="C153" s="33" t="str">
        <f>IFERROR(IF(B153="","",VLOOKUP(B153,LISTAS!$F$5:$G$1004,2,0)),"0")</f>
        <v>ESCOLA VILLARE</v>
      </c>
      <c r="D153" s="33" t="str">
        <f>IF(H151&lt;3,"",IF(H151=3,IF(D157&lt;&gt;"",IF(H157&lt;&gt;"",IF(D157&lt;&gt;H157,IF(D157&gt;H157,"D","V"),""),""),"")))</f>
        <v>V</v>
      </c>
      <c r="E153" s="33" t="str">
        <f>IF(H151&lt;3,"",IF(H151=3,IF(D158&lt;&gt;"",IF(H158&lt;&gt;"",IF(D158&lt;&gt;H158,IF(D158&gt;H158,"D","V"),""),""),"")))</f>
        <v>V</v>
      </c>
      <c r="F153" s="33" t="s">
        <v>81</v>
      </c>
      <c r="G153" s="33" t="s">
        <v>81</v>
      </c>
      <c r="H153" s="117"/>
      <c r="I153" s="33">
        <f>IF(B153&lt;&gt;"",3,"")</f>
        <v>3</v>
      </c>
      <c r="J153" s="33" t="str">
        <f>IF(I153&lt;&gt;"",P153,"")</f>
        <v>BYE</v>
      </c>
      <c r="K153" s="33" t="str">
        <f>IFERROR(IF(J153="","",VLOOKUP(J153,LISTAS!$F$5:$G$1004,2,0)),"0")</f>
        <v>BYE</v>
      </c>
      <c r="L153" s="130" t="str">
        <f>IF(H151=3,"BRONZE",IF(H151=4,"PRATA",IF(H151=5,"OURO","")))</f>
        <v>BRONZE</v>
      </c>
      <c r="M153" s="20">
        <f>IF(B153&lt;&gt;"",COUNTIF(D153:G153,"V")+(SUMIF(B157:B159,B153,D157:E159)/1000)+(SUMIF(J157:J159,B153,H157:I159)/1000)-(SUMIF(B157:B159,B153,H157:I159)/1000)-(SUMIF(J157:J159,B153,D157:E159)/1000)+0.001,"")</f>
        <v>2.0049999999999999</v>
      </c>
      <c r="N153" s="20" t="str">
        <f>IF(B153="","",B153)</f>
        <v>JULIANO MOLINA DE OLIVEIRA</v>
      </c>
      <c r="O153" s="20">
        <f>IF(B153&lt;&gt;"",LARGE(M151:M153,3),"")</f>
        <v>-1E-3</v>
      </c>
      <c r="P153" s="20" t="str">
        <f>VLOOKUP(O153,M151:N153,2,0)</f>
        <v>BYE</v>
      </c>
    </row>
    <row r="154" spans="2:16" ht="18" customHeight="1" x14ac:dyDescent="0.25">
      <c r="B154" s="79"/>
      <c r="C154" s="79"/>
      <c r="D154" s="79"/>
      <c r="E154" s="79"/>
      <c r="F154" s="79"/>
      <c r="G154" s="79"/>
      <c r="I154" s="80"/>
      <c r="J154" s="79"/>
      <c r="K154" s="81"/>
      <c r="L154" s="81"/>
    </row>
    <row r="155" spans="2:16" ht="23.25" customHeight="1" x14ac:dyDescent="0.25">
      <c r="B155" s="82" t="s">
        <v>40</v>
      </c>
      <c r="C155" s="79"/>
      <c r="D155" s="79"/>
      <c r="E155" s="79"/>
      <c r="F155" s="79"/>
      <c r="G155" s="79"/>
      <c r="H155" s="79"/>
      <c r="I155" s="79"/>
      <c r="J155" s="79"/>
      <c r="K155" s="79"/>
      <c r="L155" s="79"/>
    </row>
    <row r="156" spans="2:16" ht="18" customHeight="1" x14ac:dyDescent="0.25">
      <c r="B156" s="132" t="s">
        <v>15</v>
      </c>
      <c r="C156" s="132" t="s">
        <v>0</v>
      </c>
      <c r="D156" s="258" t="s">
        <v>41</v>
      </c>
      <c r="E156" s="259"/>
      <c r="F156" s="259"/>
      <c r="G156" s="259"/>
      <c r="H156" s="259"/>
      <c r="I156" s="260"/>
      <c r="J156" s="132" t="s">
        <v>15</v>
      </c>
      <c r="K156" s="132" t="s">
        <v>0</v>
      </c>
      <c r="L156" s="79"/>
    </row>
    <row r="157" spans="2:16" ht="18" customHeight="1" x14ac:dyDescent="0.25">
      <c r="B157" s="33" t="str">
        <f>IF(H151=3,B151,"")</f>
        <v>BYE</v>
      </c>
      <c r="C157" s="33" t="str">
        <f>IFERROR(IF(B157="","",VLOOKUP(B157,LISTAS!$F$5:$G$1004,2,0)),"0")</f>
        <v>BYE</v>
      </c>
      <c r="D157" s="253">
        <v>0</v>
      </c>
      <c r="E157" s="254"/>
      <c r="F157" s="253" t="s">
        <v>38</v>
      </c>
      <c r="G157" s="254"/>
      <c r="H157" s="253">
        <v>2</v>
      </c>
      <c r="I157" s="254"/>
      <c r="J157" s="111" t="str">
        <f>IF(H151=3,B153,"")</f>
        <v>JULIANO MOLINA DE OLIVEIRA</v>
      </c>
      <c r="K157" s="33" t="str">
        <f>IFERROR(IF(J157="","",VLOOKUP(J157,LISTAS!$F$5:$G$1004,2,0)),"0")</f>
        <v>ESCOLA VILLARE</v>
      </c>
      <c r="L157" s="81"/>
    </row>
    <row r="158" spans="2:16" ht="18" customHeight="1" x14ac:dyDescent="0.25">
      <c r="B158" s="33" t="str">
        <f>IF(H151=3,B152,"")</f>
        <v>DANIEL MAYER BONTEMPI</v>
      </c>
      <c r="C158" s="33" t="str">
        <f>IFERROR(IF(B158="","",VLOOKUP(B158,LISTAS!$F$5:$G$1004,2,0)),"0")</f>
        <v>COLÉGIO ARBOS - UNIDADE SANTO ANDRÉ</v>
      </c>
      <c r="D158" s="253">
        <v>0</v>
      </c>
      <c r="E158" s="254"/>
      <c r="F158" s="253" t="s">
        <v>38</v>
      </c>
      <c r="G158" s="254"/>
      <c r="H158" s="253">
        <v>2</v>
      </c>
      <c r="I158" s="254"/>
      <c r="J158" s="111" t="str">
        <f>IF(H151=3,B153,"")</f>
        <v>JULIANO MOLINA DE OLIVEIRA</v>
      </c>
      <c r="K158" s="33" t="str">
        <f>IFERROR(IF(J158="","",VLOOKUP(J158,LISTAS!$F$5:$G$1004,2,0)),"0")</f>
        <v>ESCOLA VILLARE</v>
      </c>
      <c r="L158" s="79"/>
    </row>
    <row r="159" spans="2:16" ht="18" customHeight="1" x14ac:dyDescent="0.25">
      <c r="B159" s="33" t="str">
        <f>IF(H151=3,B151,"")</f>
        <v>BYE</v>
      </c>
      <c r="C159" s="33" t="str">
        <f>IFERROR(IF(B159="","",VLOOKUP(B159,LISTAS!$F$5:$G$1004,2,0)),"0")</f>
        <v>BYE</v>
      </c>
      <c r="D159" s="253">
        <v>0</v>
      </c>
      <c r="E159" s="254"/>
      <c r="F159" s="253" t="s">
        <v>38</v>
      </c>
      <c r="G159" s="254"/>
      <c r="H159" s="253">
        <v>2</v>
      </c>
      <c r="I159" s="254"/>
      <c r="J159" s="111" t="str">
        <f>IF(H151=3,B152,"")</f>
        <v>DANIEL MAYER BONTEMPI</v>
      </c>
      <c r="K159" s="33" t="str">
        <f>IFERROR(IF(J159="","",VLOOKUP(J159,LISTAS!$F$5:$G$1004,2,0)),"0")</f>
        <v>COLÉGIO ARBOS - UNIDADE SANTO ANDRÉ</v>
      </c>
      <c r="L159" s="81"/>
    </row>
    <row r="162" spans="2:16" ht="30" customHeight="1" x14ac:dyDescent="0.25">
      <c r="B162" s="161" t="s">
        <v>56</v>
      </c>
      <c r="C162" s="79"/>
      <c r="D162" s="255" t="s">
        <v>42</v>
      </c>
      <c r="E162" s="256"/>
      <c r="F162" s="256"/>
      <c r="G162" s="257"/>
      <c r="H162" s="113"/>
      <c r="I162" s="255" t="s">
        <v>3</v>
      </c>
      <c r="J162" s="256"/>
      <c r="K162" s="256"/>
      <c r="L162" s="256"/>
    </row>
    <row r="163" spans="2:16" ht="18" customHeight="1" x14ac:dyDescent="0.25">
      <c r="B163" s="132" t="s">
        <v>15</v>
      </c>
      <c r="C163" s="132" t="s">
        <v>0</v>
      </c>
      <c r="D163" s="132" t="s">
        <v>43</v>
      </c>
      <c r="E163" s="132" t="s">
        <v>44</v>
      </c>
      <c r="F163" s="132" t="s">
        <v>77</v>
      </c>
      <c r="G163" s="132" t="s">
        <v>78</v>
      </c>
      <c r="H163" s="114"/>
      <c r="I163" s="132" t="s">
        <v>18</v>
      </c>
      <c r="J163" s="132" t="s">
        <v>15</v>
      </c>
      <c r="K163" s="132" t="s">
        <v>0</v>
      </c>
      <c r="L163" s="132" t="s">
        <v>45</v>
      </c>
    </row>
    <row r="164" spans="2:16" ht="18" customHeight="1" x14ac:dyDescent="0.25">
      <c r="B164" s="33" t="s">
        <v>442</v>
      </c>
      <c r="C164" s="33" t="str">
        <f>IFERROR(IF(B164="","",VLOOKUP(B164,LISTAS!$F$5:$G$1004,2,0)),"0")</f>
        <v>ESCOLA VILLARE</v>
      </c>
      <c r="D164" s="33" t="str">
        <f>IF(H164&lt;3,"",IF(H164=3,IF(D170&lt;&gt;"",IF(H170&lt;&gt;"",IF(D170&lt;&gt;H170,IF(D170&gt;H170,"V","D"),""),""),"")))</f>
        <v>V</v>
      </c>
      <c r="E164" s="33" t="str">
        <f>IF(H164&lt;3,"",IF(H164=3,IF(D172&lt;&gt;"",IF(H172&lt;&gt;"",IF(D172&lt;&gt;H172,IF(D172&gt;H172,"V","D"),""),""),"")))</f>
        <v>D</v>
      </c>
      <c r="F164" s="33" t="s">
        <v>81</v>
      </c>
      <c r="G164" s="33" t="s">
        <v>81</v>
      </c>
      <c r="H164" s="117">
        <f>COUNTA(B164:B166)</f>
        <v>3</v>
      </c>
      <c r="I164" s="33">
        <f>IF(B164&lt;&gt;"",1,"")</f>
        <v>1</v>
      </c>
      <c r="J164" s="33" t="str">
        <f>IF(I164&lt;&gt;"",P164,"")</f>
        <v>DAVI POVEDA COELHO</v>
      </c>
      <c r="K164" s="33" t="str">
        <f>IFERROR(IF(J164="","",VLOOKUP(J164,LISTAS!$F$5:$G$1004,2,0)),"0")</f>
        <v>COLÉGIO ARBOS - UNIDADE SANTO ANDRÉ</v>
      </c>
      <c r="L164" s="130" t="str">
        <f>IF(H164=3,"OURO",IF(H164=4,"OURO",IF(H164=5,"OURO","")))</f>
        <v>OURO</v>
      </c>
      <c r="M164" s="20">
        <f>IF(B164&lt;&gt;"",COUNTIF(D164:G164,"V")+(SUMIF(B170:B172,B164,D170:E172)/1000)+(SUMIF(J170:J172,B164,H170:I172)/1000)-(SUMIF(B170:B172,B164,H170:I172)/1000)-(SUMIF(J170:J172,B164,D170:E172)/1000)+0.003,"")</f>
        <v>1.0029999999999999</v>
      </c>
      <c r="N164" s="20" t="str">
        <f>IF(B164="","",B164)</f>
        <v>LUCCA LAW GUASTAPAGLIA</v>
      </c>
      <c r="O164" s="20">
        <f>IF(B164&lt;&gt;"",LARGE(M164:M166,1),"")</f>
        <v>2.0059999999999993</v>
      </c>
      <c r="P164" s="20" t="str">
        <f>VLOOKUP(O164,M164:N166,2,0)</f>
        <v>DAVI POVEDA COELHO</v>
      </c>
    </row>
    <row r="165" spans="2:16" ht="18" customHeight="1" x14ac:dyDescent="0.25">
      <c r="B165" s="33" t="s">
        <v>395</v>
      </c>
      <c r="C165" s="33" t="str">
        <f>IFERROR(IF(B165="","",VLOOKUP(B165,LISTAS!$F$5:$G$1004,2,0)),"0")</f>
        <v>COLÉGIO ARBOS - UNIDADE SANTO ANDRÉ</v>
      </c>
      <c r="D165" s="33" t="str">
        <f>IF(H164&lt;3,"",IF(H164=3,IF(D171&lt;&gt;"",IF(H171&lt;&gt;"",IF(D171&lt;&gt;H171,IF(D171&gt;H171,"V","D"),""),""),"")))</f>
        <v>V</v>
      </c>
      <c r="E165" s="33" t="str">
        <f>IF(H164&lt;3,"",IF(H164=3,IF(D172&lt;&gt;"",IF(H172&lt;&gt;"",IF(D172&lt;&gt;H172,IF(D172&gt;H172,"D","V"),""),""),"")))</f>
        <v>V</v>
      </c>
      <c r="F165" s="33" t="s">
        <v>81</v>
      </c>
      <c r="G165" s="33" t="s">
        <v>81</v>
      </c>
      <c r="H165" s="117"/>
      <c r="I165" s="33">
        <f>IF(B165&lt;&gt;"",2,"")</f>
        <v>2</v>
      </c>
      <c r="J165" s="33" t="str">
        <f>IF(I165&lt;&gt;"",P165,"")</f>
        <v>LUCCA LAW GUASTAPAGLIA</v>
      </c>
      <c r="K165" s="33" t="str">
        <f>IFERROR(IF(J165="","",VLOOKUP(J165,LISTAS!$F$5:$G$1004,2,0)),"0")</f>
        <v>ESCOLA VILLARE</v>
      </c>
      <c r="L165" s="130" t="str">
        <f>IF(H164=3,"PRATA",IF(H164=4,"OURO",IF(H164=5,"OURO","")))</f>
        <v>PRATA</v>
      </c>
      <c r="M165" s="20">
        <f>IF(B165&lt;&gt;"",COUNTIF(D165:G165,"V")+(SUMIF(B170:B172,B165,D170:E172)/1000)+(SUMIF(J170:J172,B165,H170:I172)/1000)-(SUMIF(B170:B172,B165,H170:I172)/1000)-(SUMIF(J170:J172,B165,D170:E172)/1000)+0.002,"")</f>
        <v>2.0059999999999993</v>
      </c>
      <c r="N165" s="20" t="str">
        <f t="shared" ref="N165" si="11">IF(B165="","",B165)</f>
        <v>DAVI POVEDA COELHO</v>
      </c>
      <c r="O165" s="20">
        <f>IF(B165&lt;&gt;"",LARGE(M164:M166,2),"")</f>
        <v>1.0029999999999999</v>
      </c>
      <c r="P165" s="20" t="str">
        <f>VLOOKUP(O165,M164:N166,2,0)</f>
        <v>LUCCA LAW GUASTAPAGLIA</v>
      </c>
    </row>
    <row r="166" spans="2:16" ht="18" customHeight="1" x14ac:dyDescent="0.25">
      <c r="B166" s="33" t="s">
        <v>397</v>
      </c>
      <c r="C166" s="33" t="str">
        <f>IFERROR(IF(B166="","",VLOOKUP(B166,LISTAS!$F$5:$G$1004,2,0)),"0")</f>
        <v>COLEGIO PETROPOLIS</v>
      </c>
      <c r="D166" s="33" t="str">
        <f>IF(H164&lt;3,"",IF(H164=3,IF(D170&lt;&gt;"",IF(H170&lt;&gt;"",IF(D170&lt;&gt;H170,IF(D170&gt;H170,"D","V"),""),""),"")))</f>
        <v>D</v>
      </c>
      <c r="E166" s="33" t="str">
        <f>IF(H164&lt;3,"",IF(H164=3,IF(D171&lt;&gt;"",IF(H171&lt;&gt;"",IF(D171&lt;&gt;H171,IF(D171&gt;H171,"D","V"),""),""),"")))</f>
        <v>D</v>
      </c>
      <c r="F166" s="33" t="s">
        <v>81</v>
      </c>
      <c r="G166" s="33" t="s">
        <v>81</v>
      </c>
      <c r="H166" s="117"/>
      <c r="I166" s="33">
        <f>IF(B166&lt;&gt;"",3,"")</f>
        <v>3</v>
      </c>
      <c r="J166" s="33" t="str">
        <f>IF(I166&lt;&gt;"",P166,"")</f>
        <v>DIOGO VIEIRA CHAVES</v>
      </c>
      <c r="K166" s="33" t="str">
        <f>IFERROR(IF(J166="","",VLOOKUP(J166,LISTAS!$F$5:$G$1004,2,0)),"0")</f>
        <v>COLEGIO PETROPOLIS</v>
      </c>
      <c r="L166" s="130" t="str">
        <f>IF(H164=3,"BRONZE",IF(H164=4,"PRATA",IF(H164=5,"OURO","")))</f>
        <v>BRONZE</v>
      </c>
      <c r="M166" s="20">
        <f>IF(B166&lt;&gt;"",COUNTIF(D166:G166,"V")+(SUMIF(B170:B172,B166,D170:E172)/1000)+(SUMIF(J170:J172,B166,H170:I172)/1000)-(SUMIF(B170:B172,B166,H170:I172)/1000)-(SUMIF(J170:J172,B166,D170:E172)/1000)+0.001,"")</f>
        <v>-3.0000000000000001E-3</v>
      </c>
      <c r="N166" s="20" t="str">
        <f>IF(B166="","",B166)</f>
        <v>DIOGO VIEIRA CHAVES</v>
      </c>
      <c r="O166" s="20">
        <f>IF(B166&lt;&gt;"",LARGE(M164:M166,3),"")</f>
        <v>-3.0000000000000001E-3</v>
      </c>
      <c r="P166" s="20" t="str">
        <f>VLOOKUP(O166,M164:N166,2,0)</f>
        <v>DIOGO VIEIRA CHAVES</v>
      </c>
    </row>
    <row r="167" spans="2:16" ht="18" customHeight="1" x14ac:dyDescent="0.25">
      <c r="B167" s="79"/>
      <c r="C167" s="79"/>
      <c r="D167" s="79"/>
      <c r="E167" s="79"/>
      <c r="F167" s="79"/>
      <c r="G167" s="79"/>
      <c r="I167" s="80"/>
      <c r="J167" s="79"/>
      <c r="K167" s="81"/>
      <c r="L167" s="81"/>
    </row>
    <row r="168" spans="2:16" ht="23.25" customHeight="1" x14ac:dyDescent="0.25">
      <c r="B168" s="82" t="s">
        <v>40</v>
      </c>
      <c r="C168" s="79"/>
      <c r="D168" s="79"/>
      <c r="E168" s="79"/>
      <c r="F168" s="79"/>
      <c r="G168" s="79"/>
      <c r="H168" s="79"/>
      <c r="I168" s="79"/>
      <c r="J168" s="79"/>
      <c r="K168" s="79"/>
      <c r="L168" s="79"/>
    </row>
    <row r="169" spans="2:16" ht="18" customHeight="1" x14ac:dyDescent="0.25">
      <c r="B169" s="132" t="s">
        <v>15</v>
      </c>
      <c r="C169" s="132" t="s">
        <v>0</v>
      </c>
      <c r="D169" s="258" t="s">
        <v>41</v>
      </c>
      <c r="E169" s="259"/>
      <c r="F169" s="259"/>
      <c r="G169" s="259"/>
      <c r="H169" s="259"/>
      <c r="I169" s="260"/>
      <c r="J169" s="132" t="s">
        <v>15</v>
      </c>
      <c r="K169" s="132" t="s">
        <v>0</v>
      </c>
      <c r="L169" s="79"/>
    </row>
    <row r="170" spans="2:16" ht="18" customHeight="1" x14ac:dyDescent="0.25">
      <c r="B170" s="33" t="str">
        <f>IF(H164=3,B164,"")</f>
        <v>LUCCA LAW GUASTAPAGLIA</v>
      </c>
      <c r="C170" s="33" t="str">
        <f>IFERROR(IF(B170="","",VLOOKUP(B170,LISTAS!$F$5:$G$1004,2,0)),"0")</f>
        <v>ESCOLA VILLARE</v>
      </c>
      <c r="D170" s="253">
        <v>2</v>
      </c>
      <c r="E170" s="254"/>
      <c r="F170" s="253" t="s">
        <v>38</v>
      </c>
      <c r="G170" s="254"/>
      <c r="H170" s="253">
        <v>0</v>
      </c>
      <c r="I170" s="254"/>
      <c r="J170" s="111" t="str">
        <f>IF(H164=3,B166,"")</f>
        <v>DIOGO VIEIRA CHAVES</v>
      </c>
      <c r="K170" s="33" t="str">
        <f>IFERROR(IF(J170="","",VLOOKUP(J170,LISTAS!$F$5:$G$1004,2,0)),"0")</f>
        <v>COLEGIO PETROPOLIS</v>
      </c>
      <c r="L170" s="81"/>
    </row>
    <row r="171" spans="2:16" ht="18" customHeight="1" x14ac:dyDescent="0.25">
      <c r="B171" s="33" t="str">
        <f>IF(H164=3,B165,"")</f>
        <v>DAVI POVEDA COELHO</v>
      </c>
      <c r="C171" s="33" t="str">
        <f>IFERROR(IF(B171="","",VLOOKUP(B171,LISTAS!$F$5:$G$1004,2,0)),"0")</f>
        <v>COLÉGIO ARBOS - UNIDADE SANTO ANDRÉ</v>
      </c>
      <c r="D171" s="253">
        <v>2</v>
      </c>
      <c r="E171" s="254"/>
      <c r="F171" s="253" t="s">
        <v>38</v>
      </c>
      <c r="G171" s="254"/>
      <c r="H171" s="253">
        <v>0</v>
      </c>
      <c r="I171" s="254"/>
      <c r="J171" s="111" t="str">
        <f>IF(H164=3,B166,"")</f>
        <v>DIOGO VIEIRA CHAVES</v>
      </c>
      <c r="K171" s="33" t="str">
        <f>IFERROR(IF(J171="","",VLOOKUP(J171,LISTAS!$F$5:$G$1004,2,0)),"0")</f>
        <v>COLEGIO PETROPOLIS</v>
      </c>
      <c r="L171" s="79"/>
    </row>
    <row r="172" spans="2:16" ht="18" customHeight="1" x14ac:dyDescent="0.25">
      <c r="B172" s="33" t="str">
        <f>IF(H164=3,B164,"")</f>
        <v>LUCCA LAW GUASTAPAGLIA</v>
      </c>
      <c r="C172" s="33" t="str">
        <f>IFERROR(IF(B172="","",VLOOKUP(B172,LISTAS!$F$5:$G$1004,2,0)),"0")</f>
        <v>ESCOLA VILLARE</v>
      </c>
      <c r="D172" s="253">
        <v>0</v>
      </c>
      <c r="E172" s="254"/>
      <c r="F172" s="253" t="s">
        <v>38</v>
      </c>
      <c r="G172" s="254"/>
      <c r="H172" s="253">
        <v>2</v>
      </c>
      <c r="I172" s="254"/>
      <c r="J172" s="111" t="str">
        <f>IF(H164=3,B165,"")</f>
        <v>DAVI POVEDA COELHO</v>
      </c>
      <c r="K172" s="33" t="str">
        <f>IFERROR(IF(J172="","",VLOOKUP(J172,LISTAS!$F$5:$G$1004,2,0)),"0")</f>
        <v>COLÉGIO ARBOS - UNIDADE SANTO ANDRÉ</v>
      </c>
      <c r="L172" s="81"/>
    </row>
    <row r="175" spans="2:16" ht="30" customHeight="1" x14ac:dyDescent="0.25">
      <c r="B175" s="161" t="s">
        <v>57</v>
      </c>
      <c r="C175" s="79"/>
      <c r="D175" s="255" t="s">
        <v>42</v>
      </c>
      <c r="E175" s="256"/>
      <c r="F175" s="256"/>
      <c r="G175" s="257"/>
      <c r="H175" s="113"/>
      <c r="I175" s="255" t="s">
        <v>3</v>
      </c>
      <c r="J175" s="256"/>
      <c r="K175" s="256"/>
      <c r="L175" s="256"/>
    </row>
    <row r="176" spans="2:16" ht="18" customHeight="1" x14ac:dyDescent="0.25">
      <c r="B176" s="132" t="s">
        <v>15</v>
      </c>
      <c r="C176" s="132" t="s">
        <v>0</v>
      </c>
      <c r="D176" s="132" t="s">
        <v>43</v>
      </c>
      <c r="E176" s="132" t="s">
        <v>44</v>
      </c>
      <c r="F176" s="132" t="s">
        <v>77</v>
      </c>
      <c r="G176" s="132" t="s">
        <v>78</v>
      </c>
      <c r="H176" s="114"/>
      <c r="I176" s="132" t="s">
        <v>18</v>
      </c>
      <c r="J176" s="132" t="s">
        <v>15</v>
      </c>
      <c r="K176" s="132" t="s">
        <v>0</v>
      </c>
      <c r="L176" s="132" t="s">
        <v>45</v>
      </c>
    </row>
    <row r="177" spans="2:16" ht="18" customHeight="1" x14ac:dyDescent="0.25">
      <c r="B177" s="39" t="s">
        <v>394</v>
      </c>
      <c r="C177" s="33" t="str">
        <f>IFERROR(IF(B177="","",VLOOKUP(B177,LISTAS!$F$5:$G$1004,2,0)),"0")</f>
        <v>ABACO IPIRANGA</v>
      </c>
      <c r="D177" s="33" t="str">
        <f>IF(H177&lt;3,"",IF(H177=3,IF(D183&lt;&gt;"",IF(H183&lt;&gt;"",IF(D183&lt;&gt;H183,IF(D183&gt;H183,"V","D"),""),""),"")))</f>
        <v>V</v>
      </c>
      <c r="E177" s="33" t="str">
        <f>IF(H177&lt;3,"",IF(H177=3,IF(D185&lt;&gt;"",IF(H185&lt;&gt;"",IF(D185&lt;&gt;H185,IF(D185&gt;H185,"V","D"),""),""),"")))</f>
        <v>D</v>
      </c>
      <c r="F177" s="33" t="s">
        <v>81</v>
      </c>
      <c r="G177" s="33" t="s">
        <v>81</v>
      </c>
      <c r="H177" s="117">
        <f>COUNTA(B177:B179)</f>
        <v>3</v>
      </c>
      <c r="I177" s="33">
        <f>IF(B177&lt;&gt;"",1,"")</f>
        <v>1</v>
      </c>
      <c r="J177" s="33" t="str">
        <f>IF(I177&lt;&gt;"",P177,"")</f>
        <v>FERNANDO BIRAL MAROTA</v>
      </c>
      <c r="K177" s="33" t="str">
        <f>IFERROR(IF(J177="","",VLOOKUP(J177,LISTAS!$F$5:$G$1004,2,0)),"0")</f>
        <v>COLÉGIO ARBOS SÃO CAETANO DO SUL</v>
      </c>
      <c r="L177" s="130" t="str">
        <f>IF(H177=3,"OURO",IF(H177=4,"OURO",IF(H177=5,"OURO","")))</f>
        <v>OURO</v>
      </c>
      <c r="M177" s="20">
        <f>IF(B177&lt;&gt;"",COUNTIF(D177:G177,"V")+(SUMIF(B183:B185,B177,D183:E185)/1000)+(SUMIF(J183:J185,B177,H183:I185)/1000)-(SUMIF(B183:B185,B177,H183:I185)/1000)-(SUMIF(J183:J185,B177,D183:E185)/1000)+0.003,"")</f>
        <v>1.0029999999999999</v>
      </c>
      <c r="N177" s="20" t="str">
        <f>IF(B177="","",B177)</f>
        <v>DAVI ESPERIDIÃO DE SOUZA SANTOS</v>
      </c>
      <c r="O177" s="20">
        <f>IF(B177&lt;&gt;"",LARGE(M177:M179,1),"")</f>
        <v>2.0059999999999993</v>
      </c>
      <c r="P177" s="20" t="str">
        <f>VLOOKUP(O177,M177:N179,2,0)</f>
        <v>FERNANDO BIRAL MAROTA</v>
      </c>
    </row>
    <row r="178" spans="2:16" ht="18" customHeight="1" x14ac:dyDescent="0.25">
      <c r="B178" s="33" t="s">
        <v>406</v>
      </c>
      <c r="C178" s="33" t="str">
        <f>IFERROR(IF(B178="","",VLOOKUP(B178,LISTAS!$F$5:$G$1004,2,0)),"0")</f>
        <v>COLÉGIO ARBOS SÃO CAETANO DO SUL</v>
      </c>
      <c r="D178" s="33" t="str">
        <f>IF(H177&lt;3,"",IF(H177=3,IF(D184&lt;&gt;"",IF(H184&lt;&gt;"",IF(D184&lt;&gt;H184,IF(D184&gt;H184,"V","D"),""),""),"")))</f>
        <v>V</v>
      </c>
      <c r="E178" s="33" t="str">
        <f>IF(H177&lt;3,"",IF(H177=3,IF(D185&lt;&gt;"",IF(H185&lt;&gt;"",IF(D185&lt;&gt;H185,IF(D185&gt;H185,"D","V"),""),""),"")))</f>
        <v>V</v>
      </c>
      <c r="F178" s="33" t="s">
        <v>81</v>
      </c>
      <c r="G178" s="33" t="s">
        <v>81</v>
      </c>
      <c r="H178" s="117"/>
      <c r="I178" s="33">
        <f>IF(B178&lt;&gt;"",2,"")</f>
        <v>2</v>
      </c>
      <c r="J178" s="33" t="str">
        <f>IF(I178&lt;&gt;"",P178,"")</f>
        <v>DAVI ESPERIDIÃO DE SOUZA SANTOS</v>
      </c>
      <c r="K178" s="33" t="str">
        <f>IFERROR(IF(J178="","",VLOOKUP(J178,LISTAS!$F$5:$G$1004,2,0)),"0")</f>
        <v>ABACO IPIRANGA</v>
      </c>
      <c r="L178" s="130" t="str">
        <f>IF(H177=3,"PRATA",IF(H177=4,"OURO",IF(H177=5,"OURO","")))</f>
        <v>PRATA</v>
      </c>
      <c r="M178" s="20">
        <f>IF(B178&lt;&gt;"",COUNTIF(D178:G178,"V")+(SUMIF(B183:B185,B178,D183:E185)/1000)+(SUMIF(J183:J185,B178,H183:I185)/1000)-(SUMIF(B183:B185,B178,H183:I185)/1000)-(SUMIF(J183:J185,B178,D183:E185)/1000)+0.002,"")</f>
        <v>2.0059999999999993</v>
      </c>
      <c r="N178" s="20" t="str">
        <f t="shared" ref="N178" si="12">IF(B178="","",B178)</f>
        <v>FERNANDO BIRAL MAROTA</v>
      </c>
      <c r="O178" s="20">
        <f>IF(B178&lt;&gt;"",LARGE(M177:M179,2),"")</f>
        <v>1.0029999999999999</v>
      </c>
      <c r="P178" s="20" t="str">
        <f>VLOOKUP(O178,M177:N179,2,0)</f>
        <v>DAVI ESPERIDIÃO DE SOUZA SANTOS</v>
      </c>
    </row>
    <row r="179" spans="2:16" ht="18" customHeight="1" x14ac:dyDescent="0.25">
      <c r="B179" s="33" t="s">
        <v>601</v>
      </c>
      <c r="C179" s="33" t="str">
        <f>IFERROR(IF(B179="","",VLOOKUP(B179,LISTAS!$F$5:$G$1004,2,0)),"0")</f>
        <v>BYE</v>
      </c>
      <c r="D179" s="33" t="str">
        <f>IF(H177&lt;3,"",IF(H177=3,IF(D183&lt;&gt;"",IF(H183&lt;&gt;"",IF(D183&lt;&gt;H183,IF(D183&gt;H183,"D","V"),""),""),"")))</f>
        <v>D</v>
      </c>
      <c r="E179" s="33" t="str">
        <f>IF(H177&lt;3,"",IF(H177=3,IF(D184&lt;&gt;"",IF(H184&lt;&gt;"",IF(D184&lt;&gt;H184,IF(D184&gt;H184,"D","V"),""),""),"")))</f>
        <v>D</v>
      </c>
      <c r="F179" s="33" t="s">
        <v>81</v>
      </c>
      <c r="G179" s="33" t="s">
        <v>81</v>
      </c>
      <c r="H179" s="117"/>
      <c r="I179" s="33">
        <f>IF(B179&lt;&gt;"",3,"")</f>
        <v>3</v>
      </c>
      <c r="J179" s="33" t="str">
        <f>IF(I179&lt;&gt;"",P179,"")</f>
        <v>BYE</v>
      </c>
      <c r="K179" s="33" t="str">
        <f>IFERROR(IF(J179="","",VLOOKUP(J179,LISTAS!$F$5:$G$1004,2,0)),"0")</f>
        <v>BYE</v>
      </c>
      <c r="L179" s="130" t="str">
        <f>IF(H177=3,"BRONZE",IF(H177=4,"PRATA",IF(H177=5,"OURO","")))</f>
        <v>BRONZE</v>
      </c>
      <c r="M179" s="20">
        <f>IF(B179&lt;&gt;"",COUNTIF(D179:G179,"V")+(SUMIF(B183:B185,B179,D183:E185)/1000)+(SUMIF(J183:J185,B179,H183:I185)/1000)-(SUMIF(B183:B185,B179,H183:I185)/1000)-(SUMIF(J183:J185,B179,D183:E185)/1000)+0.001,"")</f>
        <v>-3.0000000000000001E-3</v>
      </c>
      <c r="N179" s="20" t="str">
        <f>IF(B179="","",B179)</f>
        <v>BYE</v>
      </c>
      <c r="O179" s="20">
        <f>IF(B179&lt;&gt;"",LARGE(M177:M179,3),"")</f>
        <v>-3.0000000000000001E-3</v>
      </c>
      <c r="P179" s="20" t="str">
        <f>VLOOKUP(O179,M177:N179,2,0)</f>
        <v>BYE</v>
      </c>
    </row>
    <row r="180" spans="2:16" ht="18" customHeight="1" x14ac:dyDescent="0.25">
      <c r="B180" s="79"/>
      <c r="C180" s="79"/>
      <c r="D180" s="79"/>
      <c r="E180" s="79"/>
      <c r="F180" s="79"/>
      <c r="G180" s="79"/>
      <c r="I180" s="80"/>
      <c r="J180" s="79"/>
      <c r="K180" s="81"/>
      <c r="L180" s="81"/>
    </row>
    <row r="181" spans="2:16" ht="23.25" customHeight="1" x14ac:dyDescent="0.25">
      <c r="B181" s="82" t="s">
        <v>40</v>
      </c>
      <c r="C181" s="79"/>
      <c r="D181" s="79"/>
      <c r="E181" s="79"/>
      <c r="F181" s="79"/>
      <c r="G181" s="79"/>
      <c r="H181" s="79"/>
      <c r="I181" s="79"/>
      <c r="J181" s="79"/>
      <c r="K181" s="79"/>
      <c r="L181" s="79"/>
    </row>
    <row r="182" spans="2:16" ht="18" customHeight="1" x14ac:dyDescent="0.25">
      <c r="B182" s="132" t="s">
        <v>15</v>
      </c>
      <c r="C182" s="132" t="s">
        <v>0</v>
      </c>
      <c r="D182" s="258" t="s">
        <v>41</v>
      </c>
      <c r="E182" s="259"/>
      <c r="F182" s="259"/>
      <c r="G182" s="259"/>
      <c r="H182" s="259"/>
      <c r="I182" s="260"/>
      <c r="J182" s="132" t="s">
        <v>15</v>
      </c>
      <c r="K182" s="132" t="s">
        <v>0</v>
      </c>
      <c r="L182" s="79"/>
    </row>
    <row r="183" spans="2:16" ht="18" customHeight="1" x14ac:dyDescent="0.25">
      <c r="B183" s="33" t="str">
        <f>IF(H177=3,B177,"")</f>
        <v>DAVI ESPERIDIÃO DE SOUZA SANTOS</v>
      </c>
      <c r="C183" s="33" t="str">
        <f>IFERROR(IF(B183="","",VLOOKUP(B183,LISTAS!$F$5:$G$1004,2,0)),"0")</f>
        <v>ABACO IPIRANGA</v>
      </c>
      <c r="D183" s="253">
        <v>2</v>
      </c>
      <c r="E183" s="254"/>
      <c r="F183" s="253" t="s">
        <v>38</v>
      </c>
      <c r="G183" s="254"/>
      <c r="H183" s="253">
        <v>0</v>
      </c>
      <c r="I183" s="254"/>
      <c r="J183" s="111" t="str">
        <f>IF(H177=3,B179,"")</f>
        <v>BYE</v>
      </c>
      <c r="K183" s="33" t="str">
        <f>IFERROR(IF(J183="","",VLOOKUP(J183,LISTAS!$F$5:$G$1004,2,0)),"0")</f>
        <v>BYE</v>
      </c>
      <c r="L183" s="81"/>
    </row>
    <row r="184" spans="2:16" ht="18" customHeight="1" x14ac:dyDescent="0.25">
      <c r="B184" s="33" t="str">
        <f>IF(H177=3,B178,"")</f>
        <v>FERNANDO BIRAL MAROTA</v>
      </c>
      <c r="C184" s="33" t="str">
        <f>IFERROR(IF(B184="","",VLOOKUP(B184,LISTAS!$F$5:$G$1004,2,0)),"0")</f>
        <v>COLÉGIO ARBOS SÃO CAETANO DO SUL</v>
      </c>
      <c r="D184" s="253">
        <v>2</v>
      </c>
      <c r="E184" s="254"/>
      <c r="F184" s="253" t="s">
        <v>38</v>
      </c>
      <c r="G184" s="254"/>
      <c r="H184" s="253">
        <v>0</v>
      </c>
      <c r="I184" s="254"/>
      <c r="J184" s="111" t="str">
        <f>IF(H177=3,B179,"")</f>
        <v>BYE</v>
      </c>
      <c r="K184" s="33" t="str">
        <f>IFERROR(IF(J184="","",VLOOKUP(J184,LISTAS!$F$5:$G$1004,2,0)),"0")</f>
        <v>BYE</v>
      </c>
      <c r="L184" s="79"/>
    </row>
    <row r="185" spans="2:16" ht="18" customHeight="1" x14ac:dyDescent="0.25">
      <c r="B185" s="33" t="str">
        <f>IF(H177=3,B177,"")</f>
        <v>DAVI ESPERIDIÃO DE SOUZA SANTOS</v>
      </c>
      <c r="C185" s="33" t="str">
        <f>IFERROR(IF(B185="","",VLOOKUP(B185,LISTAS!$F$5:$G$1004,2,0)),"0")</f>
        <v>ABACO IPIRANGA</v>
      </c>
      <c r="D185" s="253">
        <v>0</v>
      </c>
      <c r="E185" s="254"/>
      <c r="F185" s="253" t="s">
        <v>38</v>
      </c>
      <c r="G185" s="254"/>
      <c r="H185" s="253">
        <v>2</v>
      </c>
      <c r="I185" s="254"/>
      <c r="J185" s="111" t="str">
        <f>IF(H177=3,B178,"")</f>
        <v>FERNANDO BIRAL MAROTA</v>
      </c>
      <c r="K185" s="33" t="str">
        <f>IFERROR(IF(J185="","",VLOOKUP(J185,LISTAS!$F$5:$G$1004,2,0)),"0")</f>
        <v>COLÉGIO ARBOS SÃO CAETANO DO SUL</v>
      </c>
      <c r="L185" s="81"/>
    </row>
    <row r="188" spans="2:16" ht="30" customHeight="1" x14ac:dyDescent="0.25">
      <c r="B188" s="161" t="s">
        <v>58</v>
      </c>
      <c r="C188" s="79"/>
      <c r="D188" s="255" t="s">
        <v>42</v>
      </c>
      <c r="E188" s="256"/>
      <c r="F188" s="256"/>
      <c r="G188" s="257"/>
      <c r="H188" s="113"/>
      <c r="I188" s="255" t="s">
        <v>3</v>
      </c>
      <c r="J188" s="256"/>
      <c r="K188" s="256"/>
      <c r="L188" s="256"/>
    </row>
    <row r="189" spans="2:16" ht="18" customHeight="1" x14ac:dyDescent="0.25">
      <c r="B189" s="132" t="s">
        <v>15</v>
      </c>
      <c r="C189" s="132" t="s">
        <v>0</v>
      </c>
      <c r="D189" s="132" t="s">
        <v>43</v>
      </c>
      <c r="E189" s="132" t="s">
        <v>44</v>
      </c>
      <c r="F189" s="132" t="s">
        <v>77</v>
      </c>
      <c r="G189" s="132" t="s">
        <v>78</v>
      </c>
      <c r="H189" s="114"/>
      <c r="I189" s="132" t="s">
        <v>18</v>
      </c>
      <c r="J189" s="132" t="s">
        <v>15</v>
      </c>
      <c r="K189" s="132" t="s">
        <v>0</v>
      </c>
      <c r="L189" s="132" t="s">
        <v>45</v>
      </c>
    </row>
    <row r="190" spans="2:16" ht="18" customHeight="1" x14ac:dyDescent="0.25">
      <c r="B190" s="39" t="s">
        <v>682</v>
      </c>
      <c r="C190" s="33" t="str">
        <f>IFERROR(IF(B190="","",VLOOKUP(B190,LISTAS!$F$5:$G$1004,2,0)),"0")</f>
        <v>ESCOLA STAGIUM</v>
      </c>
      <c r="D190" s="33" t="str">
        <f>IF(H190&lt;3,"",IF(H190=3,IF(D196&lt;&gt;"",IF(H196&lt;&gt;"",IF(D196&lt;&gt;H196,IF(D196&gt;H196,"V","D"),""),""),"")))</f>
        <v>V</v>
      </c>
      <c r="E190" s="33" t="str">
        <f>IF(H190&lt;3,"",IF(H190=3,IF(D198&lt;&gt;"",IF(H198&lt;&gt;"",IF(D198&lt;&gt;H198,IF(D198&gt;H198,"V","D"),""),""),"")))</f>
        <v>D</v>
      </c>
      <c r="F190" s="33" t="s">
        <v>81</v>
      </c>
      <c r="G190" s="33" t="s">
        <v>81</v>
      </c>
      <c r="H190" s="117">
        <f>COUNTA(B190:B192)</f>
        <v>3</v>
      </c>
      <c r="I190" s="33">
        <f>IF(B190&lt;&gt;"",1,"")</f>
        <v>1</v>
      </c>
      <c r="J190" s="33" t="str">
        <f>IF(I190&lt;&gt;"",P190,"")</f>
        <v>BERNARDO KAIROF DE SOUZA MENDES DA SILVA</v>
      </c>
      <c r="K190" s="33" t="str">
        <f>IFERROR(IF(J190="","",VLOOKUP(J190,LISTAS!$F$5:$G$1004,2,0)),"0")</f>
        <v>LICEU JARDIM</v>
      </c>
      <c r="L190" s="130" t="str">
        <f>IF(H190=3,"OURO",IF(H190=4,"OURO",IF(H190=5,"OURO","")))</f>
        <v>OURO</v>
      </c>
      <c r="M190" s="20">
        <f>IF(B190&lt;&gt;"",COUNTIF(D190:G190,"V")+(SUMIF(B196:B198,B190,D196:E198)/1000)+(SUMIF(J196:J198,B190,H196:I198)/1000)-(SUMIF(B196:B198,B190,H196:I198)/1000)-(SUMIF(J196:J198,B190,D196:E198)/1000)+0.003,"")</f>
        <v>1.002</v>
      </c>
      <c r="N190" s="20" t="str">
        <f>IF(B190="","",B190)</f>
        <v xml:space="preserve">RAPHAEL FERNANDES </v>
      </c>
      <c r="O190" s="20">
        <f>IF(B190&lt;&gt;"",LARGE(M190:M192,1),"")</f>
        <v>2.0049999999999994</v>
      </c>
      <c r="P190" s="20" t="str">
        <f>VLOOKUP(O190,M190:N192,2,0)</f>
        <v>BERNARDO KAIROF DE SOUZA MENDES DA SILVA</v>
      </c>
    </row>
    <row r="191" spans="2:16" ht="18" customHeight="1" x14ac:dyDescent="0.25">
      <c r="B191" s="33" t="s">
        <v>386</v>
      </c>
      <c r="C191" s="33" t="str">
        <f>IFERROR(IF(B191="","",VLOOKUP(B191,LISTAS!$F$5:$G$1004,2,0)),"0")</f>
        <v>LICEU JARDIM</v>
      </c>
      <c r="D191" s="33" t="str">
        <f>IF(H190&lt;3,"",IF(H190=3,IF(D197&lt;&gt;"",IF(H197&lt;&gt;"",IF(D197&lt;&gt;H197,IF(D197&gt;H197,"V","D"),""),""),"")))</f>
        <v>V</v>
      </c>
      <c r="E191" s="33" t="str">
        <f>IF(H190&lt;3,"",IF(H190=3,IF(D198&lt;&gt;"",IF(H198&lt;&gt;"",IF(D198&lt;&gt;H198,IF(D198&gt;H198,"D","V"),""),""),"")))</f>
        <v>V</v>
      </c>
      <c r="F191" s="33" t="s">
        <v>81</v>
      </c>
      <c r="G191" s="33" t="s">
        <v>81</v>
      </c>
      <c r="H191" s="117"/>
      <c r="I191" s="33">
        <f>IF(B191&lt;&gt;"",2,"")</f>
        <v>2</v>
      </c>
      <c r="J191" s="33" t="str">
        <f>IF(I191&lt;&gt;"",P191,"")</f>
        <v xml:space="preserve">RAPHAEL FERNANDES </v>
      </c>
      <c r="K191" s="33" t="str">
        <f>IFERROR(IF(J191="","",VLOOKUP(J191,LISTAS!$F$5:$G$1004,2,0)),"0")</f>
        <v>ESCOLA STAGIUM</v>
      </c>
      <c r="L191" s="130" t="str">
        <f>IF(H190=3,"PRATA",IF(H190=4,"OURO",IF(H190=5,"OURO","")))</f>
        <v>PRATA</v>
      </c>
      <c r="M191" s="20">
        <f>IF(B191&lt;&gt;"",COUNTIF(D191:G191,"V")+(SUMIF(B196:B198,B191,D196:E198)/1000)+(SUMIF(J196:J198,B191,H196:I198)/1000)-(SUMIF(B196:B198,B191,H196:I198)/1000)-(SUMIF(J196:J198,B191,D196:E198)/1000)+0.002,"")</f>
        <v>2.0049999999999994</v>
      </c>
      <c r="N191" s="20" t="str">
        <f t="shared" ref="N191" si="13">IF(B191="","",B191)</f>
        <v>BERNARDO KAIROF DE SOUZA MENDES DA SILVA</v>
      </c>
      <c r="O191" s="20">
        <f>IF(B191&lt;&gt;"",LARGE(M190:M192,2),"")</f>
        <v>1.002</v>
      </c>
      <c r="P191" s="20" t="str">
        <f>VLOOKUP(O191,M190:N192,2,0)</f>
        <v xml:space="preserve">RAPHAEL FERNANDES </v>
      </c>
    </row>
    <row r="192" spans="2:16" ht="18" customHeight="1" x14ac:dyDescent="0.25">
      <c r="B192" s="33" t="s">
        <v>396</v>
      </c>
      <c r="C192" s="33" t="str">
        <f>IFERROR(IF(B192="","",VLOOKUP(B192,LISTAS!$F$5:$G$1004,2,0)),"0")</f>
        <v>ABACO IPIRANGA</v>
      </c>
      <c r="D192" s="33" t="str">
        <f>IF(H190&lt;3,"",IF(H190=3,IF(D196&lt;&gt;"",IF(H196&lt;&gt;"",IF(D196&lt;&gt;H196,IF(D196&gt;H196,"D","V"),""),""),"")))</f>
        <v>D</v>
      </c>
      <c r="E192" s="33" t="str">
        <f>IF(H190&lt;3,"",IF(H190=3,IF(D197&lt;&gt;"",IF(H197&lt;&gt;"",IF(D197&lt;&gt;H197,IF(D197&gt;H197,"D","V"),""),""),"")))</f>
        <v>D</v>
      </c>
      <c r="F192" s="33" t="s">
        <v>81</v>
      </c>
      <c r="G192" s="33" t="s">
        <v>81</v>
      </c>
      <c r="H192" s="117"/>
      <c r="I192" s="33">
        <f>IF(B192&lt;&gt;"",3,"")</f>
        <v>3</v>
      </c>
      <c r="J192" s="33" t="str">
        <f>IF(I192&lt;&gt;"",P192,"")</f>
        <v>DIEGO SANTOS SPINELLI</v>
      </c>
      <c r="K192" s="33" t="str">
        <f>IFERROR(IF(J192="","",VLOOKUP(J192,LISTAS!$F$5:$G$1004,2,0)),"0")</f>
        <v>ABACO IPIRANGA</v>
      </c>
      <c r="L192" s="130" t="str">
        <f>IF(H190=3,"BRONZE",IF(H190=4,"PRATA",IF(H190=5,"OURO","")))</f>
        <v>BRONZE</v>
      </c>
      <c r="M192" s="20">
        <f>IF(B192&lt;&gt;"",COUNTIF(D192:G192,"V")+(SUMIF(B196:B198,B192,D196:E198)/1000)+(SUMIF(J196:J198,B192,H196:I198)/1000)-(SUMIF(B196:B198,B192,H196:I198)/1000)-(SUMIF(J196:J198,B192,D196:E198)/1000)+0.001,"")</f>
        <v>-1E-3</v>
      </c>
      <c r="N192" s="20" t="str">
        <f>IF(B192="","",B192)</f>
        <v>DIEGO SANTOS SPINELLI</v>
      </c>
      <c r="O192" s="20">
        <f>IF(B192&lt;&gt;"",LARGE(M190:M192,3),"")</f>
        <v>-1E-3</v>
      </c>
      <c r="P192" s="20" t="str">
        <f>VLOOKUP(O192,M190:N192,2,0)</f>
        <v>DIEGO SANTOS SPINELLI</v>
      </c>
    </row>
    <row r="193" spans="2:16" ht="18" customHeight="1" x14ac:dyDescent="0.25">
      <c r="B193" s="79"/>
      <c r="C193" s="79"/>
      <c r="D193" s="79"/>
      <c r="E193" s="79"/>
      <c r="F193" s="79"/>
      <c r="G193" s="79"/>
      <c r="I193" s="80"/>
      <c r="J193" s="79"/>
      <c r="K193" s="81"/>
      <c r="L193" s="81"/>
    </row>
    <row r="194" spans="2:16" ht="23.25" customHeight="1" x14ac:dyDescent="0.25">
      <c r="B194" s="82" t="s">
        <v>40</v>
      </c>
      <c r="C194" s="79"/>
      <c r="D194" s="79"/>
      <c r="E194" s="79"/>
      <c r="F194" s="79"/>
      <c r="G194" s="79"/>
      <c r="H194" s="79"/>
      <c r="I194" s="79"/>
      <c r="J194" s="79"/>
      <c r="K194" s="79"/>
      <c r="L194" s="79"/>
    </row>
    <row r="195" spans="2:16" ht="18" customHeight="1" x14ac:dyDescent="0.25">
      <c r="B195" s="132" t="s">
        <v>15</v>
      </c>
      <c r="C195" s="132" t="s">
        <v>0</v>
      </c>
      <c r="D195" s="258" t="s">
        <v>41</v>
      </c>
      <c r="E195" s="259"/>
      <c r="F195" s="259"/>
      <c r="G195" s="259"/>
      <c r="H195" s="259"/>
      <c r="I195" s="260"/>
      <c r="J195" s="132" t="s">
        <v>15</v>
      </c>
      <c r="K195" s="132" t="s">
        <v>0</v>
      </c>
      <c r="L195" s="79"/>
    </row>
    <row r="196" spans="2:16" ht="18" customHeight="1" x14ac:dyDescent="0.25">
      <c r="B196" s="33" t="str">
        <f>IF(H190=3,B190,"")</f>
        <v xml:space="preserve">RAPHAEL FERNANDES </v>
      </c>
      <c r="C196" s="33" t="str">
        <f>IFERROR(IF(B196="","",VLOOKUP(B196,LISTAS!$F$5:$G$1004,2,0)),"0")</f>
        <v>ESCOLA STAGIUM</v>
      </c>
      <c r="D196" s="253">
        <v>2</v>
      </c>
      <c r="E196" s="254"/>
      <c r="F196" s="253" t="s">
        <v>38</v>
      </c>
      <c r="G196" s="254"/>
      <c r="H196" s="253">
        <v>1</v>
      </c>
      <c r="I196" s="254"/>
      <c r="J196" s="111" t="str">
        <f>IF(H190=3,B192,"")</f>
        <v>DIEGO SANTOS SPINELLI</v>
      </c>
      <c r="K196" s="33" t="str">
        <f>IFERROR(IF(J196="","",VLOOKUP(J196,LISTAS!$F$5:$G$1004,2,0)),"0")</f>
        <v>ABACO IPIRANGA</v>
      </c>
      <c r="L196" s="81"/>
    </row>
    <row r="197" spans="2:16" ht="18" customHeight="1" x14ac:dyDescent="0.25">
      <c r="B197" s="33" t="str">
        <f>IF(H190=3,B191,"")</f>
        <v>BERNARDO KAIROF DE SOUZA MENDES DA SILVA</v>
      </c>
      <c r="C197" s="33" t="str">
        <f>IFERROR(IF(B197="","",VLOOKUP(B197,LISTAS!$F$5:$G$1004,2,0)),"0")</f>
        <v>LICEU JARDIM</v>
      </c>
      <c r="D197" s="253">
        <v>2</v>
      </c>
      <c r="E197" s="254"/>
      <c r="F197" s="253" t="s">
        <v>38</v>
      </c>
      <c r="G197" s="254"/>
      <c r="H197" s="253">
        <v>1</v>
      </c>
      <c r="I197" s="254"/>
      <c r="J197" s="111" t="str">
        <f>IF(H190=3,B192,"")</f>
        <v>DIEGO SANTOS SPINELLI</v>
      </c>
      <c r="K197" s="33" t="str">
        <f>IFERROR(IF(J197="","",VLOOKUP(J197,LISTAS!$F$5:$G$1004,2,0)),"0")</f>
        <v>ABACO IPIRANGA</v>
      </c>
      <c r="L197" s="79"/>
    </row>
    <row r="198" spans="2:16" ht="18" customHeight="1" x14ac:dyDescent="0.25">
      <c r="B198" s="33" t="str">
        <f>IF(H190=3,B190,"")</f>
        <v xml:space="preserve">RAPHAEL FERNANDES </v>
      </c>
      <c r="C198" s="33" t="str">
        <f>IFERROR(IF(B198="","",VLOOKUP(B198,LISTAS!$F$5:$G$1004,2,0)),"0")</f>
        <v>ESCOLA STAGIUM</v>
      </c>
      <c r="D198" s="253">
        <v>0</v>
      </c>
      <c r="E198" s="254"/>
      <c r="F198" s="253" t="s">
        <v>38</v>
      </c>
      <c r="G198" s="254"/>
      <c r="H198" s="253">
        <v>2</v>
      </c>
      <c r="I198" s="254"/>
      <c r="J198" s="111" t="str">
        <f>IF(H190=3,B191,"")</f>
        <v>BERNARDO KAIROF DE SOUZA MENDES DA SILVA</v>
      </c>
      <c r="K198" s="33" t="str">
        <f>IFERROR(IF(J198="","",VLOOKUP(J198,LISTAS!$F$5:$G$1004,2,0)),"0")</f>
        <v>LICEU JARDIM</v>
      </c>
      <c r="L198" s="81"/>
    </row>
    <row r="201" spans="2:16" ht="30" customHeight="1" x14ac:dyDescent="0.25">
      <c r="B201" s="161" t="s">
        <v>59</v>
      </c>
      <c r="C201" s="79"/>
      <c r="D201" s="255" t="s">
        <v>42</v>
      </c>
      <c r="E201" s="256"/>
      <c r="F201" s="256"/>
      <c r="G201" s="257"/>
      <c r="H201" s="113"/>
      <c r="I201" s="255" t="s">
        <v>3</v>
      </c>
      <c r="J201" s="256"/>
      <c r="K201" s="256"/>
      <c r="L201" s="256"/>
    </row>
    <row r="202" spans="2:16" ht="18" customHeight="1" x14ac:dyDescent="0.25">
      <c r="B202" s="132" t="s">
        <v>15</v>
      </c>
      <c r="C202" s="132" t="s">
        <v>0</v>
      </c>
      <c r="D202" s="132" t="s">
        <v>43</v>
      </c>
      <c r="E202" s="132" t="s">
        <v>44</v>
      </c>
      <c r="F202" s="132" t="s">
        <v>77</v>
      </c>
      <c r="G202" s="132" t="s">
        <v>78</v>
      </c>
      <c r="H202" s="114"/>
      <c r="I202" s="132" t="s">
        <v>18</v>
      </c>
      <c r="J202" s="132" t="s">
        <v>15</v>
      </c>
      <c r="K202" s="132" t="s">
        <v>0</v>
      </c>
      <c r="L202" s="132" t="s">
        <v>45</v>
      </c>
    </row>
    <row r="203" spans="2:16" ht="18" customHeight="1" x14ac:dyDescent="0.25">
      <c r="B203" s="33" t="s">
        <v>412</v>
      </c>
      <c r="C203" s="33" t="str">
        <f>IFERROR(IF(B203="","",VLOOKUP(B203,LISTAS!$F$5:$G$1004,2,0)),"0")</f>
        <v>COLÉGIO ARBOS SÃO CAETANO DO SUL</v>
      </c>
      <c r="D203" s="33" t="str">
        <f>IF(H203&lt;3,"",IF(H203=3,IF(D209&lt;&gt;"",IF(H209&lt;&gt;"",IF(D209&lt;&gt;H209,IF(D209&gt;H209,"V","D"),""),""),"")))</f>
        <v>D</v>
      </c>
      <c r="E203" s="33" t="str">
        <f>IF(H203&lt;3,"",IF(H203=3,IF(D211&lt;&gt;"",IF(H211&lt;&gt;"",IF(D211&lt;&gt;H211,IF(D211&gt;H211,"V","D"),""),""),"")))</f>
        <v>V</v>
      </c>
      <c r="F203" s="33" t="s">
        <v>81</v>
      </c>
      <c r="G203" s="33" t="s">
        <v>81</v>
      </c>
      <c r="H203" s="117">
        <f>COUNTA(B203:B205)</f>
        <v>3</v>
      </c>
      <c r="I203" s="33">
        <f>IF(B203&lt;&gt;"",1,"")</f>
        <v>1</v>
      </c>
      <c r="J203" s="33" t="str">
        <f>IF(I203&lt;&gt;"",P203,"")</f>
        <v>EDUARDO TADASHI SHIMIZU</v>
      </c>
      <c r="K203" s="33" t="str">
        <f>IFERROR(IF(J203="","",VLOOKUP(J203,LISTAS!$F$5:$G$1004,2,0)),"0")</f>
        <v>ABACO IPIRANGA</v>
      </c>
      <c r="L203" s="130" t="str">
        <f>IF(H203=3,"OURO",IF(H203=4,"OURO",IF(H203=5,"OURO","")))</f>
        <v>OURO</v>
      </c>
      <c r="M203" s="20">
        <f>IF(B203&lt;&gt;"",COUNTIF(D203:G203,"V")+(SUMIF(B209:B211,B203,D209:E211)/1000)+(SUMIF(J209:J211,B203,H209:I211)/1000)-(SUMIF(B209:B211,B203,H209:I211)/1000)-(SUMIF(J209:J211,B203,D209:E211)/1000)+0.003,"")</f>
        <v>1.0029999999999999</v>
      </c>
      <c r="N203" s="20" t="str">
        <f>IF(B203="","",B203)</f>
        <v>GABRIEL VASCONCELLOS STANGUINI</v>
      </c>
      <c r="O203" s="20">
        <f>IF(B203&lt;&gt;"",LARGE(M203:M205,1),"")</f>
        <v>2.0030000000000001</v>
      </c>
      <c r="P203" s="20" t="str">
        <f>VLOOKUP(O203,M203:N205,2,0)</f>
        <v>EDUARDO TADASHI SHIMIZU</v>
      </c>
    </row>
    <row r="204" spans="2:16" ht="18" customHeight="1" x14ac:dyDescent="0.25">
      <c r="B204" s="33" t="s">
        <v>410</v>
      </c>
      <c r="C204" s="33" t="str">
        <f>IFERROR(IF(B204="","",VLOOKUP(B204,LISTAS!$F$5:$G$1004,2,0)),"0")</f>
        <v>LICEU JARDIM</v>
      </c>
      <c r="D204" s="33" t="str">
        <f>IF(H203&lt;3,"",IF(H203=3,IF(D210&lt;&gt;"",IF(H210&lt;&gt;"",IF(D210&lt;&gt;H210,IF(D210&gt;H210,"V","D"),""),""),"")))</f>
        <v>D</v>
      </c>
      <c r="E204" s="33" t="str">
        <f>IF(H203&lt;3,"",IF(H203=3,IF(D211&lt;&gt;"",IF(H211&lt;&gt;"",IF(D211&lt;&gt;H211,IF(D211&gt;H211,"D","V"),""),""),"")))</f>
        <v>D</v>
      </c>
      <c r="F204" s="33" t="s">
        <v>81</v>
      </c>
      <c r="G204" s="33" t="s">
        <v>81</v>
      </c>
      <c r="H204" s="117"/>
      <c r="I204" s="33">
        <f>IF(B204&lt;&gt;"",2,"")</f>
        <v>2</v>
      </c>
      <c r="J204" s="33" t="str">
        <f>IF(I204&lt;&gt;"",P204,"")</f>
        <v>GABRIEL VASCONCELLOS STANGUINI</v>
      </c>
      <c r="K204" s="33" t="str">
        <f>IFERROR(IF(J204="","",VLOOKUP(J204,LISTAS!$F$5:$G$1004,2,0)),"0")</f>
        <v>COLÉGIO ARBOS SÃO CAETANO DO SUL</v>
      </c>
      <c r="L204" s="130" t="str">
        <f>IF(H203=3,"PRATA",IF(H203=4,"OURO",IF(H203=5,"OURO","")))</f>
        <v>PRATA</v>
      </c>
      <c r="M204" s="20">
        <f>IF(B204&lt;&gt;"",COUNTIF(D204:G204,"V")+(SUMIF(B209:B211,B204,D209:E211)/1000)+(SUMIF(J209:J211,B204,H209:I211)/1000)-(SUMIF(B209:B211,B204,H209:I211)/1000)-(SUMIF(J209:J211,B204,D209:E211)/1000)+0.002,"")</f>
        <v>0</v>
      </c>
      <c r="N204" s="20" t="str">
        <f t="shared" ref="N204" si="14">IF(B204="","",B204)</f>
        <v>GABRIEL PIOVESAN ZAMPOLLO</v>
      </c>
      <c r="O204" s="20">
        <f>IF(B204&lt;&gt;"",LARGE(M203:M205,2),"")</f>
        <v>1.0029999999999999</v>
      </c>
      <c r="P204" s="20" t="str">
        <f>VLOOKUP(O204,M203:N205,2,0)</f>
        <v>GABRIEL VASCONCELLOS STANGUINI</v>
      </c>
    </row>
    <row r="205" spans="2:16" ht="18" customHeight="1" x14ac:dyDescent="0.25">
      <c r="B205" s="33" t="s">
        <v>401</v>
      </c>
      <c r="C205" s="33" t="str">
        <f>IFERROR(IF(B205="","",VLOOKUP(B205,LISTAS!$F$5:$G$1004,2,0)),"0")</f>
        <v>ABACO IPIRANGA</v>
      </c>
      <c r="D205" s="33" t="str">
        <f>IF(H203&lt;3,"",IF(H203=3,IF(D209&lt;&gt;"",IF(H209&lt;&gt;"",IF(D209&lt;&gt;H209,IF(D209&gt;H209,"D","V"),""),""),"")))</f>
        <v>V</v>
      </c>
      <c r="E205" s="33" t="str">
        <f>IF(H203&lt;3,"",IF(H203=3,IF(D210&lt;&gt;"",IF(H210&lt;&gt;"",IF(D210&lt;&gt;H210,IF(D210&gt;H210,"D","V"),""),""),"")))</f>
        <v>V</v>
      </c>
      <c r="F205" s="33" t="s">
        <v>81</v>
      </c>
      <c r="G205" s="33" t="s">
        <v>81</v>
      </c>
      <c r="H205" s="117"/>
      <c r="I205" s="33">
        <f>IF(B205&lt;&gt;"",3,"")</f>
        <v>3</v>
      </c>
      <c r="J205" s="33" t="str">
        <f>IF(I205&lt;&gt;"",P205,"")</f>
        <v>GABRIEL PIOVESAN ZAMPOLLO</v>
      </c>
      <c r="K205" s="33" t="str">
        <f>IFERROR(IF(J205="","",VLOOKUP(J205,LISTAS!$F$5:$G$1004,2,0)),"0")</f>
        <v>LICEU JARDIM</v>
      </c>
      <c r="L205" s="130" t="str">
        <f>IF(H203=3,"BRONZE",IF(H203=4,"PRATA",IF(H203=5,"OURO","")))</f>
        <v>BRONZE</v>
      </c>
      <c r="M205" s="20">
        <f>IF(B205&lt;&gt;"",COUNTIF(D205:G205,"V")+(SUMIF(B209:B211,B205,D209:E211)/1000)+(SUMIF(J209:J211,B205,H209:I211)/1000)-(SUMIF(B209:B211,B205,H209:I211)/1000)-(SUMIF(J209:J211,B205,D209:E211)/1000)+0.001,"")</f>
        <v>2.0030000000000001</v>
      </c>
      <c r="N205" s="20" t="str">
        <f>IF(B205="","",B205)</f>
        <v>EDUARDO TADASHI SHIMIZU</v>
      </c>
      <c r="O205" s="20">
        <f>IF(B205&lt;&gt;"",LARGE(M203:M205,3),"")</f>
        <v>0</v>
      </c>
      <c r="P205" s="20" t="str">
        <f>VLOOKUP(O205,M203:N205,2,0)</f>
        <v>GABRIEL PIOVESAN ZAMPOLLO</v>
      </c>
    </row>
    <row r="206" spans="2:16" ht="18" customHeight="1" x14ac:dyDescent="0.25">
      <c r="B206" s="79"/>
      <c r="C206" s="79"/>
      <c r="D206" s="79"/>
      <c r="E206" s="79"/>
      <c r="F206" s="79"/>
      <c r="G206" s="79"/>
      <c r="I206" s="80"/>
      <c r="J206" s="79"/>
      <c r="K206" s="81"/>
      <c r="L206" s="81"/>
    </row>
    <row r="207" spans="2:16" ht="23.25" customHeight="1" x14ac:dyDescent="0.25">
      <c r="B207" s="82" t="s">
        <v>40</v>
      </c>
      <c r="C207" s="79"/>
      <c r="D207" s="79"/>
      <c r="E207" s="79"/>
      <c r="F207" s="79"/>
      <c r="G207" s="79"/>
      <c r="H207" s="79"/>
      <c r="I207" s="79"/>
      <c r="J207" s="79"/>
      <c r="K207" s="79"/>
      <c r="L207" s="79"/>
    </row>
    <row r="208" spans="2:16" ht="18" customHeight="1" x14ac:dyDescent="0.25">
      <c r="B208" s="132" t="s">
        <v>15</v>
      </c>
      <c r="C208" s="132" t="s">
        <v>0</v>
      </c>
      <c r="D208" s="258" t="s">
        <v>41</v>
      </c>
      <c r="E208" s="259"/>
      <c r="F208" s="259"/>
      <c r="G208" s="259"/>
      <c r="H208" s="259"/>
      <c r="I208" s="260"/>
      <c r="J208" s="132" t="s">
        <v>15</v>
      </c>
      <c r="K208" s="132" t="s">
        <v>0</v>
      </c>
      <c r="L208" s="79"/>
    </row>
    <row r="209" spans="2:16" ht="18" customHeight="1" x14ac:dyDescent="0.25">
      <c r="B209" s="33" t="str">
        <f>IF(H203=3,B203,"")</f>
        <v>GABRIEL VASCONCELLOS STANGUINI</v>
      </c>
      <c r="C209" s="33" t="str">
        <f>IFERROR(IF(B209="","",VLOOKUP(B209,LISTAS!$F$5:$G$1004,2,0)),"0")</f>
        <v>COLÉGIO ARBOS SÃO CAETANO DO SUL</v>
      </c>
      <c r="D209" s="253">
        <v>1</v>
      </c>
      <c r="E209" s="254"/>
      <c r="F209" s="253" t="s">
        <v>38</v>
      </c>
      <c r="G209" s="254"/>
      <c r="H209" s="253">
        <v>2</v>
      </c>
      <c r="I209" s="254"/>
      <c r="J209" s="111" t="str">
        <f>IF(H203=3,B205,"")</f>
        <v>EDUARDO TADASHI SHIMIZU</v>
      </c>
      <c r="K209" s="33" t="str">
        <f>IFERROR(IF(J209="","",VLOOKUP(J209,LISTAS!$F$5:$G$1004,2,0)),"0")</f>
        <v>ABACO IPIRANGA</v>
      </c>
      <c r="L209" s="81"/>
    </row>
    <row r="210" spans="2:16" ht="18" customHeight="1" x14ac:dyDescent="0.25">
      <c r="B210" s="33" t="str">
        <f>IF(H203=3,B204,"")</f>
        <v>GABRIEL PIOVESAN ZAMPOLLO</v>
      </c>
      <c r="C210" s="33" t="str">
        <f>IFERROR(IF(B210="","",VLOOKUP(B210,LISTAS!$F$5:$G$1004,2,0)),"0")</f>
        <v>LICEU JARDIM</v>
      </c>
      <c r="D210" s="253">
        <v>1</v>
      </c>
      <c r="E210" s="254"/>
      <c r="F210" s="253" t="s">
        <v>38</v>
      </c>
      <c r="G210" s="254"/>
      <c r="H210" s="253">
        <v>2</v>
      </c>
      <c r="I210" s="254"/>
      <c r="J210" s="111" t="str">
        <f>IF(H203=3,B205,"")</f>
        <v>EDUARDO TADASHI SHIMIZU</v>
      </c>
      <c r="K210" s="33" t="str">
        <f>IFERROR(IF(J210="","",VLOOKUP(J210,LISTAS!$F$5:$G$1004,2,0)),"0")</f>
        <v>ABACO IPIRANGA</v>
      </c>
      <c r="L210" s="79"/>
    </row>
    <row r="211" spans="2:16" ht="18" customHeight="1" x14ac:dyDescent="0.25">
      <c r="B211" s="33" t="str">
        <f>IF(H203=3,B203,"")</f>
        <v>GABRIEL VASCONCELLOS STANGUINI</v>
      </c>
      <c r="C211" s="33" t="str">
        <f>IFERROR(IF(B211="","",VLOOKUP(B211,LISTAS!$F$5:$G$1004,2,0)),"0")</f>
        <v>COLÉGIO ARBOS SÃO CAETANO DO SUL</v>
      </c>
      <c r="D211" s="253">
        <v>2</v>
      </c>
      <c r="E211" s="254"/>
      <c r="F211" s="253" t="s">
        <v>38</v>
      </c>
      <c r="G211" s="254"/>
      <c r="H211" s="253">
        <v>1</v>
      </c>
      <c r="I211" s="254"/>
      <c r="J211" s="111" t="str">
        <f>IF(H203=3,B204,"")</f>
        <v>GABRIEL PIOVESAN ZAMPOLLO</v>
      </c>
      <c r="K211" s="33" t="str">
        <f>IFERROR(IF(J211="","",VLOOKUP(J211,LISTAS!$F$5:$G$1004,2,0)),"0")</f>
        <v>LICEU JARDIM</v>
      </c>
      <c r="L211" s="81"/>
    </row>
    <row r="214" spans="2:16" ht="30" customHeight="1" x14ac:dyDescent="0.25">
      <c r="B214" s="161" t="s">
        <v>60</v>
      </c>
      <c r="C214" s="79"/>
      <c r="D214" s="255" t="s">
        <v>42</v>
      </c>
      <c r="E214" s="256"/>
      <c r="F214" s="256"/>
      <c r="G214" s="257"/>
      <c r="H214" s="113"/>
      <c r="I214" s="255" t="s">
        <v>3</v>
      </c>
      <c r="J214" s="256"/>
      <c r="K214" s="256"/>
      <c r="L214" s="256"/>
    </row>
    <row r="215" spans="2:16" ht="18" customHeight="1" x14ac:dyDescent="0.25">
      <c r="B215" s="132" t="s">
        <v>15</v>
      </c>
      <c r="C215" s="132" t="s">
        <v>0</v>
      </c>
      <c r="D215" s="132" t="s">
        <v>43</v>
      </c>
      <c r="E215" s="132" t="s">
        <v>44</v>
      </c>
      <c r="F215" s="132" t="s">
        <v>77</v>
      </c>
      <c r="G215" s="132" t="s">
        <v>78</v>
      </c>
      <c r="H215" s="114"/>
      <c r="I215" s="132" t="s">
        <v>18</v>
      </c>
      <c r="J215" s="132" t="s">
        <v>15</v>
      </c>
      <c r="K215" s="132" t="s">
        <v>0</v>
      </c>
      <c r="L215" s="132" t="s">
        <v>45</v>
      </c>
    </row>
    <row r="216" spans="2:16" ht="18" customHeight="1" x14ac:dyDescent="0.25">
      <c r="B216" s="33" t="s">
        <v>407</v>
      </c>
      <c r="C216" s="33" t="str">
        <f>IFERROR(IF(B216="","",VLOOKUP(B216,LISTAS!$F$5:$G$1004,2,0)),"0")</f>
        <v>COLÉGIO ARBOS - UNIDADE SANTO ANDRÉ</v>
      </c>
      <c r="D216" s="33" t="str">
        <f>IF(H216&lt;3,"",IF(H216=3,IF(D222&lt;&gt;"",IF(H222&lt;&gt;"",IF(D222&lt;&gt;H222,IF(D222&gt;H222,"V","D"),""),""),"")))</f>
        <v>V</v>
      </c>
      <c r="E216" s="33" t="str">
        <f>IF(H216&lt;3,"",IF(H216=3,IF(D224&lt;&gt;"",IF(H224&lt;&gt;"",IF(D224&lt;&gt;H224,IF(D224&gt;H224,"V","D"),""),""),"")))</f>
        <v>V</v>
      </c>
      <c r="F216" s="33" t="s">
        <v>81</v>
      </c>
      <c r="G216" s="33" t="s">
        <v>81</v>
      </c>
      <c r="H216" s="117">
        <f>COUNTA(B216:B218)</f>
        <v>3</v>
      </c>
      <c r="I216" s="33">
        <f>IF(B216&lt;&gt;"",1,"")</f>
        <v>1</v>
      </c>
      <c r="J216" s="33" t="str">
        <f>IF(I216&lt;&gt;"",P216,"")</f>
        <v>FERNANDO GARAVELLO DE ARAUJO</v>
      </c>
      <c r="K216" s="33" t="str">
        <f>IFERROR(IF(J216="","",VLOOKUP(J216,LISTAS!$F$5:$G$1004,2,0)),"0")</f>
        <v>COLÉGIO ARBOS - UNIDADE SANTO ANDRÉ</v>
      </c>
      <c r="L216" s="130" t="str">
        <f>IF(H216=3,"OURO",IF(H216=4,"OURO",IF(H216=5,"OURO","")))</f>
        <v>OURO</v>
      </c>
      <c r="M216" s="20">
        <f>IF(B216&lt;&gt;"",COUNTIF(D216:G216,"V")+(SUMIF(B222:B224,B216,D222:E224)/1000)+(SUMIF(J222:J224,B216,H222:I224)/1000)-(SUMIF(B222:B224,B216,H222:I224)/1000)-(SUMIF(J222:J224,B216,D222:E224)/1000)+0.003,"")</f>
        <v>2.0070000000000001</v>
      </c>
      <c r="N216" s="20" t="str">
        <f>IF(B216="","",B216)</f>
        <v>FERNANDO GARAVELLO DE ARAUJO</v>
      </c>
      <c r="O216" s="20">
        <f>IF(B216&lt;&gt;"",LARGE(M216:M218,1),"")</f>
        <v>2.0070000000000001</v>
      </c>
      <c r="P216" s="20" t="str">
        <f>VLOOKUP(O216,M216:N218,2,0)</f>
        <v>FERNANDO GARAVELLO DE ARAUJO</v>
      </c>
    </row>
    <row r="217" spans="2:16" ht="18" customHeight="1" x14ac:dyDescent="0.25">
      <c r="B217" s="33" t="s">
        <v>399</v>
      </c>
      <c r="C217" s="33" t="str">
        <f>IFERROR(IF(B217="","",VLOOKUP(B217,LISTAS!$F$5:$G$1004,2,0)),"0")</f>
        <v>COLÉGIO ATENEU</v>
      </c>
      <c r="D217" s="33" t="str">
        <f>IF(H216&lt;3,"",IF(H216=3,IF(D223&lt;&gt;"",IF(H223&lt;&gt;"",IF(D223&lt;&gt;H223,IF(D223&gt;H223,"V","D"),""),""),"")))</f>
        <v>V</v>
      </c>
      <c r="E217" s="33" t="str">
        <f>IF(H216&lt;3,"",IF(H216=3,IF(D224&lt;&gt;"",IF(H224&lt;&gt;"",IF(D224&lt;&gt;H224,IF(D224&gt;H224,"D","V"),""),""),"")))</f>
        <v>D</v>
      </c>
      <c r="F217" s="33" t="s">
        <v>81</v>
      </c>
      <c r="G217" s="33" t="s">
        <v>81</v>
      </c>
      <c r="H217" s="117"/>
      <c r="I217" s="33">
        <f>IF(B217&lt;&gt;"",2,"")</f>
        <v>2</v>
      </c>
      <c r="J217" s="33" t="str">
        <f>IF(I217&lt;&gt;"",P217,"")</f>
        <v>EDUARDO PRADO TORRES</v>
      </c>
      <c r="K217" s="33" t="str">
        <f>IFERROR(IF(J217="","",VLOOKUP(J217,LISTAS!$F$5:$G$1004,2,0)),"0")</f>
        <v>COLÉGIO ATENEU</v>
      </c>
      <c r="L217" s="130" t="str">
        <f>IF(H216=3,"PRATA",IF(H216=4,"OURO",IF(H216=5,"OURO","")))</f>
        <v>PRATA</v>
      </c>
      <c r="M217" s="20">
        <f>IF(B217&lt;&gt;"",COUNTIF(D217:G217,"V")+(SUMIF(B222:B224,B217,D222:E224)/1000)+(SUMIF(J222:J224,B217,H222:I224)/1000)-(SUMIF(B222:B224,B217,H222:I224)/1000)-(SUMIF(J222:J224,B217,D222:E224)/1000)+0.002,"")</f>
        <v>1.002</v>
      </c>
      <c r="N217" s="20" t="str">
        <f>IF(B217="","",B217)</f>
        <v>EDUARDO PRADO TORRES</v>
      </c>
      <c r="O217" s="20">
        <f>IF(B217&lt;&gt;"",LARGE(M216:M218,2),"")</f>
        <v>1.002</v>
      </c>
      <c r="P217" s="20" t="str">
        <f>VLOOKUP(O217,M216:N218,2,0)</f>
        <v>EDUARDO PRADO TORRES</v>
      </c>
    </row>
    <row r="218" spans="2:16" ht="18" customHeight="1" x14ac:dyDescent="0.25">
      <c r="B218" s="33" t="s">
        <v>403</v>
      </c>
      <c r="C218" s="33" t="str">
        <f>IFERROR(IF(B218="","",VLOOKUP(B218,LISTAS!$F$5:$G$1004,2,0)),"0")</f>
        <v>COLEGIO PETROPOLIS</v>
      </c>
      <c r="D218" s="33" t="str">
        <f>IF(H216&lt;3,"",IF(H216=3,IF(D222&lt;&gt;"",IF(H222&lt;&gt;"",IF(D222&lt;&gt;H222,IF(D222&gt;H222,"D","V"),""),""),"")))</f>
        <v>D</v>
      </c>
      <c r="E218" s="33" t="str">
        <f>IF(H216&lt;3,"",IF(H216=3,IF(D223&lt;&gt;"",IF(H223&lt;&gt;"",IF(D223&lt;&gt;H223,IF(D223&gt;H223,"D","V"),""),""),"")))</f>
        <v>D</v>
      </c>
      <c r="F218" s="33" t="s">
        <v>81</v>
      </c>
      <c r="G218" s="33" t="s">
        <v>81</v>
      </c>
      <c r="H218" s="117"/>
      <c r="I218" s="33">
        <f>IF(B218&lt;&gt;"",3,"")</f>
        <v>3</v>
      </c>
      <c r="J218" s="33" t="str">
        <f>IF(I218&lt;&gt;"",P218,"")</f>
        <v>ENZO TOMIO</v>
      </c>
      <c r="K218" s="33" t="str">
        <f>IFERROR(IF(J218="","",VLOOKUP(J218,LISTAS!$F$5:$G$1004,2,0)),"0")</f>
        <v>COLEGIO PETROPOLIS</v>
      </c>
      <c r="L218" s="130" t="str">
        <f>IF(H216=3,"BRONZE",IF(H216=4,"PRATA",IF(H216=5,"OURO","")))</f>
        <v>BRONZE</v>
      </c>
      <c r="M218" s="20">
        <f>IF(B218&lt;&gt;"",COUNTIF(D218:G218,"V")+(SUMIF(B222:B224,B218,D222:E224)/1000)+(SUMIF(J222:J224,B218,H222:I224)/1000)-(SUMIF(B222:B224,B218,H222:I224)/1000)-(SUMIF(J222:J224,B218,D222:E224)/1000)+0.001,"")</f>
        <v>-3.0000000000000001E-3</v>
      </c>
      <c r="N218" s="20" t="str">
        <f>IF(B218="","",B218)</f>
        <v>ENZO TOMIO</v>
      </c>
      <c r="O218" s="20">
        <f>IF(B218&lt;&gt;"",LARGE(M216:M218,3),"")</f>
        <v>-3.0000000000000001E-3</v>
      </c>
      <c r="P218" s="20" t="str">
        <f>VLOOKUP(O218,M216:N218,2,0)</f>
        <v>ENZO TOMIO</v>
      </c>
    </row>
    <row r="219" spans="2:16" ht="18" customHeight="1" x14ac:dyDescent="0.25">
      <c r="B219" s="79"/>
      <c r="C219" s="79"/>
      <c r="D219" s="79"/>
      <c r="E219" s="79"/>
      <c r="F219" s="79"/>
      <c r="G219" s="79"/>
      <c r="I219" s="80"/>
      <c r="J219" s="79"/>
      <c r="K219" s="81"/>
      <c r="L219" s="81"/>
    </row>
    <row r="220" spans="2:16" ht="23.25" customHeight="1" x14ac:dyDescent="0.25">
      <c r="B220" s="82" t="s">
        <v>40</v>
      </c>
      <c r="C220" s="79"/>
      <c r="D220" s="79"/>
      <c r="E220" s="79"/>
      <c r="F220" s="79"/>
      <c r="G220" s="79"/>
      <c r="H220" s="79"/>
      <c r="I220" s="79"/>
      <c r="J220" s="79"/>
      <c r="K220" s="79"/>
      <c r="L220" s="79"/>
    </row>
    <row r="221" spans="2:16" ht="18" customHeight="1" x14ac:dyDescent="0.25">
      <c r="B221" s="132" t="s">
        <v>15</v>
      </c>
      <c r="C221" s="132" t="s">
        <v>0</v>
      </c>
      <c r="D221" s="258" t="s">
        <v>41</v>
      </c>
      <c r="E221" s="259"/>
      <c r="F221" s="259"/>
      <c r="G221" s="259"/>
      <c r="H221" s="259"/>
      <c r="I221" s="260"/>
      <c r="J221" s="132" t="s">
        <v>15</v>
      </c>
      <c r="K221" s="132" t="s">
        <v>0</v>
      </c>
      <c r="L221" s="79"/>
    </row>
    <row r="222" spans="2:16" ht="18" customHeight="1" x14ac:dyDescent="0.25">
      <c r="B222" s="33" t="str">
        <f>IF(H216=3,B216,"")</f>
        <v>FERNANDO GARAVELLO DE ARAUJO</v>
      </c>
      <c r="C222" s="33" t="str">
        <f>IFERROR(IF(B222="","",VLOOKUP(B222,LISTAS!$F$5:$G$1004,2,0)),"0")</f>
        <v>COLÉGIO ARBOS - UNIDADE SANTO ANDRÉ</v>
      </c>
      <c r="D222" s="253">
        <v>2</v>
      </c>
      <c r="E222" s="254"/>
      <c r="F222" s="253" t="s">
        <v>38</v>
      </c>
      <c r="G222" s="254"/>
      <c r="H222" s="253">
        <v>0</v>
      </c>
      <c r="I222" s="254"/>
      <c r="J222" s="111" t="str">
        <f>IF(H216=3,B218,"")</f>
        <v>ENZO TOMIO</v>
      </c>
      <c r="K222" s="33" t="str">
        <f>IFERROR(IF(J222="","",VLOOKUP(J222,LISTAS!$F$5:$G$1004,2,0)),"0")</f>
        <v>COLEGIO PETROPOLIS</v>
      </c>
      <c r="L222" s="81"/>
    </row>
    <row r="223" spans="2:16" ht="18" customHeight="1" x14ac:dyDescent="0.25">
      <c r="B223" s="33" t="str">
        <f>IF(H216=3,B217,"")</f>
        <v>EDUARDO PRADO TORRES</v>
      </c>
      <c r="C223" s="33" t="str">
        <f>IFERROR(IF(B223="","",VLOOKUP(B223,LISTAS!$F$5:$G$1004,2,0)),"0")</f>
        <v>COLÉGIO ATENEU</v>
      </c>
      <c r="D223" s="253">
        <v>2</v>
      </c>
      <c r="E223" s="254"/>
      <c r="F223" s="253" t="s">
        <v>38</v>
      </c>
      <c r="G223" s="254"/>
      <c r="H223" s="253">
        <v>0</v>
      </c>
      <c r="I223" s="254"/>
      <c r="J223" s="111" t="str">
        <f>IF(H216=3,B218,"")</f>
        <v>ENZO TOMIO</v>
      </c>
      <c r="K223" s="33" t="str">
        <f>IFERROR(IF(J223="","",VLOOKUP(J223,LISTAS!$F$5:$G$1004,2,0)),"0")</f>
        <v>COLEGIO PETROPOLIS</v>
      </c>
      <c r="L223" s="79"/>
    </row>
    <row r="224" spans="2:16" ht="18" customHeight="1" x14ac:dyDescent="0.25">
      <c r="B224" s="33" t="str">
        <f>IF(H216=3,B216,"")</f>
        <v>FERNANDO GARAVELLO DE ARAUJO</v>
      </c>
      <c r="C224" s="33" t="str">
        <f>IFERROR(IF(B224="","",VLOOKUP(B224,LISTAS!$F$5:$G$1004,2,0)),"0")</f>
        <v>COLÉGIO ARBOS - UNIDADE SANTO ANDRÉ</v>
      </c>
      <c r="D224" s="253">
        <v>2</v>
      </c>
      <c r="E224" s="254"/>
      <c r="F224" s="253" t="s">
        <v>38</v>
      </c>
      <c r="G224" s="254"/>
      <c r="H224" s="253">
        <v>0</v>
      </c>
      <c r="I224" s="254"/>
      <c r="J224" s="111" t="str">
        <f>IF(H216=3,B217,"")</f>
        <v>EDUARDO PRADO TORRES</v>
      </c>
      <c r="K224" s="33" t="str">
        <f>IFERROR(IF(J224="","",VLOOKUP(J224,LISTAS!$F$5:$G$1004,2,0)),"0")</f>
        <v>COLÉGIO ATENEU</v>
      </c>
      <c r="L224" s="81"/>
    </row>
    <row r="227" spans="2:16" ht="30" customHeight="1" x14ac:dyDescent="0.25">
      <c r="B227" s="161" t="s">
        <v>61</v>
      </c>
      <c r="C227" s="79"/>
      <c r="D227" s="255" t="s">
        <v>42</v>
      </c>
      <c r="E227" s="256"/>
      <c r="F227" s="256"/>
      <c r="G227" s="257"/>
      <c r="H227" s="113"/>
      <c r="I227" s="255" t="s">
        <v>3</v>
      </c>
      <c r="J227" s="256"/>
      <c r="K227" s="256"/>
      <c r="L227" s="256"/>
    </row>
    <row r="228" spans="2:16" ht="18" customHeight="1" x14ac:dyDescent="0.25">
      <c r="B228" s="132" t="s">
        <v>15</v>
      </c>
      <c r="C228" s="132" t="s">
        <v>0</v>
      </c>
      <c r="D228" s="132" t="s">
        <v>43</v>
      </c>
      <c r="E228" s="132" t="s">
        <v>44</v>
      </c>
      <c r="F228" s="132" t="s">
        <v>77</v>
      </c>
      <c r="G228" s="132" t="s">
        <v>78</v>
      </c>
      <c r="H228" s="114"/>
      <c r="I228" s="132" t="s">
        <v>18</v>
      </c>
      <c r="J228" s="132" t="s">
        <v>15</v>
      </c>
      <c r="K228" s="132" t="s">
        <v>0</v>
      </c>
      <c r="L228" s="132" t="s">
        <v>45</v>
      </c>
    </row>
    <row r="229" spans="2:16" ht="18" customHeight="1" x14ac:dyDescent="0.25">
      <c r="B229" s="33" t="s">
        <v>473</v>
      </c>
      <c r="C229" s="33" t="str">
        <f>IFERROR(IF(B229="","",VLOOKUP(B229,LISTAS!$F$5:$G$1004,2,0)),"0")</f>
        <v>ESCOLA VILLARE</v>
      </c>
      <c r="D229" s="33" t="str">
        <f>IF(H229&lt;3,"",IF(H229=3,IF(D235&lt;&gt;"",IF(H235&lt;&gt;"",IF(D235&lt;&gt;H235,IF(D235&gt;H235,"V","D"),""),""),"")))</f>
        <v>D</v>
      </c>
      <c r="E229" s="33" t="str">
        <f>IF(H229&lt;3,"",IF(H229=3,IF(D237&lt;&gt;"",IF(H237&lt;&gt;"",IF(D237&lt;&gt;H237,IF(D237&gt;H237,"V","D"),""),""),"")))</f>
        <v>V</v>
      </c>
      <c r="F229" s="33" t="s">
        <v>81</v>
      </c>
      <c r="G229" s="33" t="s">
        <v>81</v>
      </c>
      <c r="H229" s="117">
        <f>COUNTA(B229:B231)</f>
        <v>3</v>
      </c>
      <c r="I229" s="33">
        <f>IF(B229&lt;&gt;"",1,"")</f>
        <v>1</v>
      </c>
      <c r="J229" s="33" t="str">
        <f>IF(I229&lt;&gt;"",P229,"")</f>
        <v>GABRIEL SORECHIO NETO</v>
      </c>
      <c r="K229" s="33" t="str">
        <f>IFERROR(IF(J229="","",VLOOKUP(J229,LISTAS!$F$5:$G$1004,2,0)),"0")</f>
        <v>COLÉGIO ARBOS - UNIDADE SANTO ANDRÉ</v>
      </c>
      <c r="L229" s="130" t="str">
        <f>IF(H229=3,"OURO",IF(H229=4,"OURO",IF(H229=5,"OURO","")))</f>
        <v>OURO</v>
      </c>
      <c r="M229" s="20">
        <f>IF(B229&lt;&gt;"",COUNTIF(D229:G229,"V")+(SUMIF(B235:B237,B229,D235:E237)/1000)+(SUMIF(J235:J237,B229,H235:I237)/1000)-(SUMIF(B235:B237,B229,H235:I237)/1000)-(SUMIF(J235:J237,B229,D235:E237)/1000)+0.003,"")</f>
        <v>1.002</v>
      </c>
      <c r="N229" s="20" t="str">
        <f>IF(B229="","",B229)</f>
        <v>RENATO BARROS DE COSTA GARCIA</v>
      </c>
      <c r="O229" s="20">
        <f>IF(B229&lt;&gt;"",LARGE(M229:M231,1),"")</f>
        <v>1.0029999999999999</v>
      </c>
      <c r="P229" s="20" t="str">
        <f>VLOOKUP(O229,M229:N231,2,0)</f>
        <v>GABRIEL SORECHIO NETO</v>
      </c>
    </row>
    <row r="230" spans="2:16" ht="18" customHeight="1" x14ac:dyDescent="0.25">
      <c r="B230" s="33" t="s">
        <v>411</v>
      </c>
      <c r="C230" s="33" t="str">
        <f>IFERROR(IF(B230="","",VLOOKUP(B230,LISTAS!$F$5:$G$1004,2,0)),"0")</f>
        <v>COLÉGIO ARBOS - UNIDADE SANTO ANDRÉ</v>
      </c>
      <c r="D230" s="33" t="str">
        <f>IF(H229&lt;3,"",IF(H229=3,IF(D236&lt;&gt;"",IF(H236&lt;&gt;"",IF(D236&lt;&gt;H236,IF(D236&gt;H236,"V","D"),""),""),"")))</f>
        <v>V</v>
      </c>
      <c r="E230" s="33" t="str">
        <f>IF(H229&lt;3,"",IF(H229=3,IF(D237&lt;&gt;"",IF(H237&lt;&gt;"",IF(D237&lt;&gt;H237,IF(D237&gt;H237,"D","V"),""),""),"")))</f>
        <v>D</v>
      </c>
      <c r="F230" s="33" t="s">
        <v>81</v>
      </c>
      <c r="G230" s="33" t="s">
        <v>81</v>
      </c>
      <c r="H230" s="117"/>
      <c r="I230" s="33">
        <f>IF(B230&lt;&gt;"",2,"")</f>
        <v>2</v>
      </c>
      <c r="J230" s="33" t="str">
        <f>IF(I230&lt;&gt;"",P230,"")</f>
        <v>RENATO BARROS DE COSTA GARCIA</v>
      </c>
      <c r="K230" s="33" t="str">
        <f>IFERROR(IF(J230="","",VLOOKUP(J230,LISTAS!$F$5:$G$1004,2,0)),"0")</f>
        <v>ESCOLA VILLARE</v>
      </c>
      <c r="L230" s="130" t="str">
        <f>IF(H229=3,"PRATA",IF(H229=4,"OURO",IF(H229=5,"OURO","")))</f>
        <v>PRATA</v>
      </c>
      <c r="M230" s="20">
        <f>IF(B230&lt;&gt;"",COUNTIF(D230:G230,"V")+(SUMIF(B235:B237,B230,D235:E237)/1000)+(SUMIF(J235:J237,B230,H235:I237)/1000)-(SUMIF(B235:B237,B230,H235:I237)/1000)-(SUMIF(J235:J237,B230,D235:E237)/1000)+0.002,"")</f>
        <v>1.0029999999999999</v>
      </c>
      <c r="N230" s="20" t="str">
        <f t="shared" ref="N230" si="15">IF(B230="","",B230)</f>
        <v>GABRIEL SORECHIO NETO</v>
      </c>
      <c r="O230" s="20">
        <f>IF(B230&lt;&gt;"",LARGE(M229:M231,2),"")</f>
        <v>1.002</v>
      </c>
      <c r="P230" s="20" t="str">
        <f>VLOOKUP(O230,M229:N231,2,0)</f>
        <v>RENATO BARROS DE COSTA GARCIA</v>
      </c>
    </row>
    <row r="231" spans="2:16" ht="18" customHeight="1" x14ac:dyDescent="0.25">
      <c r="B231" s="33" t="s">
        <v>398</v>
      </c>
      <c r="C231" s="33" t="str">
        <f>IFERROR(IF(B231="","",VLOOKUP(B231,LISTAS!$F$5:$G$1004,2,0)),"0")</f>
        <v>COLÉGIO SÃO MAURO</v>
      </c>
      <c r="D231" s="33" t="str">
        <f>IF(H229&lt;3,"",IF(H229=3,IF(D235&lt;&gt;"",IF(H235&lt;&gt;"",IF(D235&lt;&gt;H235,IF(D235&gt;H235,"D","V"),""),""),"")))</f>
        <v>V</v>
      </c>
      <c r="E231" s="33" t="str">
        <f>IF(H229&lt;3,"",IF(H229=3,IF(D236&lt;&gt;"",IF(H236&lt;&gt;"",IF(D236&lt;&gt;H236,IF(D236&gt;H236,"D","V"),""),""),"")))</f>
        <v>D</v>
      </c>
      <c r="F231" s="33" t="s">
        <v>81</v>
      </c>
      <c r="G231" s="33" t="s">
        <v>81</v>
      </c>
      <c r="H231" s="117"/>
      <c r="I231" s="33">
        <f>IF(B231&lt;&gt;"",3,"")</f>
        <v>3</v>
      </c>
      <c r="J231" s="33" t="str">
        <f>IF(I231&lt;&gt;"",P231,"")</f>
        <v>EDUARDO ALVES MENDES FILHO</v>
      </c>
      <c r="K231" s="33" t="str">
        <f>IFERROR(IF(J231="","",VLOOKUP(J231,LISTAS!$F$5:$G$1004,2,0)),"0")</f>
        <v>COLÉGIO SÃO MAURO</v>
      </c>
      <c r="L231" s="130" t="str">
        <f>IF(H229=3,"BRONZE",IF(H229=4,"PRATA",IF(H229=5,"OURO","")))</f>
        <v>BRONZE</v>
      </c>
      <c r="M231" s="20">
        <f>IF(B231&lt;&gt;"",COUNTIF(D231:G231,"V")+(SUMIF(B235:B237,B231,D235:E237)/1000)+(SUMIF(J235:J237,B231,H235:I237)/1000)-(SUMIF(B235:B237,B231,H235:I237)/1000)-(SUMIF(J235:J237,B231,D235:E237)/1000)+0.001,"")</f>
        <v>1.0009999999999999</v>
      </c>
      <c r="N231" s="20" t="str">
        <f>IF(B231="","",B231)</f>
        <v>EDUARDO ALVES MENDES FILHO</v>
      </c>
      <c r="O231" s="20">
        <f>IF(B231&lt;&gt;"",LARGE(M229:M231,3),"")</f>
        <v>1.0009999999999999</v>
      </c>
      <c r="P231" s="20" t="str">
        <f>VLOOKUP(O231,M229:N231,2,0)</f>
        <v>EDUARDO ALVES MENDES FILHO</v>
      </c>
    </row>
    <row r="232" spans="2:16" ht="18" customHeight="1" x14ac:dyDescent="0.25">
      <c r="B232" s="79"/>
      <c r="C232" s="79"/>
      <c r="D232" s="79"/>
      <c r="E232" s="79"/>
      <c r="F232" s="79"/>
      <c r="G232" s="79"/>
      <c r="I232" s="80"/>
      <c r="J232" s="79"/>
      <c r="K232" s="81"/>
      <c r="L232" s="81"/>
    </row>
    <row r="233" spans="2:16" ht="23.25" customHeight="1" x14ac:dyDescent="0.25">
      <c r="B233" s="82" t="s">
        <v>40</v>
      </c>
      <c r="C233" s="79"/>
      <c r="D233" s="79"/>
      <c r="E233" s="79"/>
      <c r="F233" s="79"/>
      <c r="G233" s="79"/>
      <c r="H233" s="79"/>
      <c r="I233" s="79"/>
      <c r="J233" s="79"/>
      <c r="K233" s="79"/>
      <c r="L233" s="79"/>
    </row>
    <row r="234" spans="2:16" ht="18" customHeight="1" x14ac:dyDescent="0.25">
      <c r="B234" s="132" t="s">
        <v>15</v>
      </c>
      <c r="C234" s="132" t="s">
        <v>0</v>
      </c>
      <c r="D234" s="258" t="s">
        <v>41</v>
      </c>
      <c r="E234" s="259"/>
      <c r="F234" s="259"/>
      <c r="G234" s="259"/>
      <c r="H234" s="259"/>
      <c r="I234" s="260"/>
      <c r="J234" s="132" t="s">
        <v>15</v>
      </c>
      <c r="K234" s="132" t="s">
        <v>0</v>
      </c>
      <c r="L234" s="79"/>
    </row>
    <row r="235" spans="2:16" ht="18" customHeight="1" x14ac:dyDescent="0.25">
      <c r="B235" s="33" t="str">
        <f>IF(H229=3,B229,"")</f>
        <v>RENATO BARROS DE COSTA GARCIA</v>
      </c>
      <c r="C235" s="33" t="str">
        <f>IFERROR(IF(B235="","",VLOOKUP(B235,LISTAS!$F$5:$G$1004,2,0)),"0")</f>
        <v>ESCOLA VILLARE</v>
      </c>
      <c r="D235" s="253">
        <v>0</v>
      </c>
      <c r="E235" s="254"/>
      <c r="F235" s="253" t="s">
        <v>38</v>
      </c>
      <c r="G235" s="254"/>
      <c r="H235" s="253">
        <v>2</v>
      </c>
      <c r="I235" s="254"/>
      <c r="J235" s="111" t="str">
        <f>IF(H229=3,B231,"")</f>
        <v>EDUARDO ALVES MENDES FILHO</v>
      </c>
      <c r="K235" s="33" t="str">
        <f>IFERROR(IF(J235="","",VLOOKUP(J235,LISTAS!$F$5:$G$1004,2,0)),"0")</f>
        <v>COLÉGIO SÃO MAURO</v>
      </c>
      <c r="L235" s="81"/>
    </row>
    <row r="236" spans="2:16" ht="18" customHeight="1" x14ac:dyDescent="0.25">
      <c r="B236" s="33" t="str">
        <f>IF(H229=3,B230,"")</f>
        <v>GABRIEL SORECHIO NETO</v>
      </c>
      <c r="C236" s="33" t="str">
        <f>IFERROR(IF(B236="","",VLOOKUP(B236,LISTAS!$F$5:$G$1004,2,0)),"0")</f>
        <v>COLÉGIO ARBOS - UNIDADE SANTO ANDRÉ</v>
      </c>
      <c r="D236" s="253">
        <v>2</v>
      </c>
      <c r="E236" s="254"/>
      <c r="F236" s="253" t="s">
        <v>38</v>
      </c>
      <c r="G236" s="254"/>
      <c r="H236" s="253">
        <v>0</v>
      </c>
      <c r="I236" s="254"/>
      <c r="J236" s="111" t="str">
        <f>IF(H229=3,B231,"")</f>
        <v>EDUARDO ALVES MENDES FILHO</v>
      </c>
      <c r="K236" s="33" t="str">
        <f>IFERROR(IF(J236="","",VLOOKUP(J236,LISTAS!$F$5:$G$1004,2,0)),"0")</f>
        <v>COLÉGIO SÃO MAURO</v>
      </c>
      <c r="L236" s="79"/>
    </row>
    <row r="237" spans="2:16" ht="18" customHeight="1" x14ac:dyDescent="0.25">
      <c r="B237" s="33" t="str">
        <f>IF(H229=3,B229,"")</f>
        <v>RENATO BARROS DE COSTA GARCIA</v>
      </c>
      <c r="C237" s="33" t="str">
        <f>IFERROR(IF(B237="","",VLOOKUP(B237,LISTAS!$F$5:$G$1004,2,0)),"0")</f>
        <v>ESCOLA VILLARE</v>
      </c>
      <c r="D237" s="253">
        <v>2</v>
      </c>
      <c r="E237" s="254"/>
      <c r="F237" s="253" t="s">
        <v>38</v>
      </c>
      <c r="G237" s="254"/>
      <c r="H237" s="253">
        <v>1</v>
      </c>
      <c r="I237" s="254"/>
      <c r="J237" s="111" t="str">
        <f>IF(H229=3,B230,"")</f>
        <v>GABRIEL SORECHIO NETO</v>
      </c>
      <c r="K237" s="33" t="str">
        <f>IFERROR(IF(J237="","",VLOOKUP(J237,LISTAS!$F$5:$G$1004,2,0)),"0")</f>
        <v>COLÉGIO ARBOS - UNIDADE SANTO ANDRÉ</v>
      </c>
      <c r="L237" s="81"/>
    </row>
    <row r="240" spans="2:16" ht="30" customHeight="1" x14ac:dyDescent="0.25">
      <c r="B240" s="161" t="s">
        <v>62</v>
      </c>
      <c r="C240" s="79"/>
      <c r="D240" s="255" t="s">
        <v>42</v>
      </c>
      <c r="E240" s="256"/>
      <c r="F240" s="256"/>
      <c r="G240" s="257"/>
      <c r="H240" s="113"/>
      <c r="I240" s="255" t="s">
        <v>3</v>
      </c>
      <c r="J240" s="256"/>
      <c r="K240" s="256"/>
      <c r="L240" s="256"/>
    </row>
    <row r="241" spans="2:16" ht="18" customHeight="1" x14ac:dyDescent="0.25">
      <c r="B241" s="132" t="s">
        <v>15</v>
      </c>
      <c r="C241" s="132" t="s">
        <v>0</v>
      </c>
      <c r="D241" s="132" t="s">
        <v>43</v>
      </c>
      <c r="E241" s="132" t="s">
        <v>44</v>
      </c>
      <c r="F241" s="132" t="s">
        <v>77</v>
      </c>
      <c r="G241" s="132" t="s">
        <v>78</v>
      </c>
      <c r="H241" s="114"/>
      <c r="I241" s="132" t="s">
        <v>18</v>
      </c>
      <c r="J241" s="132" t="s">
        <v>15</v>
      </c>
      <c r="K241" s="132" t="s">
        <v>0</v>
      </c>
      <c r="L241" s="132" t="s">
        <v>45</v>
      </c>
    </row>
    <row r="242" spans="2:16" ht="18" customHeight="1" x14ac:dyDescent="0.25">
      <c r="B242" s="33" t="s">
        <v>382</v>
      </c>
      <c r="C242" s="33" t="str">
        <f>IFERROR(IF(B242="","",VLOOKUP(B242,LISTAS!$F$5:$G$1004,2,0)),"0")</f>
        <v>COLÉGIO VÉRTICE</v>
      </c>
      <c r="D242" s="33" t="str">
        <f>IF(H242&lt;3,"",IF(H242=3,IF(D248&lt;&gt;"",IF(H248&lt;&gt;"",IF(D248&lt;&gt;H248,IF(D248&gt;H248,"V","D"),""),""),"")))</f>
        <v>V</v>
      </c>
      <c r="E242" s="33" t="str">
        <f>IF(H242&lt;3,"",IF(H242=3,IF(D250&lt;&gt;"",IF(H250&lt;&gt;"",IF(D250&lt;&gt;H250,IF(D250&gt;H250,"V","D"),""),""),"")))</f>
        <v>V</v>
      </c>
      <c r="F242" s="33" t="s">
        <v>81</v>
      </c>
      <c r="G242" s="33" t="s">
        <v>81</v>
      </c>
      <c r="H242" s="117">
        <f>COUNTA(B242:B244)</f>
        <v>3</v>
      </c>
      <c r="I242" s="33">
        <f>IF(B242&lt;&gt;"",1,"")</f>
        <v>1</v>
      </c>
      <c r="J242" s="33" t="str">
        <f>IF(I242&lt;&gt;"",P242,"")</f>
        <v>BENTO SAKATA UZUELI</v>
      </c>
      <c r="K242" s="33" t="str">
        <f>IFERROR(IF(J242="","",VLOOKUP(J242,LISTAS!$F$5:$G$1004,2,0)),"0")</f>
        <v>COLÉGIO VÉRTICE</v>
      </c>
      <c r="L242" s="130" t="str">
        <f>IF(H242=3,"OURO",IF(H242=4,"OURO",IF(H242=5,"OURO","")))</f>
        <v>OURO</v>
      </c>
      <c r="M242" s="20">
        <f>IF(B242&lt;&gt;"",COUNTIF(D242:G242,"V")+(SUMIF(B248:B250,B242,D248:E250)/1000)+(SUMIF(J248:J250,B242,H248:I250)/1000)-(SUMIF(B248:B250,B242,H248:I250)/1000)-(SUMIF(J248:J250,B242,D248:E250)/1000)+0.003,"")</f>
        <v>2.0070000000000001</v>
      </c>
      <c r="N242" s="20" t="str">
        <f>IF(B242="","",B242)</f>
        <v>BENTO SAKATA UZUELI</v>
      </c>
      <c r="O242" s="20">
        <f>IF(B242&lt;&gt;"",LARGE(M242:M244,1),"")</f>
        <v>2.0070000000000001</v>
      </c>
      <c r="P242" s="20" t="str">
        <f>VLOOKUP(O242,M242:N244,2,0)</f>
        <v>BENTO SAKATA UZUELI</v>
      </c>
    </row>
    <row r="243" spans="2:16" ht="18" customHeight="1" x14ac:dyDescent="0.25">
      <c r="B243" s="33" t="s">
        <v>414</v>
      </c>
      <c r="C243" s="33" t="str">
        <f>IFERROR(IF(B243="","",VLOOKUP(B243,LISTAS!$F$5:$G$1004,2,0)),"0")</f>
        <v>COLÉGIO ARBOS SÃO CAETANO DO SUL</v>
      </c>
      <c r="D243" s="33" t="str">
        <f>IF(H242&lt;3,"",IF(H242=3,IF(D249&lt;&gt;"",IF(H249&lt;&gt;"",IF(D249&lt;&gt;H249,IF(D249&gt;H249,"V","D"),""),""),"")))</f>
        <v>V</v>
      </c>
      <c r="E243" s="33" t="str">
        <f>IF(H242&lt;3,"",IF(H242=3,IF(D250&lt;&gt;"",IF(H250&lt;&gt;"",IF(D250&lt;&gt;H250,IF(D250&gt;H250,"D","V"),""),""),"")))</f>
        <v>D</v>
      </c>
      <c r="F243" s="33" t="s">
        <v>81</v>
      </c>
      <c r="G243" s="33" t="s">
        <v>81</v>
      </c>
      <c r="H243" s="117"/>
      <c r="I243" s="33">
        <f>IF(B243&lt;&gt;"",2,"")</f>
        <v>2</v>
      </c>
      <c r="J243" s="33" t="str">
        <f>IF(I243&lt;&gt;"",P243,"")</f>
        <v>GUILHERME HENRIQUE PORTELA NUNES</v>
      </c>
      <c r="K243" s="33" t="str">
        <f>IFERROR(IF(J243="","",VLOOKUP(J243,LISTAS!$F$5:$G$1004,2,0)),"0")</f>
        <v>COLÉGIO ARBOS SÃO CAETANO DO SUL</v>
      </c>
      <c r="L243" s="130" t="str">
        <f>IF(H242=3,"PRATA",IF(H242=4,"OURO",IF(H242=5,"OURO","")))</f>
        <v>PRATA</v>
      </c>
      <c r="M243" s="20">
        <f>IF(B243&lt;&gt;"",COUNTIF(D243:G243,"V")+(SUMIF(B248:B250,B243,D248:E250)/1000)+(SUMIF(J248:J250,B243,H248:I250)/1000)-(SUMIF(B248:B250,B243,H248:I250)/1000)-(SUMIF(J248:J250,B243,D248:E250)/1000)+0.002,"")</f>
        <v>1.002</v>
      </c>
      <c r="N243" s="20" t="str">
        <f t="shared" ref="N243" si="16">IF(B243="","",B243)</f>
        <v>GUILHERME HENRIQUE PORTELA NUNES</v>
      </c>
      <c r="O243" s="20">
        <f>IF(B243&lt;&gt;"",LARGE(M242:M244,2),"")</f>
        <v>1.002</v>
      </c>
      <c r="P243" s="20" t="str">
        <f>VLOOKUP(O243,M242:N244,2,0)</f>
        <v>GUILHERME HENRIQUE PORTELA NUNES</v>
      </c>
    </row>
    <row r="244" spans="2:16" ht="18" customHeight="1" x14ac:dyDescent="0.25">
      <c r="B244" s="33" t="s">
        <v>425</v>
      </c>
      <c r="C244" s="33" t="str">
        <f>IFERROR(IF(B244="","",VLOOKUP(B244,LISTAS!$F$5:$G$1004,2,0)),"0")</f>
        <v>CENTRO DE ESTUDOS JÚLIO VERNE</v>
      </c>
      <c r="D244" s="33" t="str">
        <f>IF(H242&lt;3,"",IF(H242=3,IF(D248&lt;&gt;"",IF(H248&lt;&gt;"",IF(D248&lt;&gt;H248,IF(D248&gt;H248,"D","V"),""),""),"")))</f>
        <v>D</v>
      </c>
      <c r="E244" s="33" t="str">
        <f>IF(H242&lt;3,"",IF(H242=3,IF(D249&lt;&gt;"",IF(H249&lt;&gt;"",IF(D249&lt;&gt;H249,IF(D249&gt;H249,"D","V"),""),""),"")))</f>
        <v>D</v>
      </c>
      <c r="F244" s="33" t="s">
        <v>81</v>
      </c>
      <c r="G244" s="33" t="s">
        <v>81</v>
      </c>
      <c r="H244" s="117"/>
      <c r="I244" s="33">
        <f>IF(B244&lt;&gt;"",3,"")</f>
        <v>3</v>
      </c>
      <c r="J244" s="33" t="str">
        <f>IF(I244&lt;&gt;"",P244,"")</f>
        <v>JOÃO PEDRO FERREIRA SILVA</v>
      </c>
      <c r="K244" s="33" t="str">
        <f>IFERROR(IF(J244="","",VLOOKUP(J244,LISTAS!$F$5:$G$1004,2,0)),"0")</f>
        <v>CENTRO DE ESTUDOS JÚLIO VERNE</v>
      </c>
      <c r="L244" s="130" t="str">
        <f>IF(H242=3,"BRONZE",IF(H242=4,"PRATA",IF(H242=5,"OURO","")))</f>
        <v>BRONZE</v>
      </c>
      <c r="M244" s="20">
        <f>IF(B244&lt;&gt;"",COUNTIF(D244:G244,"V")+(SUMIF(B248:B250,B244,D248:E250)/1000)+(SUMIF(J248:J250,B244,H248:I250)/1000)-(SUMIF(B248:B250,B244,H248:I250)/1000)-(SUMIF(J248:J250,B244,D248:E250)/1000)+0.001,"")</f>
        <v>-3.0000000000000001E-3</v>
      </c>
      <c r="N244" s="20" t="str">
        <f>IF(B244="","",B244)</f>
        <v>JOÃO PEDRO FERREIRA SILVA</v>
      </c>
      <c r="O244" s="20">
        <f>IF(B244&lt;&gt;"",LARGE(M242:M244,3),"")</f>
        <v>-3.0000000000000001E-3</v>
      </c>
      <c r="P244" s="20" t="str">
        <f>VLOOKUP(O244,M242:N244,2,0)</f>
        <v>JOÃO PEDRO FERREIRA SILVA</v>
      </c>
    </row>
    <row r="245" spans="2:16" ht="18" customHeight="1" x14ac:dyDescent="0.25">
      <c r="B245" s="79"/>
      <c r="C245" s="79"/>
      <c r="D245" s="79"/>
      <c r="E245" s="79"/>
      <c r="F245" s="79"/>
      <c r="G245" s="79"/>
      <c r="I245" s="80"/>
      <c r="J245" s="79"/>
      <c r="K245" s="81"/>
      <c r="L245" s="81"/>
    </row>
    <row r="246" spans="2:16" ht="23.25" customHeight="1" x14ac:dyDescent="0.25">
      <c r="B246" s="82" t="s">
        <v>40</v>
      </c>
      <c r="C246" s="79"/>
      <c r="D246" s="79"/>
      <c r="E246" s="79"/>
      <c r="F246" s="79"/>
      <c r="G246" s="79"/>
      <c r="H246" s="79"/>
      <c r="I246" s="79"/>
      <c r="J246" s="79"/>
      <c r="K246" s="79"/>
      <c r="L246" s="79"/>
    </row>
    <row r="247" spans="2:16" ht="18" customHeight="1" x14ac:dyDescent="0.25">
      <c r="B247" s="132" t="s">
        <v>15</v>
      </c>
      <c r="C247" s="132" t="s">
        <v>0</v>
      </c>
      <c r="D247" s="258" t="s">
        <v>41</v>
      </c>
      <c r="E247" s="259"/>
      <c r="F247" s="259"/>
      <c r="G247" s="259"/>
      <c r="H247" s="259"/>
      <c r="I247" s="260"/>
      <c r="J247" s="132" t="s">
        <v>15</v>
      </c>
      <c r="K247" s="132" t="s">
        <v>0</v>
      </c>
      <c r="L247" s="79"/>
    </row>
    <row r="248" spans="2:16" ht="18" customHeight="1" x14ac:dyDescent="0.25">
      <c r="B248" s="33" t="str">
        <f>IF(H242=3,B242,"")</f>
        <v>BENTO SAKATA UZUELI</v>
      </c>
      <c r="C248" s="33" t="str">
        <f>IFERROR(IF(B248="","",VLOOKUP(B248,LISTAS!$F$5:$G$1004,2,0)),"0")</f>
        <v>COLÉGIO VÉRTICE</v>
      </c>
      <c r="D248" s="253">
        <v>2</v>
      </c>
      <c r="E248" s="254"/>
      <c r="F248" s="253" t="s">
        <v>38</v>
      </c>
      <c r="G248" s="254"/>
      <c r="H248" s="253">
        <v>0</v>
      </c>
      <c r="I248" s="254"/>
      <c r="J248" s="111" t="str">
        <f>IF(H242=3,B244,"")</f>
        <v>JOÃO PEDRO FERREIRA SILVA</v>
      </c>
      <c r="K248" s="33" t="str">
        <f>IFERROR(IF(J248="","",VLOOKUP(J248,LISTAS!$F$5:$G$1004,2,0)),"0")</f>
        <v>CENTRO DE ESTUDOS JÚLIO VERNE</v>
      </c>
      <c r="L248" s="81"/>
    </row>
    <row r="249" spans="2:16" ht="18" customHeight="1" x14ac:dyDescent="0.25">
      <c r="B249" s="33" t="str">
        <f>IF(H242=3,B243,"")</f>
        <v>GUILHERME HENRIQUE PORTELA NUNES</v>
      </c>
      <c r="C249" s="33" t="str">
        <f>IFERROR(IF(B249="","",VLOOKUP(B249,LISTAS!$F$5:$G$1004,2,0)),"0")</f>
        <v>COLÉGIO ARBOS SÃO CAETANO DO SUL</v>
      </c>
      <c r="D249" s="253">
        <v>2</v>
      </c>
      <c r="E249" s="254"/>
      <c r="F249" s="253" t="s">
        <v>38</v>
      </c>
      <c r="G249" s="254"/>
      <c r="H249" s="253">
        <v>0</v>
      </c>
      <c r="I249" s="254"/>
      <c r="J249" s="111" t="str">
        <f>IF(H242=3,B244,"")</f>
        <v>JOÃO PEDRO FERREIRA SILVA</v>
      </c>
      <c r="K249" s="33" t="str">
        <f>IFERROR(IF(J249="","",VLOOKUP(J249,LISTAS!$F$5:$G$1004,2,0)),"0")</f>
        <v>CENTRO DE ESTUDOS JÚLIO VERNE</v>
      </c>
      <c r="L249" s="79"/>
    </row>
    <row r="250" spans="2:16" ht="18" customHeight="1" x14ac:dyDescent="0.25">
      <c r="B250" s="33" t="str">
        <f>IF(H242=3,B242,"")</f>
        <v>BENTO SAKATA UZUELI</v>
      </c>
      <c r="C250" s="33" t="str">
        <f>IFERROR(IF(B250="","",VLOOKUP(B250,LISTAS!$F$5:$G$1004,2,0)),"0")</f>
        <v>COLÉGIO VÉRTICE</v>
      </c>
      <c r="D250" s="253">
        <v>2</v>
      </c>
      <c r="E250" s="254"/>
      <c r="F250" s="253" t="s">
        <v>38</v>
      </c>
      <c r="G250" s="254"/>
      <c r="H250" s="253">
        <v>0</v>
      </c>
      <c r="I250" s="254"/>
      <c r="J250" s="111" t="str">
        <f>IF(H242=3,B243,"")</f>
        <v>GUILHERME HENRIQUE PORTELA NUNES</v>
      </c>
      <c r="K250" s="33" t="str">
        <f>IFERROR(IF(J250="","",VLOOKUP(J250,LISTAS!$F$5:$G$1004,2,0)),"0")</f>
        <v>COLÉGIO ARBOS SÃO CAETANO DO SUL</v>
      </c>
      <c r="L250" s="81"/>
    </row>
    <row r="253" spans="2:16" ht="30" customHeight="1" x14ac:dyDescent="0.25">
      <c r="B253" s="161" t="s">
        <v>63</v>
      </c>
      <c r="C253" s="79"/>
      <c r="D253" s="255" t="s">
        <v>42</v>
      </c>
      <c r="E253" s="256"/>
      <c r="F253" s="256"/>
      <c r="G253" s="257"/>
      <c r="H253" s="113"/>
      <c r="I253" s="255" t="s">
        <v>3</v>
      </c>
      <c r="J253" s="256"/>
      <c r="K253" s="256"/>
      <c r="L253" s="256"/>
    </row>
    <row r="254" spans="2:16" ht="18" customHeight="1" x14ac:dyDescent="0.25">
      <c r="B254" s="132" t="s">
        <v>15</v>
      </c>
      <c r="C254" s="132" t="s">
        <v>0</v>
      </c>
      <c r="D254" s="132" t="s">
        <v>43</v>
      </c>
      <c r="E254" s="132" t="s">
        <v>44</v>
      </c>
      <c r="F254" s="132" t="s">
        <v>77</v>
      </c>
      <c r="G254" s="132" t="s">
        <v>78</v>
      </c>
      <c r="H254" s="114"/>
      <c r="I254" s="132" t="s">
        <v>18</v>
      </c>
      <c r="J254" s="132" t="s">
        <v>15</v>
      </c>
      <c r="K254" s="132" t="s">
        <v>0</v>
      </c>
      <c r="L254" s="132" t="s">
        <v>45</v>
      </c>
    </row>
    <row r="255" spans="2:16" ht="18" customHeight="1" x14ac:dyDescent="0.25">
      <c r="B255" s="33" t="s">
        <v>646</v>
      </c>
      <c r="C255" s="33" t="str">
        <f>IFERROR(IF(B255="","",VLOOKUP(B255,LISTAS!$F$5:$G$1004,2,0)),"0")</f>
        <v>ESCOLA INTERAÇÃO</v>
      </c>
      <c r="D255" s="33" t="str">
        <f>IF(H255&lt;3,"",IF(H255=3,IF(D261&lt;&gt;"",IF(H261&lt;&gt;"",IF(D261&lt;&gt;H261,IF(D261&gt;H261,"V","D"),""),""),"")))</f>
        <v>V</v>
      </c>
      <c r="E255" s="33" t="str">
        <f>IF(H255&lt;3,"",IF(H255=3,IF(D263&lt;&gt;"",IF(H263&lt;&gt;"",IF(D263&lt;&gt;H263,IF(D263&gt;H263,"V","D"),""),""),"")))</f>
        <v>D</v>
      </c>
      <c r="F255" s="33" t="s">
        <v>81</v>
      </c>
      <c r="G255" s="33" t="s">
        <v>81</v>
      </c>
      <c r="H255" s="117">
        <f>COUNTA(B255:B257)</f>
        <v>3</v>
      </c>
      <c r="I255" s="33">
        <f>IF(B255&lt;&gt;"",1,"")</f>
        <v>1</v>
      </c>
      <c r="J255" s="33" t="str">
        <f>IF(I255&lt;&gt;"",P255,"")</f>
        <v>JOÃO GARCIA GRANDOLFO</v>
      </c>
      <c r="K255" s="33" t="str">
        <f>IFERROR(IF(J255="","",VLOOKUP(J255,LISTAS!$F$5:$G$1004,2,0)),"0")</f>
        <v>ABACO IPIRANGA</v>
      </c>
      <c r="L255" s="130" t="str">
        <f>IF(H255=3,"OURO",IF(H255=4,"OURO",IF(H255=5,"OURO","")))</f>
        <v>OURO</v>
      </c>
      <c r="M255" s="20">
        <f>IF(B255&lt;&gt;"",COUNTIF(D255:G255,"V")+(SUMIF(B261:B263,B255,D261:E263)/1000)+(SUMIF(J261:J263,B255,H261:I263)/1000)-(SUMIF(B261:B263,B255,H261:I263)/1000)-(SUMIF(J261:J263,B255,D261:E263)/1000)+0.003,"")</f>
        <v>1.0029999999999999</v>
      </c>
      <c r="N255" s="20" t="str">
        <f>IF(B255="","",B255)</f>
        <v>Lucas Movio Baptista de Barros</v>
      </c>
      <c r="O255" s="20">
        <f>IF(B255&lt;&gt;"",LARGE(M255:M257,1),"")</f>
        <v>2.0059999999999993</v>
      </c>
      <c r="P255" s="20" t="str">
        <f>VLOOKUP(O255,M255:N257,2,0)</f>
        <v>JOÃO GARCIA GRANDOLFO</v>
      </c>
    </row>
    <row r="256" spans="2:16" ht="18" customHeight="1" x14ac:dyDescent="0.25">
      <c r="B256" s="33" t="s">
        <v>421</v>
      </c>
      <c r="C256" s="33" t="str">
        <f>IFERROR(IF(B256="","",VLOOKUP(B256,LISTAS!$F$5:$G$1004,2,0)),"0")</f>
        <v>ABACO IPIRANGA</v>
      </c>
      <c r="D256" s="33" t="str">
        <f>IF(H255&lt;3,"",IF(H255=3,IF(D262&lt;&gt;"",IF(H262&lt;&gt;"",IF(D262&lt;&gt;H262,IF(D262&gt;H262,"V","D"),""),""),"")))</f>
        <v>V</v>
      </c>
      <c r="E256" s="33" t="str">
        <f>IF(H255&lt;3,"",IF(H255=3,IF(D263&lt;&gt;"",IF(H263&lt;&gt;"",IF(D263&lt;&gt;H263,IF(D263&gt;H263,"D","V"),""),""),"")))</f>
        <v>V</v>
      </c>
      <c r="F256" s="33" t="s">
        <v>81</v>
      </c>
      <c r="G256" s="33" t="s">
        <v>81</v>
      </c>
      <c r="H256" s="117"/>
      <c r="I256" s="33">
        <f>IF(B256&lt;&gt;"",2,"")</f>
        <v>2</v>
      </c>
      <c r="J256" s="33" t="str">
        <f>IF(I256&lt;&gt;"",P256,"")</f>
        <v>Lucas Movio Baptista de Barros</v>
      </c>
      <c r="K256" s="33" t="str">
        <f>IFERROR(IF(J256="","",VLOOKUP(J256,LISTAS!$F$5:$G$1004,2,0)),"0")</f>
        <v>ESCOLA INTERAÇÃO</v>
      </c>
      <c r="L256" s="130" t="str">
        <f>IF(H255=3,"PRATA",IF(H255=4,"OURO",IF(H255=5,"OURO","")))</f>
        <v>PRATA</v>
      </c>
      <c r="M256" s="20">
        <f>IF(B256&lt;&gt;"",COUNTIF(D256:G256,"V")+(SUMIF(B261:B263,B256,D261:E263)/1000)+(SUMIF(J261:J263,B256,H261:I263)/1000)-(SUMIF(B261:B263,B256,H261:I263)/1000)-(SUMIF(J261:J263,B256,D261:E263)/1000)+0.002,"")</f>
        <v>2.0059999999999993</v>
      </c>
      <c r="N256" s="20" t="str">
        <f t="shared" ref="N256" si="17">IF(B256="","",B256)</f>
        <v>JOÃO GARCIA GRANDOLFO</v>
      </c>
      <c r="O256" s="20">
        <f>IF(B256&lt;&gt;"",LARGE(M255:M257,2),"")</f>
        <v>1.0029999999999999</v>
      </c>
      <c r="P256" s="20" t="str">
        <f>VLOOKUP(O256,M255:N257,2,0)</f>
        <v>Lucas Movio Baptista de Barros</v>
      </c>
    </row>
    <row r="257" spans="2:16" ht="18" customHeight="1" x14ac:dyDescent="0.25">
      <c r="B257" s="33" t="s">
        <v>418</v>
      </c>
      <c r="C257" s="33" t="str">
        <f>IFERROR(IF(B257="","",VLOOKUP(B257,LISTAS!$F$5:$G$1004,2,0)),"0")</f>
        <v>COLÉGIO ARBOS - UNIDADE SANTO ANDRÉ</v>
      </c>
      <c r="D257" s="33" t="str">
        <f>IF(H255&lt;3,"",IF(H255=3,IF(D261&lt;&gt;"",IF(H261&lt;&gt;"",IF(D261&lt;&gt;H261,IF(D261&gt;H261,"D","V"),""),""),"")))</f>
        <v>D</v>
      </c>
      <c r="E257" s="33" t="str">
        <f>IF(H255&lt;3,"",IF(H255=3,IF(D262&lt;&gt;"",IF(H262&lt;&gt;"",IF(D262&lt;&gt;H262,IF(D262&gt;H262,"D","V"),""),""),"")))</f>
        <v>D</v>
      </c>
      <c r="F257" s="33" t="s">
        <v>81</v>
      </c>
      <c r="G257" s="33" t="s">
        <v>81</v>
      </c>
      <c r="H257" s="117"/>
      <c r="I257" s="33">
        <f>IF(B257&lt;&gt;"",3,"")</f>
        <v>3</v>
      </c>
      <c r="J257" s="33" t="str">
        <f>IF(I257&lt;&gt;"",P257,"")</f>
        <v>HEITOR CEZAR TEIXEIRA DA SILVA</v>
      </c>
      <c r="K257" s="33" t="str">
        <f>IFERROR(IF(J257="","",VLOOKUP(J257,LISTAS!$F$5:$G$1004,2,0)),"0")</f>
        <v>COLÉGIO ARBOS - UNIDADE SANTO ANDRÉ</v>
      </c>
      <c r="L257" s="130" t="str">
        <f>IF(H255=3,"BRONZE",IF(H255=4,"PRATA",IF(H255=5,"OURO","")))</f>
        <v>BRONZE</v>
      </c>
      <c r="M257" s="20">
        <f>IF(B257&lt;&gt;"",COUNTIF(D257:G257,"V")+(SUMIF(B261:B263,B257,D261:E263)/1000)+(SUMIF(J261:J263,B257,H261:I263)/1000)-(SUMIF(B261:B263,B257,H261:I263)/1000)-(SUMIF(J261:J263,B257,D261:E263)/1000)+0.001,"")</f>
        <v>-3.0000000000000001E-3</v>
      </c>
      <c r="N257" s="20" t="str">
        <f>IF(B257="","",B257)</f>
        <v>HEITOR CEZAR TEIXEIRA DA SILVA</v>
      </c>
      <c r="O257" s="20">
        <f>IF(B257&lt;&gt;"",LARGE(M255:M257,3),"")</f>
        <v>-3.0000000000000001E-3</v>
      </c>
      <c r="P257" s="20" t="str">
        <f>VLOOKUP(O257,M255:N257,2,0)</f>
        <v>HEITOR CEZAR TEIXEIRA DA SILVA</v>
      </c>
    </row>
    <row r="258" spans="2:16" ht="18" customHeight="1" x14ac:dyDescent="0.25">
      <c r="B258" s="79"/>
      <c r="C258" s="79"/>
      <c r="D258" s="79"/>
      <c r="E258" s="79"/>
      <c r="F258" s="79"/>
      <c r="G258" s="79"/>
      <c r="I258" s="80"/>
      <c r="J258" s="79"/>
      <c r="K258" s="81"/>
      <c r="L258" s="81"/>
    </row>
    <row r="259" spans="2:16" ht="23.25" customHeight="1" x14ac:dyDescent="0.25">
      <c r="B259" s="82" t="s">
        <v>40</v>
      </c>
      <c r="C259" s="79"/>
      <c r="D259" s="79"/>
      <c r="E259" s="79"/>
      <c r="F259" s="79"/>
      <c r="G259" s="79"/>
      <c r="H259" s="79"/>
      <c r="I259" s="79"/>
      <c r="J259" s="79"/>
      <c r="K259" s="79"/>
      <c r="L259" s="79"/>
    </row>
    <row r="260" spans="2:16" ht="18" customHeight="1" x14ac:dyDescent="0.25">
      <c r="B260" s="132" t="s">
        <v>15</v>
      </c>
      <c r="C260" s="132" t="s">
        <v>0</v>
      </c>
      <c r="D260" s="258" t="s">
        <v>41</v>
      </c>
      <c r="E260" s="259"/>
      <c r="F260" s="259"/>
      <c r="G260" s="259"/>
      <c r="H260" s="259"/>
      <c r="I260" s="260"/>
      <c r="J260" s="132" t="s">
        <v>15</v>
      </c>
      <c r="K260" s="132" t="s">
        <v>0</v>
      </c>
      <c r="L260" s="79"/>
    </row>
    <row r="261" spans="2:16" ht="18" customHeight="1" x14ac:dyDescent="0.25">
      <c r="B261" s="33" t="str">
        <f>IF(H255=3,B255,"")</f>
        <v>Lucas Movio Baptista de Barros</v>
      </c>
      <c r="C261" s="33" t="str">
        <f>IFERROR(IF(B261="","",VLOOKUP(B261,LISTAS!$F$5:$G$1004,2,0)),"0")</f>
        <v>ESCOLA INTERAÇÃO</v>
      </c>
      <c r="D261" s="253">
        <v>2</v>
      </c>
      <c r="E261" s="254"/>
      <c r="F261" s="253" t="s">
        <v>38</v>
      </c>
      <c r="G261" s="254"/>
      <c r="H261" s="253">
        <v>0</v>
      </c>
      <c r="I261" s="254"/>
      <c r="J261" s="111" t="str">
        <f>IF(H255=3,B257,"")</f>
        <v>HEITOR CEZAR TEIXEIRA DA SILVA</v>
      </c>
      <c r="K261" s="33" t="str">
        <f>IFERROR(IF(J261="","",VLOOKUP(J261,LISTAS!$F$5:$G$1004,2,0)),"0")</f>
        <v>COLÉGIO ARBOS - UNIDADE SANTO ANDRÉ</v>
      </c>
      <c r="L261" s="81"/>
    </row>
    <row r="262" spans="2:16" ht="18" customHeight="1" x14ac:dyDescent="0.25">
      <c r="B262" s="33" t="str">
        <f>IF(H255=3,B256,"")</f>
        <v>JOÃO GARCIA GRANDOLFO</v>
      </c>
      <c r="C262" s="33" t="str">
        <f>IFERROR(IF(B262="","",VLOOKUP(B262,LISTAS!$F$5:$G$1004,2,0)),"0")</f>
        <v>ABACO IPIRANGA</v>
      </c>
      <c r="D262" s="253">
        <v>2</v>
      </c>
      <c r="E262" s="254"/>
      <c r="F262" s="253" t="s">
        <v>38</v>
      </c>
      <c r="G262" s="254"/>
      <c r="H262" s="253">
        <v>0</v>
      </c>
      <c r="I262" s="254"/>
      <c r="J262" s="111" t="str">
        <f>IF(H255=3,B257,"")</f>
        <v>HEITOR CEZAR TEIXEIRA DA SILVA</v>
      </c>
      <c r="K262" s="33" t="str">
        <f>IFERROR(IF(J262="","",VLOOKUP(J262,LISTAS!$F$5:$G$1004,2,0)),"0")</f>
        <v>COLÉGIO ARBOS - UNIDADE SANTO ANDRÉ</v>
      </c>
      <c r="L262" s="79"/>
    </row>
    <row r="263" spans="2:16" ht="18" customHeight="1" x14ac:dyDescent="0.25">
      <c r="B263" s="33" t="str">
        <f>IF(H255=3,B255,"")</f>
        <v>Lucas Movio Baptista de Barros</v>
      </c>
      <c r="C263" s="33" t="str">
        <f>IFERROR(IF(B263="","",VLOOKUP(B263,LISTAS!$F$5:$G$1004,2,0)),"0")</f>
        <v>ESCOLA INTERAÇÃO</v>
      </c>
      <c r="D263" s="253">
        <v>0</v>
      </c>
      <c r="E263" s="254"/>
      <c r="F263" s="253" t="s">
        <v>38</v>
      </c>
      <c r="G263" s="254"/>
      <c r="H263" s="253">
        <v>2</v>
      </c>
      <c r="I263" s="254"/>
      <c r="J263" s="111" t="str">
        <f>IF(H255=3,B256,"")</f>
        <v>JOÃO GARCIA GRANDOLFO</v>
      </c>
      <c r="K263" s="33" t="str">
        <f>IFERROR(IF(J263="","",VLOOKUP(J263,LISTAS!$F$5:$G$1004,2,0)),"0")</f>
        <v>ABACO IPIRANGA</v>
      </c>
      <c r="L263" s="81"/>
    </row>
    <row r="266" spans="2:16" ht="30" customHeight="1" x14ac:dyDescent="0.25">
      <c r="B266" s="161" t="s">
        <v>64</v>
      </c>
      <c r="C266" s="79"/>
      <c r="D266" s="255" t="s">
        <v>42</v>
      </c>
      <c r="E266" s="256"/>
      <c r="F266" s="256"/>
      <c r="G266" s="257"/>
      <c r="H266" s="113"/>
      <c r="I266" s="255" t="s">
        <v>3</v>
      </c>
      <c r="J266" s="256"/>
      <c r="K266" s="256"/>
      <c r="L266" s="256"/>
    </row>
    <row r="267" spans="2:16" ht="18" customHeight="1" x14ac:dyDescent="0.25">
      <c r="B267" s="132" t="s">
        <v>15</v>
      </c>
      <c r="C267" s="132" t="s">
        <v>0</v>
      </c>
      <c r="D267" s="132" t="s">
        <v>43</v>
      </c>
      <c r="E267" s="132" t="s">
        <v>44</v>
      </c>
      <c r="F267" s="132" t="s">
        <v>77</v>
      </c>
      <c r="G267" s="132" t="s">
        <v>78</v>
      </c>
      <c r="H267" s="114"/>
      <c r="I267" s="132" t="s">
        <v>18</v>
      </c>
      <c r="J267" s="132" t="s">
        <v>15</v>
      </c>
      <c r="K267" s="132" t="s">
        <v>0</v>
      </c>
      <c r="L267" s="132" t="s">
        <v>45</v>
      </c>
    </row>
    <row r="268" spans="2:16" ht="18" customHeight="1" x14ac:dyDescent="0.25">
      <c r="B268" s="39" t="s">
        <v>667</v>
      </c>
      <c r="C268" s="33" t="str">
        <f>IFERROR(IF(B268="","",VLOOKUP(B268,LISTAS!$F$5:$G$1004,2,0)),"0")</f>
        <v>ESCOLA INTERAÇÃO</v>
      </c>
      <c r="D268" s="33" t="str">
        <f>IF(H268&lt;3,"",IF(H268=3,IF(D274&lt;&gt;"",IF(H274&lt;&gt;"",IF(D274&lt;&gt;H274,IF(D274&gt;H274,"V","D"),""),""),"")))</f>
        <v>D</v>
      </c>
      <c r="E268" s="33" t="str">
        <f>IF(H268&lt;3,"",IF(H268=3,IF(D276&lt;&gt;"",IF(H276&lt;&gt;"",IF(D276&lt;&gt;H276,IF(D276&gt;H276,"V","D"),""),""),"")))</f>
        <v>D</v>
      </c>
      <c r="F268" s="33" t="s">
        <v>81</v>
      </c>
      <c r="G268" s="33" t="s">
        <v>81</v>
      </c>
      <c r="H268" s="117">
        <f>COUNTA(B268:B270)</f>
        <v>3</v>
      </c>
      <c r="I268" s="33">
        <f>IF(B268&lt;&gt;"",1,"")</f>
        <v>1</v>
      </c>
      <c r="J268" s="33" t="str">
        <f>IF(I268&lt;&gt;"",P268,"")</f>
        <v>FELIPE MACHADO AMATO</v>
      </c>
      <c r="K268" s="33" t="str">
        <f>IFERROR(IF(J268="","",VLOOKUP(J268,LISTAS!$F$5:$G$1004,2,0)),"0")</f>
        <v>COLEGIO PETROPOLIS</v>
      </c>
      <c r="L268" s="130" t="str">
        <f>IF(H268=3,"OURO",IF(H268=4,"OURO",IF(H268=5,"OURO","")))</f>
        <v>OURO</v>
      </c>
      <c r="M268" s="20">
        <f>IF(B268&lt;&gt;"",COUNTIF(D268:G268,"V")+(SUMIF(B274:B276,B268,D274:E276)/1000)+(SUMIF(J274:J276,B268,H274:I276)/1000)-(SUMIF(B274:B276,B268,H274:I276)/1000)-(SUMIF(J274:J276,B268,D274:E276)/1000)+0.003,"")</f>
        <v>-1E-3</v>
      </c>
      <c r="N268" s="20" t="str">
        <f>IF(B268="","",B268)</f>
        <v>GUILHERME BENTO</v>
      </c>
      <c r="O268" s="20">
        <f>IF(B268&lt;&gt;"",LARGE(M268:M270,1),"")</f>
        <v>2.004</v>
      </c>
      <c r="P268" s="20" t="str">
        <f>VLOOKUP(O268,M268:N270,2,0)</f>
        <v>FELIPE MACHADO AMATO</v>
      </c>
    </row>
    <row r="269" spans="2:16" ht="18" customHeight="1" x14ac:dyDescent="0.25">
      <c r="B269" s="33" t="s">
        <v>438</v>
      </c>
      <c r="C269" s="33" t="str">
        <f>IFERROR(IF(B269="","",VLOOKUP(B269,LISTAS!$F$5:$G$1004,2,0)),"0")</f>
        <v>ABACO IPIRANGA</v>
      </c>
      <c r="D269" s="33" t="str">
        <f>IF(H268&lt;3,"",IF(H268=3,IF(D275&lt;&gt;"",IF(H275&lt;&gt;"",IF(D275&lt;&gt;H275,IF(D275&gt;H275,"V","D"),""),""),"")))</f>
        <v>D</v>
      </c>
      <c r="E269" s="33" t="str">
        <f>IF(H268&lt;3,"",IF(H268=3,IF(D276&lt;&gt;"",IF(H276&lt;&gt;"",IF(D276&lt;&gt;H276,IF(D276&gt;H276,"D","V"),""),""),"")))</f>
        <v>V</v>
      </c>
      <c r="F269" s="33" t="s">
        <v>81</v>
      </c>
      <c r="G269" s="33" t="s">
        <v>81</v>
      </c>
      <c r="H269" s="117"/>
      <c r="I269" s="33">
        <f>IF(B269&lt;&gt;"",2,"")</f>
        <v>2</v>
      </c>
      <c r="J269" s="33" t="str">
        <f>IF(I269&lt;&gt;"",P269,"")</f>
        <v>LUCAS F. CORREA</v>
      </c>
      <c r="K269" s="33" t="str">
        <f>IFERROR(IF(J269="","",VLOOKUP(J269,LISTAS!$F$5:$G$1004,2,0)),"0")</f>
        <v>ABACO IPIRANGA</v>
      </c>
      <c r="L269" s="130" t="str">
        <f>IF(H268=3,"PRATA",IF(H268=4,"OURO",IF(H268=5,"OURO","")))</f>
        <v>PRATA</v>
      </c>
      <c r="M269" s="20">
        <f>IF(B269&lt;&gt;"",COUNTIF(D269:G269,"V")+(SUMIF(B274:B276,B269,D274:E276)/1000)+(SUMIF(J274:J276,B269,H274:I276)/1000)-(SUMIF(B274:B276,B269,H274:I276)/1000)-(SUMIF(J274:J276,B269,D274:E276)/1000)+0.002,"")</f>
        <v>1.0029999999999999</v>
      </c>
      <c r="N269" s="20" t="str">
        <f t="shared" ref="N269" si="18">IF(B269="","",B269)</f>
        <v>LUCAS F. CORREA</v>
      </c>
      <c r="O269" s="20">
        <f>IF(B269&lt;&gt;"",LARGE(M268:M270,2),"")</f>
        <v>1.0029999999999999</v>
      </c>
      <c r="P269" s="20" t="str">
        <f>VLOOKUP(O269,M268:N270,2,0)</f>
        <v>LUCAS F. CORREA</v>
      </c>
    </row>
    <row r="270" spans="2:16" ht="18" customHeight="1" x14ac:dyDescent="0.25">
      <c r="B270" s="33" t="s">
        <v>404</v>
      </c>
      <c r="C270" s="33" t="str">
        <f>IFERROR(IF(B270="","",VLOOKUP(B270,LISTAS!$F$5:$G$1004,2,0)),"0")</f>
        <v>COLEGIO PETROPOLIS</v>
      </c>
      <c r="D270" s="33" t="str">
        <f>IF(H268&lt;3,"",IF(H268=3,IF(D274&lt;&gt;"",IF(H274&lt;&gt;"",IF(D274&lt;&gt;H274,IF(D274&gt;H274,"D","V"),""),""),"")))</f>
        <v>V</v>
      </c>
      <c r="E270" s="33" t="str">
        <f>IF(H268&lt;3,"",IF(H268=3,IF(D275&lt;&gt;"",IF(H275&lt;&gt;"",IF(D275&lt;&gt;H275,IF(D275&gt;H275,"D","V"),""),""),"")))</f>
        <v>V</v>
      </c>
      <c r="F270" s="33" t="s">
        <v>81</v>
      </c>
      <c r="G270" s="33" t="s">
        <v>81</v>
      </c>
      <c r="H270" s="117"/>
      <c r="I270" s="33">
        <f>IF(B270&lt;&gt;"",3,"")</f>
        <v>3</v>
      </c>
      <c r="J270" s="33" t="str">
        <f>IF(I270&lt;&gt;"",P270,"")</f>
        <v>GUILHERME BENTO</v>
      </c>
      <c r="K270" s="33" t="str">
        <f>IFERROR(IF(J270="","",VLOOKUP(J270,LISTAS!$F$5:$G$1004,2,0)),"0")</f>
        <v>ESCOLA INTERAÇÃO</v>
      </c>
      <c r="L270" s="130" t="str">
        <f>IF(H268=3,"BRONZE",IF(H268=4,"PRATA",IF(H268=5,"OURO","")))</f>
        <v>BRONZE</v>
      </c>
      <c r="M270" s="20">
        <f>IF(B270&lt;&gt;"",COUNTIF(D270:G270,"V")+(SUMIF(B274:B276,B270,D274:E276)/1000)+(SUMIF(J274:J276,B270,H274:I276)/1000)-(SUMIF(B274:B276,B270,H274:I276)/1000)-(SUMIF(J274:J276,B270,D274:E276)/1000)+0.001,"")</f>
        <v>2.004</v>
      </c>
      <c r="N270" s="20" t="str">
        <f>IF(B270="","",B270)</f>
        <v>FELIPE MACHADO AMATO</v>
      </c>
      <c r="O270" s="20">
        <f>IF(B270&lt;&gt;"",LARGE(M268:M270,3),"")</f>
        <v>-1E-3</v>
      </c>
      <c r="P270" s="20" t="str">
        <f>VLOOKUP(O270,M268:N270,2,0)</f>
        <v>GUILHERME BENTO</v>
      </c>
    </row>
    <row r="271" spans="2:16" ht="18" customHeight="1" x14ac:dyDescent="0.25">
      <c r="B271" s="79"/>
      <c r="C271" s="79"/>
      <c r="D271" s="79"/>
      <c r="E271" s="79"/>
      <c r="F271" s="79"/>
      <c r="G271" s="79"/>
      <c r="I271" s="80"/>
      <c r="J271" s="79"/>
      <c r="K271" s="81"/>
      <c r="L271" s="81"/>
    </row>
    <row r="272" spans="2:16" ht="23.25" customHeight="1" x14ac:dyDescent="0.25">
      <c r="B272" s="82" t="s">
        <v>40</v>
      </c>
      <c r="C272" s="79"/>
      <c r="D272" s="79"/>
      <c r="E272" s="79"/>
      <c r="F272" s="79"/>
      <c r="G272" s="79"/>
      <c r="H272" s="79"/>
      <c r="I272" s="79"/>
      <c r="J272" s="79"/>
      <c r="K272" s="79"/>
      <c r="L272" s="79"/>
    </row>
    <row r="273" spans="2:16" ht="18" customHeight="1" x14ac:dyDescent="0.25">
      <c r="B273" s="132" t="s">
        <v>15</v>
      </c>
      <c r="C273" s="132" t="s">
        <v>0</v>
      </c>
      <c r="D273" s="258" t="s">
        <v>41</v>
      </c>
      <c r="E273" s="259"/>
      <c r="F273" s="259"/>
      <c r="G273" s="259"/>
      <c r="H273" s="259"/>
      <c r="I273" s="260"/>
      <c r="J273" s="132" t="s">
        <v>15</v>
      </c>
      <c r="K273" s="132" t="s">
        <v>0</v>
      </c>
      <c r="L273" s="79"/>
    </row>
    <row r="274" spans="2:16" ht="18" customHeight="1" x14ac:dyDescent="0.25">
      <c r="B274" s="33" t="str">
        <f>IF(H268=3,B268,"")</f>
        <v>GUILHERME BENTO</v>
      </c>
      <c r="C274" s="33" t="str">
        <f>IFERROR(IF(B274="","",VLOOKUP(B274,LISTAS!$F$5:$G$1004,2,0)),"0")</f>
        <v>ESCOLA INTERAÇÃO</v>
      </c>
      <c r="D274" s="253">
        <v>0</v>
      </c>
      <c r="E274" s="254"/>
      <c r="F274" s="253" t="s">
        <v>38</v>
      </c>
      <c r="G274" s="254"/>
      <c r="H274" s="253">
        <v>2</v>
      </c>
      <c r="I274" s="254"/>
      <c r="J274" s="111" t="str">
        <f>IF(H268=3,B270,"")</f>
        <v>FELIPE MACHADO AMATO</v>
      </c>
      <c r="K274" s="33" t="str">
        <f>IFERROR(IF(J274="","",VLOOKUP(J274,LISTAS!$F$5:$G$1004,2,0)),"0")</f>
        <v>COLEGIO PETROPOLIS</v>
      </c>
      <c r="L274" s="81"/>
    </row>
    <row r="275" spans="2:16" ht="18" customHeight="1" x14ac:dyDescent="0.25">
      <c r="B275" s="33" t="str">
        <f>IF(H268=3,B269,"")</f>
        <v>LUCAS F. CORREA</v>
      </c>
      <c r="C275" s="33" t="str">
        <f>IFERROR(IF(B275="","",VLOOKUP(B275,LISTAS!$F$5:$G$1004,2,0)),"0")</f>
        <v>ABACO IPIRANGA</v>
      </c>
      <c r="D275" s="253">
        <v>1</v>
      </c>
      <c r="E275" s="254"/>
      <c r="F275" s="253" t="s">
        <v>38</v>
      </c>
      <c r="G275" s="254"/>
      <c r="H275" s="253">
        <v>2</v>
      </c>
      <c r="I275" s="254"/>
      <c r="J275" s="111" t="str">
        <f>IF(H268=3,B270,"")</f>
        <v>FELIPE MACHADO AMATO</v>
      </c>
      <c r="K275" s="33" t="str">
        <f>IFERROR(IF(J275="","",VLOOKUP(J275,LISTAS!$F$5:$G$1004,2,0)),"0")</f>
        <v>COLEGIO PETROPOLIS</v>
      </c>
      <c r="L275" s="79"/>
    </row>
    <row r="276" spans="2:16" ht="18" customHeight="1" x14ac:dyDescent="0.25">
      <c r="B276" s="33" t="str">
        <f>IF(H268=3,B268,"")</f>
        <v>GUILHERME BENTO</v>
      </c>
      <c r="C276" s="33" t="str">
        <f>IFERROR(IF(B276="","",VLOOKUP(B276,LISTAS!$F$5:$G$1004,2,0)),"0")</f>
        <v>ESCOLA INTERAÇÃO</v>
      </c>
      <c r="D276" s="253">
        <v>0</v>
      </c>
      <c r="E276" s="254"/>
      <c r="F276" s="253" t="s">
        <v>38</v>
      </c>
      <c r="G276" s="254"/>
      <c r="H276" s="253">
        <v>2</v>
      </c>
      <c r="I276" s="254"/>
      <c r="J276" s="111" t="str">
        <f>IF(H268=3,B269,"")</f>
        <v>LUCAS F. CORREA</v>
      </c>
      <c r="K276" s="33" t="str">
        <f>IFERROR(IF(J276="","",VLOOKUP(J276,LISTAS!$F$5:$G$1004,2,0)),"0")</f>
        <v>ABACO IPIRANGA</v>
      </c>
      <c r="L276" s="81"/>
    </row>
    <row r="279" spans="2:16" ht="30" customHeight="1" x14ac:dyDescent="0.25">
      <c r="B279" s="161" t="s">
        <v>65</v>
      </c>
      <c r="C279" s="79"/>
      <c r="D279" s="255" t="s">
        <v>42</v>
      </c>
      <c r="E279" s="256"/>
      <c r="F279" s="256"/>
      <c r="G279" s="257"/>
      <c r="H279" s="113"/>
      <c r="I279" s="255" t="s">
        <v>3</v>
      </c>
      <c r="J279" s="256"/>
      <c r="K279" s="256"/>
      <c r="L279" s="256"/>
    </row>
    <row r="280" spans="2:16" ht="18" customHeight="1" x14ac:dyDescent="0.25">
      <c r="B280" s="132" t="s">
        <v>15</v>
      </c>
      <c r="C280" s="132" t="s">
        <v>0</v>
      </c>
      <c r="D280" s="132" t="s">
        <v>43</v>
      </c>
      <c r="E280" s="132" t="s">
        <v>44</v>
      </c>
      <c r="F280" s="132" t="s">
        <v>77</v>
      </c>
      <c r="G280" s="132" t="s">
        <v>78</v>
      </c>
      <c r="H280" s="114"/>
      <c r="I280" s="132" t="s">
        <v>18</v>
      </c>
      <c r="J280" s="132" t="s">
        <v>15</v>
      </c>
      <c r="K280" s="132" t="s">
        <v>0</v>
      </c>
      <c r="L280" s="132" t="s">
        <v>45</v>
      </c>
    </row>
    <row r="281" spans="2:16" ht="18" customHeight="1" x14ac:dyDescent="0.25">
      <c r="B281" s="33" t="s">
        <v>415</v>
      </c>
      <c r="C281" s="33" t="str">
        <f>IFERROR(IF(B281="","",VLOOKUP(B281,LISTAS!$F$5:$G$1004,2,0)),"0")</f>
        <v>COLEGIO PETROPOLIS</v>
      </c>
      <c r="D281" s="33" t="str">
        <f>IF(H281&lt;3,"",IF(H281=3,IF(D287&lt;&gt;"",IF(H287&lt;&gt;"",IF(D287&lt;&gt;H287,IF(D287&gt;H287,"V","D"),""),""),"")))</f>
        <v>V</v>
      </c>
      <c r="E281" s="33" t="str">
        <f>IF(H281&lt;3,"",IF(H281=3,IF(D289&lt;&gt;"",IF(H289&lt;&gt;"",IF(D289&lt;&gt;H289,IF(D289&gt;H289,"V","D"),""),""),"")))</f>
        <v>V</v>
      </c>
      <c r="F281" s="33" t="s">
        <v>81</v>
      </c>
      <c r="G281" s="33" t="s">
        <v>81</v>
      </c>
      <c r="H281" s="117">
        <f>COUNTA(B281:B283)</f>
        <v>3</v>
      </c>
      <c r="I281" s="33">
        <f>IF(B281&lt;&gt;"",1,"")</f>
        <v>1</v>
      </c>
      <c r="J281" s="33" t="str">
        <f>IF(I281&lt;&gt;"",P281,"")</f>
        <v>GUSTAVO ANDREASSA CARVALHO</v>
      </c>
      <c r="K281" s="33" t="str">
        <f>IFERROR(IF(J281="","",VLOOKUP(J281,LISTAS!$F$5:$G$1004,2,0)),"0")</f>
        <v>COLEGIO PETROPOLIS</v>
      </c>
      <c r="L281" s="130" t="str">
        <f>IF(H281=3,"OURO",IF(H281=4,"OURO",IF(H281=5,"OURO","")))</f>
        <v>OURO</v>
      </c>
      <c r="M281" s="20">
        <f>IF(B281&lt;&gt;"",COUNTIF(D281:G281,"V")+(SUMIF(B287:B289,B281,D287:E289)/1000)+(SUMIF(J287:J289,B281,H287:I289)/1000)-(SUMIF(B287:B289,B281,H287:I289)/1000)-(SUMIF(J287:J289,B281,D287:E289)/1000)+0.003,"")</f>
        <v>2.0070000000000001</v>
      </c>
      <c r="N281" s="20" t="str">
        <f>IF(B281="","",B281)</f>
        <v>GUSTAVO ANDREASSA CARVALHO</v>
      </c>
      <c r="O281" s="20">
        <f>IF(B281&lt;&gt;"",LARGE(M281:M283,1),"")</f>
        <v>2.0070000000000001</v>
      </c>
      <c r="P281" s="20" t="str">
        <f>VLOOKUP(O281,M281:N283,2,0)</f>
        <v>GUSTAVO ANDREASSA CARVALHO</v>
      </c>
    </row>
    <row r="282" spans="2:16" ht="18" customHeight="1" x14ac:dyDescent="0.25">
      <c r="B282" s="33" t="s">
        <v>644</v>
      </c>
      <c r="C282" s="33" t="str">
        <f>IFERROR(IF(B282="","",VLOOKUP(B282,LISTAS!$F$5:$G$1004,2,0)),"0")</f>
        <v>ESCOLA INTERAÇÃO</v>
      </c>
      <c r="D282" s="33" t="str">
        <f>IF(H281&lt;3,"",IF(H281=3,IF(D288&lt;&gt;"",IF(H288&lt;&gt;"",IF(D288&lt;&gt;H288,IF(D288&gt;H288,"V","D"),""),""),"")))</f>
        <v>D</v>
      </c>
      <c r="E282" s="33" t="str">
        <f>IF(H281&lt;3,"",IF(H281=3,IF(D289&lt;&gt;"",IF(H289&lt;&gt;"",IF(D289&lt;&gt;H289,IF(D289&gt;H289,"D","V"),""),""),"")))</f>
        <v>D</v>
      </c>
      <c r="F282" s="33" t="s">
        <v>81</v>
      </c>
      <c r="G282" s="33" t="s">
        <v>81</v>
      </c>
      <c r="H282" s="117"/>
      <c r="I282" s="33">
        <f>IF(B282&lt;&gt;"",2,"")</f>
        <v>2</v>
      </c>
      <c r="J282" s="33" t="str">
        <f>IF(I282&lt;&gt;"",P282,"")</f>
        <v>LUCAS MAYER BONTEMPI</v>
      </c>
      <c r="K282" s="33" t="str">
        <f>IFERROR(IF(J282="","",VLOOKUP(J282,LISTAS!$F$5:$G$1004,2,0)),"0")</f>
        <v>COLÉGIO ARBOS - UNIDADE SANTO ANDRÉ</v>
      </c>
      <c r="L282" s="130" t="str">
        <f>IF(H281=3,"PRATA",IF(H281=4,"OURO",IF(H281=5,"OURO","")))</f>
        <v>PRATA</v>
      </c>
      <c r="M282" s="20">
        <f>IF(B282&lt;&gt;"",COUNTIF(D282:G282,"V")+(SUMIF(B287:B289,B282,D287:E289)/1000)+(SUMIF(J287:J289,B282,H287:I289)/1000)-(SUMIF(B287:B289,B282,H287:I289)/1000)-(SUMIF(J287:J289,B282,D287:E289)/1000)+0.002,"")</f>
        <v>-2E-3</v>
      </c>
      <c r="N282" s="20" t="str">
        <f t="shared" ref="N282" si="19">IF(B282="","",B282)</f>
        <v>Lorenzo Mazzini Anitelli</v>
      </c>
      <c r="O282" s="20">
        <f>IF(B282&lt;&gt;"",LARGE(M281:M283,2),"")</f>
        <v>1.0009999999999999</v>
      </c>
      <c r="P282" s="20" t="str">
        <f>VLOOKUP(O282,M281:N283,2,0)</f>
        <v>LUCAS MAYER BONTEMPI</v>
      </c>
    </row>
    <row r="283" spans="2:16" ht="18" customHeight="1" x14ac:dyDescent="0.25">
      <c r="B283" s="33" t="s">
        <v>440</v>
      </c>
      <c r="C283" s="33" t="str">
        <f>IFERROR(IF(B283="","",VLOOKUP(B283,LISTAS!$F$5:$G$1004,2,0)),"0")</f>
        <v>COLÉGIO ARBOS - UNIDADE SANTO ANDRÉ</v>
      </c>
      <c r="D283" s="33" t="str">
        <f>IF(H281&lt;3,"",IF(H281=3,IF(D287&lt;&gt;"",IF(H287&lt;&gt;"",IF(D287&lt;&gt;H287,IF(D287&gt;H287,"D","V"),""),""),"")))</f>
        <v>D</v>
      </c>
      <c r="E283" s="33" t="str">
        <f>IF(H281&lt;3,"",IF(H281=3,IF(D288&lt;&gt;"",IF(H288&lt;&gt;"",IF(D288&lt;&gt;H288,IF(D288&gt;H288,"D","V"),""),""),"")))</f>
        <v>V</v>
      </c>
      <c r="F283" s="33" t="s">
        <v>81</v>
      </c>
      <c r="G283" s="33" t="s">
        <v>81</v>
      </c>
      <c r="H283" s="117"/>
      <c r="I283" s="33">
        <f>IF(B283&lt;&gt;"",3,"")</f>
        <v>3</v>
      </c>
      <c r="J283" s="33" t="str">
        <f>IF(I283&lt;&gt;"",P283,"")</f>
        <v>Lorenzo Mazzini Anitelli</v>
      </c>
      <c r="K283" s="33" t="str">
        <f>IFERROR(IF(J283="","",VLOOKUP(J283,LISTAS!$F$5:$G$1004,2,0)),"0")</f>
        <v>ESCOLA INTERAÇÃO</v>
      </c>
      <c r="L283" s="130" t="str">
        <f>IF(H281=3,"BRONZE",IF(H281=4,"PRATA",IF(H281=5,"OURO","")))</f>
        <v>BRONZE</v>
      </c>
      <c r="M283" s="20">
        <f>IF(B283&lt;&gt;"",COUNTIF(D283:G283,"V")+(SUMIF(B287:B289,B283,D287:E289)/1000)+(SUMIF(J287:J289,B283,H287:I289)/1000)-(SUMIF(B287:B289,B283,H287:I289)/1000)-(SUMIF(J287:J289,B283,D287:E289)/1000)+0.001,"")</f>
        <v>1.0009999999999999</v>
      </c>
      <c r="N283" s="20" t="str">
        <f>IF(B283="","",B283)</f>
        <v>LUCAS MAYER BONTEMPI</v>
      </c>
      <c r="O283" s="20">
        <f>IF(B283&lt;&gt;"",LARGE(M281:M283,3),"")</f>
        <v>-2E-3</v>
      </c>
      <c r="P283" s="20" t="str">
        <f>VLOOKUP(O283,M281:N283,2,0)</f>
        <v>Lorenzo Mazzini Anitelli</v>
      </c>
    </row>
    <row r="284" spans="2:16" ht="18" customHeight="1" x14ac:dyDescent="0.25">
      <c r="B284" s="79"/>
      <c r="C284" s="79"/>
      <c r="D284" s="79"/>
      <c r="E284" s="79"/>
      <c r="F284" s="79"/>
      <c r="G284" s="79"/>
      <c r="I284" s="80"/>
      <c r="J284" s="79"/>
      <c r="K284" s="81"/>
      <c r="L284" s="81"/>
    </row>
    <row r="285" spans="2:16" ht="23.25" customHeight="1" x14ac:dyDescent="0.25">
      <c r="B285" s="82" t="s">
        <v>40</v>
      </c>
      <c r="C285" s="79"/>
      <c r="D285" s="79"/>
      <c r="E285" s="79"/>
      <c r="F285" s="79"/>
      <c r="G285" s="79"/>
      <c r="H285" s="79"/>
      <c r="I285" s="79"/>
      <c r="J285" s="79"/>
      <c r="K285" s="79"/>
      <c r="L285" s="79"/>
    </row>
    <row r="286" spans="2:16" ht="18" customHeight="1" x14ac:dyDescent="0.25">
      <c r="B286" s="132" t="s">
        <v>15</v>
      </c>
      <c r="C286" s="132" t="s">
        <v>0</v>
      </c>
      <c r="D286" s="258" t="s">
        <v>41</v>
      </c>
      <c r="E286" s="259"/>
      <c r="F286" s="259"/>
      <c r="G286" s="259"/>
      <c r="H286" s="259"/>
      <c r="I286" s="260"/>
      <c r="J286" s="132" t="s">
        <v>15</v>
      </c>
      <c r="K286" s="132" t="s">
        <v>0</v>
      </c>
      <c r="L286" s="79"/>
    </row>
    <row r="287" spans="2:16" ht="18" customHeight="1" x14ac:dyDescent="0.25">
      <c r="B287" s="33" t="str">
        <f>IF(H281=3,B281,"")</f>
        <v>GUSTAVO ANDREASSA CARVALHO</v>
      </c>
      <c r="C287" s="33" t="str">
        <f>IFERROR(IF(B287="","",VLOOKUP(B287,LISTAS!$F$5:$G$1004,2,0)),"0")</f>
        <v>COLEGIO PETROPOLIS</v>
      </c>
      <c r="D287" s="253">
        <v>2</v>
      </c>
      <c r="E287" s="254"/>
      <c r="F287" s="253" t="s">
        <v>38</v>
      </c>
      <c r="G287" s="254"/>
      <c r="H287" s="253">
        <v>0</v>
      </c>
      <c r="I287" s="254"/>
      <c r="J287" s="111" t="str">
        <f>IF(H281=3,B283,"")</f>
        <v>LUCAS MAYER BONTEMPI</v>
      </c>
      <c r="K287" s="33" t="str">
        <f>IFERROR(IF(J287="","",VLOOKUP(J287,LISTAS!$F$5:$G$1004,2,0)),"0")</f>
        <v>COLÉGIO ARBOS - UNIDADE SANTO ANDRÉ</v>
      </c>
      <c r="L287" s="81"/>
    </row>
    <row r="288" spans="2:16" ht="18" customHeight="1" x14ac:dyDescent="0.25">
      <c r="B288" s="33" t="str">
        <f>IF(H281=3,B282,"")</f>
        <v>Lorenzo Mazzini Anitelli</v>
      </c>
      <c r="C288" s="33" t="str">
        <f>IFERROR(IF(B288="","",VLOOKUP(B288,LISTAS!$F$5:$G$1004,2,0)),"0")</f>
        <v>ESCOLA INTERAÇÃO</v>
      </c>
      <c r="D288" s="253">
        <v>0</v>
      </c>
      <c r="E288" s="254"/>
      <c r="F288" s="253" t="s">
        <v>38</v>
      </c>
      <c r="G288" s="254"/>
      <c r="H288" s="253">
        <v>2</v>
      </c>
      <c r="I288" s="254"/>
      <c r="J288" s="111" t="str">
        <f>IF(H281=3,B283,"")</f>
        <v>LUCAS MAYER BONTEMPI</v>
      </c>
      <c r="K288" s="33" t="str">
        <f>IFERROR(IF(J288="","",VLOOKUP(J288,LISTAS!$F$5:$G$1004,2,0)),"0")</f>
        <v>COLÉGIO ARBOS - UNIDADE SANTO ANDRÉ</v>
      </c>
      <c r="L288" s="79"/>
    </row>
    <row r="289" spans="2:16" ht="18" customHeight="1" x14ac:dyDescent="0.25">
      <c r="B289" s="33" t="str">
        <f>IF(H281=3,B281,"")</f>
        <v>GUSTAVO ANDREASSA CARVALHO</v>
      </c>
      <c r="C289" s="33" t="str">
        <f>IFERROR(IF(B289="","",VLOOKUP(B289,LISTAS!$F$5:$G$1004,2,0)),"0")</f>
        <v>COLEGIO PETROPOLIS</v>
      </c>
      <c r="D289" s="253">
        <v>2</v>
      </c>
      <c r="E289" s="254"/>
      <c r="F289" s="253" t="s">
        <v>38</v>
      </c>
      <c r="G289" s="254"/>
      <c r="H289" s="253">
        <v>0</v>
      </c>
      <c r="I289" s="254"/>
      <c r="J289" s="111" t="str">
        <f>IF(H281=3,B282,"")</f>
        <v>Lorenzo Mazzini Anitelli</v>
      </c>
      <c r="K289" s="33" t="str">
        <f>IFERROR(IF(J289="","",VLOOKUP(J289,LISTAS!$F$5:$G$1004,2,0)),"0")</f>
        <v>ESCOLA INTERAÇÃO</v>
      </c>
      <c r="L289" s="81"/>
    </row>
    <row r="292" spans="2:16" ht="30" customHeight="1" x14ac:dyDescent="0.25">
      <c r="B292" s="161" t="s">
        <v>66</v>
      </c>
      <c r="C292" s="79"/>
      <c r="D292" s="255" t="s">
        <v>42</v>
      </c>
      <c r="E292" s="256"/>
      <c r="F292" s="256"/>
      <c r="G292" s="257"/>
      <c r="H292" s="113"/>
      <c r="I292" s="255" t="s">
        <v>3</v>
      </c>
      <c r="J292" s="256"/>
      <c r="K292" s="256"/>
      <c r="L292" s="256"/>
    </row>
    <row r="293" spans="2:16" ht="18" customHeight="1" x14ac:dyDescent="0.25">
      <c r="B293" s="132" t="s">
        <v>15</v>
      </c>
      <c r="C293" s="132" t="s">
        <v>0</v>
      </c>
      <c r="D293" s="132" t="s">
        <v>43</v>
      </c>
      <c r="E293" s="132" t="s">
        <v>44</v>
      </c>
      <c r="F293" s="132" t="s">
        <v>77</v>
      </c>
      <c r="G293" s="132" t="s">
        <v>78</v>
      </c>
      <c r="H293" s="114"/>
      <c r="I293" s="132" t="s">
        <v>18</v>
      </c>
      <c r="J293" s="132" t="s">
        <v>15</v>
      </c>
      <c r="K293" s="132" t="s">
        <v>0</v>
      </c>
      <c r="L293" s="132" t="s">
        <v>45</v>
      </c>
    </row>
    <row r="294" spans="2:16" ht="18" customHeight="1" x14ac:dyDescent="0.25">
      <c r="B294" s="33" t="s">
        <v>643</v>
      </c>
      <c r="C294" s="33" t="str">
        <f>IFERROR(IF(B294="","",VLOOKUP(B294,LISTAS!$F$5:$G$1004,2,0)),"0")</f>
        <v>ESCOLA INTERAÇÃO</v>
      </c>
      <c r="D294" s="33" t="str">
        <f>IF(H294&lt;3,"",IF(H294=3,IF(D300&lt;&gt;"",IF(H300&lt;&gt;"",IF(D300&lt;&gt;H300,IF(D300&gt;H300,"V","D"),""),""),"")))</f>
        <v>D</v>
      </c>
      <c r="E294" s="33" t="str">
        <f>IF(H294&lt;3,"",IF(H294=3,IF(D302&lt;&gt;"",IF(H302&lt;&gt;"",IF(D302&lt;&gt;H302,IF(D302&gt;H302,"V","D"),""),""),"")))</f>
        <v>V</v>
      </c>
      <c r="F294" s="33" t="s">
        <v>81</v>
      </c>
      <c r="G294" s="33" t="s">
        <v>81</v>
      </c>
      <c r="H294" s="117">
        <f>COUNTA(B294:B296)</f>
        <v>3</v>
      </c>
      <c r="I294" s="33">
        <f>IF(B294&lt;&gt;"",1,"")</f>
        <v>1</v>
      </c>
      <c r="J294" s="33" t="str">
        <f>IF(I294&lt;&gt;"",P294,"")</f>
        <v>LUCAS WANG FUJII KAO</v>
      </c>
      <c r="K294" s="33" t="str">
        <f>IFERROR(IF(J294="","",VLOOKUP(J294,LISTAS!$F$5:$G$1004,2,0)),"0")</f>
        <v>ABACO IPIRANGA</v>
      </c>
      <c r="L294" s="130" t="str">
        <f>IF(H294=3,"OURO",IF(H294=4,"OURO",IF(H294=5,"OURO","")))</f>
        <v>OURO</v>
      </c>
      <c r="M294" s="20">
        <f>IF(B294&lt;&gt;"",COUNTIF(D294:G294,"V")+(SUMIF(B300:B302,B294,D300:E302)/1000)+(SUMIF(J300:J302,B294,H300:I302)/1000)-(SUMIF(B300:B302,B294,H300:I302)/1000)-(SUMIF(J300:J302,B294,D300:E302)/1000)+0.003,"")</f>
        <v>1.0029999999999999</v>
      </c>
      <c r="N294" s="20" t="str">
        <f>IF(B294="","",B294)</f>
        <v>Benjamin Morgado Badanai</v>
      </c>
      <c r="O294" s="20">
        <f>IF(B294&lt;&gt;"",LARGE(M294:M296,1),"")</f>
        <v>2.0049999999999999</v>
      </c>
      <c r="P294" s="20" t="str">
        <f>VLOOKUP(O294,M294:N296,2,0)</f>
        <v>LUCAS WANG FUJII KAO</v>
      </c>
    </row>
    <row r="295" spans="2:16" ht="18" customHeight="1" x14ac:dyDescent="0.25">
      <c r="B295" s="33" t="s">
        <v>601</v>
      </c>
      <c r="C295" s="33" t="str">
        <f>IFERROR(IF(B295="","",VLOOKUP(B295,LISTAS!$F$5:$G$1004,2,0)),"0")</f>
        <v>BYE</v>
      </c>
      <c r="D295" s="33" t="str">
        <f>IF(H294&lt;3,"",IF(H294=3,IF(D301&lt;&gt;"",IF(H301&lt;&gt;"",IF(D301&lt;&gt;H301,IF(D301&gt;H301,"V","D"),""),""),"")))</f>
        <v>D</v>
      </c>
      <c r="E295" s="33" t="str">
        <f>IF(H294&lt;3,"",IF(H294=3,IF(D302&lt;&gt;"",IF(H302&lt;&gt;"",IF(D302&lt;&gt;H302,IF(D302&gt;H302,"D","V"),""),""),"")))</f>
        <v>D</v>
      </c>
      <c r="F295" s="33" t="s">
        <v>81</v>
      </c>
      <c r="G295" s="33" t="s">
        <v>81</v>
      </c>
      <c r="H295" s="117"/>
      <c r="I295" s="33">
        <f>IF(B295&lt;&gt;"",2,"")</f>
        <v>2</v>
      </c>
      <c r="J295" s="33" t="str">
        <f>IF(I295&lt;&gt;"",P295,"")</f>
        <v>Benjamin Morgado Badanai</v>
      </c>
      <c r="K295" s="33" t="str">
        <f>IFERROR(IF(J295="","",VLOOKUP(J295,LISTAS!$F$5:$G$1004,2,0)),"0")</f>
        <v>ESCOLA INTERAÇÃO</v>
      </c>
      <c r="L295" s="130" t="str">
        <f>IF(H294=3,"PRATA",IF(H294=4,"OURO",IF(H294=5,"OURO","")))</f>
        <v>PRATA</v>
      </c>
      <c r="M295" s="20">
        <f>IF(B295&lt;&gt;"",COUNTIF(D295:G295,"V")+(SUMIF(B300:B302,B295,D300:E302)/1000)+(SUMIF(J300:J302,B295,H300:I302)/1000)-(SUMIF(B300:B302,B295,H300:I302)/1000)-(SUMIF(J300:J302,B295,D300:E302)/1000)+0.002,"")</f>
        <v>-2E-3</v>
      </c>
      <c r="N295" s="20" t="str">
        <f t="shared" ref="N295" si="20">IF(B295="","",B295)</f>
        <v>BYE</v>
      </c>
      <c r="O295" s="20">
        <f>IF(B295&lt;&gt;"",LARGE(M294:M296,2),"")</f>
        <v>1.0029999999999999</v>
      </c>
      <c r="P295" s="20" t="str">
        <f>VLOOKUP(O295,M294:N296,2,0)</f>
        <v>Benjamin Morgado Badanai</v>
      </c>
    </row>
    <row r="296" spans="2:16" ht="18" customHeight="1" x14ac:dyDescent="0.25">
      <c r="B296" s="33" t="s">
        <v>441</v>
      </c>
      <c r="C296" s="33" t="str">
        <f>IFERROR(IF(B296="","",VLOOKUP(B296,LISTAS!$F$5:$G$1004,2,0)),"0")</f>
        <v>ABACO IPIRANGA</v>
      </c>
      <c r="D296" s="33" t="str">
        <f>IF(H294&lt;3,"",IF(H294=3,IF(D300&lt;&gt;"",IF(H300&lt;&gt;"",IF(D300&lt;&gt;H300,IF(D300&gt;H300,"D","V"),""),""),"")))</f>
        <v>V</v>
      </c>
      <c r="E296" s="33" t="str">
        <f>IF(H294&lt;3,"",IF(H294=3,IF(D301&lt;&gt;"",IF(H301&lt;&gt;"",IF(D301&lt;&gt;H301,IF(D301&gt;H301,"D","V"),""),""),"")))</f>
        <v>V</v>
      </c>
      <c r="F296" s="33" t="s">
        <v>81</v>
      </c>
      <c r="G296" s="33" t="s">
        <v>81</v>
      </c>
      <c r="H296" s="117"/>
      <c r="I296" s="33">
        <f>IF(B296&lt;&gt;"",3,"")</f>
        <v>3</v>
      </c>
      <c r="J296" s="33" t="str">
        <f>IF(I296&lt;&gt;"",P296,"")</f>
        <v>BYE</v>
      </c>
      <c r="K296" s="33" t="str">
        <f>IFERROR(IF(J296="","",VLOOKUP(J296,LISTAS!$F$5:$G$1004,2,0)),"0")</f>
        <v>BYE</v>
      </c>
      <c r="L296" s="130" t="str">
        <f>IF(H294=3,"BRONZE",IF(H294=4,"PRATA",IF(H294=5,"OURO","")))</f>
        <v>BRONZE</v>
      </c>
      <c r="M296" s="20">
        <f>IF(B296&lt;&gt;"",COUNTIF(D296:G296,"V")+(SUMIF(B300:B302,B296,D300:E302)/1000)+(SUMIF(J300:J302,B296,H300:I302)/1000)-(SUMIF(B300:B302,B296,H300:I302)/1000)-(SUMIF(J300:J302,B296,D300:E302)/1000)+0.001,"")</f>
        <v>2.0049999999999999</v>
      </c>
      <c r="N296" s="20" t="str">
        <f>IF(B296="","",B296)</f>
        <v>LUCAS WANG FUJII KAO</v>
      </c>
      <c r="O296" s="20">
        <f>IF(B296&lt;&gt;"",LARGE(M294:M296,3),"")</f>
        <v>-2E-3</v>
      </c>
      <c r="P296" s="20" t="str">
        <f>VLOOKUP(O296,M294:N296,2,0)</f>
        <v>BYE</v>
      </c>
    </row>
    <row r="297" spans="2:16" ht="18" customHeight="1" x14ac:dyDescent="0.25">
      <c r="B297" s="79"/>
      <c r="C297" s="79"/>
      <c r="D297" s="79"/>
      <c r="E297" s="79"/>
      <c r="F297" s="79"/>
      <c r="G297" s="79"/>
      <c r="I297" s="80"/>
      <c r="J297" s="79"/>
      <c r="K297" s="81"/>
      <c r="L297" s="81"/>
    </row>
    <row r="298" spans="2:16" ht="23.25" customHeight="1" x14ac:dyDescent="0.25">
      <c r="B298" s="82" t="s">
        <v>40</v>
      </c>
      <c r="C298" s="79"/>
      <c r="D298" s="79"/>
      <c r="E298" s="79"/>
      <c r="F298" s="79"/>
      <c r="G298" s="79"/>
      <c r="H298" s="79"/>
      <c r="I298" s="79"/>
      <c r="J298" s="79"/>
      <c r="K298" s="79"/>
      <c r="L298" s="79"/>
    </row>
    <row r="299" spans="2:16" ht="18" customHeight="1" x14ac:dyDescent="0.25">
      <c r="B299" s="132" t="s">
        <v>15</v>
      </c>
      <c r="C299" s="132" t="s">
        <v>0</v>
      </c>
      <c r="D299" s="258" t="s">
        <v>41</v>
      </c>
      <c r="E299" s="259"/>
      <c r="F299" s="259"/>
      <c r="G299" s="259"/>
      <c r="H299" s="259"/>
      <c r="I299" s="260"/>
      <c r="J299" s="132" t="s">
        <v>15</v>
      </c>
      <c r="K299" s="132" t="s">
        <v>0</v>
      </c>
      <c r="L299" s="79"/>
    </row>
    <row r="300" spans="2:16" ht="18" customHeight="1" x14ac:dyDescent="0.25">
      <c r="B300" s="33" t="str">
        <f>IF(H294=3,B294,"")</f>
        <v>Benjamin Morgado Badanai</v>
      </c>
      <c r="C300" s="33" t="str">
        <f>IFERROR(IF(B300="","",VLOOKUP(B300,LISTAS!$F$5:$G$1004,2,0)),"0")</f>
        <v>ESCOLA INTERAÇÃO</v>
      </c>
      <c r="D300" s="253">
        <v>0</v>
      </c>
      <c r="E300" s="254"/>
      <c r="F300" s="253" t="s">
        <v>38</v>
      </c>
      <c r="G300" s="254"/>
      <c r="H300" s="253">
        <v>2</v>
      </c>
      <c r="I300" s="254"/>
      <c r="J300" s="111" t="str">
        <f>IF(H294=3,B296,"")</f>
        <v>LUCAS WANG FUJII KAO</v>
      </c>
      <c r="K300" s="33" t="str">
        <f>IFERROR(IF(J300="","",VLOOKUP(J300,LISTAS!$F$5:$G$1004,2,0)),"0")</f>
        <v>ABACO IPIRANGA</v>
      </c>
      <c r="L300" s="81"/>
    </row>
    <row r="301" spans="2:16" ht="18" customHeight="1" x14ac:dyDescent="0.25">
      <c r="B301" s="33" t="str">
        <f>IF(H294=3,B295,"")</f>
        <v>BYE</v>
      </c>
      <c r="C301" s="33" t="str">
        <f>IFERROR(IF(B301="","",VLOOKUP(B301,LISTAS!$F$5:$G$1004,2,0)),"0")</f>
        <v>BYE</v>
      </c>
      <c r="D301" s="253">
        <v>0</v>
      </c>
      <c r="E301" s="254"/>
      <c r="F301" s="253" t="s">
        <v>38</v>
      </c>
      <c r="G301" s="254"/>
      <c r="H301" s="253">
        <v>2</v>
      </c>
      <c r="I301" s="254"/>
      <c r="J301" s="111" t="str">
        <f>IF(H294=3,B296,"")</f>
        <v>LUCAS WANG FUJII KAO</v>
      </c>
      <c r="K301" s="33" t="str">
        <f>IFERROR(IF(J301="","",VLOOKUP(J301,LISTAS!$F$5:$G$1004,2,0)),"0")</f>
        <v>ABACO IPIRANGA</v>
      </c>
      <c r="L301" s="79"/>
    </row>
    <row r="302" spans="2:16" ht="18" customHeight="1" x14ac:dyDescent="0.25">
      <c r="B302" s="33" t="str">
        <f>IF(H294=3,B294,"")</f>
        <v>Benjamin Morgado Badanai</v>
      </c>
      <c r="C302" s="33" t="str">
        <f>IFERROR(IF(B302="","",VLOOKUP(B302,LISTAS!$F$5:$G$1004,2,0)),"0")</f>
        <v>ESCOLA INTERAÇÃO</v>
      </c>
      <c r="D302" s="253">
        <v>2</v>
      </c>
      <c r="E302" s="254"/>
      <c r="F302" s="253" t="s">
        <v>38</v>
      </c>
      <c r="G302" s="254"/>
      <c r="H302" s="253">
        <v>0</v>
      </c>
      <c r="I302" s="254"/>
      <c r="J302" s="111" t="str">
        <f>IF(H294=3,B295,"")</f>
        <v>BYE</v>
      </c>
      <c r="K302" s="33" t="str">
        <f>IFERROR(IF(J302="","",VLOOKUP(J302,LISTAS!$F$5:$G$1004,2,0)),"0")</f>
        <v>BYE</v>
      </c>
      <c r="L302" s="81"/>
    </row>
    <row r="305" spans="2:16" ht="30" customHeight="1" x14ac:dyDescent="0.25">
      <c r="B305" s="161" t="s">
        <v>67</v>
      </c>
      <c r="C305" s="79"/>
      <c r="D305" s="255" t="s">
        <v>42</v>
      </c>
      <c r="E305" s="256"/>
      <c r="F305" s="256"/>
      <c r="G305" s="257"/>
      <c r="H305" s="113"/>
      <c r="I305" s="255" t="s">
        <v>3</v>
      </c>
      <c r="J305" s="256"/>
      <c r="K305" s="256"/>
      <c r="L305" s="256"/>
    </row>
    <row r="306" spans="2:16" ht="18" customHeight="1" x14ac:dyDescent="0.25">
      <c r="B306" s="132" t="s">
        <v>15</v>
      </c>
      <c r="C306" s="132" t="s">
        <v>0</v>
      </c>
      <c r="D306" s="132" t="s">
        <v>43</v>
      </c>
      <c r="E306" s="132" t="s">
        <v>44</v>
      </c>
      <c r="F306" s="132" t="s">
        <v>77</v>
      </c>
      <c r="G306" s="132" t="s">
        <v>78</v>
      </c>
      <c r="H306" s="114"/>
      <c r="I306" s="132" t="s">
        <v>18</v>
      </c>
      <c r="J306" s="132" t="s">
        <v>15</v>
      </c>
      <c r="K306" s="132" t="s">
        <v>0</v>
      </c>
      <c r="L306" s="132" t="s">
        <v>45</v>
      </c>
    </row>
    <row r="307" spans="2:16" ht="18" customHeight="1" x14ac:dyDescent="0.25">
      <c r="B307" s="39" t="s">
        <v>679</v>
      </c>
      <c r="C307" s="33" t="str">
        <f>IFERROR(IF(B307="","",VLOOKUP(B307,LISTAS!$F$5:$G$1004,2,0)),"0")</f>
        <v>EDUCANDÁRIO - S.A</v>
      </c>
      <c r="D307" s="33" t="str">
        <f>IF(H307&lt;3,"",IF(H307=3,IF(D313&lt;&gt;"",IF(H313&lt;&gt;"",IF(D313&lt;&gt;H313,IF(D313&gt;H313,"V","D"),""),""),"")))</f>
        <v>V</v>
      </c>
      <c r="E307" s="33" t="str">
        <f>IF(H307&lt;3,"",IF(H307=3,IF(D315&lt;&gt;"",IF(H315&lt;&gt;"",IF(D315&lt;&gt;H315,IF(D315&gt;H315,"V","D"),""),""),"")))</f>
        <v>V</v>
      </c>
      <c r="F307" s="33" t="s">
        <v>81</v>
      </c>
      <c r="G307" s="33" t="s">
        <v>81</v>
      </c>
      <c r="H307" s="117">
        <f>COUNTA(B307:B309)</f>
        <v>3</v>
      </c>
      <c r="I307" s="33">
        <f>IF(B307&lt;&gt;"",1,"")</f>
        <v>1</v>
      </c>
      <c r="J307" s="33" t="str">
        <f>IF(I307&lt;&gt;"",P307,"")</f>
        <v>PEDRO MAZA</v>
      </c>
      <c r="K307" s="33" t="str">
        <f>IFERROR(IF(J307="","",VLOOKUP(J307,LISTAS!$F$5:$G$1004,2,0)),"0")</f>
        <v>EDUCANDÁRIO - S.A</v>
      </c>
      <c r="L307" s="130" t="str">
        <f>IF(H307=3,"OURO",IF(H307=4,"OURO",IF(H307=5,"OURO","")))</f>
        <v>OURO</v>
      </c>
      <c r="M307" s="20">
        <f>IF(B307&lt;&gt;"",COUNTIF(D307:G307,"V")+(SUMIF(B313:B315,B307,D313:E315)/1000)+(SUMIF(J313:J315,B307,H313:I315)/1000)-(SUMIF(B313:B315,B307,H313:I315)/1000)-(SUMIF(J313:J315,B307,D313:E315)/1000)+0.003,"")</f>
        <v>2.0070000000000001</v>
      </c>
      <c r="N307" s="20" t="str">
        <f>IF(B307="","",B307)</f>
        <v>PEDRO MAZA</v>
      </c>
      <c r="O307" s="20">
        <f>IF(B307&lt;&gt;"",LARGE(M307:M309,1),"")</f>
        <v>2.0070000000000001</v>
      </c>
      <c r="P307" s="20" t="str">
        <f>VLOOKUP(O307,M307:N309,2,0)</f>
        <v>PEDRO MAZA</v>
      </c>
    </row>
    <row r="308" spans="2:16" ht="18" customHeight="1" x14ac:dyDescent="0.25">
      <c r="B308" s="33" t="s">
        <v>642</v>
      </c>
      <c r="C308" s="33" t="str">
        <f>IFERROR(IF(B308="","",VLOOKUP(B308,LISTAS!$F$5:$G$1004,2,0)),"0")</f>
        <v>ESCOLA INTERAÇÃO</v>
      </c>
      <c r="D308" s="33" t="str">
        <f>IF(H307&lt;3,"",IF(H307=3,IF(D314&lt;&gt;"",IF(H314&lt;&gt;"",IF(D314&lt;&gt;H314,IF(D314&gt;H314,"V","D"),""),""),"")))</f>
        <v>V</v>
      </c>
      <c r="E308" s="33" t="str">
        <f>IF(H307&lt;3,"",IF(H307=3,IF(D315&lt;&gt;"",IF(H315&lt;&gt;"",IF(D315&lt;&gt;H315,IF(D315&gt;H315,"D","V"),""),""),"")))</f>
        <v>D</v>
      </c>
      <c r="F308" s="33" t="s">
        <v>81</v>
      </c>
      <c r="G308" s="33" t="s">
        <v>81</v>
      </c>
      <c r="H308" s="117"/>
      <c r="I308" s="33">
        <f>IF(B308&lt;&gt;"",2,"")</f>
        <v>2</v>
      </c>
      <c r="J308" s="33" t="str">
        <f>IF(I308&lt;&gt;"",P308,"")</f>
        <v>Lucas Porto Ribeiro</v>
      </c>
      <c r="K308" s="33" t="str">
        <f>IFERROR(IF(J308="","",VLOOKUP(J308,LISTAS!$F$5:$G$1004,2,0)),"0")</f>
        <v>ESCOLA INTERAÇÃO</v>
      </c>
      <c r="L308" s="130" t="str">
        <f>IF(H307=3,"PRATA",IF(H307=4,"OURO",IF(H307=5,"OURO","")))</f>
        <v>PRATA</v>
      </c>
      <c r="M308" s="20">
        <f>IF(B308&lt;&gt;"",COUNTIF(D308:G308,"V")+(SUMIF(B313:B315,B308,D313:E315)/1000)+(SUMIF(J313:J315,B308,H313:I315)/1000)-(SUMIF(B313:B315,B308,H313:I315)/1000)-(SUMIF(J313:J315,B308,D313:E315)/1000)+0.002,"")</f>
        <v>1.002</v>
      </c>
      <c r="N308" s="20" t="str">
        <f t="shared" ref="N308" si="21">IF(B308="","",B308)</f>
        <v>Lucas Porto Ribeiro</v>
      </c>
      <c r="O308" s="20">
        <f>IF(B308&lt;&gt;"",LARGE(M307:M309,2),"")</f>
        <v>1.002</v>
      </c>
      <c r="P308" s="20" t="str">
        <f>VLOOKUP(O308,M307:N309,2,0)</f>
        <v>Lucas Porto Ribeiro</v>
      </c>
    </row>
    <row r="309" spans="2:16" ht="18" customHeight="1" x14ac:dyDescent="0.25">
      <c r="B309" s="33" t="s">
        <v>462</v>
      </c>
      <c r="C309" s="33" t="str">
        <f>IFERROR(IF(B309="","",VLOOKUP(B309,LISTAS!$F$5:$G$1004,2,0)),"0")</f>
        <v>ESCOLA IL SOLE</v>
      </c>
      <c r="D309" s="33" t="str">
        <f>IF(H307&lt;3,"",IF(H307=3,IF(D313&lt;&gt;"",IF(H313&lt;&gt;"",IF(D313&lt;&gt;H313,IF(D313&gt;H313,"D","V"),""),""),"")))</f>
        <v>D</v>
      </c>
      <c r="E309" s="33" t="str">
        <f>IF(H307&lt;3,"",IF(H307=3,IF(D314&lt;&gt;"",IF(H314&lt;&gt;"",IF(D314&lt;&gt;H314,IF(D314&gt;H314,"D","V"),""),""),"")))</f>
        <v>D</v>
      </c>
      <c r="F309" s="33" t="s">
        <v>81</v>
      </c>
      <c r="G309" s="33" t="s">
        <v>81</v>
      </c>
      <c r="H309" s="117"/>
      <c r="I309" s="33">
        <f>IF(B309&lt;&gt;"",3,"")</f>
        <v>3</v>
      </c>
      <c r="J309" s="33" t="str">
        <f>IF(I309&lt;&gt;"",P309,"")</f>
        <v>PEDRO LEVI CAMPOS</v>
      </c>
      <c r="K309" s="33" t="str">
        <f>IFERROR(IF(J309="","",VLOOKUP(J309,LISTAS!$F$5:$G$1004,2,0)),"0")</f>
        <v>ESCOLA IL SOLE</v>
      </c>
      <c r="L309" s="130" t="str">
        <f>IF(H307=3,"BRONZE",IF(H307=4,"PRATA",IF(H307=5,"OURO","")))</f>
        <v>BRONZE</v>
      </c>
      <c r="M309" s="20">
        <f>IF(B309&lt;&gt;"",COUNTIF(D309:G309,"V")+(SUMIF(B313:B315,B309,D313:E315)/1000)+(SUMIF(J313:J315,B309,H313:I315)/1000)-(SUMIF(B313:B315,B309,H313:I315)/1000)-(SUMIF(J313:J315,B309,D313:E315)/1000)+0.001,"")</f>
        <v>-3.0000000000000001E-3</v>
      </c>
      <c r="N309" s="20" t="str">
        <f>IF(B309="","",B309)</f>
        <v>PEDRO LEVI CAMPOS</v>
      </c>
      <c r="O309" s="20">
        <f>IF(B309&lt;&gt;"",LARGE(M307:M309,3),"")</f>
        <v>-3.0000000000000001E-3</v>
      </c>
      <c r="P309" s="20" t="str">
        <f>VLOOKUP(O309,M307:N309,2,0)</f>
        <v>PEDRO LEVI CAMPOS</v>
      </c>
    </row>
    <row r="310" spans="2:16" ht="18" customHeight="1" x14ac:dyDescent="0.25">
      <c r="B310" s="79"/>
      <c r="C310" s="79"/>
      <c r="D310" s="79"/>
      <c r="E310" s="79"/>
      <c r="F310" s="79"/>
      <c r="G310" s="79"/>
      <c r="I310" s="80"/>
      <c r="J310" s="79"/>
      <c r="K310" s="81"/>
      <c r="L310" s="81"/>
    </row>
    <row r="311" spans="2:16" ht="23.25" customHeight="1" x14ac:dyDescent="0.25">
      <c r="B311" s="82" t="s">
        <v>40</v>
      </c>
      <c r="C311" s="79"/>
      <c r="D311" s="79"/>
      <c r="E311" s="79"/>
      <c r="F311" s="79"/>
      <c r="G311" s="79"/>
      <c r="H311" s="79"/>
      <c r="I311" s="79"/>
      <c r="J311" s="79"/>
      <c r="K311" s="79"/>
      <c r="L311" s="79"/>
    </row>
    <row r="312" spans="2:16" ht="18" customHeight="1" x14ac:dyDescent="0.25">
      <c r="B312" s="132" t="s">
        <v>15</v>
      </c>
      <c r="C312" s="132" t="s">
        <v>0</v>
      </c>
      <c r="D312" s="258" t="s">
        <v>41</v>
      </c>
      <c r="E312" s="259"/>
      <c r="F312" s="259"/>
      <c r="G312" s="259"/>
      <c r="H312" s="259"/>
      <c r="I312" s="260"/>
      <c r="J312" s="132" t="s">
        <v>15</v>
      </c>
      <c r="K312" s="132" t="s">
        <v>0</v>
      </c>
      <c r="L312" s="79"/>
    </row>
    <row r="313" spans="2:16" ht="18" customHeight="1" x14ac:dyDescent="0.25">
      <c r="B313" s="33" t="str">
        <f>IF(H307=3,B307,"")</f>
        <v>PEDRO MAZA</v>
      </c>
      <c r="C313" s="33" t="str">
        <f>IF(B313="","",VLOOKUP(B313,LISTAS!$F$5:$G$964,2,0))</f>
        <v>EDUCANDÁRIO - S.A</v>
      </c>
      <c r="D313" s="253">
        <v>2</v>
      </c>
      <c r="E313" s="254"/>
      <c r="F313" s="253" t="s">
        <v>38</v>
      </c>
      <c r="G313" s="254"/>
      <c r="H313" s="253">
        <v>0</v>
      </c>
      <c r="I313" s="254"/>
      <c r="J313" s="111" t="str">
        <f>IF(H307=3,B309,"")</f>
        <v>PEDRO LEVI CAMPOS</v>
      </c>
      <c r="K313" s="33" t="str">
        <f>IF(J313="","",VLOOKUP(B313,LISTAS!$F$5:$G$964,2,0))</f>
        <v>EDUCANDÁRIO - S.A</v>
      </c>
      <c r="L313" s="81"/>
    </row>
    <row r="314" spans="2:16" ht="18" customHeight="1" x14ac:dyDescent="0.25">
      <c r="B314" s="33" t="str">
        <f>IF(H307=3,B308,"")</f>
        <v>Lucas Porto Ribeiro</v>
      </c>
      <c r="C314" s="33" t="str">
        <f>IF(B314="","",VLOOKUP(B314,LISTAS!$F$5:$G$964,2,0))</f>
        <v>ESCOLA INTERAÇÃO</v>
      </c>
      <c r="D314" s="253">
        <v>2</v>
      </c>
      <c r="E314" s="254"/>
      <c r="F314" s="253" t="s">
        <v>38</v>
      </c>
      <c r="G314" s="254"/>
      <c r="H314" s="253">
        <v>0</v>
      </c>
      <c r="I314" s="254"/>
      <c r="J314" s="111" t="str">
        <f>IF(H307=3,B309,"")</f>
        <v>PEDRO LEVI CAMPOS</v>
      </c>
      <c r="K314" s="33" t="str">
        <f>IF(J314="","",VLOOKUP(B314,LISTAS!$F$5:$G$964,2,0))</f>
        <v>ESCOLA INTERAÇÃO</v>
      </c>
      <c r="L314" s="79"/>
    </row>
    <row r="315" spans="2:16" ht="18" customHeight="1" x14ac:dyDescent="0.25">
      <c r="B315" s="33" t="str">
        <f>IF(H307=3,B307,"")</f>
        <v>PEDRO MAZA</v>
      </c>
      <c r="C315" s="33" t="str">
        <f>IF(B315="","",VLOOKUP(B315,LISTAS!$F$5:$G$964,2,0))</f>
        <v>EDUCANDÁRIO - S.A</v>
      </c>
      <c r="D315" s="253">
        <v>2</v>
      </c>
      <c r="E315" s="254"/>
      <c r="F315" s="253" t="s">
        <v>38</v>
      </c>
      <c r="G315" s="254"/>
      <c r="H315" s="253">
        <v>0</v>
      </c>
      <c r="I315" s="254"/>
      <c r="J315" s="111" t="str">
        <f>IF(H307=3,B308,"")</f>
        <v>Lucas Porto Ribeiro</v>
      </c>
      <c r="K315" s="33" t="str">
        <f>IF(J315="","",VLOOKUP(B315,LISTAS!$F$5:$G$964,2,0))</f>
        <v>EDUCANDÁRIO - S.A</v>
      </c>
      <c r="L315" s="81"/>
    </row>
    <row r="318" spans="2:16" ht="30" customHeight="1" x14ac:dyDescent="0.25">
      <c r="B318" s="161" t="s">
        <v>68</v>
      </c>
      <c r="C318" s="79"/>
      <c r="D318" s="255" t="s">
        <v>42</v>
      </c>
      <c r="E318" s="256"/>
      <c r="F318" s="256"/>
      <c r="G318" s="257"/>
      <c r="H318" s="113"/>
      <c r="I318" s="255" t="s">
        <v>3</v>
      </c>
      <c r="J318" s="256"/>
      <c r="K318" s="256"/>
      <c r="L318" s="256"/>
    </row>
    <row r="319" spans="2:16" ht="18" customHeight="1" x14ac:dyDescent="0.25">
      <c r="B319" s="132" t="s">
        <v>15</v>
      </c>
      <c r="C319" s="132" t="s">
        <v>0</v>
      </c>
      <c r="D319" s="132" t="s">
        <v>43</v>
      </c>
      <c r="E319" s="132" t="s">
        <v>44</v>
      </c>
      <c r="F319" s="132" t="s">
        <v>77</v>
      </c>
      <c r="G319" s="132" t="s">
        <v>78</v>
      </c>
      <c r="H319" s="114"/>
      <c r="I319" s="132" t="s">
        <v>18</v>
      </c>
      <c r="J319" s="132" t="s">
        <v>15</v>
      </c>
      <c r="K319" s="132" t="s">
        <v>0</v>
      </c>
      <c r="L319" s="132" t="s">
        <v>45</v>
      </c>
    </row>
    <row r="320" spans="2:16" ht="18" customHeight="1" x14ac:dyDescent="0.25">
      <c r="B320" s="33" t="s">
        <v>641</v>
      </c>
      <c r="C320" s="33" t="str">
        <f>IFERROR(IF(B320="","",VLOOKUP(B320,LISTAS!$F$5:$G$1004,2,0)),"0")</f>
        <v>ESCOLA INTERAÇÃO</v>
      </c>
      <c r="D320" s="33" t="str">
        <f>IF(H320&lt;3,"",IF(H320=3,IF(D326&lt;&gt;"",IF(H326&lt;&gt;"",IF(D326&lt;&gt;H326,IF(D326&gt;H326,"V","D"),""),""),"")))</f>
        <v>V</v>
      </c>
      <c r="E320" s="33" t="str">
        <f>IF(H320&lt;3,"",IF(H320=3,IF(D328&lt;&gt;"",IF(H328&lt;&gt;"",IF(D328&lt;&gt;H328,IF(D328&gt;H328,"V","D"),""),""),"")))</f>
        <v>D</v>
      </c>
      <c r="F320" s="33" t="s">
        <v>81</v>
      </c>
      <c r="G320" s="33" t="s">
        <v>81</v>
      </c>
      <c r="H320" s="117">
        <f>COUNTA(B320:B322)</f>
        <v>3</v>
      </c>
      <c r="I320" s="33">
        <f>IF(B320&lt;&gt;"",1,"")</f>
        <v>1</v>
      </c>
      <c r="J320" s="33" t="str">
        <f>IF(I320&lt;&gt;"",P320,"")</f>
        <v>TIAGO DREER DURAN</v>
      </c>
      <c r="K320" s="33" t="str">
        <f>IFERROR(IF(J320="","",VLOOKUP(J320,LISTAS!$F$5:$G$1004,2,0)),"0")</f>
        <v>COLÉGIO ARBOS SÃO CAETANO DO SUL</v>
      </c>
      <c r="L320" s="130" t="str">
        <f>IF(H320=3,"OURO",IF(H320=4,"OURO",IF(H320=5,"OURO","")))</f>
        <v>OURO</v>
      </c>
      <c r="M320" s="20">
        <f>IF(B320&lt;&gt;"",COUNTIF(D320:G320,"V")+(SUMIF(B326:B328,B320,D326:E328)/1000)+(SUMIF(J326:J328,B320,H326:I328)/1000)-(SUMIF(B326:B328,B320,H326:I328)/1000)-(SUMIF(J326:J328,B320,D326:E328)/1000)+0.003,"")</f>
        <v>1.0029999999999999</v>
      </c>
      <c r="N320" s="20" t="str">
        <f>IF(B320="","",B320)</f>
        <v>Pedro Rocha Antonangelo da Silva</v>
      </c>
      <c r="O320" s="20">
        <f>IF(B320&lt;&gt;"",LARGE(M320:M322,1),"")</f>
        <v>2.0059999999999993</v>
      </c>
      <c r="P320" s="20" t="str">
        <f>VLOOKUP(O320,M320:N322,2,0)</f>
        <v>TIAGO DREER DURAN</v>
      </c>
    </row>
    <row r="321" spans="2:16" ht="18" customHeight="1" x14ac:dyDescent="0.25">
      <c r="B321" s="33" t="s">
        <v>476</v>
      </c>
      <c r="C321" s="33" t="str">
        <f>IFERROR(IF(B321="","",VLOOKUP(B321,LISTAS!$F$5:$G$1004,2,0)),"0")</f>
        <v>COLÉGIO ARBOS SÃO CAETANO DO SUL</v>
      </c>
      <c r="D321" s="33" t="str">
        <f>IF(H320&lt;3,"",IF(H320=3,IF(D327&lt;&gt;"",IF(H327&lt;&gt;"",IF(D327&lt;&gt;H327,IF(D327&gt;H327,"V","D"),""),""),"")))</f>
        <v>V</v>
      </c>
      <c r="E321" s="33" t="str">
        <f>IF(H320&lt;3,"",IF(H320=3,IF(D328&lt;&gt;"",IF(H328&lt;&gt;"",IF(D328&lt;&gt;H328,IF(D328&gt;H328,"D","V"),""),""),"")))</f>
        <v>V</v>
      </c>
      <c r="F321" s="33" t="s">
        <v>81</v>
      </c>
      <c r="G321" s="33" t="s">
        <v>81</v>
      </c>
      <c r="H321" s="117"/>
      <c r="I321" s="33">
        <f>IF(B321&lt;&gt;"",2,"")</f>
        <v>2</v>
      </c>
      <c r="J321" s="33" t="str">
        <f>IF(I321&lt;&gt;"",P321,"")</f>
        <v>Pedro Rocha Antonangelo da Silva</v>
      </c>
      <c r="K321" s="33" t="str">
        <f>IFERROR(IF(J321="","",VLOOKUP(J321,LISTAS!$F$5:$G$1004,2,0)),"0")</f>
        <v>ESCOLA INTERAÇÃO</v>
      </c>
      <c r="L321" s="130" t="str">
        <f>IF(H320=3,"PRATA",IF(H320=4,"OURO",IF(H320=5,"OURO","")))</f>
        <v>PRATA</v>
      </c>
      <c r="M321" s="20">
        <f>IF(B321&lt;&gt;"",COUNTIF(D321:G321,"V")+(SUMIF(B326:B328,B321,D326:E328)/1000)+(SUMIF(J326:J328,B321,H326:I328)/1000)-(SUMIF(B326:B328,B321,H326:I328)/1000)-(SUMIF(J326:J328,B321,D326:E328)/1000)+0.002,"")</f>
        <v>2.0059999999999993</v>
      </c>
      <c r="N321" s="20" t="str">
        <f t="shared" ref="N321" si="22">IF(B321="","",B321)</f>
        <v>TIAGO DREER DURAN</v>
      </c>
      <c r="O321" s="20">
        <f>IF(B321&lt;&gt;"",LARGE(M320:M322,2),"")</f>
        <v>1.0029999999999999</v>
      </c>
      <c r="P321" s="20" t="str">
        <f>VLOOKUP(O321,M320:N322,2,0)</f>
        <v>Pedro Rocha Antonangelo da Silva</v>
      </c>
    </row>
    <row r="322" spans="2:16" ht="18" customHeight="1" x14ac:dyDescent="0.25">
      <c r="B322" s="33" t="s">
        <v>445</v>
      </c>
      <c r="C322" s="33" t="str">
        <f>IFERROR(IF(B322="","",VLOOKUP(B322,LISTAS!$F$5:$G$1004,2,0)),"0")</f>
        <v>ABACO IPIRANGA</v>
      </c>
      <c r="D322" s="33" t="str">
        <f>IF(H320&lt;3,"",IF(H320=3,IF(D326&lt;&gt;"",IF(H326&lt;&gt;"",IF(D326&lt;&gt;H326,IF(D326&gt;H326,"D","V"),""),""),"")))</f>
        <v>D</v>
      </c>
      <c r="E322" s="33" t="str">
        <f>IF(H320&lt;3,"",IF(H320=3,IF(D327&lt;&gt;"",IF(H327&lt;&gt;"",IF(D327&lt;&gt;H327,IF(D327&gt;H327,"D","V"),""),""),"")))</f>
        <v>D</v>
      </c>
      <c r="F322" s="33" t="s">
        <v>81</v>
      </c>
      <c r="G322" s="33" t="s">
        <v>81</v>
      </c>
      <c r="H322" s="117"/>
      <c r="I322" s="33">
        <f>IF(B322&lt;&gt;"",3,"")</f>
        <v>3</v>
      </c>
      <c r="J322" s="33" t="str">
        <f>IF(I322&lt;&gt;"",P322,"")</f>
        <v>MARCO ANTÔNIO DE BARROS HAYAKAWA</v>
      </c>
      <c r="K322" s="33" t="str">
        <f>IFERROR(IF(J322="","",VLOOKUP(J322,LISTAS!$F$5:$G$1004,2,0)),"0")</f>
        <v>ABACO IPIRANGA</v>
      </c>
      <c r="L322" s="130" t="str">
        <f>IF(H320=3,"BRONZE",IF(H320=4,"PRATA",IF(H320=5,"OURO","")))</f>
        <v>BRONZE</v>
      </c>
      <c r="M322" s="20">
        <f>IF(B322&lt;&gt;"",COUNTIF(D322:G322,"V")+(SUMIF(B326:B328,B322,D326:E328)/1000)+(SUMIF(J326:J328,B322,H326:I328)/1000)-(SUMIF(B326:B328,B322,H326:I328)/1000)-(SUMIF(J326:J328,B322,D326:E328)/1000)+0.001,"")</f>
        <v>-3.0000000000000001E-3</v>
      </c>
      <c r="N322" s="20" t="str">
        <f>IF(B322="","",B322)</f>
        <v>MARCO ANTÔNIO DE BARROS HAYAKAWA</v>
      </c>
      <c r="O322" s="20">
        <f>IF(B322&lt;&gt;"",LARGE(M320:M322,3),"")</f>
        <v>-3.0000000000000001E-3</v>
      </c>
      <c r="P322" s="20" t="str">
        <f>VLOOKUP(O322,M320:N322,2,0)</f>
        <v>MARCO ANTÔNIO DE BARROS HAYAKAWA</v>
      </c>
    </row>
    <row r="323" spans="2:16" ht="18" customHeight="1" x14ac:dyDescent="0.25">
      <c r="B323" s="79"/>
      <c r="C323" s="79"/>
      <c r="D323" s="79"/>
      <c r="E323" s="79"/>
      <c r="F323" s="79"/>
      <c r="G323" s="79"/>
      <c r="I323" s="80"/>
      <c r="J323" s="79"/>
      <c r="K323" s="81"/>
      <c r="L323" s="81"/>
    </row>
    <row r="324" spans="2:16" ht="23.25" customHeight="1" x14ac:dyDescent="0.25">
      <c r="B324" s="82" t="s">
        <v>40</v>
      </c>
      <c r="C324" s="79"/>
      <c r="D324" s="79"/>
      <c r="E324" s="79"/>
      <c r="F324" s="79"/>
      <c r="G324" s="79"/>
      <c r="H324" s="79"/>
      <c r="I324" s="79"/>
      <c r="J324" s="79"/>
      <c r="K324" s="79"/>
      <c r="L324" s="79"/>
    </row>
    <row r="325" spans="2:16" ht="18" customHeight="1" x14ac:dyDescent="0.25">
      <c r="B325" s="132" t="s">
        <v>15</v>
      </c>
      <c r="C325" s="132" t="s">
        <v>0</v>
      </c>
      <c r="D325" s="258" t="s">
        <v>41</v>
      </c>
      <c r="E325" s="259"/>
      <c r="F325" s="259"/>
      <c r="G325" s="259"/>
      <c r="H325" s="259"/>
      <c r="I325" s="260"/>
      <c r="J325" s="132" t="s">
        <v>15</v>
      </c>
      <c r="K325" s="132" t="s">
        <v>0</v>
      </c>
      <c r="L325" s="79"/>
    </row>
    <row r="326" spans="2:16" ht="18" customHeight="1" x14ac:dyDescent="0.25">
      <c r="B326" s="33" t="str">
        <f>IF(H320=3,B320,"")</f>
        <v>Pedro Rocha Antonangelo da Silva</v>
      </c>
      <c r="C326" s="33" t="str">
        <f>IFERROR(IF(B326="","",VLOOKUP(B326,LISTAS!$F$5:$G$1004,2,0)),"0")</f>
        <v>ESCOLA INTERAÇÃO</v>
      </c>
      <c r="D326" s="253">
        <v>2</v>
      </c>
      <c r="E326" s="254"/>
      <c r="F326" s="253" t="s">
        <v>38</v>
      </c>
      <c r="G326" s="254"/>
      <c r="H326" s="253">
        <v>0</v>
      </c>
      <c r="I326" s="254"/>
      <c r="J326" s="111" t="str">
        <f>IF(H320=3,B322,"")</f>
        <v>MARCO ANTÔNIO DE BARROS HAYAKAWA</v>
      </c>
      <c r="K326" s="33" t="str">
        <f>IFERROR(IF(J326="","",VLOOKUP(J326,LISTAS!$F$5:$G$1004,2,0)),"0")</f>
        <v>ABACO IPIRANGA</v>
      </c>
      <c r="L326" s="81"/>
    </row>
    <row r="327" spans="2:16" ht="18" customHeight="1" x14ac:dyDescent="0.25">
      <c r="B327" s="33" t="str">
        <f>IF(H320=3,B321,"")</f>
        <v>TIAGO DREER DURAN</v>
      </c>
      <c r="C327" s="33" t="str">
        <f>IFERROR(IF(B327="","",VLOOKUP(B327,LISTAS!$F$5:$G$1004,2,0)),"0")</f>
        <v>COLÉGIO ARBOS SÃO CAETANO DO SUL</v>
      </c>
      <c r="D327" s="253">
        <v>2</v>
      </c>
      <c r="E327" s="254"/>
      <c r="F327" s="253" t="s">
        <v>38</v>
      </c>
      <c r="G327" s="254"/>
      <c r="H327" s="253">
        <v>0</v>
      </c>
      <c r="I327" s="254"/>
      <c r="J327" s="111" t="str">
        <f>IF(H320=3,B322,"")</f>
        <v>MARCO ANTÔNIO DE BARROS HAYAKAWA</v>
      </c>
      <c r="K327" s="33" t="str">
        <f>IFERROR(IF(J327="","",VLOOKUP(J327,LISTAS!$F$5:$G$1004,2,0)),"0")</f>
        <v>ABACO IPIRANGA</v>
      </c>
      <c r="L327" s="79"/>
    </row>
    <row r="328" spans="2:16" ht="18" customHeight="1" x14ac:dyDescent="0.25">
      <c r="B328" s="33" t="str">
        <f>IF(H320=3,B320,"")</f>
        <v>Pedro Rocha Antonangelo da Silva</v>
      </c>
      <c r="C328" s="33" t="str">
        <f>IFERROR(IF(B328="","",VLOOKUP(B328,LISTAS!$F$5:$G$1004,2,0)),"0")</f>
        <v>ESCOLA INTERAÇÃO</v>
      </c>
      <c r="D328" s="253">
        <v>0</v>
      </c>
      <c r="E328" s="254"/>
      <c r="F328" s="253" t="s">
        <v>38</v>
      </c>
      <c r="G328" s="254"/>
      <c r="H328" s="253">
        <v>2</v>
      </c>
      <c r="I328" s="254"/>
      <c r="J328" s="111" t="str">
        <f>IF(H320=3,B321,"")</f>
        <v>TIAGO DREER DURAN</v>
      </c>
      <c r="K328" s="33" t="str">
        <f>IFERROR(IF(J328="","",VLOOKUP(J328,LISTAS!$F$5:$G$1004,2,0)),"0")</f>
        <v>COLÉGIO ARBOS SÃO CAETANO DO SUL</v>
      </c>
      <c r="L328" s="81"/>
    </row>
    <row r="331" spans="2:16" ht="30" customHeight="1" x14ac:dyDescent="0.25">
      <c r="B331" s="161" t="s">
        <v>69</v>
      </c>
      <c r="C331" s="79"/>
      <c r="D331" s="255" t="s">
        <v>42</v>
      </c>
      <c r="E331" s="256"/>
      <c r="F331" s="256"/>
      <c r="G331" s="257"/>
      <c r="H331" s="113"/>
      <c r="I331" s="255" t="s">
        <v>3</v>
      </c>
      <c r="J331" s="256"/>
      <c r="K331" s="256"/>
      <c r="L331" s="256"/>
    </row>
    <row r="332" spans="2:16" ht="18" customHeight="1" x14ac:dyDescent="0.25">
      <c r="B332" s="132" t="s">
        <v>15</v>
      </c>
      <c r="C332" s="132" t="s">
        <v>0</v>
      </c>
      <c r="D332" s="132" t="s">
        <v>43</v>
      </c>
      <c r="E332" s="132" t="s">
        <v>44</v>
      </c>
      <c r="F332" s="132" t="s">
        <v>77</v>
      </c>
      <c r="G332" s="132" t="s">
        <v>78</v>
      </c>
      <c r="H332" s="114"/>
      <c r="I332" s="132" t="s">
        <v>18</v>
      </c>
      <c r="J332" s="132" t="s">
        <v>15</v>
      </c>
      <c r="K332" s="132" t="s">
        <v>0</v>
      </c>
      <c r="L332" s="132" t="s">
        <v>45</v>
      </c>
    </row>
    <row r="333" spans="2:16" ht="18" customHeight="1" x14ac:dyDescent="0.25">
      <c r="B333" s="33" t="s">
        <v>436</v>
      </c>
      <c r="C333" s="33" t="str">
        <f>IFERROR(IF(B333="","",VLOOKUP(B333,LISTAS!$F$5:$G$1004,2,0)),"0")</f>
        <v>CENTRO DE ESTUDOS JÚLIO VERNE</v>
      </c>
      <c r="D333" s="33" t="str">
        <f>IF(H333&lt;3,"",IF(H333=3,IF(D339&lt;&gt;"",IF(H339&lt;&gt;"",IF(D339&lt;&gt;H339,IF(D339&gt;H339,"V","D"),""),""),"")))</f>
        <v>D</v>
      </c>
      <c r="E333" s="33" t="str">
        <f>IF(H333&lt;3,"",IF(H333=3,IF(D341&lt;&gt;"",IF(H341&lt;&gt;"",IF(D341&lt;&gt;H341,IF(D341&gt;H341,"V","D"),""),""),"")))</f>
        <v>V</v>
      </c>
      <c r="F333" s="33" t="s">
        <v>81</v>
      </c>
      <c r="G333" s="33" t="s">
        <v>81</v>
      </c>
      <c r="H333" s="117">
        <f>COUNTA(B333:B335)</f>
        <v>3</v>
      </c>
      <c r="I333" s="33">
        <f>IF(B333&lt;&gt;"",1,"")</f>
        <v>1</v>
      </c>
      <c r="J333" s="33" t="str">
        <f>IF(I333&lt;&gt;"",P333,"")</f>
        <v>Vinicius Gonçalves Visentim</v>
      </c>
      <c r="K333" s="33" t="str">
        <f>IFERROR(IF(J333="","",VLOOKUP(J333,LISTAS!$F$5:$G$1004,2,0)),"0")</f>
        <v>ESCOLA INTERAÇÃO</v>
      </c>
      <c r="L333" s="130" t="str">
        <f>IF(H333=3,"OURO",IF(H333=4,"OURO",IF(H333=5,"OURO","")))</f>
        <v>OURO</v>
      </c>
      <c r="M333" s="20">
        <f>IF(B333&lt;&gt;"",COUNTIF(D333:G333,"V")+(SUMIF(B339:B341,B333,D339:E341)/1000)+(SUMIF(J339:J341,B333,H339:I341)/1000)-(SUMIF(B339:B341,B333,H339:I341)/1000)-(SUMIF(J339:J341,B333,D339:E341)/1000)+0.003,"")</f>
        <v>1.0029999999999999</v>
      </c>
      <c r="N333" s="20" t="str">
        <f>IF(B333="","",B333)</f>
        <v>LUCAS BATISTA PAVANELLO</v>
      </c>
      <c r="O333" s="20">
        <f>IF(B333&lt;&gt;"",LARGE(M333:M335,1),"")</f>
        <v>2.0049999999999999</v>
      </c>
      <c r="P333" s="20" t="str">
        <f>VLOOKUP(O333,M333:N335,2,0)</f>
        <v>Vinicius Gonçalves Visentim</v>
      </c>
    </row>
    <row r="334" spans="2:16" ht="18" customHeight="1" x14ac:dyDescent="0.25">
      <c r="B334" s="33" t="s">
        <v>452</v>
      </c>
      <c r="C334" s="33" t="str">
        <f>IFERROR(IF(B334="","",VLOOKUP(B334,LISTAS!$F$5:$G$1004,2,0)),"0")</f>
        <v>ABACO IPIRANGA</v>
      </c>
      <c r="D334" s="33" t="str">
        <f>IF(H333&lt;3,"",IF(H333=3,IF(D340&lt;&gt;"",IF(H340&lt;&gt;"",IF(D340&lt;&gt;H340,IF(D340&gt;H340,"V","D"),""),""),"")))</f>
        <v>D</v>
      </c>
      <c r="E334" s="33" t="str">
        <f>IF(H333&lt;3,"",IF(H333=3,IF(D341&lt;&gt;"",IF(H341&lt;&gt;"",IF(D341&lt;&gt;H341,IF(D341&gt;H341,"D","V"),""),""),"")))</f>
        <v>D</v>
      </c>
      <c r="F334" s="33" t="s">
        <v>81</v>
      </c>
      <c r="G334" s="33" t="s">
        <v>81</v>
      </c>
      <c r="H334" s="117"/>
      <c r="I334" s="33">
        <f>IF(B334&lt;&gt;"",2,"")</f>
        <v>2</v>
      </c>
      <c r="J334" s="33" t="str">
        <f>IF(I334&lt;&gt;"",P334,"")</f>
        <v>LUCAS BATISTA PAVANELLO</v>
      </c>
      <c r="K334" s="33" t="str">
        <f>IFERROR(IF(J334="","",VLOOKUP(J334,LISTAS!$F$5:$G$1004,2,0)),"0")</f>
        <v>CENTRO DE ESTUDOS JÚLIO VERNE</v>
      </c>
      <c r="L334" s="130" t="str">
        <f>IF(H333=3,"PRATA",IF(H333=4,"OURO",IF(H333=5,"OURO","")))</f>
        <v>PRATA</v>
      </c>
      <c r="M334" s="20">
        <f>IF(B334&lt;&gt;"",COUNTIF(D334:G334,"V")+(SUMIF(B339:B341,B334,D339:E341)/1000)+(SUMIF(J339:J341,B334,H339:I341)/1000)-(SUMIF(B339:B341,B334,H339:I341)/1000)-(SUMIF(J339:J341,B334,D339:E341)/1000)+0.002,"")</f>
        <v>-2E-3</v>
      </c>
      <c r="N334" s="20" t="str">
        <f t="shared" ref="N334" si="23">IF(B334="","",B334)</f>
        <v>MIGUEL G. DE OLIVEIRA CORONATE</v>
      </c>
      <c r="O334" s="20">
        <f>IF(B334&lt;&gt;"",LARGE(M333:M335,2),"")</f>
        <v>1.0029999999999999</v>
      </c>
      <c r="P334" s="20" t="str">
        <f>VLOOKUP(O334,M333:N335,2,0)</f>
        <v>LUCAS BATISTA PAVANELLO</v>
      </c>
    </row>
    <row r="335" spans="2:16" ht="18" customHeight="1" x14ac:dyDescent="0.25">
      <c r="B335" s="33" t="s">
        <v>640</v>
      </c>
      <c r="C335" s="33" t="str">
        <f>IFERROR(IF(B335="","",VLOOKUP(B335,LISTAS!$F$5:$G$1004,2,0)),"0")</f>
        <v>ESCOLA INTERAÇÃO</v>
      </c>
      <c r="D335" s="33" t="str">
        <f>IF(H333&lt;3,"",IF(H333=3,IF(D339&lt;&gt;"",IF(H339&lt;&gt;"",IF(D339&lt;&gt;H339,IF(D339&gt;H339,"D","V"),""),""),"")))</f>
        <v>V</v>
      </c>
      <c r="E335" s="33" t="str">
        <f>IF(H333&lt;3,"",IF(H333=3,IF(D340&lt;&gt;"",IF(H340&lt;&gt;"",IF(D340&lt;&gt;H340,IF(D340&gt;H340,"D","V"),""),""),"")))</f>
        <v>V</v>
      </c>
      <c r="F335" s="33" t="s">
        <v>81</v>
      </c>
      <c r="G335" s="33" t="s">
        <v>81</v>
      </c>
      <c r="H335" s="117"/>
      <c r="I335" s="33">
        <f>IF(B335&lt;&gt;"",3,"")</f>
        <v>3</v>
      </c>
      <c r="J335" s="33" t="str">
        <f>IF(I335&lt;&gt;"",P335,"")</f>
        <v>MIGUEL G. DE OLIVEIRA CORONATE</v>
      </c>
      <c r="K335" s="33" t="str">
        <f>IFERROR(IF(J335="","",VLOOKUP(J335,LISTAS!$F$5:$G$1004,2,0)),"0")</f>
        <v>ABACO IPIRANGA</v>
      </c>
      <c r="L335" s="130" t="str">
        <f>IF(H333=3,"BRONZE",IF(H333=4,"PRATA",IF(H333=5,"OURO","")))</f>
        <v>BRONZE</v>
      </c>
      <c r="M335" s="20">
        <f>IF(B335&lt;&gt;"",COUNTIF(D335:G335,"V")+(SUMIF(B339:B341,B335,D339:E341)/1000)+(SUMIF(J339:J341,B335,H339:I341)/1000)-(SUMIF(B339:B341,B335,H339:I341)/1000)-(SUMIF(J339:J341,B335,D339:E341)/1000)+0.001,"")</f>
        <v>2.0049999999999999</v>
      </c>
      <c r="N335" s="20" t="str">
        <f>IF(B335="","",B335)</f>
        <v>Vinicius Gonçalves Visentim</v>
      </c>
      <c r="O335" s="20">
        <f>IF(B335&lt;&gt;"",LARGE(M333:M335,3),"")</f>
        <v>-2E-3</v>
      </c>
      <c r="P335" s="20" t="str">
        <f>VLOOKUP(O335,M333:N335,2,0)</f>
        <v>MIGUEL G. DE OLIVEIRA CORONATE</v>
      </c>
    </row>
    <row r="336" spans="2:16" ht="18" customHeight="1" x14ac:dyDescent="0.25">
      <c r="B336" s="79"/>
      <c r="C336" s="79"/>
      <c r="D336" s="79"/>
      <c r="E336" s="79"/>
      <c r="F336" s="79"/>
      <c r="G336" s="79"/>
      <c r="I336" s="80"/>
      <c r="J336" s="79"/>
      <c r="K336" s="81"/>
      <c r="L336" s="81"/>
    </row>
    <row r="337" spans="2:16" ht="23.25" customHeight="1" x14ac:dyDescent="0.25">
      <c r="B337" s="82" t="s">
        <v>40</v>
      </c>
      <c r="C337" s="79"/>
      <c r="D337" s="79"/>
      <c r="E337" s="79"/>
      <c r="F337" s="79"/>
      <c r="G337" s="79"/>
      <c r="H337" s="79"/>
      <c r="I337" s="79"/>
      <c r="J337" s="79"/>
      <c r="K337" s="79"/>
      <c r="L337" s="79"/>
    </row>
    <row r="338" spans="2:16" ht="18" customHeight="1" x14ac:dyDescent="0.25">
      <c r="B338" s="132" t="s">
        <v>15</v>
      </c>
      <c r="C338" s="132" t="s">
        <v>0</v>
      </c>
      <c r="D338" s="258" t="s">
        <v>41</v>
      </c>
      <c r="E338" s="259"/>
      <c r="F338" s="259"/>
      <c r="G338" s="259"/>
      <c r="H338" s="259"/>
      <c r="I338" s="260"/>
      <c r="J338" s="132" t="s">
        <v>15</v>
      </c>
      <c r="K338" s="132" t="s">
        <v>0</v>
      </c>
      <c r="L338" s="79"/>
    </row>
    <row r="339" spans="2:16" ht="18" customHeight="1" x14ac:dyDescent="0.25">
      <c r="B339" s="33" t="str">
        <f>IF(H333=3,B333,"")</f>
        <v>LUCAS BATISTA PAVANELLO</v>
      </c>
      <c r="C339" s="33" t="str">
        <f>IFERROR(IF(B339="","",VLOOKUP(B339,LISTAS!$F$5:$G$1004,2,0)),"0")</f>
        <v>CENTRO DE ESTUDOS JÚLIO VERNE</v>
      </c>
      <c r="D339" s="253">
        <v>0</v>
      </c>
      <c r="E339" s="254"/>
      <c r="F339" s="253" t="s">
        <v>38</v>
      </c>
      <c r="G339" s="254"/>
      <c r="H339" s="253">
        <v>2</v>
      </c>
      <c r="I339" s="254"/>
      <c r="J339" s="111" t="str">
        <f>IF(H333=3,B335,"")</f>
        <v>Vinicius Gonçalves Visentim</v>
      </c>
      <c r="K339" s="33" t="str">
        <f>IFERROR(IF(J339="","",VLOOKUP(J339,LISTAS!$F$5:$G$1004,2,0)),"0")</f>
        <v>ESCOLA INTERAÇÃO</v>
      </c>
      <c r="L339" s="81"/>
    </row>
    <row r="340" spans="2:16" ht="18" customHeight="1" x14ac:dyDescent="0.25">
      <c r="B340" s="33" t="str">
        <f>IF(H333=3,B334,"")</f>
        <v>MIGUEL G. DE OLIVEIRA CORONATE</v>
      </c>
      <c r="C340" s="33" t="str">
        <f>IFERROR(IF(B340="","",VLOOKUP(B340,LISTAS!$F$5:$G$1004,2,0)),"0")</f>
        <v>ABACO IPIRANGA</v>
      </c>
      <c r="D340" s="253">
        <v>0</v>
      </c>
      <c r="E340" s="254"/>
      <c r="F340" s="253" t="s">
        <v>38</v>
      </c>
      <c r="G340" s="254"/>
      <c r="H340" s="253">
        <v>2</v>
      </c>
      <c r="I340" s="254"/>
      <c r="J340" s="111" t="str">
        <f>IF(H333=3,B335,"")</f>
        <v>Vinicius Gonçalves Visentim</v>
      </c>
      <c r="K340" s="33" t="str">
        <f>IFERROR(IF(J340="","",VLOOKUP(J340,LISTAS!$F$5:$G$1004,2,0)),"0")</f>
        <v>ESCOLA INTERAÇÃO</v>
      </c>
      <c r="L340" s="79"/>
    </row>
    <row r="341" spans="2:16" ht="18" customHeight="1" x14ac:dyDescent="0.25">
      <c r="B341" s="33" t="str">
        <f>IF(H333=3,B333,"")</f>
        <v>LUCAS BATISTA PAVANELLO</v>
      </c>
      <c r="C341" s="33" t="str">
        <f>IFERROR(IF(B341="","",VLOOKUP(B341,LISTAS!$F$5:$G$1004,2,0)),"0")</f>
        <v>CENTRO DE ESTUDOS JÚLIO VERNE</v>
      </c>
      <c r="D341" s="253">
        <v>2</v>
      </c>
      <c r="E341" s="254"/>
      <c r="F341" s="253" t="s">
        <v>38</v>
      </c>
      <c r="G341" s="254"/>
      <c r="H341" s="253">
        <v>0</v>
      </c>
      <c r="I341" s="254"/>
      <c r="J341" s="111" t="str">
        <f>IF(H333=3,B334,"")</f>
        <v>MIGUEL G. DE OLIVEIRA CORONATE</v>
      </c>
      <c r="K341" s="33" t="str">
        <f>IFERROR(IF(J341="","",VLOOKUP(J341,LISTAS!$F$5:$G$1004,2,0)),"0")</f>
        <v>ABACO IPIRANGA</v>
      </c>
      <c r="L341" s="81"/>
    </row>
    <row r="344" spans="2:16" ht="30" customHeight="1" x14ac:dyDescent="0.25">
      <c r="B344" s="161" t="s">
        <v>70</v>
      </c>
      <c r="C344" s="79"/>
      <c r="D344" s="255" t="s">
        <v>42</v>
      </c>
      <c r="E344" s="256"/>
      <c r="F344" s="256"/>
      <c r="G344" s="257"/>
      <c r="H344" s="113"/>
      <c r="I344" s="255" t="s">
        <v>3</v>
      </c>
      <c r="J344" s="256"/>
      <c r="K344" s="256"/>
      <c r="L344" s="256"/>
    </row>
    <row r="345" spans="2:16" ht="18" customHeight="1" x14ac:dyDescent="0.25">
      <c r="B345" s="132" t="s">
        <v>15</v>
      </c>
      <c r="C345" s="132" t="s">
        <v>0</v>
      </c>
      <c r="D345" s="132" t="s">
        <v>43</v>
      </c>
      <c r="E345" s="132" t="s">
        <v>44</v>
      </c>
      <c r="F345" s="132" t="s">
        <v>77</v>
      </c>
      <c r="G345" s="132" t="s">
        <v>78</v>
      </c>
      <c r="H345" s="114"/>
      <c r="I345" s="132" t="s">
        <v>18</v>
      </c>
      <c r="J345" s="132" t="s">
        <v>15</v>
      </c>
      <c r="K345" s="132" t="s">
        <v>0</v>
      </c>
      <c r="L345" s="132" t="s">
        <v>45</v>
      </c>
    </row>
    <row r="346" spans="2:16" ht="18" customHeight="1" x14ac:dyDescent="0.25">
      <c r="B346" s="33" t="s">
        <v>639</v>
      </c>
      <c r="C346" s="33" t="str">
        <f>IFERROR(IF(B346="","",VLOOKUP(B346,LISTAS!$F$5:$G$1004,2,0)),"0")</f>
        <v>ESCOLA INTERAÇÃO</v>
      </c>
      <c r="D346" s="33" t="str">
        <f>IF(H346&lt;3,"",IF(H346=3,IF(D352&lt;&gt;"",IF(H352&lt;&gt;"",IF(D352&lt;&gt;H352,IF(D352&gt;H352,"V","D"),""),""),"")))</f>
        <v>D</v>
      </c>
      <c r="E346" s="33" t="str">
        <f>IF(H346&lt;3,"",IF(H346=3,IF(D354&lt;&gt;"",IF(H354&lt;&gt;"",IF(D354&lt;&gt;H354,IF(D354&gt;H354,"V","D"),""),""),"")))</f>
        <v>V</v>
      </c>
      <c r="F346" s="33" t="s">
        <v>81</v>
      </c>
      <c r="G346" s="33" t="s">
        <v>81</v>
      </c>
      <c r="H346" s="117">
        <f>COUNTA(B346:B348)</f>
        <v>3</v>
      </c>
      <c r="I346" s="33">
        <f>IF(B346&lt;&gt;"",1,"")</f>
        <v>1</v>
      </c>
      <c r="J346" s="33" t="str">
        <f>IF(I346&lt;&gt;"",P346,"")</f>
        <v>PIETRO GUIRRO CARINCI</v>
      </c>
      <c r="K346" s="33" t="str">
        <f>IFERROR(IF(J346="","",VLOOKUP(J346,LISTAS!$F$5:$G$1004,2,0)),"0")</f>
        <v>COLÉGIO ARBOS - UNIDADE SANTO ANDRÉ</v>
      </c>
      <c r="L346" s="130" t="str">
        <f>IF(H346=3,"OURO",IF(H346=4,"OURO",IF(H346=5,"OURO","")))</f>
        <v>OURO</v>
      </c>
      <c r="M346" s="20">
        <f>IF(B346&lt;&gt;"",COUNTIF(D346:G346,"V")+(SUMIF(B352:B354,B346,D352:E354)/1000)+(SUMIF(J352:J354,B346,H352:I354)/1000)-(SUMIF(B352:B354,B346,H352:I354)/1000)-(SUMIF(J352:J354,B346,D352:E354)/1000)+0.003,"")</f>
        <v>1.002</v>
      </c>
      <c r="N346" s="20" t="str">
        <f>IF(B346="","",B346)</f>
        <v>Pedro Henrique Carvalho Moreira</v>
      </c>
      <c r="O346" s="20">
        <f>IF(B346&lt;&gt;"",LARGE(M346:M348,1),"")</f>
        <v>2.004</v>
      </c>
      <c r="P346" s="20" t="str">
        <f>VLOOKUP(O346,M346:N348,2,0)</f>
        <v>PIETRO GUIRRO CARINCI</v>
      </c>
    </row>
    <row r="347" spans="2:16" ht="18" customHeight="1" x14ac:dyDescent="0.25">
      <c r="B347" s="33" t="s">
        <v>417</v>
      </c>
      <c r="C347" s="33" t="str">
        <f>IFERROR(IF(B347="","",VLOOKUP(B347,LISTAS!$F$5:$G$1004,2,0)),"0")</f>
        <v>COLÉGIO ATENEU</v>
      </c>
      <c r="D347" s="33" t="str">
        <f>IF(H346&lt;3,"",IF(H346=3,IF(D353&lt;&gt;"",IF(H353&lt;&gt;"",IF(D353&lt;&gt;H353,IF(D353&gt;H353,"V","D"),""),""),"")))</f>
        <v>D</v>
      </c>
      <c r="E347" s="33" t="str">
        <f>IF(H346&lt;3,"",IF(H346=3,IF(D354&lt;&gt;"",IF(H354&lt;&gt;"",IF(D354&lt;&gt;H354,IF(D354&gt;H354,"D","V"),""),""),"")))</f>
        <v>D</v>
      </c>
      <c r="F347" s="33" t="s">
        <v>81</v>
      </c>
      <c r="G347" s="33" t="s">
        <v>81</v>
      </c>
      <c r="H347" s="117"/>
      <c r="I347" s="33">
        <f>IF(B347&lt;&gt;"",2,"")</f>
        <v>2</v>
      </c>
      <c r="J347" s="33" t="str">
        <f>IF(I347&lt;&gt;"",P347,"")</f>
        <v>Pedro Henrique Carvalho Moreira</v>
      </c>
      <c r="K347" s="33" t="str">
        <f>IFERROR(IF(J347="","",VLOOKUP(J347,LISTAS!$F$5:$G$1004,2,0)),"0")</f>
        <v>ESCOLA INTERAÇÃO</v>
      </c>
      <c r="L347" s="130" t="str">
        <f>IF(H346=3,"PRATA",IF(H346=4,"OURO",IF(H346=5,"OURO","")))</f>
        <v>PRATA</v>
      </c>
      <c r="M347" s="20">
        <f>IF(B347&lt;&gt;"",COUNTIF(D347:G347,"V")+(SUMIF(B352:B354,B347,D352:E354)/1000)+(SUMIF(J352:J354,B347,H352:I354)/1000)-(SUMIF(B352:B354,B347,H352:I354)/1000)-(SUMIF(J352:J354,B347,D352:E354)/1000)+0.002,"")</f>
        <v>0</v>
      </c>
      <c r="N347" s="20" t="str">
        <f t="shared" ref="N347" si="24">IF(B347="","",B347)</f>
        <v>HEITOR BONAZZI COMAR</v>
      </c>
      <c r="O347" s="20">
        <f>IF(B347&lt;&gt;"",LARGE(M346:M348,2),"")</f>
        <v>1.002</v>
      </c>
      <c r="P347" s="20" t="str">
        <f>VLOOKUP(O347,M346:N348,2,0)</f>
        <v>Pedro Henrique Carvalho Moreira</v>
      </c>
    </row>
    <row r="348" spans="2:16" ht="18" customHeight="1" x14ac:dyDescent="0.25">
      <c r="B348" s="33" t="s">
        <v>464</v>
      </c>
      <c r="C348" s="33" t="str">
        <f>IFERROR(IF(B348="","",VLOOKUP(B348,LISTAS!$F$5:$G$1004,2,0)),"0")</f>
        <v>COLÉGIO ARBOS - UNIDADE SANTO ANDRÉ</v>
      </c>
      <c r="D348" s="33" t="str">
        <f>IF(H346&lt;3,"",IF(H346=3,IF(D352&lt;&gt;"",IF(H352&lt;&gt;"",IF(D352&lt;&gt;H352,IF(D352&gt;H352,"D","V"),""),""),"")))</f>
        <v>V</v>
      </c>
      <c r="E348" s="33" t="str">
        <f>IF(H346&lt;3,"",IF(H346=3,IF(D353&lt;&gt;"",IF(H353&lt;&gt;"",IF(D353&lt;&gt;H353,IF(D353&gt;H353,"D","V"),""),""),"")))</f>
        <v>V</v>
      </c>
      <c r="F348" s="33" t="s">
        <v>81</v>
      </c>
      <c r="G348" s="33" t="s">
        <v>81</v>
      </c>
      <c r="H348" s="117"/>
      <c r="I348" s="33">
        <f>IF(B348&lt;&gt;"",3,"")</f>
        <v>3</v>
      </c>
      <c r="J348" s="33" t="str">
        <f>IF(I348&lt;&gt;"",P348,"")</f>
        <v>HEITOR BONAZZI COMAR</v>
      </c>
      <c r="K348" s="33" t="str">
        <f>IFERROR(IF(J348="","",VLOOKUP(J348,LISTAS!$F$5:$G$1004,2,0)),"0")</f>
        <v>COLÉGIO ATENEU</v>
      </c>
      <c r="L348" s="130" t="str">
        <f>IF(H346=3,"BRONZE",IF(H346=4,"PRATA",IF(H346=5,"OURO","")))</f>
        <v>BRONZE</v>
      </c>
      <c r="M348" s="20">
        <f>IF(B348&lt;&gt;"",COUNTIF(D348:G348,"V")+(SUMIF(B352:B354,B348,D352:E354)/1000)+(SUMIF(J352:J354,B348,H352:I354)/1000)-(SUMIF(B352:B354,B348,H352:I354)/1000)-(SUMIF(J352:J354,B348,D352:E354)/1000)+0.001,"")</f>
        <v>2.004</v>
      </c>
      <c r="N348" s="20" t="str">
        <f>IF(B348="","",B348)</f>
        <v>PIETRO GUIRRO CARINCI</v>
      </c>
      <c r="O348" s="20">
        <f>IF(B348&lt;&gt;"",LARGE(M346:M348,3),"")</f>
        <v>0</v>
      </c>
      <c r="P348" s="20" t="str">
        <f>VLOOKUP(O348,M346:N348,2,0)</f>
        <v>HEITOR BONAZZI COMAR</v>
      </c>
    </row>
    <row r="349" spans="2:16" ht="18" customHeight="1" x14ac:dyDescent="0.25">
      <c r="B349" s="79"/>
      <c r="C349" s="79"/>
      <c r="D349" s="79"/>
      <c r="E349" s="79"/>
      <c r="F349" s="79"/>
      <c r="G349" s="79"/>
      <c r="I349" s="80"/>
      <c r="J349" s="79"/>
      <c r="K349" s="81"/>
      <c r="L349" s="81"/>
    </row>
    <row r="350" spans="2:16" ht="23.25" customHeight="1" x14ac:dyDescent="0.25">
      <c r="B350" s="82" t="s">
        <v>40</v>
      </c>
      <c r="C350" s="79"/>
      <c r="D350" s="79"/>
      <c r="E350" s="79"/>
      <c r="F350" s="79"/>
      <c r="G350" s="79"/>
      <c r="H350" s="79"/>
      <c r="I350" s="79"/>
      <c r="J350" s="79"/>
      <c r="K350" s="79"/>
      <c r="L350" s="79"/>
    </row>
    <row r="351" spans="2:16" ht="18" customHeight="1" x14ac:dyDescent="0.25">
      <c r="B351" s="132" t="s">
        <v>15</v>
      </c>
      <c r="C351" s="132" t="s">
        <v>0</v>
      </c>
      <c r="D351" s="258" t="s">
        <v>41</v>
      </c>
      <c r="E351" s="259"/>
      <c r="F351" s="259"/>
      <c r="G351" s="259"/>
      <c r="H351" s="259"/>
      <c r="I351" s="260"/>
      <c r="J351" s="132" t="s">
        <v>15</v>
      </c>
      <c r="K351" s="132" t="s">
        <v>0</v>
      </c>
      <c r="L351" s="79"/>
    </row>
    <row r="352" spans="2:16" ht="18" customHeight="1" x14ac:dyDescent="0.25">
      <c r="B352" s="33" t="str">
        <f>IF(H346=3,B346,"")</f>
        <v>Pedro Henrique Carvalho Moreira</v>
      </c>
      <c r="C352" s="33" t="str">
        <f>IFERROR(IF(B352="","",VLOOKUP(B352,LISTAS!$F$5:$G$1004,2,0)),"0")</f>
        <v>ESCOLA INTERAÇÃO</v>
      </c>
      <c r="D352" s="253">
        <v>0</v>
      </c>
      <c r="E352" s="254"/>
      <c r="F352" s="253" t="s">
        <v>38</v>
      </c>
      <c r="G352" s="254"/>
      <c r="H352" s="253">
        <v>2</v>
      </c>
      <c r="I352" s="254"/>
      <c r="J352" s="111" t="str">
        <f>IF(H346=3,B348,"")</f>
        <v>PIETRO GUIRRO CARINCI</v>
      </c>
      <c r="K352" s="33" t="str">
        <f>IFERROR(IF(J352="","",VLOOKUP(J352,LISTAS!$F$5:$G$1004,2,0)),"0")</f>
        <v>COLÉGIO ARBOS - UNIDADE SANTO ANDRÉ</v>
      </c>
      <c r="L352" s="81"/>
    </row>
    <row r="353" spans="2:16" ht="18" customHeight="1" x14ac:dyDescent="0.25">
      <c r="B353" s="33" t="str">
        <f>IF(H346=3,B347,"")</f>
        <v>HEITOR BONAZZI COMAR</v>
      </c>
      <c r="C353" s="33" t="str">
        <f>IFERROR(IF(B353="","",VLOOKUP(B353,LISTAS!$F$5:$G$1004,2,0)),"0")</f>
        <v>COLÉGIO ATENEU</v>
      </c>
      <c r="D353" s="253">
        <v>1</v>
      </c>
      <c r="E353" s="254"/>
      <c r="F353" s="253" t="s">
        <v>38</v>
      </c>
      <c r="G353" s="254"/>
      <c r="H353" s="253">
        <v>2</v>
      </c>
      <c r="I353" s="254"/>
      <c r="J353" s="111" t="str">
        <f>IF(H346=3,B348,"")</f>
        <v>PIETRO GUIRRO CARINCI</v>
      </c>
      <c r="K353" s="33" t="str">
        <f>IFERROR(IF(J353="","",VLOOKUP(J353,LISTAS!$F$5:$G$1004,2,0)),"0")</f>
        <v>COLÉGIO ARBOS - UNIDADE SANTO ANDRÉ</v>
      </c>
      <c r="L353" s="79"/>
    </row>
    <row r="354" spans="2:16" ht="18" customHeight="1" x14ac:dyDescent="0.25">
      <c r="B354" s="33" t="str">
        <f>IF(H346=3,B346,"")</f>
        <v>Pedro Henrique Carvalho Moreira</v>
      </c>
      <c r="C354" s="33" t="str">
        <f>IFERROR(IF(B354="","",VLOOKUP(B354,LISTAS!$F$5:$G$1004,2,0)),"0")</f>
        <v>ESCOLA INTERAÇÃO</v>
      </c>
      <c r="D354" s="253">
        <v>2</v>
      </c>
      <c r="E354" s="254"/>
      <c r="F354" s="253" t="s">
        <v>38</v>
      </c>
      <c r="G354" s="254"/>
      <c r="H354" s="253">
        <v>1</v>
      </c>
      <c r="I354" s="254"/>
      <c r="J354" s="111" t="str">
        <f>IF(H346=3,B347,"")</f>
        <v>HEITOR BONAZZI COMAR</v>
      </c>
      <c r="K354" s="33" t="str">
        <f>IFERROR(IF(J354="","",VLOOKUP(J354,LISTAS!$F$5:$G$1004,2,0)),"0")</f>
        <v>COLÉGIO ATENEU</v>
      </c>
      <c r="L354" s="81"/>
    </row>
    <row r="357" spans="2:16" ht="30" customHeight="1" x14ac:dyDescent="0.25">
      <c r="B357" s="161" t="s">
        <v>71</v>
      </c>
      <c r="C357" s="79"/>
      <c r="D357" s="255" t="s">
        <v>42</v>
      </c>
      <c r="E357" s="256"/>
      <c r="F357" s="256"/>
      <c r="G357" s="257"/>
      <c r="H357" s="113"/>
      <c r="I357" s="255" t="s">
        <v>3</v>
      </c>
      <c r="J357" s="256"/>
      <c r="K357" s="256"/>
      <c r="L357" s="256"/>
    </row>
    <row r="358" spans="2:16" ht="18" customHeight="1" x14ac:dyDescent="0.25">
      <c r="B358" s="132" t="s">
        <v>15</v>
      </c>
      <c r="C358" s="132" t="s">
        <v>0</v>
      </c>
      <c r="D358" s="132" t="s">
        <v>43</v>
      </c>
      <c r="E358" s="132" t="s">
        <v>44</v>
      </c>
      <c r="F358" s="132" t="s">
        <v>77</v>
      </c>
      <c r="G358" s="132" t="s">
        <v>78</v>
      </c>
      <c r="H358" s="114"/>
      <c r="I358" s="132" t="s">
        <v>18</v>
      </c>
      <c r="J358" s="132" t="s">
        <v>15</v>
      </c>
      <c r="K358" s="132" t="s">
        <v>0</v>
      </c>
      <c r="L358" s="132" t="s">
        <v>45</v>
      </c>
    </row>
    <row r="359" spans="2:16" ht="18" customHeight="1" x14ac:dyDescent="0.25">
      <c r="B359" s="33" t="s">
        <v>638</v>
      </c>
      <c r="C359" s="33" t="str">
        <f>IFERROR(IF(B359="","",VLOOKUP(B359,LISTAS!$F$5:$G$1004,2,0)),"0")</f>
        <v>ESCOLA INTERAÇÃO</v>
      </c>
      <c r="D359" s="33" t="str">
        <f>IF(H359&lt;3,"",IF(H359=3,IF(D365&lt;&gt;"",IF(H365&lt;&gt;"",IF(D365&lt;&gt;H365,IF(D365&gt;H365,"V","D"),""),""),"")))</f>
        <v>D</v>
      </c>
      <c r="E359" s="33" t="str">
        <f>IF(H359&lt;3,"",IF(H359=3,IF(D367&lt;&gt;"",IF(H367&lt;&gt;"",IF(D367&lt;&gt;H367,IF(D367&gt;H367,"V","D"),""),""),"")))</f>
        <v>D</v>
      </c>
      <c r="F359" s="33" t="s">
        <v>81</v>
      </c>
      <c r="G359" s="33" t="s">
        <v>81</v>
      </c>
      <c r="H359" s="117">
        <f>COUNTA(B359:B361)</f>
        <v>3</v>
      </c>
      <c r="I359" s="33">
        <f>IF(B359&lt;&gt;"",1,"")</f>
        <v>1</v>
      </c>
      <c r="J359" s="33" t="str">
        <f>IF(I359&lt;&gt;"",P359,"")</f>
        <v>HENRIQUE MARQUES MONTAGNER</v>
      </c>
      <c r="K359" s="33" t="str">
        <f>IFERROR(IF(J359="","",VLOOKUP(J359,LISTAS!$F$5:$G$1004,2,0)),"0")</f>
        <v>COLEGIO PETROPOLIS</v>
      </c>
      <c r="L359" s="130" t="str">
        <f>IF(H359=3,"OURO",IF(H359=4,"OURO",IF(H359=5,"OURO","")))</f>
        <v>OURO</v>
      </c>
      <c r="M359" s="20">
        <f>IF(B359&lt;&gt;"",COUNTIF(D359:G359,"V")+(SUMIF(B365:B367,B359,D365:E367)/1000)+(SUMIF(J365:J367,B359,H365:I367)/1000)-(SUMIF(B365:B367,B359,H365:I367)/1000)-(SUMIF(J365:J367,B359,D365:E367)/1000)+0.003,"")</f>
        <v>0</v>
      </c>
      <c r="N359" s="20" t="str">
        <f>IF(B359="","",B359)</f>
        <v>Dante de Oliveira</v>
      </c>
      <c r="O359" s="20">
        <f>IF(B359&lt;&gt;"",LARGE(M359:M361,1),"")</f>
        <v>2.0049999999999994</v>
      </c>
      <c r="P359" s="20" t="str">
        <f>VLOOKUP(O359,M359:N361,2,0)</f>
        <v>HENRIQUE MARQUES MONTAGNER</v>
      </c>
    </row>
    <row r="360" spans="2:16" ht="18" customHeight="1" x14ac:dyDescent="0.25">
      <c r="B360" s="33" t="s">
        <v>419</v>
      </c>
      <c r="C360" s="33" t="str">
        <f>IFERROR(IF(B360="","",VLOOKUP(B360,LISTAS!$F$5:$G$1004,2,0)),"0")</f>
        <v>COLEGIO PETROPOLIS</v>
      </c>
      <c r="D360" s="33" t="str">
        <f>IF(H359&lt;3,"",IF(H359=3,IF(D366&lt;&gt;"",IF(H366&lt;&gt;"",IF(D366&lt;&gt;H366,IF(D366&gt;H366,"V","D"),""),""),"")))</f>
        <v>V</v>
      </c>
      <c r="E360" s="33" t="str">
        <f>IF(H359&lt;3,"",IF(H359=3,IF(D367&lt;&gt;"",IF(H367&lt;&gt;"",IF(D367&lt;&gt;H367,IF(D367&gt;H367,"D","V"),""),""),"")))</f>
        <v>V</v>
      </c>
      <c r="F360" s="33" t="s">
        <v>81</v>
      </c>
      <c r="G360" s="33" t="s">
        <v>81</v>
      </c>
      <c r="H360" s="117"/>
      <c r="I360" s="33">
        <f>IF(B360&lt;&gt;"",2,"")</f>
        <v>2</v>
      </c>
      <c r="J360" s="33" t="str">
        <f>IF(I360&lt;&gt;"",P360,"")</f>
        <v>MIGUEL FERREIRA DE JESUS</v>
      </c>
      <c r="K360" s="33" t="str">
        <f>IFERROR(IF(J360="","",VLOOKUP(J360,LISTAS!$F$5:$G$1004,2,0)),"0")</f>
        <v>CENTRO DE ESTUDOS JÚLIO VERNE</v>
      </c>
      <c r="L360" s="130" t="str">
        <f>IF(H359=3,"PRATA",IF(H359=4,"OURO",IF(H359=5,"OURO","")))</f>
        <v>PRATA</v>
      </c>
      <c r="M360" s="20">
        <f>IF(B360&lt;&gt;"",COUNTIF(D360:G360,"V")+(SUMIF(B365:B367,B360,D365:E367)/1000)+(SUMIF(J365:J367,B360,H365:I367)/1000)-(SUMIF(B365:B367,B360,H365:I367)/1000)-(SUMIF(J365:J367,B360,D365:E367)/1000)+0.002,"")</f>
        <v>2.0049999999999994</v>
      </c>
      <c r="N360" s="20" t="str">
        <f>IF(B360="","",B360)</f>
        <v>HENRIQUE MARQUES MONTAGNER</v>
      </c>
      <c r="O360" s="20">
        <f>IF(B360&lt;&gt;"",LARGE(M359:M361,2),"")</f>
        <v>1.0009999999999999</v>
      </c>
      <c r="P360" s="20" t="str">
        <f>VLOOKUP(O360,M359:N361,2,0)</f>
        <v>MIGUEL FERREIRA DE JESUS</v>
      </c>
    </row>
    <row r="361" spans="2:16" ht="18" customHeight="1" x14ac:dyDescent="0.25">
      <c r="B361" s="33" t="s">
        <v>451</v>
      </c>
      <c r="C361" s="33" t="str">
        <f>IFERROR(IF(B361="","",VLOOKUP(B361,LISTAS!$F$5:$G$1004,2,0)),"0")</f>
        <v>CENTRO DE ESTUDOS JÚLIO VERNE</v>
      </c>
      <c r="D361" s="33" t="str">
        <f>IF(H359&lt;3,"",IF(H359=3,IF(D365&lt;&gt;"",IF(H365&lt;&gt;"",IF(D365&lt;&gt;H365,IF(D365&gt;H365,"D","V"),""),""),"")))</f>
        <v>V</v>
      </c>
      <c r="E361" s="33" t="str">
        <f>IF(H359&lt;3,"",IF(H359=3,IF(D366&lt;&gt;"",IF(H366&lt;&gt;"",IF(D366&lt;&gt;H366,IF(D366&gt;H366,"D","V"),""),""),"")))</f>
        <v>D</v>
      </c>
      <c r="F361" s="33" t="s">
        <v>81</v>
      </c>
      <c r="G361" s="33" t="s">
        <v>81</v>
      </c>
      <c r="H361" s="117"/>
      <c r="I361" s="33">
        <f>IF(B361&lt;&gt;"",3,"")</f>
        <v>3</v>
      </c>
      <c r="J361" s="33" t="str">
        <f>IF(I361&lt;&gt;"",P361,"")</f>
        <v>Dante de Oliveira</v>
      </c>
      <c r="K361" s="33" t="str">
        <f>IFERROR(IF(J361="","",VLOOKUP(J361,LISTAS!$F$5:$G$1004,2,0)),"0")</f>
        <v>ESCOLA INTERAÇÃO</v>
      </c>
      <c r="L361" s="130" t="str">
        <f>IF(H359=3,"BRONZE",IF(H359=4,"PRATA",IF(H359=5,"OURO","")))</f>
        <v>BRONZE</v>
      </c>
      <c r="M361" s="20">
        <f>IF(B361&lt;&gt;"",COUNTIF(D361:G361,"V")+(SUMIF(B365:B367,B361,D365:E367)/1000)+(SUMIF(J365:J367,B361,H365:I367)/1000)-(SUMIF(B365:B367,B361,H365:I367)/1000)-(SUMIF(J365:J367,B361,D365:E367)/1000)+0.001,"")</f>
        <v>1.0009999999999999</v>
      </c>
      <c r="N361" s="20" t="str">
        <f>IF(B361="","",B361)</f>
        <v>MIGUEL FERREIRA DE JESUS</v>
      </c>
      <c r="O361" s="20">
        <f>IF(B361&lt;&gt;"",LARGE(M359:M361,3),"")</f>
        <v>0</v>
      </c>
      <c r="P361" s="20" t="str">
        <f>VLOOKUP(O361,M359:N361,2,0)</f>
        <v>Dante de Oliveira</v>
      </c>
    </row>
    <row r="362" spans="2:16" ht="18" customHeight="1" x14ac:dyDescent="0.25">
      <c r="B362" s="79"/>
      <c r="C362" s="79"/>
      <c r="D362" s="79"/>
      <c r="E362" s="79"/>
      <c r="F362" s="79"/>
      <c r="G362" s="79"/>
      <c r="I362" s="80"/>
      <c r="J362" s="79"/>
      <c r="K362" s="81"/>
      <c r="L362" s="81"/>
    </row>
    <row r="363" spans="2:16" ht="23.25" customHeight="1" x14ac:dyDescent="0.25">
      <c r="B363" s="82" t="s">
        <v>40</v>
      </c>
      <c r="C363" s="79"/>
      <c r="D363" s="79"/>
      <c r="E363" s="79"/>
      <c r="F363" s="79"/>
      <c r="G363" s="79"/>
      <c r="H363" s="79"/>
      <c r="I363" s="79"/>
      <c r="J363" s="79"/>
      <c r="K363" s="79"/>
      <c r="L363" s="79"/>
    </row>
    <row r="364" spans="2:16" ht="18" customHeight="1" x14ac:dyDescent="0.25">
      <c r="B364" s="132" t="s">
        <v>15</v>
      </c>
      <c r="C364" s="132" t="s">
        <v>0</v>
      </c>
      <c r="D364" s="258" t="s">
        <v>41</v>
      </c>
      <c r="E364" s="259"/>
      <c r="F364" s="259"/>
      <c r="G364" s="259"/>
      <c r="H364" s="259"/>
      <c r="I364" s="260"/>
      <c r="J364" s="132" t="s">
        <v>15</v>
      </c>
      <c r="K364" s="132" t="s">
        <v>0</v>
      </c>
      <c r="L364" s="79"/>
    </row>
    <row r="365" spans="2:16" ht="18" customHeight="1" x14ac:dyDescent="0.25">
      <c r="B365" s="33" t="str">
        <f>IF(H359=3,B359,"")</f>
        <v>Dante de Oliveira</v>
      </c>
      <c r="C365" s="33" t="str">
        <f>IFERROR(IF(B365="","",VLOOKUP(B365,LISTAS!$F$5:$G$1004,2,0)),"0")</f>
        <v>ESCOLA INTERAÇÃO</v>
      </c>
      <c r="D365" s="253">
        <v>0</v>
      </c>
      <c r="E365" s="254"/>
      <c r="F365" s="253" t="s">
        <v>38</v>
      </c>
      <c r="G365" s="254"/>
      <c r="H365" s="253">
        <v>2</v>
      </c>
      <c r="I365" s="254"/>
      <c r="J365" s="111" t="str">
        <f>IF(H359=3,B361,"")</f>
        <v>MIGUEL FERREIRA DE JESUS</v>
      </c>
      <c r="K365" s="33" t="str">
        <f>IFERROR(IF(J365="","",VLOOKUP(J365,LISTAS!$F$5:$G$1004,2,0)),"0")</f>
        <v>CENTRO DE ESTUDOS JÚLIO VERNE</v>
      </c>
      <c r="L365" s="81"/>
    </row>
    <row r="366" spans="2:16" ht="18" customHeight="1" x14ac:dyDescent="0.25">
      <c r="B366" s="33" t="str">
        <f>IF(H359=3,B360,"")</f>
        <v>HENRIQUE MARQUES MONTAGNER</v>
      </c>
      <c r="C366" s="33" t="str">
        <f>IFERROR(IF(B366="","",VLOOKUP(B366,LISTAS!$F$5:$G$1004,2,0)),"0")</f>
        <v>COLEGIO PETROPOLIS</v>
      </c>
      <c r="D366" s="253">
        <v>2</v>
      </c>
      <c r="E366" s="254"/>
      <c r="F366" s="253" t="s">
        <v>38</v>
      </c>
      <c r="G366" s="254"/>
      <c r="H366" s="253">
        <v>0</v>
      </c>
      <c r="I366" s="254"/>
      <c r="J366" s="111" t="str">
        <f>IF(H359=3,B361,"")</f>
        <v>MIGUEL FERREIRA DE JESUS</v>
      </c>
      <c r="K366" s="33" t="str">
        <f>IFERROR(IF(J366="","",VLOOKUP(J366,LISTAS!$F$5:$G$1004,2,0)),"0")</f>
        <v>CENTRO DE ESTUDOS JÚLIO VERNE</v>
      </c>
      <c r="L366" s="79"/>
    </row>
    <row r="367" spans="2:16" ht="18" customHeight="1" x14ac:dyDescent="0.25">
      <c r="B367" s="33" t="str">
        <f>IF(H359=3,B359,"")</f>
        <v>Dante de Oliveira</v>
      </c>
      <c r="C367" s="33" t="str">
        <f>IFERROR(IF(B367="","",VLOOKUP(B367,LISTAS!$F$5:$G$1004,2,0)),"0")</f>
        <v>ESCOLA INTERAÇÃO</v>
      </c>
      <c r="D367" s="253">
        <v>1</v>
      </c>
      <c r="E367" s="254"/>
      <c r="F367" s="253" t="s">
        <v>38</v>
      </c>
      <c r="G367" s="254"/>
      <c r="H367" s="253">
        <v>2</v>
      </c>
      <c r="I367" s="254"/>
      <c r="J367" s="111" t="str">
        <f>IF(H359=3,B360,"")</f>
        <v>HENRIQUE MARQUES MONTAGNER</v>
      </c>
      <c r="K367" s="33" t="str">
        <f>IFERROR(IF(J367="","",VLOOKUP(J367,LISTAS!$F$5:$G$1004,2,0)),"0")</f>
        <v>COLEGIO PETROPOLIS</v>
      </c>
      <c r="L367" s="81"/>
    </row>
    <row r="370" spans="2:16" ht="30" customHeight="1" x14ac:dyDescent="0.25">
      <c r="B370" s="161" t="s">
        <v>72</v>
      </c>
      <c r="C370" s="79"/>
      <c r="D370" s="255" t="s">
        <v>42</v>
      </c>
      <c r="E370" s="256"/>
      <c r="F370" s="256"/>
      <c r="G370" s="257"/>
      <c r="H370" s="113"/>
      <c r="I370" s="255" t="s">
        <v>3</v>
      </c>
      <c r="J370" s="256"/>
      <c r="K370" s="256"/>
      <c r="L370" s="256"/>
    </row>
    <row r="371" spans="2:16" ht="18" customHeight="1" x14ac:dyDescent="0.25">
      <c r="B371" s="132" t="s">
        <v>15</v>
      </c>
      <c r="C371" s="132" t="s">
        <v>0</v>
      </c>
      <c r="D371" s="132" t="s">
        <v>43</v>
      </c>
      <c r="E371" s="132" t="s">
        <v>44</v>
      </c>
      <c r="F371" s="132" t="s">
        <v>77</v>
      </c>
      <c r="G371" s="132" t="s">
        <v>78</v>
      </c>
      <c r="H371" s="114"/>
      <c r="I371" s="132" t="s">
        <v>18</v>
      </c>
      <c r="J371" s="132" t="s">
        <v>15</v>
      </c>
      <c r="K371" s="132" t="s">
        <v>0</v>
      </c>
      <c r="L371" s="132" t="s">
        <v>45</v>
      </c>
    </row>
    <row r="372" spans="2:16" ht="18" customHeight="1" x14ac:dyDescent="0.25">
      <c r="B372" s="33" t="s">
        <v>454</v>
      </c>
      <c r="C372" s="33" t="str">
        <f>IFERROR(IF(B372="","",VLOOKUP(B372,LISTAS!$F$5:$G$1004,2,0)),"0")</f>
        <v>ABACO IPIRANGA</v>
      </c>
      <c r="D372" s="33" t="str">
        <f>IF(H372&lt;3,"",IF(H372=3,IF(D378&lt;&gt;"",IF(H378&lt;&gt;"",IF(D378&lt;&gt;H378,IF(D378&gt;H378,"V","D"),""),""),"")))</f>
        <v>D</v>
      </c>
      <c r="E372" s="33" t="str">
        <f>IF(H372&lt;3,"",IF(H372=3,IF(D380&lt;&gt;"",IF(H380&lt;&gt;"",IF(D380&lt;&gt;H380,IF(D380&gt;H380,"V","D"),""),""),"")))</f>
        <v>D</v>
      </c>
      <c r="F372" s="33" t="s">
        <v>81</v>
      </c>
      <c r="G372" s="33" t="s">
        <v>81</v>
      </c>
      <c r="H372" s="117">
        <f>COUNTA(B372:B374)</f>
        <v>3</v>
      </c>
      <c r="I372" s="33">
        <f>IF(B372&lt;&gt;"",1,"")</f>
        <v>1</v>
      </c>
      <c r="J372" s="33" t="str">
        <f>IF(I372&lt;&gt;"",P372,"")</f>
        <v>Pedro Augusto de Oliveira</v>
      </c>
      <c r="K372" s="33" t="str">
        <f>IFERROR(IF(J372="","",VLOOKUP(J372,LISTAS!$F$5:$G$1004,2,0)),"0")</f>
        <v>ESCOLA INTERAÇÃO</v>
      </c>
      <c r="L372" s="130" t="str">
        <f>IF(H372=3,"OURO",IF(H372=4,"OURO",IF(H372=5,"OURO","")))</f>
        <v>OURO</v>
      </c>
      <c r="M372" s="20">
        <f>IF(B372&lt;&gt;"",COUNTIF(D372:G372,"V")+(SUMIF(B378:B380,B372,D378:E380)/1000)+(SUMIF(J378:J380,B372,H378:I380)/1000)-(SUMIF(B378:B380,B372,H378:I380)/1000)-(SUMIF(J378:J380,B372,D378:E380)/1000)+0.003,"")</f>
        <v>-1E-3</v>
      </c>
      <c r="N372" s="20" t="str">
        <f>IF(B372="","",B372)</f>
        <v>MURILLO MOSCHELLA BERNACCI SOLANO</v>
      </c>
      <c r="O372" s="20">
        <f>IF(B372&lt;&gt;"",LARGE(M372:M374,1),"")</f>
        <v>2.0059999999999993</v>
      </c>
      <c r="P372" s="20" t="str">
        <f>VLOOKUP(O372,M372:N374,2,0)</f>
        <v>Pedro Augusto de Oliveira</v>
      </c>
    </row>
    <row r="373" spans="2:16" ht="18" customHeight="1" x14ac:dyDescent="0.25">
      <c r="B373" s="33" t="s">
        <v>637</v>
      </c>
      <c r="C373" s="33" t="str">
        <f>IFERROR(IF(B373="","",VLOOKUP(B373,LISTAS!$F$5:$G$1004,2,0)),"0")</f>
        <v>ESCOLA INTERAÇÃO</v>
      </c>
      <c r="D373" s="33" t="str">
        <f>IF(H372&lt;3,"",IF(H372=3,IF(D379&lt;&gt;"",IF(H379&lt;&gt;"",IF(D379&lt;&gt;H379,IF(D379&gt;H379,"V","D"),""),""),"")))</f>
        <v>V</v>
      </c>
      <c r="E373" s="33" t="str">
        <f>IF(H372&lt;3,"",IF(H372=3,IF(D380&lt;&gt;"",IF(H380&lt;&gt;"",IF(D380&lt;&gt;H380,IF(D380&gt;H380,"D","V"),""),""),"")))</f>
        <v>V</v>
      </c>
      <c r="F373" s="33" t="s">
        <v>81</v>
      </c>
      <c r="G373" s="33" t="s">
        <v>81</v>
      </c>
      <c r="H373" s="117"/>
      <c r="I373" s="33">
        <f>IF(B373&lt;&gt;"",2,"")</f>
        <v>2</v>
      </c>
      <c r="J373" s="33" t="str">
        <f>IF(I373&lt;&gt;"",P373,"")</f>
        <v>JOÃO PAULO GIANNOTTI BATISTUCCI</v>
      </c>
      <c r="K373" s="33" t="str">
        <f>IFERROR(IF(J373="","",VLOOKUP(J373,LISTAS!$F$5:$G$1004,2,0)),"0")</f>
        <v>COLEGIO PETROPOLIS</v>
      </c>
      <c r="L373" s="130" t="str">
        <f>IF(H372=3,"PRATA",IF(H372=4,"OURO",IF(H372=5,"OURO","")))</f>
        <v>PRATA</v>
      </c>
      <c r="M373" s="20">
        <f>IF(B373&lt;&gt;"",COUNTIF(D373:G373,"V")+(SUMIF(B378:B380,B373,D378:E380)/1000)+(SUMIF(J378:J380,B373,H378:I380)/1000)-(SUMIF(B378:B380,B373,H378:I380)/1000)-(SUMIF(J378:J380,B373,D378:E380)/1000)+0.002,"")</f>
        <v>2.0059999999999993</v>
      </c>
      <c r="N373" s="20" t="str">
        <f t="shared" ref="N373" si="25">IF(B373="","",B373)</f>
        <v>Pedro Augusto de Oliveira</v>
      </c>
      <c r="O373" s="20">
        <f>IF(B373&lt;&gt;"",LARGE(M372:M374,2),"")</f>
        <v>1.0009999999999999</v>
      </c>
      <c r="P373" s="20" t="str">
        <f>VLOOKUP(O373,M372:N374,2,0)</f>
        <v>JOÃO PAULO GIANNOTTI BATISTUCCI</v>
      </c>
    </row>
    <row r="374" spans="2:16" ht="18" customHeight="1" x14ac:dyDescent="0.25">
      <c r="B374" s="33" t="s">
        <v>423</v>
      </c>
      <c r="C374" s="33" t="str">
        <f>IFERROR(IF(B374="","",VLOOKUP(B374,LISTAS!$F$5:$G$1004,2,0)),"0")</f>
        <v>COLEGIO PETROPOLIS</v>
      </c>
      <c r="D374" s="33" t="str">
        <f>IF(H372&lt;3,"",IF(H372=3,IF(D378&lt;&gt;"",IF(H378&lt;&gt;"",IF(D378&lt;&gt;H378,IF(D378&gt;H378,"D","V"),""),""),"")))</f>
        <v>V</v>
      </c>
      <c r="E374" s="33" t="str">
        <f>IF(H372&lt;3,"",IF(H372=3,IF(D379&lt;&gt;"",IF(H379&lt;&gt;"",IF(D379&lt;&gt;H379,IF(D379&gt;H379,"D","V"),""),""),"")))</f>
        <v>D</v>
      </c>
      <c r="F374" s="33" t="s">
        <v>81</v>
      </c>
      <c r="G374" s="33" t="s">
        <v>81</v>
      </c>
      <c r="H374" s="117"/>
      <c r="I374" s="33">
        <f>IF(B374&lt;&gt;"",3,"")</f>
        <v>3</v>
      </c>
      <c r="J374" s="33" t="str">
        <f>IF(I374&lt;&gt;"",P374,"")</f>
        <v>MURILLO MOSCHELLA BERNACCI SOLANO</v>
      </c>
      <c r="K374" s="33" t="str">
        <f>IFERROR(IF(J374="","",VLOOKUP(J374,LISTAS!$F$5:$G$1004,2,0)),"0")</f>
        <v>ABACO IPIRANGA</v>
      </c>
      <c r="L374" s="130" t="str">
        <f>IF(H372=3,"BRONZE",IF(H372=4,"PRATA",IF(H372=5,"OURO","")))</f>
        <v>BRONZE</v>
      </c>
      <c r="M374" s="20">
        <f>IF(B374&lt;&gt;"",COUNTIF(D374:G374,"V")+(SUMIF(B378:B380,B374,D378:E380)/1000)+(SUMIF(J378:J380,B374,H378:I380)/1000)-(SUMIF(B378:B380,B374,H378:I380)/1000)-(SUMIF(J378:J380,B374,D378:E380)/1000)+0.001,"")</f>
        <v>1.0009999999999999</v>
      </c>
      <c r="N374" s="20" t="str">
        <f>IF(B374="","",B374)</f>
        <v>JOÃO PAULO GIANNOTTI BATISTUCCI</v>
      </c>
      <c r="O374" s="20">
        <f>IF(B374&lt;&gt;"",LARGE(M372:M374,3),"")</f>
        <v>-1E-3</v>
      </c>
      <c r="P374" s="20" t="str">
        <f>VLOOKUP(O374,M372:N374,2,0)</f>
        <v>MURILLO MOSCHELLA BERNACCI SOLANO</v>
      </c>
    </row>
    <row r="375" spans="2:16" ht="18" customHeight="1" x14ac:dyDescent="0.25">
      <c r="B375" s="79"/>
      <c r="C375" s="79"/>
      <c r="D375" s="79"/>
      <c r="E375" s="79"/>
      <c r="F375" s="79"/>
      <c r="G375" s="79"/>
      <c r="I375" s="80"/>
      <c r="J375" s="79"/>
      <c r="K375" s="81"/>
      <c r="L375" s="81"/>
    </row>
    <row r="376" spans="2:16" ht="23.25" customHeight="1" x14ac:dyDescent="0.25">
      <c r="B376" s="82" t="s">
        <v>40</v>
      </c>
      <c r="C376" s="79"/>
      <c r="D376" s="79"/>
      <c r="E376" s="79"/>
      <c r="F376" s="79"/>
      <c r="G376" s="79"/>
      <c r="H376" s="79"/>
      <c r="I376" s="79"/>
      <c r="J376" s="79"/>
      <c r="K376" s="79"/>
      <c r="L376" s="79"/>
    </row>
    <row r="377" spans="2:16" ht="18" customHeight="1" x14ac:dyDescent="0.25">
      <c r="B377" s="132" t="s">
        <v>15</v>
      </c>
      <c r="C377" s="132" t="s">
        <v>0</v>
      </c>
      <c r="D377" s="258" t="s">
        <v>41</v>
      </c>
      <c r="E377" s="259"/>
      <c r="F377" s="259"/>
      <c r="G377" s="259"/>
      <c r="H377" s="259"/>
      <c r="I377" s="260"/>
      <c r="J377" s="132" t="s">
        <v>15</v>
      </c>
      <c r="K377" s="132" t="s">
        <v>0</v>
      </c>
      <c r="L377" s="79"/>
    </row>
    <row r="378" spans="2:16" ht="18" customHeight="1" x14ac:dyDescent="0.25">
      <c r="B378" s="33" t="str">
        <f>IF(H372=3,B372,"")</f>
        <v>MURILLO MOSCHELLA BERNACCI SOLANO</v>
      </c>
      <c r="C378" s="33" t="str">
        <f>IFERROR(IF(B378="","",VLOOKUP(B378,LISTAS!$F$5:$G$1004,2,0)),"0")</f>
        <v>ABACO IPIRANGA</v>
      </c>
      <c r="D378" s="253">
        <v>0</v>
      </c>
      <c r="E378" s="254"/>
      <c r="F378" s="253" t="s">
        <v>38</v>
      </c>
      <c r="G378" s="254"/>
      <c r="H378" s="253">
        <v>2</v>
      </c>
      <c r="I378" s="254"/>
      <c r="J378" s="111" t="str">
        <f>IF(H372=3,B374,"")</f>
        <v>JOÃO PAULO GIANNOTTI BATISTUCCI</v>
      </c>
      <c r="K378" s="33" t="str">
        <f>IFERROR(IF(J378="","",VLOOKUP(J378,LISTAS!$F$5:$G$1004,2,0)),"0")</f>
        <v>COLEGIO PETROPOLIS</v>
      </c>
      <c r="L378" s="81"/>
    </row>
    <row r="379" spans="2:16" ht="18" customHeight="1" x14ac:dyDescent="0.25">
      <c r="B379" s="33" t="str">
        <f>IF(H372=3,B373,"")</f>
        <v>Pedro Augusto de Oliveira</v>
      </c>
      <c r="C379" s="33" t="str">
        <f>IFERROR(IF(B379="","",VLOOKUP(B379,LISTAS!$F$5:$G$1004,2,0)),"0")</f>
        <v>ESCOLA INTERAÇÃO</v>
      </c>
      <c r="D379" s="253">
        <v>2</v>
      </c>
      <c r="E379" s="254"/>
      <c r="F379" s="253" t="s">
        <v>38</v>
      </c>
      <c r="G379" s="254"/>
      <c r="H379" s="253">
        <v>0</v>
      </c>
      <c r="I379" s="254"/>
      <c r="J379" s="111" t="str">
        <f>IF(H372=3,B374,"")</f>
        <v>JOÃO PAULO GIANNOTTI BATISTUCCI</v>
      </c>
      <c r="K379" s="33" t="str">
        <f>IFERROR(IF(J379="","",VLOOKUP(J379,LISTAS!$F$5:$G$1004,2,0)),"0")</f>
        <v>COLEGIO PETROPOLIS</v>
      </c>
      <c r="L379" s="79"/>
    </row>
    <row r="380" spans="2:16" ht="18" customHeight="1" x14ac:dyDescent="0.25">
      <c r="B380" s="33" t="str">
        <f>IF(H372=3,B372,"")</f>
        <v>MURILLO MOSCHELLA BERNACCI SOLANO</v>
      </c>
      <c r="C380" s="33" t="str">
        <f>IFERROR(IF(B380="","",VLOOKUP(B380,LISTAS!$F$5:$G$1004,2,0)),"0")</f>
        <v>ABACO IPIRANGA</v>
      </c>
      <c r="D380" s="253">
        <v>0</v>
      </c>
      <c r="E380" s="254"/>
      <c r="F380" s="253" t="s">
        <v>38</v>
      </c>
      <c r="G380" s="254"/>
      <c r="H380" s="253">
        <v>2</v>
      </c>
      <c r="I380" s="254"/>
      <c r="J380" s="111" t="str">
        <f>IF(H372=3,B373,"")</f>
        <v>Pedro Augusto de Oliveira</v>
      </c>
      <c r="K380" s="33" t="str">
        <f>IFERROR(IF(J380="","",VLOOKUP(J380,LISTAS!$F$5:$G$1004,2,0)),"0")</f>
        <v>ESCOLA INTERAÇÃO</v>
      </c>
      <c r="L380" s="81"/>
    </row>
    <row r="383" spans="2:16" ht="30" customHeight="1" x14ac:dyDescent="0.25">
      <c r="B383" s="161" t="s">
        <v>73</v>
      </c>
      <c r="C383" s="79"/>
      <c r="D383" s="255" t="s">
        <v>42</v>
      </c>
      <c r="E383" s="256"/>
      <c r="F383" s="256"/>
      <c r="G383" s="257"/>
      <c r="H383" s="113"/>
      <c r="I383" s="255" t="s">
        <v>3</v>
      </c>
      <c r="J383" s="256"/>
      <c r="K383" s="256"/>
      <c r="L383" s="256"/>
    </row>
    <row r="384" spans="2:16" ht="18" customHeight="1" x14ac:dyDescent="0.25">
      <c r="B384" s="132" t="s">
        <v>15</v>
      </c>
      <c r="C384" s="132" t="s">
        <v>0</v>
      </c>
      <c r="D384" s="132" t="s">
        <v>43</v>
      </c>
      <c r="E384" s="132" t="s">
        <v>44</v>
      </c>
      <c r="F384" s="132" t="s">
        <v>77</v>
      </c>
      <c r="G384" s="132" t="s">
        <v>78</v>
      </c>
      <c r="H384" s="114"/>
      <c r="I384" s="132" t="s">
        <v>18</v>
      </c>
      <c r="J384" s="132" t="s">
        <v>15</v>
      </c>
      <c r="K384" s="132" t="s">
        <v>0</v>
      </c>
      <c r="L384" s="132" t="s">
        <v>45</v>
      </c>
    </row>
    <row r="385" spans="2:16" ht="18" customHeight="1" x14ac:dyDescent="0.25">
      <c r="B385" s="33" t="s">
        <v>434</v>
      </c>
      <c r="C385" s="33" t="str">
        <f>IFERROR(IF(B385="","",VLOOKUP(B385,LISTAS!$F$5:$G$1004,2,0)),"0")</f>
        <v>COLEGIO PETROPOLIS</v>
      </c>
      <c r="D385" s="33" t="str">
        <f>IF(H385&lt;3,"",IF(H385=3,IF(D391&lt;&gt;"",IF(H391&lt;&gt;"",IF(D391&lt;&gt;H391,IF(D391&gt;H391,"V","D"),""),""),"")))</f>
        <v>V</v>
      </c>
      <c r="E385" s="33" t="str">
        <f>IF(H385&lt;3,"",IF(H385=3,IF(D393&lt;&gt;"",IF(H393&lt;&gt;"",IF(D393&lt;&gt;H393,IF(D393&gt;H393,"V","D"),""),""),"")))</f>
        <v>D</v>
      </c>
      <c r="F385" s="33" t="s">
        <v>81</v>
      </c>
      <c r="G385" s="33" t="s">
        <v>81</v>
      </c>
      <c r="H385" s="117">
        <f>COUNTA(B385:B387)</f>
        <v>3</v>
      </c>
      <c r="I385" s="33">
        <f>IF(B385&lt;&gt;"",1,"")</f>
        <v>1</v>
      </c>
      <c r="J385" s="33" t="str">
        <f>IF(I385&lt;&gt;"",P385,"")</f>
        <v>PEDRO LIMA DE MELO</v>
      </c>
      <c r="K385" s="33" t="str">
        <f>IFERROR(IF(J385="","",VLOOKUP(J385,LISTAS!$F$5:$G$1004,2,0)),"0")</f>
        <v>CENTRO DE ESTUDOS JÚLIO VERNE</v>
      </c>
      <c r="L385" s="130" t="str">
        <f>IF(H385=3,"OURO",IF(H385=4,"OURO",IF(H385=5,"OURO","")))</f>
        <v>OURO</v>
      </c>
      <c r="M385" s="20">
        <f>IF(B385&lt;&gt;"",COUNTIF(D385:G385,"V")+(SUMIF(B391:B393,B385,D391:E393)/1000)+(SUMIF(J391:J393,B385,H391:I393)/1000)-(SUMIF(B391:B393,B385,H391:I393)/1000)-(SUMIF(J391:J393,B385,D391:E393)/1000)+0.003,"")</f>
        <v>1.0029999999999999</v>
      </c>
      <c r="N385" s="20" t="str">
        <f>IF(B385="","",B385)</f>
        <v>LEONARDO HERNANDES DE ASSIS</v>
      </c>
      <c r="O385" s="20">
        <f>IF(B385&lt;&gt;"",LARGE(M385:M387,1),"")</f>
        <v>2.0059999999999993</v>
      </c>
      <c r="P385" s="20" t="str">
        <f>VLOOKUP(O385,M385:N387,2,0)</f>
        <v>PEDRO LIMA DE MELO</v>
      </c>
    </row>
    <row r="386" spans="2:16" ht="18" customHeight="1" x14ac:dyDescent="0.25">
      <c r="B386" s="33" t="s">
        <v>463</v>
      </c>
      <c r="C386" s="33" t="str">
        <f>IFERROR(IF(B386="","",VLOOKUP(B386,LISTAS!$F$5:$G$1004,2,0)),"0")</f>
        <v>CENTRO DE ESTUDOS JÚLIO VERNE</v>
      </c>
      <c r="D386" s="33" t="str">
        <f>IF(H385&lt;3,"",IF(H385=3,IF(D392&lt;&gt;"",IF(H392&lt;&gt;"",IF(D392&lt;&gt;H392,IF(D392&gt;H392,"V","D"),""),""),"")))</f>
        <v>V</v>
      </c>
      <c r="E386" s="33" t="str">
        <f>IF(H385&lt;3,"",IF(H385=3,IF(D393&lt;&gt;"",IF(H393&lt;&gt;"",IF(D393&lt;&gt;H393,IF(D393&gt;H393,"D","V"),""),""),"")))</f>
        <v>V</v>
      </c>
      <c r="F386" s="33" t="s">
        <v>81</v>
      </c>
      <c r="G386" s="33" t="s">
        <v>81</v>
      </c>
      <c r="H386" s="117"/>
      <c r="I386" s="33">
        <f>IF(B386&lt;&gt;"",2,"")</f>
        <v>2</v>
      </c>
      <c r="J386" s="33" t="str">
        <f>IF(I386&lt;&gt;"",P386,"")</f>
        <v>LEONARDO HERNANDES DE ASSIS</v>
      </c>
      <c r="K386" s="33" t="str">
        <f>IFERROR(IF(J386="","",VLOOKUP(J386,LISTAS!$F$5:$G$1004,2,0)),"0")</f>
        <v>COLEGIO PETROPOLIS</v>
      </c>
      <c r="L386" s="130" t="str">
        <f>IF(H385=3,"PRATA",IF(H385=4,"OURO",IF(H385=5,"OURO","")))</f>
        <v>PRATA</v>
      </c>
      <c r="M386" s="20">
        <f>IF(B386&lt;&gt;"",COUNTIF(D386:G386,"V")+(SUMIF(B391:B393,B386,D391:E393)/1000)+(SUMIF(J391:J393,B386,H391:I393)/1000)-(SUMIF(B391:B393,B386,H391:I393)/1000)-(SUMIF(J391:J393,B386,D391:E393)/1000)+0.002,"")</f>
        <v>2.0059999999999993</v>
      </c>
      <c r="N386" s="20" t="str">
        <f t="shared" ref="N386" si="26">IF(B386="","",B386)</f>
        <v>PEDRO LIMA DE MELO</v>
      </c>
      <c r="O386" s="20">
        <f>IF(B386&lt;&gt;"",LARGE(M385:M387,2),"")</f>
        <v>1.0029999999999999</v>
      </c>
      <c r="P386" s="20" t="str">
        <f>VLOOKUP(O386,M385:N387,2,0)</f>
        <v>LEONARDO HERNANDES DE ASSIS</v>
      </c>
    </row>
    <row r="387" spans="2:16" ht="18" customHeight="1" x14ac:dyDescent="0.25">
      <c r="B387" s="33" t="s">
        <v>636</v>
      </c>
      <c r="C387" s="33" t="str">
        <f>IFERROR(IF(B387="","",VLOOKUP(B387,LISTAS!$F$5:$G$1004,2,0)),"0")</f>
        <v>ESCOLA INTERAÇÃO</v>
      </c>
      <c r="D387" s="33" t="str">
        <f>IF(H385&lt;3,"",IF(H385=3,IF(D391&lt;&gt;"",IF(H391&lt;&gt;"",IF(D391&lt;&gt;H391,IF(D391&gt;H391,"D","V"),""),""),"")))</f>
        <v>D</v>
      </c>
      <c r="E387" s="33" t="str">
        <f>IF(H385&lt;3,"",IF(H385=3,IF(D392&lt;&gt;"",IF(H392&lt;&gt;"",IF(D392&lt;&gt;H392,IF(D392&gt;H392,"D","V"),""),""),"")))</f>
        <v>D</v>
      </c>
      <c r="F387" s="33" t="s">
        <v>81</v>
      </c>
      <c r="G387" s="33" t="s">
        <v>81</v>
      </c>
      <c r="H387" s="117"/>
      <c r="I387" s="33">
        <f>IF(B387&lt;&gt;"",3,"")</f>
        <v>3</v>
      </c>
      <c r="J387" s="33" t="str">
        <f>IF(I387&lt;&gt;"",P387,"")</f>
        <v>Pedro Araujo Rodrigues</v>
      </c>
      <c r="K387" s="33" t="str">
        <f>IFERROR(IF(J387="","",VLOOKUP(J387,LISTAS!$F$5:$G$1004,2,0)),"0")</f>
        <v>ESCOLA INTERAÇÃO</v>
      </c>
      <c r="L387" s="130" t="str">
        <f>IF(H385=3,"BRONZE",IF(H385=4,"PRATA",IF(H385=5,"OURO","")))</f>
        <v>BRONZE</v>
      </c>
      <c r="M387" s="20">
        <f>IF(B387&lt;&gt;"",COUNTIF(D387:G387,"V")+(SUMIF(B391:B393,B387,D391:E393)/1000)+(SUMIF(J391:J393,B387,H391:I393)/1000)-(SUMIF(B391:B393,B387,H391:I393)/1000)-(SUMIF(J391:J393,B387,D391:E393)/1000)+0.001,"")</f>
        <v>-3.0000000000000001E-3</v>
      </c>
      <c r="N387" s="20" t="str">
        <f>IF(B387="","",B387)</f>
        <v>Pedro Araujo Rodrigues</v>
      </c>
      <c r="O387" s="20">
        <f>IF(B387&lt;&gt;"",LARGE(M385:M387,3),"")</f>
        <v>-3.0000000000000001E-3</v>
      </c>
      <c r="P387" s="20" t="str">
        <f>VLOOKUP(O387,M385:N387,2,0)</f>
        <v>Pedro Araujo Rodrigues</v>
      </c>
    </row>
    <row r="388" spans="2:16" ht="18" customHeight="1" x14ac:dyDescent="0.25">
      <c r="B388" s="79"/>
      <c r="C388" s="79"/>
      <c r="D388" s="79"/>
      <c r="E388" s="79"/>
      <c r="F388" s="79"/>
      <c r="G388" s="79"/>
      <c r="I388" s="80"/>
      <c r="J388" s="79"/>
      <c r="K388" s="81"/>
      <c r="L388" s="81"/>
    </row>
    <row r="389" spans="2:16" ht="23.25" customHeight="1" x14ac:dyDescent="0.25">
      <c r="B389" s="82" t="s">
        <v>40</v>
      </c>
      <c r="C389" s="79"/>
      <c r="D389" s="79"/>
      <c r="E389" s="79"/>
      <c r="F389" s="79"/>
      <c r="G389" s="79"/>
      <c r="H389" s="79"/>
      <c r="I389" s="79"/>
      <c r="J389" s="79"/>
      <c r="K389" s="79"/>
      <c r="L389" s="79"/>
    </row>
    <row r="390" spans="2:16" ht="18" customHeight="1" x14ac:dyDescent="0.25">
      <c r="B390" s="132" t="s">
        <v>15</v>
      </c>
      <c r="C390" s="132" t="s">
        <v>0</v>
      </c>
      <c r="D390" s="258" t="s">
        <v>41</v>
      </c>
      <c r="E390" s="259"/>
      <c r="F390" s="259"/>
      <c r="G390" s="259"/>
      <c r="H390" s="259"/>
      <c r="I390" s="260"/>
      <c r="J390" s="132" t="s">
        <v>15</v>
      </c>
      <c r="K390" s="132" t="s">
        <v>0</v>
      </c>
      <c r="L390" s="79"/>
    </row>
    <row r="391" spans="2:16" ht="18" customHeight="1" x14ac:dyDescent="0.25">
      <c r="B391" s="33" t="str">
        <f>IF(H385=3,B385,"")</f>
        <v>LEONARDO HERNANDES DE ASSIS</v>
      </c>
      <c r="C391" s="33" t="str">
        <f>IFERROR(IF(B391="","",VLOOKUP(B391,LISTAS!$F$5:$G$1004,2,0)),"0")</f>
        <v>COLEGIO PETROPOLIS</v>
      </c>
      <c r="D391" s="253">
        <v>2</v>
      </c>
      <c r="E391" s="254"/>
      <c r="F391" s="253" t="s">
        <v>38</v>
      </c>
      <c r="G391" s="254"/>
      <c r="H391" s="253">
        <v>0</v>
      </c>
      <c r="I391" s="254"/>
      <c r="J391" s="111" t="str">
        <f>IF(H385=3,B387,"")</f>
        <v>Pedro Araujo Rodrigues</v>
      </c>
      <c r="K391" s="33" t="str">
        <f>IFERROR(IF(J391="","",VLOOKUP(J391,LISTAS!$F$5:$G$1004,2,0)),"0")</f>
        <v>ESCOLA INTERAÇÃO</v>
      </c>
      <c r="L391" s="81"/>
    </row>
    <row r="392" spans="2:16" ht="18" customHeight="1" x14ac:dyDescent="0.25">
      <c r="B392" s="33" t="str">
        <f>IF(H385=3,B386,"")</f>
        <v>PEDRO LIMA DE MELO</v>
      </c>
      <c r="C392" s="33" t="str">
        <f>IFERROR(IF(B392="","",VLOOKUP(B392,LISTAS!$F$5:$G$1004,2,0)),"0")</f>
        <v>CENTRO DE ESTUDOS JÚLIO VERNE</v>
      </c>
      <c r="D392" s="253">
        <v>2</v>
      </c>
      <c r="E392" s="254"/>
      <c r="F392" s="253" t="s">
        <v>38</v>
      </c>
      <c r="G392" s="254"/>
      <c r="H392" s="253">
        <v>0</v>
      </c>
      <c r="I392" s="254"/>
      <c r="J392" s="111" t="str">
        <f>IF(H385=3,B387,"")</f>
        <v>Pedro Araujo Rodrigues</v>
      </c>
      <c r="K392" s="33" t="str">
        <f>IFERROR(IF(J392="","",VLOOKUP(J392,LISTAS!$F$5:$G$1004,2,0)),"0")</f>
        <v>ESCOLA INTERAÇÃO</v>
      </c>
      <c r="L392" s="79"/>
    </row>
    <row r="393" spans="2:16" ht="18" customHeight="1" x14ac:dyDescent="0.25">
      <c r="B393" s="33" t="str">
        <f>IF(H385=3,B385,"")</f>
        <v>LEONARDO HERNANDES DE ASSIS</v>
      </c>
      <c r="C393" s="33" t="str">
        <f>IFERROR(IF(B393="","",VLOOKUP(B393,LISTAS!$F$5:$G$1004,2,0)),"0")</f>
        <v>COLEGIO PETROPOLIS</v>
      </c>
      <c r="D393" s="253">
        <v>0</v>
      </c>
      <c r="E393" s="254"/>
      <c r="F393" s="253" t="s">
        <v>38</v>
      </c>
      <c r="G393" s="254"/>
      <c r="H393" s="253">
        <v>2</v>
      </c>
      <c r="I393" s="254"/>
      <c r="J393" s="111" t="str">
        <f>IF(H385=3,B386,"")</f>
        <v>PEDRO LIMA DE MELO</v>
      </c>
      <c r="K393" s="33" t="str">
        <f>IFERROR(IF(J393="","",VLOOKUP(J393,LISTAS!$F$5:$G$1004,2,0)),"0")</f>
        <v>CENTRO DE ESTUDOS JÚLIO VERNE</v>
      </c>
      <c r="L393" s="81"/>
    </row>
    <row r="396" spans="2:16" ht="30" customHeight="1" x14ac:dyDescent="0.25">
      <c r="B396" s="161" t="s">
        <v>74</v>
      </c>
      <c r="C396" s="79"/>
      <c r="D396" s="255" t="s">
        <v>42</v>
      </c>
      <c r="E396" s="256"/>
      <c r="F396" s="256"/>
      <c r="G396" s="257"/>
      <c r="H396" s="113"/>
      <c r="I396" s="255" t="s">
        <v>3</v>
      </c>
      <c r="J396" s="256"/>
      <c r="K396" s="256"/>
      <c r="L396" s="256"/>
    </row>
    <row r="397" spans="2:16" ht="18" customHeight="1" x14ac:dyDescent="0.25">
      <c r="B397" s="132" t="s">
        <v>15</v>
      </c>
      <c r="C397" s="132" t="s">
        <v>0</v>
      </c>
      <c r="D397" s="132" t="s">
        <v>43</v>
      </c>
      <c r="E397" s="132" t="s">
        <v>44</v>
      </c>
      <c r="F397" s="132" t="s">
        <v>77</v>
      </c>
      <c r="G397" s="132" t="s">
        <v>78</v>
      </c>
      <c r="H397" s="114"/>
      <c r="I397" s="132" t="s">
        <v>18</v>
      </c>
      <c r="J397" s="132" t="s">
        <v>15</v>
      </c>
      <c r="K397" s="132" t="s">
        <v>0</v>
      </c>
      <c r="L397" s="132" t="s">
        <v>45</v>
      </c>
    </row>
    <row r="398" spans="2:16" ht="18" customHeight="1" x14ac:dyDescent="0.25">
      <c r="B398" s="33" t="s">
        <v>461</v>
      </c>
      <c r="C398" s="33" t="str">
        <f>IFERROR(IF(B398="","",VLOOKUP(B398,LISTAS!$F$5:$G$1004,2,0)),"0")</f>
        <v>ABACO IPIRANGA</v>
      </c>
      <c r="D398" s="33" t="str">
        <f>IF(H398&lt;3,"",IF(H398=3,IF(D404&lt;&gt;"",IF(H404&lt;&gt;"",IF(D404&lt;&gt;H404,IF(D404&gt;H404,"V","D"),""),""),"")))</f>
        <v>D</v>
      </c>
      <c r="E398" s="33" t="str">
        <f>IF(H398&lt;3,"",IF(H398=3,IF(D406&lt;&gt;"",IF(H406&lt;&gt;"",IF(D406&lt;&gt;H406,IF(D406&gt;H406,"V","D"),""),""),"")))</f>
        <v>D</v>
      </c>
      <c r="F398" s="33" t="s">
        <v>81</v>
      </c>
      <c r="G398" s="33" t="s">
        <v>81</v>
      </c>
      <c r="H398" s="117">
        <f>COUNTA(B398:B400)</f>
        <v>3</v>
      </c>
      <c r="I398" s="33">
        <f>IF(B398&lt;&gt;"",1,"")</f>
        <v>1</v>
      </c>
      <c r="J398" s="33" t="str">
        <f>IF(I398&lt;&gt;"",P398,"")</f>
        <v>RAFAEL DE CARVALHO SOARES</v>
      </c>
      <c r="K398" s="33" t="str">
        <f>IFERROR(IF(J398="","",VLOOKUP(J398,LISTAS!$F$5:$G$1004,2,0)),"0")</f>
        <v>CENTRO DE ESTUDOS JÚLIO VERNE</v>
      </c>
      <c r="L398" s="130" t="str">
        <f>IF(H398=3,"OURO",IF(H398=4,"OURO",IF(H398=5,"OURO","")))</f>
        <v>OURO</v>
      </c>
      <c r="M398" s="20">
        <f>IF(B398&lt;&gt;"",COUNTIF(D398:G398,"V")+(SUMIF(B404:B406,B398,D404:E406)/1000)+(SUMIF(J404:J406,B398,H404:I406)/1000)-(SUMIF(B404:B406,B398,H404:I406)/1000)-(SUMIF(J404:J406,B398,D404:E406)/1000)+0.003,"")</f>
        <v>-1E-3</v>
      </c>
      <c r="N398" s="20" t="str">
        <f>IF(B398="","",B398)</f>
        <v>PEDRO LAFANI RODRIGUES MOSCHELLA CARMONA</v>
      </c>
      <c r="O398" s="20">
        <f>IF(B398&lt;&gt;"",LARGE(M398:M400,1),"")</f>
        <v>2.0059999999999993</v>
      </c>
      <c r="P398" s="20" t="str">
        <f>VLOOKUP(O398,M398:N400,2,0)</f>
        <v>RAFAEL DE CARVALHO SOARES</v>
      </c>
    </row>
    <row r="399" spans="2:16" ht="18" customHeight="1" x14ac:dyDescent="0.25">
      <c r="B399" s="33" t="s">
        <v>466</v>
      </c>
      <c r="C399" s="33" t="str">
        <f>IFERROR(IF(B399="","",VLOOKUP(B399,LISTAS!$F$5:$G$1004,2,0)),"0")</f>
        <v>CENTRO DE ESTUDOS JÚLIO VERNE</v>
      </c>
      <c r="D399" s="33" t="str">
        <f>IF(H398&lt;3,"",IF(H398=3,IF(D405&lt;&gt;"",IF(H405&lt;&gt;"",IF(D405&lt;&gt;H405,IF(D405&gt;H405,"V","D"),""),""),"")))</f>
        <v>V</v>
      </c>
      <c r="E399" s="33" t="str">
        <f>IF(H398&lt;3,"",IF(H398=3,IF(D406&lt;&gt;"",IF(H406&lt;&gt;"",IF(D406&lt;&gt;H406,IF(D406&gt;H406,"D","V"),""),""),"")))</f>
        <v>V</v>
      </c>
      <c r="F399" s="33" t="s">
        <v>81</v>
      </c>
      <c r="G399" s="33" t="s">
        <v>81</v>
      </c>
      <c r="H399" s="117"/>
      <c r="I399" s="33">
        <f>IF(B399&lt;&gt;"",2,"")</f>
        <v>2</v>
      </c>
      <c r="J399" s="33" t="str">
        <f>IF(I399&lt;&gt;"",P399,"")</f>
        <v>ENZO CASANOVA</v>
      </c>
      <c r="K399" s="33" t="str">
        <f>IFERROR(IF(J399="","",VLOOKUP(J399,LISTAS!$F$5:$G$1004,2,0)),"0")</f>
        <v>ESCOLA STAGIUM</v>
      </c>
      <c r="L399" s="130" t="str">
        <f>IF(H398=3,"PRATA",IF(H398=4,"OURO",IF(H398=5,"OURO","")))</f>
        <v>PRATA</v>
      </c>
      <c r="M399" s="20">
        <f>IF(B399&lt;&gt;"",COUNTIF(D399:G399,"V")+(SUMIF(B404:B406,B399,D404:E406)/1000)+(SUMIF(J404:J406,B399,H404:I406)/1000)-(SUMIF(B404:B406,B399,H404:I406)/1000)-(SUMIF(J404:J406,B399,D404:E406)/1000)+0.002,"")</f>
        <v>2.0059999999999993</v>
      </c>
      <c r="N399" s="20" t="str">
        <f t="shared" ref="N399" si="27">IF(B399="","",B399)</f>
        <v>RAFAEL DE CARVALHO SOARES</v>
      </c>
      <c r="O399" s="20">
        <f>IF(B399&lt;&gt;"",LARGE(M398:M400,2),"")</f>
        <v>1.0009999999999999</v>
      </c>
      <c r="P399" s="20" t="str">
        <f>VLOOKUP(O399,M398:N400,2,0)</f>
        <v>ENZO CASANOVA</v>
      </c>
    </row>
    <row r="400" spans="2:16" ht="18" customHeight="1" x14ac:dyDescent="0.25">
      <c r="B400" s="39" t="s">
        <v>677</v>
      </c>
      <c r="C400" s="33" t="str">
        <f>IFERROR(IF(B400="","",VLOOKUP(B400,LISTAS!$F$5:$G$1004,2,0)),"0")</f>
        <v>ESCOLA STAGIUM</v>
      </c>
      <c r="D400" s="33" t="str">
        <f>IF(H398&lt;3,"",IF(H398=3,IF(D404&lt;&gt;"",IF(H404&lt;&gt;"",IF(D404&lt;&gt;H404,IF(D404&gt;H404,"D","V"),""),""),"")))</f>
        <v>V</v>
      </c>
      <c r="E400" s="33" t="str">
        <f>IF(H398&lt;3,"",IF(H398=3,IF(D405&lt;&gt;"",IF(H405&lt;&gt;"",IF(D405&lt;&gt;H405,IF(D405&gt;H405,"D","V"),""),""),"")))</f>
        <v>D</v>
      </c>
      <c r="F400" s="33" t="s">
        <v>81</v>
      </c>
      <c r="G400" s="33" t="s">
        <v>81</v>
      </c>
      <c r="H400" s="117"/>
      <c r="I400" s="33">
        <f>IF(B400&lt;&gt;"",3,"")</f>
        <v>3</v>
      </c>
      <c r="J400" s="33" t="str">
        <f>IF(I400&lt;&gt;"",P400,"")</f>
        <v>PEDRO LAFANI RODRIGUES MOSCHELLA CARMONA</v>
      </c>
      <c r="K400" s="33" t="str">
        <f>IFERROR(IF(J400="","",VLOOKUP(J400,LISTAS!$F$5:$G$1004,2,0)),"0")</f>
        <v>ABACO IPIRANGA</v>
      </c>
      <c r="L400" s="130" t="str">
        <f>IF(H398=3,"BRONZE",IF(H398=4,"PRATA",IF(H398=5,"OURO","")))</f>
        <v>BRONZE</v>
      </c>
      <c r="M400" s="20">
        <f>IF(B400&lt;&gt;"",COUNTIF(D400:G400,"V")+(SUMIF(B404:B406,B400,D404:E406)/1000)+(SUMIF(J404:J406,B400,H404:I406)/1000)-(SUMIF(B404:B406,B400,H404:I406)/1000)-(SUMIF(J404:J406,B400,D404:E406)/1000)+0.001,"")</f>
        <v>1.0009999999999999</v>
      </c>
      <c r="N400" s="20" t="str">
        <f>IF(B400="","",B400)</f>
        <v>ENZO CASANOVA</v>
      </c>
      <c r="O400" s="20">
        <f>IF(B400&lt;&gt;"",LARGE(M398:M400,3),"")</f>
        <v>-1E-3</v>
      </c>
      <c r="P400" s="20" t="str">
        <f>VLOOKUP(O400,M398:N400,2,0)</f>
        <v>PEDRO LAFANI RODRIGUES MOSCHELLA CARMONA</v>
      </c>
    </row>
    <row r="401" spans="2:16" ht="18" customHeight="1" x14ac:dyDescent="0.25">
      <c r="B401" s="79"/>
      <c r="C401" s="79"/>
      <c r="D401" s="79"/>
      <c r="E401" s="79"/>
      <c r="F401" s="79"/>
      <c r="G401" s="79"/>
      <c r="I401" s="80"/>
      <c r="J401" s="79"/>
      <c r="K401" s="81"/>
      <c r="L401" s="81"/>
    </row>
    <row r="402" spans="2:16" ht="23.25" customHeight="1" x14ac:dyDescent="0.25">
      <c r="B402" s="82" t="s">
        <v>40</v>
      </c>
      <c r="C402" s="79"/>
      <c r="D402" s="79"/>
      <c r="E402" s="79"/>
      <c r="F402" s="79"/>
      <c r="G402" s="79"/>
      <c r="H402" s="79"/>
      <c r="I402" s="79"/>
      <c r="J402" s="79"/>
      <c r="K402" s="79"/>
      <c r="L402" s="79"/>
    </row>
    <row r="403" spans="2:16" ht="18" customHeight="1" x14ac:dyDescent="0.25">
      <c r="B403" s="132" t="s">
        <v>15</v>
      </c>
      <c r="C403" s="132" t="s">
        <v>0</v>
      </c>
      <c r="D403" s="258" t="s">
        <v>41</v>
      </c>
      <c r="E403" s="259"/>
      <c r="F403" s="259"/>
      <c r="G403" s="259"/>
      <c r="H403" s="259"/>
      <c r="I403" s="260"/>
      <c r="J403" s="132" t="s">
        <v>15</v>
      </c>
      <c r="K403" s="132" t="s">
        <v>0</v>
      </c>
      <c r="L403" s="79"/>
    </row>
    <row r="404" spans="2:16" ht="18" customHeight="1" x14ac:dyDescent="0.25">
      <c r="B404" s="33" t="str">
        <f>IF(H398=3,B398,"")</f>
        <v>PEDRO LAFANI RODRIGUES MOSCHELLA CARMONA</v>
      </c>
      <c r="C404" s="33" t="str">
        <f>IFERROR(IF(B404="","",VLOOKUP(B404,LISTAS!$F$5:$G$1004,2,0)),"0")</f>
        <v>ABACO IPIRANGA</v>
      </c>
      <c r="D404" s="253">
        <v>0</v>
      </c>
      <c r="E404" s="254"/>
      <c r="F404" s="253" t="s">
        <v>38</v>
      </c>
      <c r="G404" s="254"/>
      <c r="H404" s="253">
        <v>2</v>
      </c>
      <c r="I404" s="254"/>
      <c r="J404" s="111" t="str">
        <f>IF(H398=3,B400,"")</f>
        <v>ENZO CASANOVA</v>
      </c>
      <c r="K404" s="33" t="str">
        <f>IFERROR(IF(J404="","",VLOOKUP(J404,LISTAS!$F$5:$G$1004,2,0)),"0")</f>
        <v>ESCOLA STAGIUM</v>
      </c>
      <c r="L404" s="81"/>
    </row>
    <row r="405" spans="2:16" ht="18" customHeight="1" x14ac:dyDescent="0.25">
      <c r="B405" s="33" t="str">
        <f>IF(H398=3,B399,"")</f>
        <v>RAFAEL DE CARVALHO SOARES</v>
      </c>
      <c r="C405" s="33" t="str">
        <f>IFERROR(IF(B405="","",VLOOKUP(B405,LISTAS!$F$5:$G$1004,2,0)),"0")</f>
        <v>CENTRO DE ESTUDOS JÚLIO VERNE</v>
      </c>
      <c r="D405" s="253">
        <v>2</v>
      </c>
      <c r="E405" s="254"/>
      <c r="F405" s="253" t="s">
        <v>38</v>
      </c>
      <c r="G405" s="254"/>
      <c r="H405" s="253">
        <v>0</v>
      </c>
      <c r="I405" s="254"/>
      <c r="J405" s="111" t="str">
        <f>IF(H398=3,B400,"")</f>
        <v>ENZO CASANOVA</v>
      </c>
      <c r="K405" s="33" t="str">
        <f>IFERROR(IF(J405="","",VLOOKUP(J405,LISTAS!$F$5:$G$1004,2,0)),"0")</f>
        <v>ESCOLA STAGIUM</v>
      </c>
      <c r="L405" s="79"/>
    </row>
    <row r="406" spans="2:16" ht="18" customHeight="1" x14ac:dyDescent="0.25">
      <c r="B406" s="33" t="str">
        <f>IF(H398=3,B398,"")</f>
        <v>PEDRO LAFANI RODRIGUES MOSCHELLA CARMONA</v>
      </c>
      <c r="C406" s="33" t="str">
        <f>IFERROR(IF(B406="","",VLOOKUP(B406,LISTAS!$F$5:$G$1004,2,0)),"0")</f>
        <v>ABACO IPIRANGA</v>
      </c>
      <c r="D406" s="253">
        <v>0</v>
      </c>
      <c r="E406" s="254"/>
      <c r="F406" s="253" t="s">
        <v>38</v>
      </c>
      <c r="G406" s="254"/>
      <c r="H406" s="253">
        <v>2</v>
      </c>
      <c r="I406" s="254"/>
      <c r="J406" s="111" t="str">
        <f>IF(H398=3,B399,"")</f>
        <v>RAFAEL DE CARVALHO SOARES</v>
      </c>
      <c r="K406" s="33" t="str">
        <f>IFERROR(IF(J406="","",VLOOKUP(J406,LISTAS!$F$5:$G$1004,2,0)),"0")</f>
        <v>CENTRO DE ESTUDOS JÚLIO VERNE</v>
      </c>
      <c r="L406" s="81"/>
    </row>
    <row r="409" spans="2:16" ht="30" customHeight="1" x14ac:dyDescent="0.25">
      <c r="B409" s="161" t="s">
        <v>75</v>
      </c>
      <c r="C409" s="79"/>
      <c r="D409" s="255" t="s">
        <v>42</v>
      </c>
      <c r="E409" s="256"/>
      <c r="F409" s="256"/>
      <c r="G409" s="257"/>
      <c r="H409" s="113"/>
      <c r="I409" s="255" t="s">
        <v>3</v>
      </c>
      <c r="J409" s="256"/>
      <c r="K409" s="256"/>
      <c r="L409" s="256"/>
    </row>
    <row r="410" spans="2:16" ht="18" customHeight="1" x14ac:dyDescent="0.25">
      <c r="B410" s="132" t="s">
        <v>15</v>
      </c>
      <c r="C410" s="132" t="s">
        <v>0</v>
      </c>
      <c r="D410" s="132" t="s">
        <v>43</v>
      </c>
      <c r="E410" s="132" t="s">
        <v>44</v>
      </c>
      <c r="F410" s="132" t="s">
        <v>77</v>
      </c>
      <c r="G410" s="132" t="s">
        <v>78</v>
      </c>
      <c r="H410" s="114"/>
      <c r="I410" s="132" t="s">
        <v>18</v>
      </c>
      <c r="J410" s="132" t="s">
        <v>15</v>
      </c>
      <c r="K410" s="132" t="s">
        <v>0</v>
      </c>
      <c r="L410" s="132" t="s">
        <v>45</v>
      </c>
    </row>
    <row r="411" spans="2:16" ht="18" customHeight="1" x14ac:dyDescent="0.25">
      <c r="B411" s="33" t="s">
        <v>470</v>
      </c>
      <c r="C411" s="33" t="str">
        <f>IFERROR(IF(B411="","",VLOOKUP(B411,LISTAS!$F$5:$G$1004,2,0)),"0")</f>
        <v>COLEGIO PETROPOLIS</v>
      </c>
      <c r="D411" s="33" t="str">
        <f>IF(H411&lt;3,"",IF(H411=3,IF(D417&lt;&gt;"",IF(H417&lt;&gt;"",IF(D417&lt;&gt;H417,IF(D417&gt;H417,"V","D"),""),""),"")))</f>
        <v>V</v>
      </c>
      <c r="E411" s="33" t="str">
        <f>IF(H411&lt;3,"",IF(H411=3,IF(D419&lt;&gt;"",IF(H419&lt;&gt;"",IF(D419&lt;&gt;H419,IF(D419&gt;H419,"V","D"),""),""),"")))</f>
        <v>V</v>
      </c>
      <c r="F411" s="33" t="s">
        <v>81</v>
      </c>
      <c r="G411" s="33" t="s">
        <v>81</v>
      </c>
      <c r="H411" s="117">
        <f>COUNTA(B411:B413)</f>
        <v>3</v>
      </c>
      <c r="I411" s="33">
        <f>IF(B411&lt;&gt;"",1,"")</f>
        <v>1</v>
      </c>
      <c r="J411" s="33" t="str">
        <f>IF(I411&lt;&gt;"",P411,"")</f>
        <v>RAFAEL PICCOLO VENDRAME</v>
      </c>
      <c r="K411" s="33" t="str">
        <f>IFERROR(IF(J411="","",VLOOKUP(J411,LISTAS!$F$5:$G$1004,2,0)),"0")</f>
        <v>COLEGIO PETROPOLIS</v>
      </c>
      <c r="L411" s="130" t="str">
        <f>IF(H411=3,"OURO",IF(H411=4,"OURO",IF(H411=5,"OURO","")))</f>
        <v>OURO</v>
      </c>
      <c r="M411" s="20">
        <f>IF(B411&lt;&gt;"",COUNTIF(D411:G411,"V")+(SUMIF(B417:B419,B411,D417:E419)/1000)+(SUMIF(J417:J419,B411,H417:I419)/1000)-(SUMIF(B417:B419,B411,H417:I419)/1000)-(SUMIF(J417:J419,B411,D417:E419)/1000)+0.003,"")</f>
        <v>2.0070000000000001</v>
      </c>
      <c r="N411" s="20" t="str">
        <f>IF(B411="","",B411)</f>
        <v>RAFAEL PICCOLO VENDRAME</v>
      </c>
      <c r="O411" s="20">
        <f>IF(B411&lt;&gt;"",LARGE(M411:M413,1),"")</f>
        <v>2.0070000000000001</v>
      </c>
      <c r="P411" s="20" t="str">
        <f>VLOOKUP(O411,M411:N413,2,0)</f>
        <v>RAFAEL PICCOLO VENDRAME</v>
      </c>
    </row>
    <row r="412" spans="2:16" ht="18" customHeight="1" x14ac:dyDescent="0.25">
      <c r="B412" s="33" t="s">
        <v>390</v>
      </c>
      <c r="C412" s="33" t="str">
        <f>IFERROR(IF(B412="","",VLOOKUP(B412,LISTAS!$F$5:$G$1004,2,0)),"0")</f>
        <v>CENTRO DE ESTUDOS JÚLIO VERNE</v>
      </c>
      <c r="D412" s="33" t="str">
        <f>IF(H411&lt;3,"",IF(H411=3,IF(D418&lt;&gt;"",IF(H418&lt;&gt;"",IF(D418&lt;&gt;H418,IF(D418&gt;H418,"V","D"),""),""),"")))</f>
        <v>V</v>
      </c>
      <c r="E412" s="33" t="str">
        <f>IF(H411&lt;3,"",IF(H411=3,IF(D419&lt;&gt;"",IF(H419&lt;&gt;"",IF(D419&lt;&gt;H419,IF(D419&gt;H419,"D","V"),""),""),"")))</f>
        <v>D</v>
      </c>
      <c r="F412" s="33" t="s">
        <v>81</v>
      </c>
      <c r="G412" s="33" t="s">
        <v>81</v>
      </c>
      <c r="H412" s="117"/>
      <c r="I412" s="33">
        <f>IF(B412&lt;&gt;"",2,"")</f>
        <v>2</v>
      </c>
      <c r="J412" s="33" t="str">
        <f>IF(I412&lt;&gt;"",P412,"")</f>
        <v>CARLOS EDUARDO RODRIGUES RIBEIRO</v>
      </c>
      <c r="K412" s="33" t="str">
        <f>IFERROR(IF(J412="","",VLOOKUP(J412,LISTAS!$F$5:$G$1004,2,0)),"0")</f>
        <v>CENTRO DE ESTUDOS JÚLIO VERNE</v>
      </c>
      <c r="L412" s="130" t="str">
        <f>IF(H411=3,"PRATA",IF(H411=4,"OURO",IF(H411=5,"OURO","")))</f>
        <v>PRATA</v>
      </c>
      <c r="M412" s="20">
        <f>IF(B412&lt;&gt;"",COUNTIF(D412:G412,"V")+(SUMIF(B417:B419,B412,D417:E419)/1000)+(SUMIF(J417:J419,B412,H417:I419)/1000)-(SUMIF(B417:B419,B412,H417:I419)/1000)-(SUMIF(J417:J419,B412,D417:E419)/1000)+0.002,"")</f>
        <v>1.002</v>
      </c>
      <c r="N412" s="20" t="str">
        <f t="shared" ref="N412" si="28">IF(B412="","",B412)</f>
        <v>CARLOS EDUARDO RODRIGUES RIBEIRO</v>
      </c>
      <c r="O412" s="20">
        <f>IF(B412&lt;&gt;"",LARGE(M411:M413,2),"")</f>
        <v>1.002</v>
      </c>
      <c r="P412" s="20" t="str">
        <f>VLOOKUP(O412,M411:N413,2,0)</f>
        <v>CARLOS EDUARDO RODRIGUES RIBEIRO</v>
      </c>
    </row>
    <row r="413" spans="2:16" ht="18" customHeight="1" x14ac:dyDescent="0.25">
      <c r="B413" s="33" t="s">
        <v>634</v>
      </c>
      <c r="C413" s="33" t="str">
        <f>IFERROR(IF(B413="","",VLOOKUP(B413,LISTAS!$F$5:$G$1004,2,0)),"0")</f>
        <v>ESCOLA INTERAÇÃO</v>
      </c>
      <c r="D413" s="33" t="str">
        <f>IF(H411&lt;3,"",IF(H411=3,IF(D417&lt;&gt;"",IF(H417&lt;&gt;"",IF(D417&lt;&gt;H417,IF(D417&gt;H417,"D","V"),""),""),"")))</f>
        <v>D</v>
      </c>
      <c r="E413" s="33" t="str">
        <f>IF(H411&lt;3,"",IF(H411=3,IF(D418&lt;&gt;"",IF(H418&lt;&gt;"",IF(D418&lt;&gt;H418,IF(D418&gt;H418,"D","V"),""),""),"")))</f>
        <v>D</v>
      </c>
      <c r="F413" s="33" t="s">
        <v>81</v>
      </c>
      <c r="G413" s="33" t="s">
        <v>81</v>
      </c>
      <c r="H413" s="117"/>
      <c r="I413" s="33">
        <f>IF(B413&lt;&gt;"",3,"")</f>
        <v>3</v>
      </c>
      <c r="J413" s="33" t="str">
        <f>IF(I413&lt;&gt;"",P413,"")</f>
        <v>Giovanni Dias Rinco de Oliveira</v>
      </c>
      <c r="K413" s="33" t="str">
        <f>IFERROR(IF(J413="","",VLOOKUP(J413,LISTAS!$F$5:$G$1004,2,0)),"0")</f>
        <v>ESCOLA INTERAÇÃO</v>
      </c>
      <c r="L413" s="130" t="str">
        <f>IF(H411=3,"BRONZE",IF(H411=4,"PRATA",IF(H411=5,"OURO","")))</f>
        <v>BRONZE</v>
      </c>
      <c r="M413" s="20">
        <f>IF(B413&lt;&gt;"",COUNTIF(D413:G413,"V")+(SUMIF(B417:B419,B413,D417:E419)/1000)+(SUMIF(J417:J419,B413,H417:I419)/1000)-(SUMIF(B417:B419,B413,H417:I419)/1000)-(SUMIF(J417:J419,B413,D417:E419)/1000)+0.001,"")</f>
        <v>-3.0000000000000001E-3</v>
      </c>
      <c r="N413" s="20" t="str">
        <f>IF(B413="","",B413)</f>
        <v>Giovanni Dias Rinco de Oliveira</v>
      </c>
      <c r="O413" s="20">
        <f>IF(B413&lt;&gt;"",LARGE(M411:M413,3),"")</f>
        <v>-3.0000000000000001E-3</v>
      </c>
      <c r="P413" s="20" t="str">
        <f>VLOOKUP(O413,M411:N413,2,0)</f>
        <v>Giovanni Dias Rinco de Oliveira</v>
      </c>
    </row>
    <row r="414" spans="2:16" ht="18" customHeight="1" x14ac:dyDescent="0.25">
      <c r="B414" s="79"/>
      <c r="C414" s="79"/>
      <c r="D414" s="79"/>
      <c r="E414" s="79"/>
      <c r="F414" s="79"/>
      <c r="G414" s="79"/>
      <c r="I414" s="80"/>
      <c r="J414" s="79"/>
      <c r="K414" s="81"/>
      <c r="L414" s="81"/>
    </row>
    <row r="415" spans="2:16" ht="23.25" customHeight="1" x14ac:dyDescent="0.25">
      <c r="B415" s="82" t="s">
        <v>40</v>
      </c>
      <c r="C415" s="79"/>
      <c r="D415" s="79"/>
      <c r="E415" s="79"/>
      <c r="F415" s="79"/>
      <c r="G415" s="79"/>
      <c r="H415" s="79"/>
      <c r="I415" s="79"/>
      <c r="J415" s="79"/>
      <c r="K415" s="79"/>
      <c r="L415" s="79"/>
    </row>
    <row r="416" spans="2:16" ht="18" customHeight="1" x14ac:dyDescent="0.25">
      <c r="B416" s="132" t="s">
        <v>15</v>
      </c>
      <c r="C416" s="132" t="s">
        <v>0</v>
      </c>
      <c r="D416" s="258" t="s">
        <v>41</v>
      </c>
      <c r="E416" s="259"/>
      <c r="F416" s="259"/>
      <c r="G416" s="259"/>
      <c r="H416" s="259"/>
      <c r="I416" s="260"/>
      <c r="J416" s="132" t="s">
        <v>15</v>
      </c>
      <c r="K416" s="132" t="s">
        <v>0</v>
      </c>
      <c r="L416" s="79"/>
    </row>
    <row r="417" spans="2:16" ht="18" customHeight="1" x14ac:dyDescent="0.25">
      <c r="B417" s="33" t="str">
        <f>IF(H411=3,B411,"")</f>
        <v>RAFAEL PICCOLO VENDRAME</v>
      </c>
      <c r="C417" s="33" t="str">
        <f>IFERROR(IF(B417="","",VLOOKUP(B417,LISTAS!$F$5:$G$1004,2,0)),"0")</f>
        <v>COLEGIO PETROPOLIS</v>
      </c>
      <c r="D417" s="253">
        <v>2</v>
      </c>
      <c r="E417" s="254"/>
      <c r="F417" s="253" t="s">
        <v>38</v>
      </c>
      <c r="G417" s="254"/>
      <c r="H417" s="253">
        <v>0</v>
      </c>
      <c r="I417" s="254"/>
      <c r="J417" s="111" t="str">
        <f>IF(H411=3,B413,"")</f>
        <v>Giovanni Dias Rinco de Oliveira</v>
      </c>
      <c r="K417" s="33" t="str">
        <f>IFERROR(IF(J417="","",VLOOKUP(J417,LISTAS!$F$5:$G$1004,2,0)),"0")</f>
        <v>ESCOLA INTERAÇÃO</v>
      </c>
      <c r="L417" s="81"/>
    </row>
    <row r="418" spans="2:16" ht="18" customHeight="1" x14ac:dyDescent="0.25">
      <c r="B418" s="33" t="str">
        <f>IF(H411=3,B412,"")</f>
        <v>CARLOS EDUARDO RODRIGUES RIBEIRO</v>
      </c>
      <c r="C418" s="33" t="str">
        <f>IFERROR(IF(B418="","",VLOOKUP(B418,LISTAS!$F$5:$G$1004,2,0)),"0")</f>
        <v>CENTRO DE ESTUDOS JÚLIO VERNE</v>
      </c>
      <c r="D418" s="253">
        <v>2</v>
      </c>
      <c r="E418" s="254"/>
      <c r="F418" s="253" t="s">
        <v>38</v>
      </c>
      <c r="G418" s="254"/>
      <c r="H418" s="253">
        <v>0</v>
      </c>
      <c r="I418" s="254"/>
      <c r="J418" s="111" t="str">
        <f>IF(H411=3,B413,"")</f>
        <v>Giovanni Dias Rinco de Oliveira</v>
      </c>
      <c r="K418" s="33" t="str">
        <f>IFERROR(IF(J418="","",VLOOKUP(J418,LISTAS!$F$5:$G$1004,2,0)),"0")</f>
        <v>ESCOLA INTERAÇÃO</v>
      </c>
      <c r="L418" s="79"/>
    </row>
    <row r="419" spans="2:16" ht="18" customHeight="1" x14ac:dyDescent="0.25">
      <c r="B419" s="33" t="str">
        <f>IF(H411=3,B411,"")</f>
        <v>RAFAEL PICCOLO VENDRAME</v>
      </c>
      <c r="C419" s="33" t="str">
        <f>IFERROR(IF(B419="","",VLOOKUP(B419,LISTAS!$F$5:$G$1004,2,0)),"0")</f>
        <v>COLEGIO PETROPOLIS</v>
      </c>
      <c r="D419" s="253">
        <v>2</v>
      </c>
      <c r="E419" s="254"/>
      <c r="F419" s="253" t="s">
        <v>38</v>
      </c>
      <c r="G419" s="254"/>
      <c r="H419" s="253">
        <v>0</v>
      </c>
      <c r="I419" s="254"/>
      <c r="J419" s="111" t="str">
        <f>IF(H411=3,B412,"")</f>
        <v>CARLOS EDUARDO RODRIGUES RIBEIRO</v>
      </c>
      <c r="K419" s="33" t="str">
        <f>IFERROR(IF(J419="","",VLOOKUP(J419,LISTAS!$F$5:$G$1004,2,0)),"0")</f>
        <v>CENTRO DE ESTUDOS JÚLIO VERNE</v>
      </c>
      <c r="L419" s="81"/>
    </row>
    <row r="422" spans="2:16" ht="30" customHeight="1" x14ac:dyDescent="0.25">
      <c r="B422" s="161" t="s">
        <v>76</v>
      </c>
      <c r="C422" s="79"/>
      <c r="D422" s="255" t="s">
        <v>42</v>
      </c>
      <c r="E422" s="256"/>
      <c r="F422" s="256"/>
      <c r="G422" s="257"/>
      <c r="H422" s="113"/>
      <c r="I422" s="255" t="s">
        <v>3</v>
      </c>
      <c r="J422" s="256"/>
      <c r="K422" s="256"/>
      <c r="L422" s="256"/>
    </row>
    <row r="423" spans="2:16" ht="18" customHeight="1" x14ac:dyDescent="0.25">
      <c r="B423" s="132" t="s">
        <v>15</v>
      </c>
      <c r="C423" s="132" t="s">
        <v>0</v>
      </c>
      <c r="D423" s="132" t="s">
        <v>43</v>
      </c>
      <c r="E423" s="132" t="s">
        <v>44</v>
      </c>
      <c r="F423" s="132" t="s">
        <v>77</v>
      </c>
      <c r="G423" s="132" t="s">
        <v>78</v>
      </c>
      <c r="H423" s="114"/>
      <c r="I423" s="132" t="s">
        <v>18</v>
      </c>
      <c r="J423" s="132" t="s">
        <v>15</v>
      </c>
      <c r="K423" s="132" t="s">
        <v>0</v>
      </c>
      <c r="L423" s="132" t="s">
        <v>45</v>
      </c>
    </row>
    <row r="424" spans="2:16" ht="18" customHeight="1" x14ac:dyDescent="0.25">
      <c r="B424" s="33" t="s">
        <v>455</v>
      </c>
      <c r="C424" s="33" t="str">
        <f>IFERROR(IF(B424="","",VLOOKUP(B424,LISTAS!$F$5:$G$1004,2,0)),"0")</f>
        <v>COLEGIO PETROPOLIS</v>
      </c>
      <c r="D424" s="33" t="str">
        <f>IF(H424&lt;3,"",IF(H424=3,IF(D430&lt;&gt;"",IF(H430&lt;&gt;"",IF(D430&lt;&gt;H430,IF(D430&gt;H430,"V","D"),""),""),"")))</f>
        <v>D</v>
      </c>
      <c r="E424" s="33" t="str">
        <f>IF(H424&lt;3,"",IF(H424=3,IF(D432&lt;&gt;"",IF(H432&lt;&gt;"",IF(D432&lt;&gt;H432,IF(D432&gt;H432,"V","D"),""),""),"")))</f>
        <v>V</v>
      </c>
      <c r="F424" s="33" t="s">
        <v>81</v>
      </c>
      <c r="G424" s="33" t="s">
        <v>81</v>
      </c>
      <c r="H424" s="117">
        <f>COUNTA(B424:B426)</f>
        <v>3</v>
      </c>
      <c r="I424" s="33">
        <f>IF(B424&lt;&gt;"",1,"")</f>
        <v>1</v>
      </c>
      <c r="J424" s="33" t="str">
        <f>IF(I424&lt;&gt;"",P424,"")</f>
        <v>MIGUEL TAVARES MALHEIRO</v>
      </c>
      <c r="K424" s="33" t="str">
        <f>IFERROR(IF(J424="","",VLOOKUP(J424,LISTAS!$F$5:$G$1004,2,0)),"0")</f>
        <v>CENTRO DE ESTUDOS JÚLIO VERNE</v>
      </c>
      <c r="L424" s="130" t="str">
        <f>IF(H424=3,"OURO",IF(H424=4,"OURO",IF(H424=5,"OURO","")))</f>
        <v>OURO</v>
      </c>
      <c r="M424" s="20">
        <f>IF(B424&lt;&gt;"",COUNTIF(D424:G424,"V")+(SUMIF(B430:B432,B424,D430:E432)/1000)+(SUMIF(J430:J432,B424,H430:I432)/1000)-(SUMIF(B430:B432,B424,H430:I432)/1000)-(SUMIF(J430:J432,B424,D430:E432)/1000)+0.003,"")</f>
        <v>1.0029999999999999</v>
      </c>
      <c r="N424" s="20" t="str">
        <f>IF(B424="","",B424)</f>
        <v>MURILO SILVA GOMES</v>
      </c>
      <c r="O424" s="20">
        <f>IF(B424&lt;&gt;"",LARGE(M424:M426,1),"")</f>
        <v>2.0049999999999999</v>
      </c>
      <c r="P424" s="20" t="str">
        <f>VLOOKUP(O424,M424:N426,2,0)</f>
        <v>MIGUEL TAVARES MALHEIRO</v>
      </c>
    </row>
    <row r="425" spans="2:16" ht="18" customHeight="1" x14ac:dyDescent="0.25">
      <c r="B425" s="33" t="s">
        <v>601</v>
      </c>
      <c r="C425" s="33" t="str">
        <f>IFERROR(IF(B425="","",VLOOKUP(B425,LISTAS!$F$5:$G$1004,2,0)),"0")</f>
        <v>BYE</v>
      </c>
      <c r="D425" s="33" t="str">
        <f>IF(H424&lt;3,"",IF(H424=3,IF(D431&lt;&gt;"",IF(H431&lt;&gt;"",IF(D431&lt;&gt;H431,IF(D431&gt;H431,"V","D"),""),""),"")))</f>
        <v>D</v>
      </c>
      <c r="E425" s="33" t="str">
        <f>IF(H424&lt;3,"",IF(H424=3,IF(D432&lt;&gt;"",IF(H432&lt;&gt;"",IF(D432&lt;&gt;H432,IF(D432&gt;H432,"D","V"),""),""),"")))</f>
        <v>D</v>
      </c>
      <c r="F425" s="33" t="s">
        <v>81</v>
      </c>
      <c r="G425" s="33" t="s">
        <v>81</v>
      </c>
      <c r="H425" s="117"/>
      <c r="I425" s="33">
        <f>IF(B425&lt;&gt;"",2,"")</f>
        <v>2</v>
      </c>
      <c r="J425" s="33" t="str">
        <f>IF(I425&lt;&gt;"",P425,"")</f>
        <v>MURILO SILVA GOMES</v>
      </c>
      <c r="K425" s="33" t="str">
        <f>IFERROR(IF(J425="","",VLOOKUP(J425,LISTAS!$F$5:$G$1004,2,0)),"0")</f>
        <v>COLEGIO PETROPOLIS</v>
      </c>
      <c r="L425" s="130" t="str">
        <f>IF(H424=3,"PRATA",IF(H424=4,"OURO",IF(H424=5,"OURO","")))</f>
        <v>PRATA</v>
      </c>
      <c r="M425" s="20">
        <f>IF(B425&lt;&gt;"",COUNTIF(D425:G425,"V")+(SUMIF(B430:B432,B425,D430:E432)/1000)+(SUMIF(J430:J432,B425,H430:I432)/1000)-(SUMIF(B430:B432,B425,H430:I432)/1000)-(SUMIF(J430:J432,B425,D430:E432)/1000)+0.002,"")</f>
        <v>-2E-3</v>
      </c>
      <c r="N425" s="20" t="str">
        <f t="shared" ref="N425" si="29">IF(B425="","",B425)</f>
        <v>BYE</v>
      </c>
      <c r="O425" s="20">
        <f>IF(B425&lt;&gt;"",LARGE(M424:M426,2),"")</f>
        <v>1.0029999999999999</v>
      </c>
      <c r="P425" s="20" t="str">
        <f>VLOOKUP(O425,M424:N426,2,0)</f>
        <v>MURILO SILVA GOMES</v>
      </c>
    </row>
    <row r="426" spans="2:16" ht="18" customHeight="1" x14ac:dyDescent="0.25">
      <c r="B426" s="33" t="s">
        <v>453</v>
      </c>
      <c r="C426" s="33" t="str">
        <f>IFERROR(IF(B426="","",VLOOKUP(B426,LISTAS!$F$5:$G$1004,2,0)),"0")</f>
        <v>CENTRO DE ESTUDOS JÚLIO VERNE</v>
      </c>
      <c r="D426" s="33" t="str">
        <f>IF(H424&lt;3,"",IF(H424=3,IF(D430&lt;&gt;"",IF(H430&lt;&gt;"",IF(D430&lt;&gt;H430,IF(D430&gt;H430,"D","V"),""),""),"")))</f>
        <v>V</v>
      </c>
      <c r="E426" s="33" t="str">
        <f>IF(H424&lt;3,"",IF(H424=3,IF(D431&lt;&gt;"",IF(H431&lt;&gt;"",IF(D431&lt;&gt;H431,IF(D431&gt;H431,"D","V"),""),""),"")))</f>
        <v>V</v>
      </c>
      <c r="F426" s="33" t="s">
        <v>81</v>
      </c>
      <c r="G426" s="33" t="s">
        <v>81</v>
      </c>
      <c r="H426" s="117"/>
      <c r="I426" s="33">
        <f>IF(B426&lt;&gt;"",3,"")</f>
        <v>3</v>
      </c>
      <c r="J426" s="33" t="str">
        <f>IF(I426&lt;&gt;"",P426,"")</f>
        <v>BYE</v>
      </c>
      <c r="K426" s="33" t="str">
        <f>IFERROR(IF(J426="","",VLOOKUP(J426,LISTAS!$F$5:$G$1004,2,0)),"0")</f>
        <v>BYE</v>
      </c>
      <c r="L426" s="130" t="str">
        <f>IF(H424=3,"BRONZE",IF(H424=4,"PRATA",IF(H424=5,"OURO","")))</f>
        <v>BRONZE</v>
      </c>
      <c r="M426" s="20">
        <f>IF(B426&lt;&gt;"",COUNTIF(D426:G426,"V")+(SUMIF(B430:B432,B426,D430:E432)/1000)+(SUMIF(J430:J432,B426,H430:I432)/1000)-(SUMIF(B430:B432,B426,H430:I432)/1000)-(SUMIF(J430:J432,B426,D430:E432)/1000)+0.001,"")</f>
        <v>2.0049999999999999</v>
      </c>
      <c r="N426" s="20" t="str">
        <f>IF(B426="","",B426)</f>
        <v>MIGUEL TAVARES MALHEIRO</v>
      </c>
      <c r="O426" s="20">
        <f>IF(B426&lt;&gt;"",LARGE(M424:M426,3),"")</f>
        <v>-2E-3</v>
      </c>
      <c r="P426" s="20" t="str">
        <f>VLOOKUP(O426,M424:N426,2,0)</f>
        <v>BYE</v>
      </c>
    </row>
    <row r="427" spans="2:16" ht="18" customHeight="1" x14ac:dyDescent="0.25">
      <c r="B427" s="79"/>
      <c r="C427" s="79"/>
      <c r="D427" s="79"/>
      <c r="E427" s="79"/>
      <c r="F427" s="79"/>
      <c r="G427" s="79"/>
      <c r="I427" s="80"/>
      <c r="J427" s="79"/>
      <c r="K427" s="81"/>
      <c r="L427" s="81"/>
    </row>
    <row r="428" spans="2:16" ht="23.25" customHeight="1" x14ac:dyDescent="0.25">
      <c r="B428" s="82" t="s">
        <v>40</v>
      </c>
      <c r="C428" s="79"/>
      <c r="D428" s="79"/>
      <c r="E428" s="79"/>
      <c r="F428" s="79"/>
      <c r="G428" s="79"/>
      <c r="H428" s="79"/>
      <c r="I428" s="79"/>
      <c r="J428" s="79"/>
      <c r="K428" s="79"/>
      <c r="L428" s="79"/>
    </row>
    <row r="429" spans="2:16" ht="18" customHeight="1" x14ac:dyDescent="0.25">
      <c r="B429" s="132" t="s">
        <v>15</v>
      </c>
      <c r="C429" s="132" t="s">
        <v>0</v>
      </c>
      <c r="D429" s="258" t="s">
        <v>41</v>
      </c>
      <c r="E429" s="259"/>
      <c r="F429" s="259"/>
      <c r="G429" s="259"/>
      <c r="H429" s="259"/>
      <c r="I429" s="260"/>
      <c r="J429" s="132" t="s">
        <v>15</v>
      </c>
      <c r="K429" s="132" t="s">
        <v>0</v>
      </c>
      <c r="L429" s="79"/>
    </row>
    <row r="430" spans="2:16" ht="18" customHeight="1" x14ac:dyDescent="0.25">
      <c r="B430" s="33" t="str">
        <f>IF(H424=3,B424,"")</f>
        <v>MURILO SILVA GOMES</v>
      </c>
      <c r="C430" s="33" t="str">
        <f>IFERROR(IF(B430="","",VLOOKUP(B430,LISTAS!$F$5:$G$1004,2,0)),"0")</f>
        <v>COLEGIO PETROPOLIS</v>
      </c>
      <c r="D430" s="253">
        <v>0</v>
      </c>
      <c r="E430" s="254"/>
      <c r="F430" s="253" t="s">
        <v>38</v>
      </c>
      <c r="G430" s="254"/>
      <c r="H430" s="253">
        <v>2</v>
      </c>
      <c r="I430" s="254"/>
      <c r="J430" s="111" t="str">
        <f>IF(H424=3,B426,"")</f>
        <v>MIGUEL TAVARES MALHEIRO</v>
      </c>
      <c r="K430" s="33" t="str">
        <f>IFERROR(IF(J430="","",VLOOKUP(J430,LISTAS!$F$5:$G$1004,2,0)),"0")</f>
        <v>CENTRO DE ESTUDOS JÚLIO VERNE</v>
      </c>
      <c r="L430" s="81"/>
    </row>
    <row r="431" spans="2:16" ht="18" customHeight="1" x14ac:dyDescent="0.25">
      <c r="B431" s="33" t="str">
        <f>IF(H424=3,B425,"")</f>
        <v>BYE</v>
      </c>
      <c r="C431" s="33" t="str">
        <f>IFERROR(IF(B431="","",VLOOKUP(B431,LISTAS!$F$5:$G$1004,2,0)),"0")</f>
        <v>BYE</v>
      </c>
      <c r="D431" s="253">
        <v>0</v>
      </c>
      <c r="E431" s="254"/>
      <c r="F431" s="253" t="s">
        <v>38</v>
      </c>
      <c r="G431" s="254"/>
      <c r="H431" s="253">
        <v>2</v>
      </c>
      <c r="I431" s="254"/>
      <c r="J431" s="111" t="str">
        <f>IF(H424=3,B426,"")</f>
        <v>MIGUEL TAVARES MALHEIRO</v>
      </c>
      <c r="K431" s="33" t="str">
        <f>IFERROR(IF(J431="","",VLOOKUP(J431,LISTAS!$F$5:$G$1004,2,0)),"0")</f>
        <v>CENTRO DE ESTUDOS JÚLIO VERNE</v>
      </c>
      <c r="L431" s="79"/>
    </row>
    <row r="432" spans="2:16" ht="18" customHeight="1" x14ac:dyDescent="0.25">
      <c r="B432" s="33" t="str">
        <f>IF(H424=3,B424,"")</f>
        <v>MURILO SILVA GOMES</v>
      </c>
      <c r="C432" s="33" t="str">
        <f>IFERROR(IF(B432="","",VLOOKUP(B432,LISTAS!$F$5:$G$1004,2,0)),"0")</f>
        <v>COLEGIO PETROPOLIS</v>
      </c>
      <c r="D432" s="253">
        <v>2</v>
      </c>
      <c r="E432" s="254"/>
      <c r="F432" s="253" t="s">
        <v>38</v>
      </c>
      <c r="G432" s="254"/>
      <c r="H432" s="253">
        <v>0</v>
      </c>
      <c r="I432" s="254"/>
      <c r="J432" s="111" t="str">
        <f>IF(H424=3,B425,"")</f>
        <v>BYE</v>
      </c>
      <c r="K432" s="33" t="str">
        <f>IFERROR(IF(J432="","",VLOOKUP(J432,LISTAS!$F$5:$G$1004,2,0)),"0")</f>
        <v>BYE</v>
      </c>
      <c r="L432" s="81"/>
    </row>
    <row r="434" spans="2:12" x14ac:dyDescent="0.25">
      <c r="B434" s="161" t="s">
        <v>603</v>
      </c>
      <c r="C434" s="79"/>
      <c r="D434" s="255" t="s">
        <v>42</v>
      </c>
      <c r="E434" s="256"/>
      <c r="F434" s="256"/>
      <c r="G434" s="257"/>
      <c r="H434" s="113"/>
      <c r="I434" s="255" t="s">
        <v>3</v>
      </c>
      <c r="J434" s="256"/>
      <c r="K434" s="256"/>
      <c r="L434" s="256"/>
    </row>
    <row r="435" spans="2:12" x14ac:dyDescent="0.25">
      <c r="B435" s="132" t="s">
        <v>15</v>
      </c>
      <c r="C435" s="132" t="s">
        <v>0</v>
      </c>
      <c r="D435" s="132" t="s">
        <v>43</v>
      </c>
      <c r="E435" s="132" t="s">
        <v>44</v>
      </c>
      <c r="F435" s="132" t="s">
        <v>77</v>
      </c>
      <c r="G435" s="132" t="s">
        <v>78</v>
      </c>
      <c r="H435" s="114"/>
      <c r="I435" s="132" t="s">
        <v>18</v>
      </c>
      <c r="J435" s="132" t="s">
        <v>15</v>
      </c>
      <c r="K435" s="132" t="s">
        <v>0</v>
      </c>
      <c r="L435" s="132" t="s">
        <v>45</v>
      </c>
    </row>
    <row r="436" spans="2:12" x14ac:dyDescent="0.25">
      <c r="B436" s="33" t="s">
        <v>465</v>
      </c>
      <c r="C436" s="33" t="str">
        <f>IFERROR(IF(B436="","",VLOOKUP(B436,LISTAS!$F$5:$G$1004,2,0)),"0")</f>
        <v>COLÉGIO ARBOS - UNIDADE SANTO ANDRÉ</v>
      </c>
      <c r="D436" s="33" t="str">
        <f>IF(H436&lt;3,"",IF(H436=3,IF(D442&lt;&gt;"",IF(H442&lt;&gt;"",IF(D442&lt;&gt;H442,IF(D442&gt;H442,"V","D"),""),""),"")))</f>
        <v>D</v>
      </c>
      <c r="E436" s="33" t="str">
        <f>IF(H436&lt;3,"",IF(H436=3,IF(D444&lt;&gt;"",IF(H444&lt;&gt;"",IF(D444&lt;&gt;H444,IF(D444&gt;H444,"V","D"),""),""),"")))</f>
        <v>D</v>
      </c>
      <c r="F436" s="33" t="s">
        <v>81</v>
      </c>
      <c r="G436" s="33" t="s">
        <v>81</v>
      </c>
      <c r="H436" s="117">
        <f>COUNTA(B436:B438)</f>
        <v>3</v>
      </c>
      <c r="I436" s="33">
        <f>IF(B436&lt;&gt;"",1,"")</f>
        <v>1</v>
      </c>
      <c r="J436" s="33">
        <f>IF(I436&lt;&gt;"",P436,"")</f>
        <v>0</v>
      </c>
      <c r="K436" s="33" t="str">
        <f>IFERROR(IF(J436="","",VLOOKUP(J436,LISTAS!$F$5:$G$1004,2,0)),"0")</f>
        <v>0</v>
      </c>
      <c r="L436" s="130" t="str">
        <f>IF(H436=3,"OURO",IF(H436=4,"OURO",IF(H436=5,"OURO","")))</f>
        <v>OURO</v>
      </c>
    </row>
    <row r="437" spans="2:12" x14ac:dyDescent="0.25">
      <c r="B437" s="33" t="s">
        <v>459</v>
      </c>
      <c r="C437" s="33" t="str">
        <f>IFERROR(IF(B437="","",VLOOKUP(B437,LISTAS!$F$5:$G$1004,2,0)),"0")</f>
        <v>COLÉGIO ENGENHEIRO SALVADOR ARENA</v>
      </c>
      <c r="D437" s="33" t="str">
        <f>IF(H436&lt;3,"",IF(H436=3,IF(D443&lt;&gt;"",IF(H443&lt;&gt;"",IF(D443&lt;&gt;H443,IF(D443&gt;H443,"V","D"),""),""),"")))</f>
        <v>V</v>
      </c>
      <c r="E437" s="33" t="str">
        <f>IF(H436&lt;3,"",IF(H436=3,IF(D444&lt;&gt;"",IF(H444&lt;&gt;"",IF(D444&lt;&gt;H444,IF(D444&gt;H444,"D","V"),""),""),"")))</f>
        <v>V</v>
      </c>
      <c r="F437" s="33" t="s">
        <v>81</v>
      </c>
      <c r="G437" s="33" t="s">
        <v>81</v>
      </c>
      <c r="H437" s="117"/>
      <c r="I437" s="33">
        <f>IF(B437&lt;&gt;"",2,"")</f>
        <v>2</v>
      </c>
      <c r="J437" s="33">
        <f>IF(I437&lt;&gt;"",P437,"")</f>
        <v>0</v>
      </c>
      <c r="K437" s="33" t="str">
        <f>IFERROR(IF(J437="","",VLOOKUP(J437,LISTAS!$F$5:$G$1004,2,0)),"0")</f>
        <v>0</v>
      </c>
      <c r="L437" s="130" t="str">
        <f>IF(H436=3,"PRATA",IF(H436=4,"OURO",IF(H436=5,"OURO","")))</f>
        <v>PRATA</v>
      </c>
    </row>
    <row r="438" spans="2:12" x14ac:dyDescent="0.25">
      <c r="B438" s="33" t="s">
        <v>420</v>
      </c>
      <c r="C438" s="33" t="str">
        <f>IFERROR(IF(B438="","",VLOOKUP(B438,LISTAS!$F$5:$G$1004,2,0)),"0")</f>
        <v>COLÉGIO ATENEU</v>
      </c>
      <c r="D438" s="33" t="str">
        <f>IF(H436&lt;3,"",IF(H436=3,IF(D442&lt;&gt;"",IF(H442&lt;&gt;"",IF(D442&lt;&gt;H442,IF(D442&gt;H442,"D","V"),""),""),"")))</f>
        <v>V</v>
      </c>
      <c r="E438" s="33" t="str">
        <f>IF(H436&lt;3,"",IF(H436=3,IF(D443&lt;&gt;"",IF(H443&lt;&gt;"",IF(D443&lt;&gt;H443,IF(D443&gt;H443,"D","V"),""),""),"")))</f>
        <v>D</v>
      </c>
      <c r="F438" s="33" t="s">
        <v>81</v>
      </c>
      <c r="G438" s="33" t="s">
        <v>81</v>
      </c>
      <c r="H438" s="117"/>
      <c r="I438" s="33">
        <f>IF(B438&lt;&gt;"",3,"")</f>
        <v>3</v>
      </c>
      <c r="J438" s="33">
        <f>IF(I438&lt;&gt;"",P438,"")</f>
        <v>0</v>
      </c>
      <c r="K438" s="33" t="str">
        <f>IFERROR(IF(J438="","",VLOOKUP(J438,LISTAS!$F$5:$G$1004,2,0)),"0")</f>
        <v>0</v>
      </c>
      <c r="L438" s="130" t="str">
        <f>IF(H436=3,"BRONZE",IF(H436=4,"PRATA",IF(H436=5,"OURO","")))</f>
        <v>BRONZE</v>
      </c>
    </row>
    <row r="439" spans="2:12" x14ac:dyDescent="0.25">
      <c r="B439" s="79"/>
      <c r="C439" s="79"/>
      <c r="D439" s="79"/>
      <c r="E439" s="79"/>
      <c r="F439" s="79"/>
      <c r="G439" s="79"/>
      <c r="I439" s="80"/>
      <c r="J439" s="79"/>
      <c r="K439" s="81"/>
      <c r="L439" s="81"/>
    </row>
    <row r="440" spans="2:12" x14ac:dyDescent="0.25">
      <c r="B440" s="82" t="s">
        <v>40</v>
      </c>
      <c r="C440" s="79"/>
      <c r="D440" s="79"/>
      <c r="E440" s="79"/>
      <c r="F440" s="79"/>
      <c r="G440" s="79"/>
      <c r="H440" s="79"/>
      <c r="I440" s="79"/>
      <c r="J440" s="79"/>
      <c r="K440" s="79"/>
      <c r="L440" s="79"/>
    </row>
    <row r="441" spans="2:12" x14ac:dyDescent="0.25">
      <c r="B441" s="132" t="s">
        <v>15</v>
      </c>
      <c r="C441" s="132" t="s">
        <v>0</v>
      </c>
      <c r="D441" s="258" t="s">
        <v>41</v>
      </c>
      <c r="E441" s="259"/>
      <c r="F441" s="259"/>
      <c r="G441" s="259"/>
      <c r="H441" s="259"/>
      <c r="I441" s="260"/>
      <c r="J441" s="132" t="s">
        <v>15</v>
      </c>
      <c r="K441" s="132" t="s">
        <v>0</v>
      </c>
      <c r="L441" s="79"/>
    </row>
    <row r="442" spans="2:12" x14ac:dyDescent="0.25">
      <c r="B442" s="33" t="str">
        <f>IF(H436=3,B436,"")</f>
        <v>PIETRO SELAN FOSALUZA</v>
      </c>
      <c r="C442" s="33" t="str">
        <f>IFERROR(IF(B442="","",VLOOKUP(B442,LISTAS!$F$5:$G$1004,2,0)),"0")</f>
        <v>COLÉGIO ARBOS - UNIDADE SANTO ANDRÉ</v>
      </c>
      <c r="D442" s="253">
        <v>0</v>
      </c>
      <c r="E442" s="254"/>
      <c r="F442" s="253" t="s">
        <v>38</v>
      </c>
      <c r="G442" s="254"/>
      <c r="H442" s="253">
        <v>2</v>
      </c>
      <c r="I442" s="254"/>
      <c r="J442" s="111" t="str">
        <f>IF(H436=3,B438,"")</f>
        <v>IAGO SERRANO MAGNANI</v>
      </c>
      <c r="K442" s="33" t="str">
        <f>IFERROR(IF(J442="","",VLOOKUP(J442,LISTAS!$F$5:$G$1004,2,0)),"0")</f>
        <v>COLÉGIO ATENEU</v>
      </c>
      <c r="L442" s="81"/>
    </row>
    <row r="443" spans="2:12" x14ac:dyDescent="0.25">
      <c r="B443" s="33" t="str">
        <f>IF(H436=3,B437,"")</f>
        <v>NICOLAS GUITZEL GARCIA</v>
      </c>
      <c r="C443" s="33" t="str">
        <f>IFERROR(IF(B443="","",VLOOKUP(B443,LISTAS!$F$5:$G$1004,2,0)),"0")</f>
        <v>COLÉGIO ENGENHEIRO SALVADOR ARENA</v>
      </c>
      <c r="D443" s="253">
        <v>2</v>
      </c>
      <c r="E443" s="254"/>
      <c r="F443" s="253" t="s">
        <v>38</v>
      </c>
      <c r="G443" s="254"/>
      <c r="H443" s="253">
        <v>1</v>
      </c>
      <c r="I443" s="254"/>
      <c r="J443" s="111" t="str">
        <f>IF(H436=3,B438,"")</f>
        <v>IAGO SERRANO MAGNANI</v>
      </c>
      <c r="K443" s="33" t="str">
        <f>IFERROR(IF(J443="","",VLOOKUP(J443,LISTAS!$F$5:$G$1004,2,0)),"0")</f>
        <v>COLÉGIO ATENEU</v>
      </c>
      <c r="L443" s="79"/>
    </row>
    <row r="444" spans="2:12" x14ac:dyDescent="0.25">
      <c r="B444" s="33" t="str">
        <f>IF(H436=3,B436,"")</f>
        <v>PIETRO SELAN FOSALUZA</v>
      </c>
      <c r="C444" s="33" t="str">
        <f>IFERROR(IF(B444="","",VLOOKUP(B444,LISTAS!$F$5:$G$1004,2,0)),"0")</f>
        <v>COLÉGIO ARBOS - UNIDADE SANTO ANDRÉ</v>
      </c>
      <c r="D444" s="253">
        <v>0</v>
      </c>
      <c r="E444" s="254"/>
      <c r="F444" s="253" t="s">
        <v>38</v>
      </c>
      <c r="G444" s="254"/>
      <c r="H444" s="253">
        <v>2</v>
      </c>
      <c r="I444" s="254"/>
      <c r="J444" s="111" t="str">
        <f>IF(H436=3,B437,"")</f>
        <v>NICOLAS GUITZEL GARCIA</v>
      </c>
      <c r="K444" s="33" t="str">
        <f>IFERROR(IF(J444="","",VLOOKUP(J444,LISTAS!$F$5:$G$1004,2,0)),"0")</f>
        <v>COLÉGIO ENGENHEIRO SALVADOR ARENA</v>
      </c>
      <c r="L444" s="81"/>
    </row>
    <row r="446" spans="2:12" x14ac:dyDescent="0.25">
      <c r="B446" s="161" t="s">
        <v>604</v>
      </c>
      <c r="C446" s="79"/>
      <c r="D446" s="255" t="s">
        <v>42</v>
      </c>
      <c r="E446" s="256"/>
      <c r="F446" s="256"/>
      <c r="G446" s="257"/>
      <c r="H446" s="113"/>
      <c r="I446" s="255" t="s">
        <v>3</v>
      </c>
      <c r="J446" s="256"/>
      <c r="K446" s="256"/>
      <c r="L446" s="256"/>
    </row>
    <row r="447" spans="2:12" x14ac:dyDescent="0.25">
      <c r="B447" s="132" t="s">
        <v>15</v>
      </c>
      <c r="C447" s="132" t="s">
        <v>0</v>
      </c>
      <c r="D447" s="132" t="s">
        <v>43</v>
      </c>
      <c r="E447" s="132" t="s">
        <v>44</v>
      </c>
      <c r="F447" s="132" t="s">
        <v>77</v>
      </c>
      <c r="G447" s="132" t="s">
        <v>78</v>
      </c>
      <c r="H447" s="114"/>
      <c r="I447" s="132" t="s">
        <v>18</v>
      </c>
      <c r="J447" s="132" t="s">
        <v>15</v>
      </c>
      <c r="K447" s="132" t="s">
        <v>0</v>
      </c>
      <c r="L447" s="132" t="s">
        <v>45</v>
      </c>
    </row>
    <row r="448" spans="2:12" x14ac:dyDescent="0.25">
      <c r="B448" s="33" t="s">
        <v>427</v>
      </c>
      <c r="C448" s="33" t="str">
        <f>IFERROR(IF(B448="","",VLOOKUP(B448,LISTAS!$F$5:$G$1004,2,0)),"0")</f>
        <v>ESCOLA STAGIUM</v>
      </c>
      <c r="D448" s="33" t="str">
        <f>IF(H448&lt;3,"",IF(H448=3,IF(D454&lt;&gt;"",IF(H454&lt;&gt;"",IF(D454&lt;&gt;H454,IF(D454&gt;H454,"V","D"),""),""),"")))</f>
        <v>D</v>
      </c>
      <c r="E448" s="33" t="str">
        <f>IF(H448&lt;3,"",IF(H448=3,IF(D456&lt;&gt;"",IF(H456&lt;&gt;"",IF(D456&lt;&gt;H456,IF(D456&gt;H456,"V","D"),""),""),"")))</f>
        <v>D</v>
      </c>
      <c r="F448" s="33" t="s">
        <v>81</v>
      </c>
      <c r="G448" s="33" t="s">
        <v>81</v>
      </c>
      <c r="H448" s="117">
        <f>COUNTA(B448:B450)</f>
        <v>3</v>
      </c>
      <c r="I448" s="33">
        <f>IF(B448&lt;&gt;"",1,"")</f>
        <v>1</v>
      </c>
      <c r="J448" s="33">
        <f>IF(I448&lt;&gt;"",P448,"")</f>
        <v>0</v>
      </c>
      <c r="K448" s="33" t="str">
        <f>IFERROR(IF(J448="","",VLOOKUP(J448,LISTAS!$F$5:$G$1004,2,0)),"0")</f>
        <v>0</v>
      </c>
      <c r="L448" s="130" t="str">
        <f>IF(H448=3,"OURO",IF(H448=4,"OURO",IF(H448=5,"OURO","")))</f>
        <v>OURO</v>
      </c>
    </row>
    <row r="449" spans="2:12" x14ac:dyDescent="0.25">
      <c r="B449" s="33" t="s">
        <v>405</v>
      </c>
      <c r="C449" s="33" t="str">
        <f>IFERROR(IF(B449="","",VLOOKUP(B449,LISTAS!$F$5:$G$1004,2,0)),"0")</f>
        <v>COLÉGIO VÉRTICE</v>
      </c>
      <c r="D449" s="33" t="str">
        <f>IF(H448&lt;3,"",IF(H448=3,IF(D455&lt;&gt;"",IF(H455&lt;&gt;"",IF(D455&lt;&gt;H455,IF(D455&gt;H455,"V","D"),""),""),"")))</f>
        <v>V</v>
      </c>
      <c r="E449" s="33" t="str">
        <f>IF(H448&lt;3,"",IF(H448=3,IF(D456&lt;&gt;"",IF(H456&lt;&gt;"",IF(D456&lt;&gt;H456,IF(D456&gt;H456,"D","V"),""),""),"")))</f>
        <v>V</v>
      </c>
      <c r="F449" s="33" t="s">
        <v>81</v>
      </c>
      <c r="G449" s="33" t="s">
        <v>81</v>
      </c>
      <c r="H449" s="117"/>
      <c r="I449" s="33">
        <f>IF(B449&lt;&gt;"",2,"")</f>
        <v>2</v>
      </c>
      <c r="J449" s="33">
        <f>IF(I449&lt;&gt;"",P449,"")</f>
        <v>0</v>
      </c>
      <c r="K449" s="33" t="str">
        <f>IFERROR(IF(J449="","",VLOOKUP(J449,LISTAS!$F$5:$G$1004,2,0)),"0")</f>
        <v>0</v>
      </c>
      <c r="L449" s="130" t="str">
        <f>IF(H448=3,"PRATA",IF(H448=4,"OURO",IF(H448=5,"OURO","")))</f>
        <v>PRATA</v>
      </c>
    </row>
    <row r="450" spans="2:12" x14ac:dyDescent="0.25">
      <c r="B450" s="39" t="s">
        <v>675</v>
      </c>
      <c r="C450" s="33" t="str">
        <f>IFERROR(IF(B450="","",VLOOKUP(B450,LISTAS!$F$5:$G$1004,2,0)),"0")</f>
        <v>ABACO IPIRANGA</v>
      </c>
      <c r="D450" s="33" t="str">
        <f>IF(H448&lt;3,"",IF(H448=3,IF(D454&lt;&gt;"",IF(H454&lt;&gt;"",IF(D454&lt;&gt;H454,IF(D454&gt;H454,"D","V"),""),""),"")))</f>
        <v>V</v>
      </c>
      <c r="E450" s="33" t="str">
        <f>IF(H448&lt;3,"",IF(H448=3,IF(D455&lt;&gt;"",IF(H455&lt;&gt;"",IF(D455&lt;&gt;H455,IF(D455&gt;H455,"D","V"),""),""),"")))</f>
        <v>D</v>
      </c>
      <c r="F450" s="33" t="s">
        <v>81</v>
      </c>
      <c r="G450" s="33" t="s">
        <v>81</v>
      </c>
      <c r="H450" s="117"/>
      <c r="I450" s="33">
        <f>IF(B450&lt;&gt;"",3,"")</f>
        <v>3</v>
      </c>
      <c r="J450" s="33">
        <f>IF(I450&lt;&gt;"",P450,"")</f>
        <v>0</v>
      </c>
      <c r="K450" s="33" t="str">
        <f>IFERROR(IF(J450="","",VLOOKUP(J450,LISTAS!$F$5:$G$1004,2,0)),"0")</f>
        <v>0</v>
      </c>
      <c r="L450" s="130" t="str">
        <f>IF(H448=3,"BRONZE",IF(H448=4,"PRATA",IF(H448=5,"OURO","")))</f>
        <v>BRONZE</v>
      </c>
    </row>
    <row r="451" spans="2:12" x14ac:dyDescent="0.25">
      <c r="B451" s="79"/>
      <c r="C451" s="79"/>
      <c r="D451" s="79"/>
      <c r="E451" s="79"/>
      <c r="F451" s="79"/>
      <c r="G451" s="79"/>
      <c r="I451" s="80"/>
      <c r="J451" s="79"/>
      <c r="K451" s="81"/>
      <c r="L451" s="81"/>
    </row>
    <row r="452" spans="2:12" x14ac:dyDescent="0.25">
      <c r="B452" s="82" t="s">
        <v>40</v>
      </c>
      <c r="C452" s="79"/>
      <c r="D452" s="79"/>
      <c r="E452" s="79"/>
      <c r="F452" s="79"/>
      <c r="G452" s="79"/>
      <c r="H452" s="79"/>
      <c r="I452" s="79"/>
      <c r="J452" s="79"/>
      <c r="K452" s="79"/>
      <c r="L452" s="79"/>
    </row>
    <row r="453" spans="2:12" x14ac:dyDescent="0.25">
      <c r="B453" s="132" t="s">
        <v>15</v>
      </c>
      <c r="C453" s="132" t="s">
        <v>0</v>
      </c>
      <c r="D453" s="258" t="s">
        <v>41</v>
      </c>
      <c r="E453" s="259"/>
      <c r="F453" s="259"/>
      <c r="G453" s="259"/>
      <c r="H453" s="259"/>
      <c r="I453" s="260"/>
      <c r="J453" s="132" t="s">
        <v>15</v>
      </c>
      <c r="K453" s="132" t="s">
        <v>0</v>
      </c>
      <c r="L453" s="79"/>
    </row>
    <row r="454" spans="2:12" x14ac:dyDescent="0.25">
      <c r="B454" s="33" t="str">
        <f>IF(H448=3,B448,"")</f>
        <v>JOÃO TAKANO CALMAZINI</v>
      </c>
      <c r="C454" s="33" t="str">
        <f>IFERROR(IF(B454="","",VLOOKUP(B454,LISTAS!$F$5:$G$1004,2,0)),"0")</f>
        <v>ESCOLA STAGIUM</v>
      </c>
      <c r="D454" s="253">
        <v>0</v>
      </c>
      <c r="E454" s="254"/>
      <c r="F454" s="253" t="s">
        <v>38</v>
      </c>
      <c r="G454" s="254"/>
      <c r="H454" s="253">
        <v>2</v>
      </c>
      <c r="I454" s="254"/>
      <c r="J454" s="111" t="str">
        <f>IF(H448=3,B450,"")</f>
        <v>VITOR YUKIO</v>
      </c>
      <c r="K454" s="33" t="str">
        <f>IFERROR(IF(J454="","",VLOOKUP(J454,LISTAS!$F$5:$G$1004,2,0)),"0")</f>
        <v>ABACO IPIRANGA</v>
      </c>
      <c r="L454" s="81"/>
    </row>
    <row r="455" spans="2:12" x14ac:dyDescent="0.25">
      <c r="B455" s="33" t="str">
        <f>IF(H448=3,B449,"")</f>
        <v>FELIPE MALTEMPI ALVES</v>
      </c>
      <c r="C455" s="33" t="str">
        <f>IFERROR(IF(B455="","",VLOOKUP(B455,LISTAS!$F$5:$G$1004,2,0)),"0")</f>
        <v>COLÉGIO VÉRTICE</v>
      </c>
      <c r="D455" s="253">
        <v>2</v>
      </c>
      <c r="E455" s="254"/>
      <c r="F455" s="253" t="s">
        <v>38</v>
      </c>
      <c r="G455" s="254"/>
      <c r="H455" s="253">
        <v>0</v>
      </c>
      <c r="I455" s="254"/>
      <c r="J455" s="111" t="str">
        <f>IF(H448=3,B450,"")</f>
        <v>VITOR YUKIO</v>
      </c>
      <c r="K455" s="33" t="str">
        <f>IFERROR(IF(J455="","",VLOOKUP(J455,LISTAS!$F$5:$G$1004,2,0)),"0")</f>
        <v>ABACO IPIRANGA</v>
      </c>
      <c r="L455" s="79"/>
    </row>
    <row r="456" spans="2:12" x14ac:dyDescent="0.25">
      <c r="B456" s="33" t="str">
        <f>IF(H448=3,B448,"")</f>
        <v>JOÃO TAKANO CALMAZINI</v>
      </c>
      <c r="C456" s="33" t="str">
        <f>IFERROR(IF(B456="","",VLOOKUP(B456,LISTAS!$F$5:$G$1004,2,0)),"0")</f>
        <v>ESCOLA STAGIUM</v>
      </c>
      <c r="D456" s="253">
        <v>0</v>
      </c>
      <c r="E456" s="254"/>
      <c r="F456" s="253" t="s">
        <v>38</v>
      </c>
      <c r="G456" s="254"/>
      <c r="H456" s="253">
        <v>2</v>
      </c>
      <c r="I456" s="254"/>
      <c r="J456" s="111" t="str">
        <f>IF(H448=3,B449,"")</f>
        <v>FELIPE MALTEMPI ALVES</v>
      </c>
      <c r="K456" s="33" t="str">
        <f>IFERROR(IF(J456="","",VLOOKUP(J456,LISTAS!$F$5:$G$1004,2,0)),"0")</f>
        <v>COLÉGIO VÉRTICE</v>
      </c>
      <c r="L456" s="81"/>
    </row>
    <row r="458" spans="2:12" x14ac:dyDescent="0.25">
      <c r="B458" s="161" t="s">
        <v>605</v>
      </c>
      <c r="C458" s="79"/>
      <c r="D458" s="255" t="s">
        <v>42</v>
      </c>
      <c r="E458" s="256"/>
      <c r="F458" s="256"/>
      <c r="G458" s="257"/>
      <c r="H458" s="113"/>
      <c r="I458" s="255" t="s">
        <v>3</v>
      </c>
      <c r="J458" s="256"/>
      <c r="K458" s="256"/>
      <c r="L458" s="256"/>
    </row>
    <row r="459" spans="2:12" x14ac:dyDescent="0.25">
      <c r="B459" s="132" t="s">
        <v>15</v>
      </c>
      <c r="C459" s="132" t="s">
        <v>0</v>
      </c>
      <c r="D459" s="132" t="s">
        <v>43</v>
      </c>
      <c r="E459" s="132" t="s">
        <v>44</v>
      </c>
      <c r="F459" s="132" t="s">
        <v>77</v>
      </c>
      <c r="G459" s="132" t="s">
        <v>78</v>
      </c>
      <c r="H459" s="114"/>
      <c r="I459" s="132" t="s">
        <v>18</v>
      </c>
      <c r="J459" s="132" t="s">
        <v>15</v>
      </c>
      <c r="K459" s="132" t="s">
        <v>0</v>
      </c>
      <c r="L459" s="132" t="s">
        <v>45</v>
      </c>
    </row>
    <row r="460" spans="2:12" x14ac:dyDescent="0.25">
      <c r="B460" s="33" t="s">
        <v>468</v>
      </c>
      <c r="C460" s="33" t="str">
        <f>IFERROR(IF(B460="","",VLOOKUP(B460,LISTAS!$F$5:$G$1004,2,0)),"0")</f>
        <v>ESCOLA VILLARE</v>
      </c>
      <c r="D460" s="33" t="str">
        <f>IF(H460&lt;3,"",IF(H460=3,IF(D466&lt;&gt;"",IF(H466&lt;&gt;"",IF(D466&lt;&gt;H466,IF(D466&gt;H466,"V","D"),""),""),"")))</f>
        <v>V</v>
      </c>
      <c r="E460" s="33" t="str">
        <f>IF(H460&lt;3,"",IF(H460=3,IF(D468&lt;&gt;"",IF(H468&lt;&gt;"",IF(D468&lt;&gt;H468,IF(D468&gt;H468,"V","D"),""),""),"")))</f>
        <v>V</v>
      </c>
      <c r="F460" s="33" t="s">
        <v>81</v>
      </c>
      <c r="G460" s="33" t="s">
        <v>81</v>
      </c>
      <c r="H460" s="117">
        <f>COUNTA(B460:B462)</f>
        <v>3</v>
      </c>
      <c r="I460" s="33">
        <f>IF(B460&lt;&gt;"",1,"")</f>
        <v>1</v>
      </c>
      <c r="J460" s="33">
        <f>IF(I460&lt;&gt;"",P460,"")</f>
        <v>0</v>
      </c>
      <c r="K460" s="33" t="str">
        <f>IFERROR(IF(J460="","",VLOOKUP(J460,LISTAS!$F$5:$G$1004,2,0)),"0")</f>
        <v>0</v>
      </c>
      <c r="L460" s="130" t="str">
        <f>IF(H460=3,"OURO",IF(H460=4,"OURO",IF(H460=5,"OURO","")))</f>
        <v>OURO</v>
      </c>
    </row>
    <row r="461" spans="2:12" x14ac:dyDescent="0.25">
      <c r="B461" s="33" t="s">
        <v>435</v>
      </c>
      <c r="C461" s="33" t="str">
        <f>IFERROR(IF(B461="","",VLOOKUP(B461,LISTAS!$F$5:$G$1004,2,0)),"0")</f>
        <v>COLÉGIO ARBOS - UNIDADE SANTO ANDRÉ</v>
      </c>
      <c r="D461" s="33" t="str">
        <f>IF(H460&lt;3,"",IF(H460=3,IF(D467&lt;&gt;"",IF(H467&lt;&gt;"",IF(D467&lt;&gt;H467,IF(D467&gt;H467,"V","D"),""),""),"")))</f>
        <v>D</v>
      </c>
      <c r="E461" s="33" t="str">
        <f>IF(H460&lt;3,"",IF(H460=3,IF(D468&lt;&gt;"",IF(H468&lt;&gt;"",IF(D468&lt;&gt;H468,IF(D468&gt;H468,"D","V"),""),""),"")))</f>
        <v>D</v>
      </c>
      <c r="F461" s="33" t="s">
        <v>81</v>
      </c>
      <c r="G461" s="33" t="s">
        <v>81</v>
      </c>
      <c r="H461" s="117"/>
      <c r="I461" s="33">
        <f>IF(B461&lt;&gt;"",2,"")</f>
        <v>2</v>
      </c>
      <c r="J461" s="33">
        <f>IF(I461&lt;&gt;"",P461,"")</f>
        <v>0</v>
      </c>
      <c r="K461" s="33" t="str">
        <f>IFERROR(IF(J461="","",VLOOKUP(J461,LISTAS!$F$5:$G$1004,2,0)),"0")</f>
        <v>0</v>
      </c>
      <c r="L461" s="130" t="str">
        <f>IF(H460=3,"PRATA",IF(H460=4,"OURO",IF(H460=5,"OURO","")))</f>
        <v>PRATA</v>
      </c>
    </row>
    <row r="462" spans="2:12" x14ac:dyDescent="0.25">
      <c r="B462" s="39" t="s">
        <v>676</v>
      </c>
      <c r="C462" s="33" t="str">
        <f>IFERROR(IF(B462="","",VLOOKUP(B462,LISTAS!$F$5:$G$1004,2,0)),"0")</f>
        <v>ESCOLA STAGIUM</v>
      </c>
      <c r="D462" s="33" t="str">
        <f>IF(H460&lt;3,"",IF(H460=3,IF(D466&lt;&gt;"",IF(H466&lt;&gt;"",IF(D466&lt;&gt;H466,IF(D466&gt;H466,"D","V"),""),""),"")))</f>
        <v>D</v>
      </c>
      <c r="E462" s="33" t="str">
        <f>IF(H460&lt;3,"",IF(H460=3,IF(D467&lt;&gt;"",IF(H467&lt;&gt;"",IF(D467&lt;&gt;H467,IF(D467&gt;H467,"D","V"),""),""),"")))</f>
        <v>V</v>
      </c>
      <c r="F462" s="33" t="s">
        <v>81</v>
      </c>
      <c r="G462" s="33" t="s">
        <v>81</v>
      </c>
      <c r="H462" s="117"/>
      <c r="I462" s="33">
        <f>IF(B462&lt;&gt;"",3,"")</f>
        <v>3</v>
      </c>
      <c r="J462" s="33">
        <f>IF(I462&lt;&gt;"",P462,"")</f>
        <v>0</v>
      </c>
      <c r="K462" s="33" t="str">
        <f>IFERROR(IF(J462="","",VLOOKUP(J462,LISTAS!$F$5:$G$1004,2,0)),"0")</f>
        <v>0</v>
      </c>
      <c r="L462" s="130" t="str">
        <f>IF(H460=3,"BRONZE",IF(H460=4,"PRATA",IF(H460=5,"OURO","")))</f>
        <v>BRONZE</v>
      </c>
    </row>
    <row r="463" spans="2:12" x14ac:dyDescent="0.25">
      <c r="B463" s="79"/>
      <c r="C463" s="79"/>
      <c r="D463" s="79"/>
      <c r="E463" s="79"/>
      <c r="F463" s="79"/>
      <c r="G463" s="79"/>
      <c r="I463" s="80"/>
      <c r="J463" s="79"/>
      <c r="K463" s="81"/>
      <c r="L463" s="81"/>
    </row>
    <row r="464" spans="2:12" x14ac:dyDescent="0.25">
      <c r="B464" s="82" t="s">
        <v>40</v>
      </c>
      <c r="C464" s="79"/>
      <c r="D464" s="79"/>
      <c r="E464" s="79"/>
      <c r="F464" s="79"/>
      <c r="G464" s="79"/>
      <c r="H464" s="79"/>
      <c r="I464" s="79"/>
      <c r="J464" s="79"/>
      <c r="K464" s="79"/>
      <c r="L464" s="79"/>
    </row>
    <row r="465" spans="2:12" x14ac:dyDescent="0.25">
      <c r="B465" s="132" t="s">
        <v>15</v>
      </c>
      <c r="C465" s="132" t="s">
        <v>0</v>
      </c>
      <c r="D465" s="258" t="s">
        <v>41</v>
      </c>
      <c r="E465" s="259"/>
      <c r="F465" s="259"/>
      <c r="G465" s="259"/>
      <c r="H465" s="259"/>
      <c r="I465" s="260"/>
      <c r="J465" s="132" t="s">
        <v>15</v>
      </c>
      <c r="K465" s="132" t="s">
        <v>0</v>
      </c>
      <c r="L465" s="79"/>
    </row>
    <row r="466" spans="2:12" x14ac:dyDescent="0.25">
      <c r="B466" s="33" t="str">
        <f>IF(H460=3,B460,"")</f>
        <v>RAFAEL LOBATO DA CONCEIÇÃO</v>
      </c>
      <c r="C466" s="33" t="str">
        <f>IFERROR(IF(B466="","",VLOOKUP(B466,LISTAS!$F$5:$G$1004,2,0)),"0")</f>
        <v>ESCOLA VILLARE</v>
      </c>
      <c r="D466" s="253">
        <v>2</v>
      </c>
      <c r="E466" s="254"/>
      <c r="F466" s="253" t="s">
        <v>38</v>
      </c>
      <c r="G466" s="254"/>
      <c r="H466" s="253">
        <v>0</v>
      </c>
      <c r="I466" s="254"/>
      <c r="J466" s="111" t="str">
        <f>IF(H460=3,B462,"")</f>
        <v xml:space="preserve">JOÃO PEDRO GRAZIANO </v>
      </c>
      <c r="K466" s="33" t="str">
        <f>IFERROR(IF(J466="","",VLOOKUP(J466,LISTAS!$F$5:$G$1004,2,0)),"0")</f>
        <v>ESCOLA STAGIUM</v>
      </c>
      <c r="L466" s="81"/>
    </row>
    <row r="467" spans="2:12" x14ac:dyDescent="0.25">
      <c r="B467" s="33" t="str">
        <f>IF(H460=3,B461,"")</f>
        <v>LEONARDO VASCONCELLOS PAZIAN</v>
      </c>
      <c r="C467" s="33" t="str">
        <f>IFERROR(IF(B467="","",VLOOKUP(B467,LISTAS!$F$5:$G$1004,2,0)),"0")</f>
        <v>COLÉGIO ARBOS - UNIDADE SANTO ANDRÉ</v>
      </c>
      <c r="D467" s="253">
        <v>0</v>
      </c>
      <c r="E467" s="254"/>
      <c r="F467" s="253" t="s">
        <v>38</v>
      </c>
      <c r="G467" s="254"/>
      <c r="H467" s="253">
        <v>2</v>
      </c>
      <c r="I467" s="254"/>
      <c r="J467" s="111" t="str">
        <f>IF(H460=3,B462,"")</f>
        <v xml:space="preserve">JOÃO PEDRO GRAZIANO </v>
      </c>
      <c r="K467" s="33" t="str">
        <f>IFERROR(IF(J467="","",VLOOKUP(J467,LISTAS!$F$5:$G$1004,2,0)),"0")</f>
        <v>ESCOLA STAGIUM</v>
      </c>
      <c r="L467" s="79"/>
    </row>
    <row r="468" spans="2:12" x14ac:dyDescent="0.25">
      <c r="B468" s="33" t="str">
        <f>IF(H460=3,B460,"")</f>
        <v>RAFAEL LOBATO DA CONCEIÇÃO</v>
      </c>
      <c r="C468" s="33" t="str">
        <f>IFERROR(IF(B468="","",VLOOKUP(B468,LISTAS!$F$5:$G$1004,2,0)),"0")</f>
        <v>ESCOLA VILLARE</v>
      </c>
      <c r="D468" s="253">
        <v>2</v>
      </c>
      <c r="E468" s="254"/>
      <c r="F468" s="253" t="s">
        <v>38</v>
      </c>
      <c r="G468" s="254"/>
      <c r="H468" s="253">
        <v>0</v>
      </c>
      <c r="I468" s="254"/>
      <c r="J468" s="111" t="str">
        <f>IF(H460=3,B461,"")</f>
        <v>LEONARDO VASCONCELLOS PAZIAN</v>
      </c>
      <c r="K468" s="33" t="str">
        <f>IFERROR(IF(J468="","",VLOOKUP(J468,LISTAS!$F$5:$G$1004,2,0)),"0")</f>
        <v>COLÉGIO ARBOS - UNIDADE SANTO ANDRÉ</v>
      </c>
      <c r="L468" s="81"/>
    </row>
    <row r="470" spans="2:12" x14ac:dyDescent="0.25">
      <c r="B470" s="161" t="s">
        <v>606</v>
      </c>
      <c r="C470" s="79"/>
      <c r="D470" s="255" t="s">
        <v>42</v>
      </c>
      <c r="E470" s="256"/>
      <c r="F470" s="256"/>
      <c r="G470" s="257"/>
      <c r="H470" s="113"/>
      <c r="I470" s="255" t="s">
        <v>3</v>
      </c>
      <c r="J470" s="256"/>
      <c r="K470" s="256"/>
      <c r="L470" s="256"/>
    </row>
    <row r="471" spans="2:12" x14ac:dyDescent="0.25">
      <c r="B471" s="132" t="s">
        <v>15</v>
      </c>
      <c r="C471" s="132" t="s">
        <v>0</v>
      </c>
      <c r="D471" s="132" t="s">
        <v>43</v>
      </c>
      <c r="E471" s="132" t="s">
        <v>44</v>
      </c>
      <c r="F471" s="132" t="s">
        <v>77</v>
      </c>
      <c r="G471" s="132" t="s">
        <v>78</v>
      </c>
      <c r="H471" s="114"/>
      <c r="I471" s="132" t="s">
        <v>18</v>
      </c>
      <c r="J471" s="132" t="s">
        <v>15</v>
      </c>
      <c r="K471" s="132" t="s">
        <v>0</v>
      </c>
      <c r="L471" s="132" t="s">
        <v>45</v>
      </c>
    </row>
    <row r="472" spans="2:12" x14ac:dyDescent="0.25">
      <c r="B472" s="33" t="s">
        <v>429</v>
      </c>
      <c r="C472" s="33" t="str">
        <f>IFERROR(IF(B472="","",VLOOKUP(B472,LISTAS!$F$5:$G$1004,2,0)),"0")</f>
        <v>CENTRO DE ESTUDOS JÚLIO VERNE</v>
      </c>
      <c r="D472" s="33" t="str">
        <f>IF(H472&lt;3,"",IF(H472=3,IF(D478&lt;&gt;"",IF(H478&lt;&gt;"",IF(D478&lt;&gt;H478,IF(D478&gt;H478,"V","D"),""),""),"")))</f>
        <v>D</v>
      </c>
      <c r="E472" s="33" t="str">
        <f>IF(H472&lt;3,"",IF(H472=3,IF(D480&lt;&gt;"",IF(H480&lt;&gt;"",IF(D480&lt;&gt;H480,IF(D480&gt;H480,"V","D"),""),""),"")))</f>
        <v>D</v>
      </c>
      <c r="F472" s="33" t="s">
        <v>81</v>
      </c>
      <c r="G472" s="33" t="s">
        <v>81</v>
      </c>
      <c r="H472" s="117">
        <f>COUNTA(B472:B474)</f>
        <v>3</v>
      </c>
      <c r="I472" s="33">
        <f>IF(B472&lt;&gt;"",1,"")</f>
        <v>1</v>
      </c>
      <c r="J472" s="33">
        <f>IF(I472&lt;&gt;"",P472,"")</f>
        <v>0</v>
      </c>
      <c r="K472" s="33" t="str">
        <f>IFERROR(IF(J472="","",VLOOKUP(J472,LISTAS!$F$5:$G$1004,2,0)),"0")</f>
        <v>0</v>
      </c>
      <c r="L472" s="130" t="str">
        <f>IF(H472=3,"OURO",IF(H472=4,"OURO",IF(H472=5,"OURO","")))</f>
        <v>OURO</v>
      </c>
    </row>
    <row r="473" spans="2:12" x14ac:dyDescent="0.25">
      <c r="B473" s="33" t="s">
        <v>649</v>
      </c>
      <c r="C473" s="33" t="str">
        <f>IFERROR(IF(B473="","",VLOOKUP(B473,LISTAS!$F$5:$G$1004,2,0)),"0")</f>
        <v>PEN LIFE</v>
      </c>
      <c r="D473" s="33" t="str">
        <f>IF(H472&lt;3,"",IF(H472=3,IF(D479&lt;&gt;"",IF(H479&lt;&gt;"",IF(D479&lt;&gt;H479,IF(D479&gt;H479,"V","D"),""),""),"")))</f>
        <v>V</v>
      </c>
      <c r="E473" s="33" t="str">
        <f>IF(H472&lt;3,"",IF(H472=3,IF(D480&lt;&gt;"",IF(H480&lt;&gt;"",IF(D480&lt;&gt;H480,IF(D480&gt;H480,"D","V"),""),""),"")))</f>
        <v>V</v>
      </c>
      <c r="F473" s="33" t="s">
        <v>81</v>
      </c>
      <c r="G473" s="33" t="s">
        <v>81</v>
      </c>
      <c r="H473" s="117"/>
      <c r="I473" s="33">
        <f>IF(B473&lt;&gt;"",2,"")</f>
        <v>2</v>
      </c>
      <c r="J473" s="33">
        <f>IF(I473&lt;&gt;"",P473,"")</f>
        <v>0</v>
      </c>
      <c r="K473" s="33" t="str">
        <f>IFERROR(IF(J473="","",VLOOKUP(J473,LISTAS!$F$5:$G$1004,2,0)),"0")</f>
        <v>0</v>
      </c>
      <c r="L473" s="130" t="str">
        <f>IF(H472=3,"PRATA",IF(H472=4,"OURO",IF(H472=5,"OURO","")))</f>
        <v>PRATA</v>
      </c>
    </row>
    <row r="474" spans="2:12" x14ac:dyDescent="0.25">
      <c r="B474" s="33" t="s">
        <v>662</v>
      </c>
      <c r="C474" s="33" t="str">
        <f>IFERROR(IF(B474="","",VLOOKUP(B474,LISTAS!$F$5:$G$1004,2,0)),"0")</f>
        <v>ESCOLA PINHEIRO</v>
      </c>
      <c r="D474" s="33" t="str">
        <f>IF(H472&lt;3,"",IF(H472=3,IF(D478&lt;&gt;"",IF(H478&lt;&gt;"",IF(D478&lt;&gt;H478,IF(D478&gt;H478,"D","V"),""),""),"")))</f>
        <v>V</v>
      </c>
      <c r="E474" s="33" t="str">
        <f>IF(H472&lt;3,"",IF(H472=3,IF(D479&lt;&gt;"",IF(H479&lt;&gt;"",IF(D479&lt;&gt;H479,IF(D479&gt;H479,"D","V"),""),""),"")))</f>
        <v>D</v>
      </c>
      <c r="F474" s="33" t="s">
        <v>81</v>
      </c>
      <c r="G474" s="33" t="s">
        <v>81</v>
      </c>
      <c r="H474" s="117"/>
      <c r="I474" s="33">
        <f>IF(B474&lt;&gt;"",3,"")</f>
        <v>3</v>
      </c>
      <c r="J474" s="33">
        <f>IF(I474&lt;&gt;"",P474,"")</f>
        <v>0</v>
      </c>
      <c r="K474" s="33" t="str">
        <f>IFERROR(IF(J474="","",VLOOKUP(J474,LISTAS!$F$5:$G$1004,2,0)),"0")</f>
        <v>0</v>
      </c>
      <c r="L474" s="130" t="str">
        <f>IF(H472=3,"BRONZE",IF(H472=4,"PRATA",IF(H472=5,"OURO","")))</f>
        <v>BRONZE</v>
      </c>
    </row>
    <row r="475" spans="2:12" x14ac:dyDescent="0.25">
      <c r="B475" s="79"/>
      <c r="C475" s="79"/>
      <c r="D475" s="79"/>
      <c r="E475" s="79"/>
      <c r="F475" s="79"/>
      <c r="G475" s="79"/>
      <c r="I475" s="80"/>
      <c r="J475" s="79"/>
      <c r="K475" s="81"/>
      <c r="L475" s="81"/>
    </row>
    <row r="476" spans="2:12" x14ac:dyDescent="0.25">
      <c r="B476" s="82" t="s">
        <v>40</v>
      </c>
      <c r="C476" s="79"/>
      <c r="D476" s="79"/>
      <c r="E476" s="79"/>
      <c r="F476" s="79"/>
      <c r="G476" s="79"/>
      <c r="H476" s="79"/>
      <c r="I476" s="79"/>
      <c r="J476" s="79"/>
      <c r="K476" s="79"/>
      <c r="L476" s="79"/>
    </row>
    <row r="477" spans="2:12" x14ac:dyDescent="0.25">
      <c r="B477" s="132" t="s">
        <v>15</v>
      </c>
      <c r="C477" s="132" t="s">
        <v>0</v>
      </c>
      <c r="D477" s="258" t="s">
        <v>41</v>
      </c>
      <c r="E477" s="259"/>
      <c r="F477" s="259"/>
      <c r="G477" s="259"/>
      <c r="H477" s="259"/>
      <c r="I477" s="260"/>
      <c r="J477" s="132" t="s">
        <v>15</v>
      </c>
      <c r="K477" s="132" t="s">
        <v>0</v>
      </c>
      <c r="L477" s="79"/>
    </row>
    <row r="478" spans="2:12" x14ac:dyDescent="0.25">
      <c r="B478" s="33" t="str">
        <f>IF(H472=3,B472,"")</f>
        <v>KEVIN KENJI SAKUDA</v>
      </c>
      <c r="C478" s="33" t="str">
        <f>IFERROR(IF(B478="","",VLOOKUP(B478,LISTAS!$F$5:$G$1004,2,0)),"0")</f>
        <v>CENTRO DE ESTUDOS JÚLIO VERNE</v>
      </c>
      <c r="D478" s="253">
        <v>0</v>
      </c>
      <c r="E478" s="254"/>
      <c r="F478" s="253" t="s">
        <v>38</v>
      </c>
      <c r="G478" s="254"/>
      <c r="H478" s="253">
        <v>2</v>
      </c>
      <c r="I478" s="254"/>
      <c r="J478" s="111" t="str">
        <f>IF(H472=3,B474,"")</f>
        <v>RAFAEL CIMIM</v>
      </c>
      <c r="K478" s="33" t="str">
        <f>IFERROR(IF(J478="","",VLOOKUP(J478,LISTAS!$F$5:$G$1004,2,0)),"0")</f>
        <v>ESCOLA PINHEIRO</v>
      </c>
      <c r="L478" s="81"/>
    </row>
    <row r="479" spans="2:12" x14ac:dyDescent="0.25">
      <c r="B479" s="33" t="str">
        <f>IF(H472=3,B473,"")</f>
        <v>GIOVANI PRADO MARTINS GARCIA</v>
      </c>
      <c r="C479" s="33" t="str">
        <f>IFERROR(IF(B479="","",VLOOKUP(B479,LISTAS!$F$5:$G$1004,2,0)),"0")</f>
        <v>PEN LIFE</v>
      </c>
      <c r="D479" s="253">
        <v>2</v>
      </c>
      <c r="E479" s="254"/>
      <c r="F479" s="253" t="s">
        <v>38</v>
      </c>
      <c r="G479" s="254"/>
      <c r="H479" s="253">
        <v>1</v>
      </c>
      <c r="I479" s="254"/>
      <c r="J479" s="111" t="str">
        <f>IF(H472=3,B474,"")</f>
        <v>RAFAEL CIMIM</v>
      </c>
      <c r="K479" s="33" t="str">
        <f>IFERROR(IF(J479="","",VLOOKUP(J479,LISTAS!$F$5:$G$1004,2,0)),"0")</f>
        <v>ESCOLA PINHEIRO</v>
      </c>
      <c r="L479" s="79"/>
    </row>
    <row r="480" spans="2:12" x14ac:dyDescent="0.25">
      <c r="B480" s="33" t="str">
        <f>IF(H472=3,B472,"")</f>
        <v>KEVIN KENJI SAKUDA</v>
      </c>
      <c r="C480" s="33" t="str">
        <f>IFERROR(IF(B480="","",VLOOKUP(B480,LISTAS!$F$5:$G$1004,2,0)),"0")</f>
        <v>CENTRO DE ESTUDOS JÚLIO VERNE</v>
      </c>
      <c r="D480" s="253">
        <v>1</v>
      </c>
      <c r="E480" s="254"/>
      <c r="F480" s="253" t="s">
        <v>38</v>
      </c>
      <c r="G480" s="254"/>
      <c r="H480" s="253">
        <v>2</v>
      </c>
      <c r="I480" s="254"/>
      <c r="J480" s="111" t="str">
        <f>IF(H472=3,B473,"")</f>
        <v>GIOVANI PRADO MARTINS GARCIA</v>
      </c>
      <c r="K480" s="33" t="str">
        <f>IFERROR(IF(J480="","",VLOOKUP(J480,LISTAS!$F$5:$G$1004,2,0)),"0")</f>
        <v>PEN LIFE</v>
      </c>
      <c r="L480" s="81"/>
    </row>
    <row r="482" spans="2:12" x14ac:dyDescent="0.25">
      <c r="B482" s="161" t="s">
        <v>607</v>
      </c>
      <c r="C482" s="79"/>
      <c r="D482" s="255" t="s">
        <v>42</v>
      </c>
      <c r="E482" s="256"/>
      <c r="F482" s="256"/>
      <c r="G482" s="257"/>
      <c r="H482" s="113"/>
      <c r="I482" s="255" t="s">
        <v>3</v>
      </c>
      <c r="J482" s="256"/>
      <c r="K482" s="256"/>
      <c r="L482" s="256"/>
    </row>
    <row r="483" spans="2:12" x14ac:dyDescent="0.25">
      <c r="B483" s="132" t="s">
        <v>15</v>
      </c>
      <c r="C483" s="132" t="s">
        <v>0</v>
      </c>
      <c r="D483" s="132" t="s">
        <v>43</v>
      </c>
      <c r="E483" s="132" t="s">
        <v>44</v>
      </c>
      <c r="F483" s="132" t="s">
        <v>77</v>
      </c>
      <c r="G483" s="132" t="s">
        <v>78</v>
      </c>
      <c r="H483" s="114"/>
      <c r="I483" s="132" t="s">
        <v>18</v>
      </c>
      <c r="J483" s="132" t="s">
        <v>15</v>
      </c>
      <c r="K483" s="132" t="s">
        <v>0</v>
      </c>
      <c r="L483" s="132" t="s">
        <v>45</v>
      </c>
    </row>
    <row r="484" spans="2:12" x14ac:dyDescent="0.25">
      <c r="B484" s="39" t="s">
        <v>681</v>
      </c>
      <c r="C484" s="33">
        <f>IFERROR(IF(B484="","",VLOOKUP(B484,LISTAS!$F$5:$G$1004,2,0)),"0")</f>
        <v>0</v>
      </c>
      <c r="D484" s="33" t="str">
        <f>IF(H484&lt;3,"",IF(H484=3,IF(D490&lt;&gt;"",IF(H490&lt;&gt;"",IF(D490&lt;&gt;H490,IF(D490&gt;H490,"V","D"),""),""),"")))</f>
        <v>V</v>
      </c>
      <c r="E484" s="33" t="str">
        <f>IF(H484&lt;3,"",IF(H484=3,IF(D492&lt;&gt;"",IF(H492&lt;&gt;"",IF(D492&lt;&gt;H492,IF(D492&gt;H492,"V","D"),""),""),"")))</f>
        <v>V</v>
      </c>
      <c r="F484" s="33" t="s">
        <v>81</v>
      </c>
      <c r="G484" s="33" t="s">
        <v>81</v>
      </c>
      <c r="H484" s="117">
        <f>COUNTA(B484:B486)</f>
        <v>3</v>
      </c>
      <c r="I484" s="33">
        <f>IF(B484&lt;&gt;"",1,"")</f>
        <v>1</v>
      </c>
      <c r="J484" s="33">
        <f>IF(I484&lt;&gt;"",P484,"")</f>
        <v>0</v>
      </c>
      <c r="K484" s="33" t="str">
        <f>IFERROR(IF(J484="","",VLOOKUP(J484,LISTAS!$F$5:$G$1004,2,0)),"0")</f>
        <v>0</v>
      </c>
      <c r="L484" s="130" t="str">
        <f>IF(H484=3,"OURO",IF(H484=4,"OURO",IF(H484=5,"OURO","")))</f>
        <v>OURO</v>
      </c>
    </row>
    <row r="485" spans="2:12" x14ac:dyDescent="0.25">
      <c r="B485" s="33" t="s">
        <v>601</v>
      </c>
      <c r="C485" s="33" t="str">
        <f>IFERROR(IF(B485="","",VLOOKUP(B485,LISTAS!$F$5:$G$1004,2,0)),"0")</f>
        <v>BYE</v>
      </c>
      <c r="D485" s="33" t="str">
        <f>IF(H484&lt;3,"",IF(H484=3,IF(D491&lt;&gt;"",IF(H491&lt;&gt;"",IF(D491&lt;&gt;H491,IF(D491&gt;H491,"V","D"),""),""),"")))</f>
        <v>D</v>
      </c>
      <c r="E485" s="33" t="str">
        <f>IF(H484&lt;3,"",IF(H484=3,IF(D492&lt;&gt;"",IF(H492&lt;&gt;"",IF(D492&lt;&gt;H492,IF(D492&gt;H492,"D","V"),""),""),"")))</f>
        <v>D</v>
      </c>
      <c r="F485" s="33" t="s">
        <v>81</v>
      </c>
      <c r="G485" s="33" t="s">
        <v>81</v>
      </c>
      <c r="H485" s="117"/>
      <c r="I485" s="33">
        <f>IF(B485&lt;&gt;"",2,"")</f>
        <v>2</v>
      </c>
      <c r="J485" s="33">
        <f>IF(I485&lt;&gt;"",P485,"")</f>
        <v>0</v>
      </c>
      <c r="K485" s="33" t="str">
        <f>IFERROR(IF(J485="","",VLOOKUP(J485,LISTAS!$F$5:$G$1004,2,0)),"0")</f>
        <v>0</v>
      </c>
      <c r="L485" s="130" t="str">
        <f>IF(H484=3,"PRATA",IF(H484=4,"OURO",IF(H484=5,"OURO","")))</f>
        <v>PRATA</v>
      </c>
    </row>
    <row r="486" spans="2:12" x14ac:dyDescent="0.25">
      <c r="B486" s="39" t="s">
        <v>674</v>
      </c>
      <c r="C486" s="33" t="str">
        <f>IFERROR(IF(B486="","",VLOOKUP(B486,LISTAS!$F$5:$G$1004,2,0)),"0")</f>
        <v>ABACO IPIRANGA</v>
      </c>
      <c r="D486" s="33" t="str">
        <f>IF(H484&lt;3,"",IF(H484=3,IF(D490&lt;&gt;"",IF(H490&lt;&gt;"",IF(D490&lt;&gt;H490,IF(D490&gt;H490,"D","V"),""),""),"")))</f>
        <v>D</v>
      </c>
      <c r="E486" s="33" t="str">
        <f>IF(H484&lt;3,"",IF(H484=3,IF(D491&lt;&gt;"",IF(H491&lt;&gt;"",IF(D491&lt;&gt;H491,IF(D491&gt;H491,"D","V"),""),""),"")))</f>
        <v>V</v>
      </c>
      <c r="F486" s="33" t="s">
        <v>81</v>
      </c>
      <c r="G486" s="33" t="s">
        <v>81</v>
      </c>
      <c r="H486" s="117"/>
      <c r="I486" s="33">
        <f>IF(B486&lt;&gt;"",3,"")</f>
        <v>3</v>
      </c>
      <c r="J486" s="33">
        <f>IF(I486&lt;&gt;"",P486,"")</f>
        <v>0</v>
      </c>
      <c r="K486" s="33" t="str">
        <f>IFERROR(IF(J486="","",VLOOKUP(J486,LISTAS!$F$5:$G$1004,2,0)),"0")</f>
        <v>0</v>
      </c>
      <c r="L486" s="130" t="str">
        <f>IF(H484=3,"BRONZE",IF(H484=4,"PRATA",IF(H484=5,"OURO","")))</f>
        <v>BRONZE</v>
      </c>
    </row>
    <row r="487" spans="2:12" x14ac:dyDescent="0.25">
      <c r="B487" s="79"/>
      <c r="C487" s="79"/>
      <c r="D487" s="79"/>
      <c r="E487" s="79"/>
      <c r="F487" s="79"/>
      <c r="G487" s="79"/>
      <c r="I487" s="80"/>
      <c r="J487" s="79"/>
      <c r="K487" s="81"/>
      <c r="L487" s="81"/>
    </row>
    <row r="488" spans="2:12" x14ac:dyDescent="0.25">
      <c r="B488" s="82" t="s">
        <v>40</v>
      </c>
      <c r="C488" s="79"/>
      <c r="D488" s="79"/>
      <c r="E488" s="79"/>
      <c r="F488" s="79"/>
      <c r="G488" s="79"/>
      <c r="H488" s="79"/>
      <c r="I488" s="79"/>
      <c r="J488" s="79"/>
      <c r="K488" s="79"/>
      <c r="L488" s="79"/>
    </row>
    <row r="489" spans="2:12" x14ac:dyDescent="0.25">
      <c r="B489" s="132" t="s">
        <v>15</v>
      </c>
      <c r="C489" s="132" t="s">
        <v>0</v>
      </c>
      <c r="D489" s="258" t="s">
        <v>41</v>
      </c>
      <c r="E489" s="259"/>
      <c r="F489" s="259"/>
      <c r="G489" s="259"/>
      <c r="H489" s="259"/>
      <c r="I489" s="260"/>
      <c r="J489" s="132" t="s">
        <v>15</v>
      </c>
      <c r="K489" s="132" t="s">
        <v>0</v>
      </c>
      <c r="L489" s="79"/>
    </row>
    <row r="490" spans="2:12" x14ac:dyDescent="0.25">
      <c r="B490" s="33" t="str">
        <f>IF(H484=3,B484,"")</f>
        <v>BERNARDO MIRANDA</v>
      </c>
      <c r="C490" s="33">
        <f>IFERROR(IF(B490="","",VLOOKUP(B490,LISTAS!$F$5:$G$1004,2,0)),"0")</f>
        <v>0</v>
      </c>
      <c r="D490" s="253">
        <v>2</v>
      </c>
      <c r="E490" s="254"/>
      <c r="F490" s="253" t="s">
        <v>38</v>
      </c>
      <c r="G490" s="254"/>
      <c r="H490" s="253">
        <v>0</v>
      </c>
      <c r="I490" s="254"/>
      <c r="J490" s="111" t="str">
        <f>IF(H484=3,B486,"")</f>
        <v>GABRIEL APOLUCENA</v>
      </c>
      <c r="K490" s="33" t="str">
        <f>IFERROR(IF(J490="","",VLOOKUP(J490,LISTAS!$F$5:$G$1004,2,0)),"0")</f>
        <v>ABACO IPIRANGA</v>
      </c>
      <c r="L490" s="81"/>
    </row>
    <row r="491" spans="2:12" x14ac:dyDescent="0.25">
      <c r="B491" s="33" t="str">
        <f>IF(H484=3,B485,"")</f>
        <v>BYE</v>
      </c>
      <c r="C491" s="33" t="str">
        <f>IFERROR(IF(B491="","",VLOOKUP(B491,LISTAS!$F$5:$G$1004,2,0)),"0")</f>
        <v>BYE</v>
      </c>
      <c r="D491" s="253">
        <v>0</v>
      </c>
      <c r="E491" s="254"/>
      <c r="F491" s="253" t="s">
        <v>38</v>
      </c>
      <c r="G491" s="254"/>
      <c r="H491" s="253">
        <v>2</v>
      </c>
      <c r="I491" s="254"/>
      <c r="J491" s="111" t="str">
        <f>IF(H484=3,B486,"")</f>
        <v>GABRIEL APOLUCENA</v>
      </c>
      <c r="K491" s="33" t="str">
        <f>IFERROR(IF(J491="","",VLOOKUP(J491,LISTAS!$F$5:$G$1004,2,0)),"0")</f>
        <v>ABACO IPIRANGA</v>
      </c>
      <c r="L491" s="79"/>
    </row>
    <row r="492" spans="2:12" x14ac:dyDescent="0.25">
      <c r="B492" s="33" t="str">
        <f>IF(H484=3,B484,"")</f>
        <v>BERNARDO MIRANDA</v>
      </c>
      <c r="C492" s="33">
        <f>IFERROR(IF(B492="","",VLOOKUP(B492,LISTAS!$F$5:$G$1004,2,0)),"0")</f>
        <v>0</v>
      </c>
      <c r="D492" s="253">
        <v>2</v>
      </c>
      <c r="E492" s="254"/>
      <c r="F492" s="253" t="s">
        <v>38</v>
      </c>
      <c r="G492" s="254"/>
      <c r="H492" s="253">
        <v>0</v>
      </c>
      <c r="I492" s="254"/>
      <c r="J492" s="111" t="str">
        <f>IF(H484=3,B485,"")</f>
        <v>BYE</v>
      </c>
      <c r="K492" s="33" t="str">
        <f>IFERROR(IF(J492="","",VLOOKUP(J492,LISTAS!$F$5:$G$1004,2,0)),"0")</f>
        <v>BYE</v>
      </c>
      <c r="L492" s="81"/>
    </row>
    <row r="494" spans="2:12" x14ac:dyDescent="0.25">
      <c r="B494" s="161" t="s">
        <v>608</v>
      </c>
      <c r="C494" s="79"/>
      <c r="D494" s="255" t="s">
        <v>42</v>
      </c>
      <c r="E494" s="256"/>
      <c r="F494" s="256"/>
      <c r="G494" s="257"/>
      <c r="H494" s="113"/>
      <c r="I494" s="255" t="s">
        <v>3</v>
      </c>
      <c r="J494" s="256"/>
      <c r="K494" s="256"/>
      <c r="L494" s="256"/>
    </row>
    <row r="495" spans="2:12" x14ac:dyDescent="0.25">
      <c r="B495" s="132" t="s">
        <v>15</v>
      </c>
      <c r="C495" s="132" t="s">
        <v>0</v>
      </c>
      <c r="D495" s="132" t="s">
        <v>43</v>
      </c>
      <c r="E495" s="132" t="s">
        <v>44</v>
      </c>
      <c r="F495" s="132" t="s">
        <v>77</v>
      </c>
      <c r="G495" s="132" t="s">
        <v>78</v>
      </c>
      <c r="H495" s="114"/>
      <c r="I495" s="132" t="s">
        <v>18</v>
      </c>
      <c r="J495" s="132" t="s">
        <v>15</v>
      </c>
      <c r="K495" s="132" t="s">
        <v>0</v>
      </c>
      <c r="L495" s="132" t="s">
        <v>45</v>
      </c>
    </row>
    <row r="496" spans="2:12" x14ac:dyDescent="0.25">
      <c r="B496" s="33"/>
      <c r="C496" s="33" t="str">
        <f>IFERROR(IF(B496="","",VLOOKUP(B496,LISTAS!$F$5:$G$1004,2,0)),"0")</f>
        <v/>
      </c>
      <c r="D496" s="33" t="str">
        <f>IF(H496&lt;3,"",IF(H496=3,IF(D502&lt;&gt;"",IF(H502&lt;&gt;"",IF(D502&lt;&gt;H502,IF(D502&gt;H502,"V","D"),""),""),"")))</f>
        <v/>
      </c>
      <c r="E496" s="33" t="str">
        <f>IF(H496&lt;3,"",IF(H496=3,IF(D504&lt;&gt;"",IF(H504&lt;&gt;"",IF(D504&lt;&gt;H504,IF(D504&gt;H504,"V","D"),""),""),"")))</f>
        <v/>
      </c>
      <c r="F496" s="33" t="s">
        <v>81</v>
      </c>
      <c r="G496" s="33" t="s">
        <v>81</v>
      </c>
      <c r="H496" s="117">
        <f>COUNTA(B496:B498)</f>
        <v>0</v>
      </c>
      <c r="I496" s="33" t="str">
        <f>IF(B496&lt;&gt;"",1,"")</f>
        <v/>
      </c>
      <c r="J496" s="33" t="str">
        <f>IF(I496&lt;&gt;"",P496,"")</f>
        <v/>
      </c>
      <c r="K496" s="33" t="str">
        <f>IFERROR(IF(J496="","",VLOOKUP(J496,LISTAS!$F$5:$G$1004,2,0)),"0")</f>
        <v/>
      </c>
      <c r="L496" s="130" t="str">
        <f>IF(H496=3,"OURO",IF(H496=4,"OURO",IF(H496=5,"OURO","")))</f>
        <v/>
      </c>
    </row>
    <row r="497" spans="2:12" x14ac:dyDescent="0.25">
      <c r="B497" s="33"/>
      <c r="C497" s="33" t="str">
        <f>IFERROR(IF(B497="","",VLOOKUP(B497,LISTAS!$F$5:$G$1004,2,0)),"0")</f>
        <v/>
      </c>
      <c r="D497" s="33" t="str">
        <f>IF(H496&lt;3,"",IF(H496=3,IF(D503&lt;&gt;"",IF(H503&lt;&gt;"",IF(D503&lt;&gt;H503,IF(D503&gt;H503,"V","D"),""),""),"")))</f>
        <v/>
      </c>
      <c r="E497" s="33" t="str">
        <f>IF(H496&lt;3,"",IF(H496=3,IF(D504&lt;&gt;"",IF(H504&lt;&gt;"",IF(D504&lt;&gt;H504,IF(D504&gt;H504,"D","V"),""),""),"")))</f>
        <v/>
      </c>
      <c r="F497" s="33" t="s">
        <v>81</v>
      </c>
      <c r="G497" s="33" t="s">
        <v>81</v>
      </c>
      <c r="H497" s="117"/>
      <c r="I497" s="33" t="str">
        <f>IF(B497&lt;&gt;"",2,"")</f>
        <v/>
      </c>
      <c r="J497" s="33" t="str">
        <f>IF(I497&lt;&gt;"",P497,"")</f>
        <v/>
      </c>
      <c r="K497" s="33" t="str">
        <f>IFERROR(IF(J497="","",VLOOKUP(J497,LISTAS!$F$5:$G$1004,2,0)),"0")</f>
        <v/>
      </c>
      <c r="L497" s="130" t="str">
        <f>IF(H496=3,"PRATA",IF(H496=4,"OURO",IF(H496=5,"OURO","")))</f>
        <v/>
      </c>
    </row>
    <row r="498" spans="2:12" x14ac:dyDescent="0.25">
      <c r="B498" s="33"/>
      <c r="C498" s="33" t="str">
        <f>IFERROR(IF(B498="","",VLOOKUP(B498,LISTAS!$F$5:$G$1004,2,0)),"0")</f>
        <v/>
      </c>
      <c r="D498" s="33" t="str">
        <f>IF(H496&lt;3,"",IF(H496=3,IF(D502&lt;&gt;"",IF(H502&lt;&gt;"",IF(D502&lt;&gt;H502,IF(D502&gt;H502,"D","V"),""),""),"")))</f>
        <v/>
      </c>
      <c r="E498" s="33" t="str">
        <f>IF(H496&lt;3,"",IF(H496=3,IF(D503&lt;&gt;"",IF(H503&lt;&gt;"",IF(D503&lt;&gt;H503,IF(D503&gt;H503,"D","V"),""),""),"")))</f>
        <v/>
      </c>
      <c r="F498" s="33" t="s">
        <v>81</v>
      </c>
      <c r="G498" s="33" t="s">
        <v>81</v>
      </c>
      <c r="H498" s="117"/>
      <c r="I498" s="33" t="str">
        <f>IF(B498&lt;&gt;"",3,"")</f>
        <v/>
      </c>
      <c r="J498" s="33" t="str">
        <f>IF(I498&lt;&gt;"",P498,"")</f>
        <v/>
      </c>
      <c r="K498" s="33" t="str">
        <f>IFERROR(IF(J498="","",VLOOKUP(J498,LISTAS!$F$5:$G$1004,2,0)),"0")</f>
        <v/>
      </c>
      <c r="L498" s="130" t="str">
        <f>IF(H496=3,"BRONZE",IF(H496=4,"PRATA",IF(H496=5,"OURO","")))</f>
        <v/>
      </c>
    </row>
    <row r="499" spans="2:12" x14ac:dyDescent="0.25">
      <c r="B499" s="79"/>
      <c r="C499" s="79"/>
      <c r="D499" s="79"/>
      <c r="E499" s="79"/>
      <c r="F499" s="79"/>
      <c r="G499" s="79"/>
      <c r="I499" s="80"/>
      <c r="J499" s="79"/>
      <c r="K499" s="81"/>
      <c r="L499" s="81"/>
    </row>
    <row r="500" spans="2:12" x14ac:dyDescent="0.25">
      <c r="B500" s="82" t="s">
        <v>40</v>
      </c>
      <c r="C500" s="79"/>
      <c r="D500" s="79"/>
      <c r="E500" s="79"/>
      <c r="F500" s="79"/>
      <c r="G500" s="79"/>
      <c r="H500" s="79"/>
      <c r="I500" s="79"/>
      <c r="J500" s="79"/>
      <c r="K500" s="79"/>
      <c r="L500" s="79"/>
    </row>
    <row r="501" spans="2:12" x14ac:dyDescent="0.25">
      <c r="B501" s="132" t="s">
        <v>15</v>
      </c>
      <c r="C501" s="132" t="s">
        <v>0</v>
      </c>
      <c r="D501" s="258" t="s">
        <v>41</v>
      </c>
      <c r="E501" s="259"/>
      <c r="F501" s="259"/>
      <c r="G501" s="259"/>
      <c r="H501" s="259"/>
      <c r="I501" s="260"/>
      <c r="J501" s="132" t="s">
        <v>15</v>
      </c>
      <c r="K501" s="132" t="s">
        <v>0</v>
      </c>
      <c r="L501" s="79"/>
    </row>
    <row r="502" spans="2:12" x14ac:dyDescent="0.25">
      <c r="B502" s="33" t="str">
        <f>IF(H496=3,B496,"")</f>
        <v/>
      </c>
      <c r="C502" s="33" t="str">
        <f>IFERROR(IF(B502="","",VLOOKUP(B502,LISTAS!$F$5:$G$1004,2,0)),"0")</f>
        <v/>
      </c>
      <c r="D502" s="253"/>
      <c r="E502" s="254"/>
      <c r="F502" s="253" t="s">
        <v>38</v>
      </c>
      <c r="G502" s="254"/>
      <c r="H502" s="253"/>
      <c r="I502" s="254"/>
      <c r="J502" s="111" t="str">
        <f>IF(H496=3,B498,"")</f>
        <v/>
      </c>
      <c r="K502" s="33" t="str">
        <f>IFERROR(IF(J502="","",VLOOKUP(J502,LISTAS!$F$5:$G$1004,2,0)),"0")</f>
        <v/>
      </c>
      <c r="L502" s="81"/>
    </row>
    <row r="503" spans="2:12" x14ac:dyDescent="0.25">
      <c r="B503" s="33" t="str">
        <f>IF(H496=3,B497,"")</f>
        <v/>
      </c>
      <c r="C503" s="33" t="str">
        <f>IFERROR(IF(B503="","",VLOOKUP(B503,LISTAS!$F$5:$G$1004,2,0)),"0")</f>
        <v/>
      </c>
      <c r="D503" s="253"/>
      <c r="E503" s="254"/>
      <c r="F503" s="253" t="s">
        <v>38</v>
      </c>
      <c r="G503" s="254"/>
      <c r="H503" s="253"/>
      <c r="I503" s="254"/>
      <c r="J503" s="111" t="str">
        <f>IF(H496=3,B498,"")</f>
        <v/>
      </c>
      <c r="K503" s="33" t="str">
        <f>IFERROR(IF(J503="","",VLOOKUP(J503,LISTAS!$F$5:$G$1004,2,0)),"0")</f>
        <v/>
      </c>
      <c r="L503" s="79"/>
    </row>
    <row r="504" spans="2:12" x14ac:dyDescent="0.25">
      <c r="B504" s="33" t="str">
        <f>IF(H496=3,B496,"")</f>
        <v/>
      </c>
      <c r="C504" s="33" t="str">
        <f>IFERROR(IF(B504="","",VLOOKUP(B504,LISTAS!$F$5:$G$1004,2,0)),"0")</f>
        <v/>
      </c>
      <c r="D504" s="253"/>
      <c r="E504" s="254"/>
      <c r="F504" s="253" t="s">
        <v>38</v>
      </c>
      <c r="G504" s="254"/>
      <c r="H504" s="253"/>
      <c r="I504" s="254"/>
      <c r="J504" s="111" t="str">
        <f>IF(H496=3,B497,"")</f>
        <v/>
      </c>
      <c r="K504" s="33" t="str">
        <f>IFERROR(IF(J504="","",VLOOKUP(J504,LISTAS!$F$5:$G$1004,2,0)),"0")</f>
        <v/>
      </c>
      <c r="L504" s="81"/>
    </row>
  </sheetData>
  <mergeCells count="488">
    <mergeCell ref="D502:E502"/>
    <mergeCell ref="F502:G502"/>
    <mergeCell ref="H502:I502"/>
    <mergeCell ref="D503:E503"/>
    <mergeCell ref="F503:G503"/>
    <mergeCell ref="H503:I503"/>
    <mergeCell ref="D504:E504"/>
    <mergeCell ref="F504:G504"/>
    <mergeCell ref="H504:I504"/>
    <mergeCell ref="D491:E491"/>
    <mergeCell ref="F491:G491"/>
    <mergeCell ref="H491:I491"/>
    <mergeCell ref="D492:E492"/>
    <mergeCell ref="F492:G492"/>
    <mergeCell ref="H492:I492"/>
    <mergeCell ref="D494:G494"/>
    <mergeCell ref="I494:L494"/>
    <mergeCell ref="D501:I501"/>
    <mergeCell ref="D480:E480"/>
    <mergeCell ref="F480:G480"/>
    <mergeCell ref="H480:I480"/>
    <mergeCell ref="D482:G482"/>
    <mergeCell ref="I482:L482"/>
    <mergeCell ref="D489:I489"/>
    <mergeCell ref="D490:E490"/>
    <mergeCell ref="F490:G490"/>
    <mergeCell ref="H490:I490"/>
    <mergeCell ref="D470:G470"/>
    <mergeCell ref="I470:L470"/>
    <mergeCell ref="D477:I477"/>
    <mergeCell ref="D478:E478"/>
    <mergeCell ref="F478:G478"/>
    <mergeCell ref="H478:I478"/>
    <mergeCell ref="D479:E479"/>
    <mergeCell ref="F479:G479"/>
    <mergeCell ref="H479:I479"/>
    <mergeCell ref="D466:E466"/>
    <mergeCell ref="F466:G466"/>
    <mergeCell ref="H466:I466"/>
    <mergeCell ref="D467:E467"/>
    <mergeCell ref="F467:G467"/>
    <mergeCell ref="H467:I467"/>
    <mergeCell ref="D468:E468"/>
    <mergeCell ref="F468:G468"/>
    <mergeCell ref="H468:I468"/>
    <mergeCell ref="D455:E455"/>
    <mergeCell ref="F455:G455"/>
    <mergeCell ref="H455:I455"/>
    <mergeCell ref="D456:E456"/>
    <mergeCell ref="F456:G456"/>
    <mergeCell ref="H456:I456"/>
    <mergeCell ref="D458:G458"/>
    <mergeCell ref="I458:L458"/>
    <mergeCell ref="D465:I465"/>
    <mergeCell ref="D444:E444"/>
    <mergeCell ref="F444:G444"/>
    <mergeCell ref="H444:I444"/>
    <mergeCell ref="D446:G446"/>
    <mergeCell ref="I446:L446"/>
    <mergeCell ref="D453:I453"/>
    <mergeCell ref="D454:E454"/>
    <mergeCell ref="F454:G454"/>
    <mergeCell ref="H454:I454"/>
    <mergeCell ref="D434:G434"/>
    <mergeCell ref="I434:L434"/>
    <mergeCell ref="D441:I441"/>
    <mergeCell ref="D442:E442"/>
    <mergeCell ref="F442:G442"/>
    <mergeCell ref="H442:I442"/>
    <mergeCell ref="D443:E443"/>
    <mergeCell ref="F443:G443"/>
    <mergeCell ref="H443:I443"/>
    <mergeCell ref="B2:L4"/>
    <mergeCell ref="C5:F5"/>
    <mergeCell ref="D6:G6"/>
    <mergeCell ref="I6:L6"/>
    <mergeCell ref="D15:I15"/>
    <mergeCell ref="D16:E16"/>
    <mergeCell ref="F16:G16"/>
    <mergeCell ref="H16:I16"/>
    <mergeCell ref="D19:E19"/>
    <mergeCell ref="F19:G19"/>
    <mergeCell ref="H19:I19"/>
    <mergeCell ref="D20:E20"/>
    <mergeCell ref="F20:G20"/>
    <mergeCell ref="H20:I20"/>
    <mergeCell ref="D17:E17"/>
    <mergeCell ref="F17:G17"/>
    <mergeCell ref="H17:I17"/>
    <mergeCell ref="D18:E18"/>
    <mergeCell ref="F18:G18"/>
    <mergeCell ref="H18:I18"/>
    <mergeCell ref="D23:E23"/>
    <mergeCell ref="F23:G23"/>
    <mergeCell ref="H23:I23"/>
    <mergeCell ref="D24:E24"/>
    <mergeCell ref="F24:G24"/>
    <mergeCell ref="H24:I24"/>
    <mergeCell ref="D21:E21"/>
    <mergeCell ref="F21:G21"/>
    <mergeCell ref="H21:I21"/>
    <mergeCell ref="D22:E22"/>
    <mergeCell ref="F22:G22"/>
    <mergeCell ref="H22:I22"/>
    <mergeCell ref="D37:E37"/>
    <mergeCell ref="F37:G37"/>
    <mergeCell ref="H37:I37"/>
    <mergeCell ref="D38:E38"/>
    <mergeCell ref="F38:G38"/>
    <mergeCell ref="H38:I38"/>
    <mergeCell ref="D25:E25"/>
    <mergeCell ref="F25:G25"/>
    <mergeCell ref="H25:I25"/>
    <mergeCell ref="D28:G28"/>
    <mergeCell ref="I28:L28"/>
    <mergeCell ref="D36:I36"/>
    <mergeCell ref="D41:E41"/>
    <mergeCell ref="F41:G41"/>
    <mergeCell ref="H41:I41"/>
    <mergeCell ref="D42:E42"/>
    <mergeCell ref="F42:G42"/>
    <mergeCell ref="H42:I42"/>
    <mergeCell ref="D39:E39"/>
    <mergeCell ref="F39:G39"/>
    <mergeCell ref="H39:I39"/>
    <mergeCell ref="D40:E40"/>
    <mergeCell ref="F40:G40"/>
    <mergeCell ref="H40:I40"/>
    <mergeCell ref="D54:E54"/>
    <mergeCell ref="F54:G54"/>
    <mergeCell ref="H54:I54"/>
    <mergeCell ref="D55:E55"/>
    <mergeCell ref="F55:G55"/>
    <mergeCell ref="H55:I55"/>
    <mergeCell ref="D45:G45"/>
    <mergeCell ref="I45:L45"/>
    <mergeCell ref="D52:I52"/>
    <mergeCell ref="D53:E53"/>
    <mergeCell ref="F53:G53"/>
    <mergeCell ref="H53:I53"/>
    <mergeCell ref="D67:E67"/>
    <mergeCell ref="F67:G67"/>
    <mergeCell ref="H67:I67"/>
    <mergeCell ref="D68:E68"/>
    <mergeCell ref="F68:G68"/>
    <mergeCell ref="H68:I68"/>
    <mergeCell ref="D58:G58"/>
    <mergeCell ref="I58:L58"/>
    <mergeCell ref="D65:I65"/>
    <mergeCell ref="D66:E66"/>
    <mergeCell ref="F66:G66"/>
    <mergeCell ref="H66:I66"/>
    <mergeCell ref="D80:E80"/>
    <mergeCell ref="F80:G80"/>
    <mergeCell ref="H80:I80"/>
    <mergeCell ref="D81:E81"/>
    <mergeCell ref="F81:G81"/>
    <mergeCell ref="H81:I81"/>
    <mergeCell ref="D71:G71"/>
    <mergeCell ref="I71:L71"/>
    <mergeCell ref="D78:I78"/>
    <mergeCell ref="D79:E79"/>
    <mergeCell ref="F79:G79"/>
    <mergeCell ref="H79:I79"/>
    <mergeCell ref="D93:E93"/>
    <mergeCell ref="F93:G93"/>
    <mergeCell ref="H93:I93"/>
    <mergeCell ref="D94:E94"/>
    <mergeCell ref="F94:G94"/>
    <mergeCell ref="H94:I94"/>
    <mergeCell ref="D84:G84"/>
    <mergeCell ref="I84:L84"/>
    <mergeCell ref="D91:I91"/>
    <mergeCell ref="D92:E92"/>
    <mergeCell ref="F92:G92"/>
    <mergeCell ref="H92:I92"/>
    <mergeCell ref="D106:E106"/>
    <mergeCell ref="F106:G106"/>
    <mergeCell ref="H106:I106"/>
    <mergeCell ref="D107:E107"/>
    <mergeCell ref="F107:G107"/>
    <mergeCell ref="H107:I107"/>
    <mergeCell ref="D97:G97"/>
    <mergeCell ref="I97:L97"/>
    <mergeCell ref="D104:I104"/>
    <mergeCell ref="D105:E105"/>
    <mergeCell ref="F105:G105"/>
    <mergeCell ref="H105:I105"/>
    <mergeCell ref="D119:E119"/>
    <mergeCell ref="F119:G119"/>
    <mergeCell ref="H119:I119"/>
    <mergeCell ref="D120:E120"/>
    <mergeCell ref="F120:G120"/>
    <mergeCell ref="H120:I120"/>
    <mergeCell ref="D110:G110"/>
    <mergeCell ref="I110:L110"/>
    <mergeCell ref="D117:I117"/>
    <mergeCell ref="D118:E118"/>
    <mergeCell ref="F118:G118"/>
    <mergeCell ref="H118:I118"/>
    <mergeCell ref="D132:E132"/>
    <mergeCell ref="F132:G132"/>
    <mergeCell ref="H132:I132"/>
    <mergeCell ref="D133:E133"/>
    <mergeCell ref="F133:G133"/>
    <mergeCell ref="H133:I133"/>
    <mergeCell ref="D123:G123"/>
    <mergeCell ref="I123:L123"/>
    <mergeCell ref="D130:I130"/>
    <mergeCell ref="D131:E131"/>
    <mergeCell ref="F131:G131"/>
    <mergeCell ref="H131:I131"/>
    <mergeCell ref="D145:E145"/>
    <mergeCell ref="F145:G145"/>
    <mergeCell ref="H145:I145"/>
    <mergeCell ref="D146:E146"/>
    <mergeCell ref="F146:G146"/>
    <mergeCell ref="H146:I146"/>
    <mergeCell ref="D136:G136"/>
    <mergeCell ref="I136:L136"/>
    <mergeCell ref="D143:I143"/>
    <mergeCell ref="D144:E144"/>
    <mergeCell ref="F144:G144"/>
    <mergeCell ref="H144:I144"/>
    <mergeCell ref="D158:E158"/>
    <mergeCell ref="F158:G158"/>
    <mergeCell ref="H158:I158"/>
    <mergeCell ref="D159:E159"/>
    <mergeCell ref="F159:G159"/>
    <mergeCell ref="H159:I159"/>
    <mergeCell ref="D149:G149"/>
    <mergeCell ref="I149:L149"/>
    <mergeCell ref="D156:I156"/>
    <mergeCell ref="D157:E157"/>
    <mergeCell ref="F157:G157"/>
    <mergeCell ref="H157:I157"/>
    <mergeCell ref="D171:E171"/>
    <mergeCell ref="F171:G171"/>
    <mergeCell ref="H171:I171"/>
    <mergeCell ref="D172:E172"/>
    <mergeCell ref="F172:G172"/>
    <mergeCell ref="H172:I172"/>
    <mergeCell ref="D162:G162"/>
    <mergeCell ref="I162:L162"/>
    <mergeCell ref="D169:I169"/>
    <mergeCell ref="D170:E170"/>
    <mergeCell ref="F170:G170"/>
    <mergeCell ref="H170:I170"/>
    <mergeCell ref="D184:E184"/>
    <mergeCell ref="F184:G184"/>
    <mergeCell ref="H184:I184"/>
    <mergeCell ref="D185:E185"/>
    <mergeCell ref="F185:G185"/>
    <mergeCell ref="H185:I185"/>
    <mergeCell ref="D175:G175"/>
    <mergeCell ref="I175:L175"/>
    <mergeCell ref="D182:I182"/>
    <mergeCell ref="D183:E183"/>
    <mergeCell ref="F183:G183"/>
    <mergeCell ref="H183:I183"/>
    <mergeCell ref="D197:E197"/>
    <mergeCell ref="F197:G197"/>
    <mergeCell ref="H197:I197"/>
    <mergeCell ref="D198:E198"/>
    <mergeCell ref="F198:G198"/>
    <mergeCell ref="H198:I198"/>
    <mergeCell ref="D188:G188"/>
    <mergeCell ref="I188:L188"/>
    <mergeCell ref="D195:I195"/>
    <mergeCell ref="D196:E196"/>
    <mergeCell ref="F196:G196"/>
    <mergeCell ref="H196:I196"/>
    <mergeCell ref="D210:E210"/>
    <mergeCell ref="F210:G210"/>
    <mergeCell ref="H210:I210"/>
    <mergeCell ref="D211:E211"/>
    <mergeCell ref="F211:G211"/>
    <mergeCell ref="H211:I211"/>
    <mergeCell ref="D201:G201"/>
    <mergeCell ref="I201:L201"/>
    <mergeCell ref="D208:I208"/>
    <mergeCell ref="D209:E209"/>
    <mergeCell ref="F209:G209"/>
    <mergeCell ref="H209:I209"/>
    <mergeCell ref="D223:E223"/>
    <mergeCell ref="F223:G223"/>
    <mergeCell ref="H223:I223"/>
    <mergeCell ref="D224:E224"/>
    <mergeCell ref="F224:G224"/>
    <mergeCell ref="H224:I224"/>
    <mergeCell ref="D214:G214"/>
    <mergeCell ref="I214:L214"/>
    <mergeCell ref="D221:I221"/>
    <mergeCell ref="D222:E222"/>
    <mergeCell ref="F222:G222"/>
    <mergeCell ref="H222:I222"/>
    <mergeCell ref="D236:E236"/>
    <mergeCell ref="F236:G236"/>
    <mergeCell ref="H236:I236"/>
    <mergeCell ref="D237:E237"/>
    <mergeCell ref="F237:G237"/>
    <mergeCell ref="H237:I237"/>
    <mergeCell ref="D227:G227"/>
    <mergeCell ref="I227:L227"/>
    <mergeCell ref="D234:I234"/>
    <mergeCell ref="D235:E235"/>
    <mergeCell ref="F235:G235"/>
    <mergeCell ref="H235:I235"/>
    <mergeCell ref="D249:E249"/>
    <mergeCell ref="F249:G249"/>
    <mergeCell ref="H249:I249"/>
    <mergeCell ref="D250:E250"/>
    <mergeCell ref="F250:G250"/>
    <mergeCell ref="H250:I250"/>
    <mergeCell ref="D240:G240"/>
    <mergeCell ref="I240:L240"/>
    <mergeCell ref="D247:I247"/>
    <mergeCell ref="D248:E248"/>
    <mergeCell ref="F248:G248"/>
    <mergeCell ref="H248:I248"/>
    <mergeCell ref="D262:E262"/>
    <mergeCell ref="F262:G262"/>
    <mergeCell ref="H262:I262"/>
    <mergeCell ref="D263:E263"/>
    <mergeCell ref="F263:G263"/>
    <mergeCell ref="H263:I263"/>
    <mergeCell ref="D253:G253"/>
    <mergeCell ref="I253:L253"/>
    <mergeCell ref="D260:I260"/>
    <mergeCell ref="D261:E261"/>
    <mergeCell ref="F261:G261"/>
    <mergeCell ref="H261:I261"/>
    <mergeCell ref="D275:E275"/>
    <mergeCell ref="F275:G275"/>
    <mergeCell ref="H275:I275"/>
    <mergeCell ref="D276:E276"/>
    <mergeCell ref="F276:G276"/>
    <mergeCell ref="H276:I276"/>
    <mergeCell ref="D266:G266"/>
    <mergeCell ref="I266:L266"/>
    <mergeCell ref="D273:I273"/>
    <mergeCell ref="D274:E274"/>
    <mergeCell ref="F274:G274"/>
    <mergeCell ref="H274:I274"/>
    <mergeCell ref="D288:E288"/>
    <mergeCell ref="F288:G288"/>
    <mergeCell ref="H288:I288"/>
    <mergeCell ref="D289:E289"/>
    <mergeCell ref="F289:G289"/>
    <mergeCell ref="H289:I289"/>
    <mergeCell ref="D279:G279"/>
    <mergeCell ref="I279:L279"/>
    <mergeCell ref="D286:I286"/>
    <mergeCell ref="D287:E287"/>
    <mergeCell ref="F287:G287"/>
    <mergeCell ref="H287:I287"/>
    <mergeCell ref="D301:E301"/>
    <mergeCell ref="F301:G301"/>
    <mergeCell ref="H301:I301"/>
    <mergeCell ref="D302:E302"/>
    <mergeCell ref="F302:G302"/>
    <mergeCell ref="H302:I302"/>
    <mergeCell ref="D292:G292"/>
    <mergeCell ref="I292:L292"/>
    <mergeCell ref="D299:I299"/>
    <mergeCell ref="D300:E300"/>
    <mergeCell ref="F300:G300"/>
    <mergeCell ref="H300:I300"/>
    <mergeCell ref="D314:E314"/>
    <mergeCell ref="F314:G314"/>
    <mergeCell ref="H314:I314"/>
    <mergeCell ref="D315:E315"/>
    <mergeCell ref="F315:G315"/>
    <mergeCell ref="H315:I315"/>
    <mergeCell ref="D305:G305"/>
    <mergeCell ref="I305:L305"/>
    <mergeCell ref="D312:I312"/>
    <mergeCell ref="D313:E313"/>
    <mergeCell ref="F313:G313"/>
    <mergeCell ref="H313:I313"/>
    <mergeCell ref="D327:E327"/>
    <mergeCell ref="F327:G327"/>
    <mergeCell ref="H327:I327"/>
    <mergeCell ref="D328:E328"/>
    <mergeCell ref="F328:G328"/>
    <mergeCell ref="H328:I328"/>
    <mergeCell ref="D318:G318"/>
    <mergeCell ref="I318:L318"/>
    <mergeCell ref="D325:I325"/>
    <mergeCell ref="D326:E326"/>
    <mergeCell ref="F326:G326"/>
    <mergeCell ref="H326:I326"/>
    <mergeCell ref="D340:E340"/>
    <mergeCell ref="F340:G340"/>
    <mergeCell ref="H340:I340"/>
    <mergeCell ref="D341:E341"/>
    <mergeCell ref="F341:G341"/>
    <mergeCell ref="H341:I341"/>
    <mergeCell ref="D331:G331"/>
    <mergeCell ref="I331:L331"/>
    <mergeCell ref="D338:I338"/>
    <mergeCell ref="D339:E339"/>
    <mergeCell ref="F339:G339"/>
    <mergeCell ref="H339:I339"/>
    <mergeCell ref="D353:E353"/>
    <mergeCell ref="F353:G353"/>
    <mergeCell ref="H353:I353"/>
    <mergeCell ref="D354:E354"/>
    <mergeCell ref="F354:G354"/>
    <mergeCell ref="H354:I354"/>
    <mergeCell ref="D344:G344"/>
    <mergeCell ref="I344:L344"/>
    <mergeCell ref="D351:I351"/>
    <mergeCell ref="D352:E352"/>
    <mergeCell ref="F352:G352"/>
    <mergeCell ref="H352:I352"/>
    <mergeCell ref="D366:E366"/>
    <mergeCell ref="F366:G366"/>
    <mergeCell ref="H366:I366"/>
    <mergeCell ref="D367:E367"/>
    <mergeCell ref="F367:G367"/>
    <mergeCell ref="H367:I367"/>
    <mergeCell ref="D357:G357"/>
    <mergeCell ref="I357:L357"/>
    <mergeCell ref="D364:I364"/>
    <mergeCell ref="D365:E365"/>
    <mergeCell ref="F365:G365"/>
    <mergeCell ref="H365:I365"/>
    <mergeCell ref="D379:E379"/>
    <mergeCell ref="F379:G379"/>
    <mergeCell ref="H379:I379"/>
    <mergeCell ref="D380:E380"/>
    <mergeCell ref="F380:G380"/>
    <mergeCell ref="H380:I380"/>
    <mergeCell ref="D370:G370"/>
    <mergeCell ref="I370:L370"/>
    <mergeCell ref="D377:I377"/>
    <mergeCell ref="D378:E378"/>
    <mergeCell ref="F378:G378"/>
    <mergeCell ref="H378:I378"/>
    <mergeCell ref="D392:E392"/>
    <mergeCell ref="F392:G392"/>
    <mergeCell ref="H392:I392"/>
    <mergeCell ref="D393:E393"/>
    <mergeCell ref="F393:G393"/>
    <mergeCell ref="H393:I393"/>
    <mergeCell ref="D383:G383"/>
    <mergeCell ref="I383:L383"/>
    <mergeCell ref="D390:I390"/>
    <mergeCell ref="D391:E391"/>
    <mergeCell ref="F391:G391"/>
    <mergeCell ref="H391:I391"/>
    <mergeCell ref="D405:E405"/>
    <mergeCell ref="F405:G405"/>
    <mergeCell ref="H405:I405"/>
    <mergeCell ref="D406:E406"/>
    <mergeCell ref="F406:G406"/>
    <mergeCell ref="H406:I406"/>
    <mergeCell ref="D396:G396"/>
    <mergeCell ref="I396:L396"/>
    <mergeCell ref="D403:I403"/>
    <mergeCell ref="D404:E404"/>
    <mergeCell ref="F404:G404"/>
    <mergeCell ref="H404:I404"/>
    <mergeCell ref="D418:E418"/>
    <mergeCell ref="F418:G418"/>
    <mergeCell ref="H418:I418"/>
    <mergeCell ref="D419:E419"/>
    <mergeCell ref="F419:G419"/>
    <mergeCell ref="H419:I419"/>
    <mergeCell ref="D409:G409"/>
    <mergeCell ref="I409:L409"/>
    <mergeCell ref="D416:I416"/>
    <mergeCell ref="D417:E417"/>
    <mergeCell ref="F417:G417"/>
    <mergeCell ref="H417:I417"/>
    <mergeCell ref="D431:E431"/>
    <mergeCell ref="F431:G431"/>
    <mergeCell ref="H431:I431"/>
    <mergeCell ref="D432:E432"/>
    <mergeCell ref="F432:G432"/>
    <mergeCell ref="H432:I432"/>
    <mergeCell ref="D422:G422"/>
    <mergeCell ref="I422:L422"/>
    <mergeCell ref="D429:I429"/>
    <mergeCell ref="D430:E430"/>
    <mergeCell ref="F430:G430"/>
    <mergeCell ref="H430:I430"/>
  </mergeCells>
  <conditionalFormatting sqref="L8:L12">
    <cfRule type="cellIs" dxfId="497" priority="112" operator="equal">
      <formula>"BRONZE"</formula>
    </cfRule>
    <cfRule type="cellIs" dxfId="496" priority="113" operator="equal">
      <formula>"PRATA"</formula>
    </cfRule>
    <cfRule type="containsText" dxfId="495" priority="114" operator="containsText" text="OURO">
      <formula>NOT(ISERROR(SEARCH("OURO",L8)))</formula>
    </cfRule>
  </conditionalFormatting>
  <conditionalFormatting sqref="L30:L33">
    <cfRule type="cellIs" dxfId="494" priority="109" operator="equal">
      <formula>"BRONZE"</formula>
    </cfRule>
    <cfRule type="cellIs" dxfId="493" priority="110" operator="equal">
      <formula>"PRATA"</formula>
    </cfRule>
    <cfRule type="containsText" dxfId="492" priority="111" operator="containsText" text="OURO">
      <formula>NOT(ISERROR(SEARCH("OURO",L30)))</formula>
    </cfRule>
  </conditionalFormatting>
  <conditionalFormatting sqref="L47:L49">
    <cfRule type="cellIs" dxfId="491" priority="106" operator="equal">
      <formula>"BRONZE"</formula>
    </cfRule>
    <cfRule type="cellIs" dxfId="490" priority="107" operator="equal">
      <formula>"PRATA"</formula>
    </cfRule>
    <cfRule type="containsText" dxfId="489" priority="108" operator="containsText" text="OURO">
      <formula>NOT(ISERROR(SEARCH("OURO",L47)))</formula>
    </cfRule>
  </conditionalFormatting>
  <conditionalFormatting sqref="L60:L62">
    <cfRule type="cellIs" dxfId="488" priority="103" operator="equal">
      <formula>"BRONZE"</formula>
    </cfRule>
    <cfRule type="cellIs" dxfId="487" priority="104" operator="equal">
      <formula>"PRATA"</formula>
    </cfRule>
    <cfRule type="containsText" dxfId="486" priority="105" operator="containsText" text="OURO">
      <formula>NOT(ISERROR(SEARCH("OURO",L60)))</formula>
    </cfRule>
  </conditionalFormatting>
  <conditionalFormatting sqref="L73:L75">
    <cfRule type="cellIs" dxfId="485" priority="100" operator="equal">
      <formula>"BRONZE"</formula>
    </cfRule>
    <cfRule type="cellIs" dxfId="484" priority="101" operator="equal">
      <formula>"PRATA"</formula>
    </cfRule>
    <cfRule type="containsText" dxfId="483" priority="102" operator="containsText" text="OURO">
      <formula>NOT(ISERROR(SEARCH("OURO",L73)))</formula>
    </cfRule>
  </conditionalFormatting>
  <conditionalFormatting sqref="L86:L88">
    <cfRule type="cellIs" dxfId="482" priority="97" operator="equal">
      <formula>"BRONZE"</formula>
    </cfRule>
    <cfRule type="cellIs" dxfId="481" priority="98" operator="equal">
      <formula>"PRATA"</formula>
    </cfRule>
    <cfRule type="containsText" dxfId="480" priority="99" operator="containsText" text="OURO">
      <formula>NOT(ISERROR(SEARCH("OURO",L86)))</formula>
    </cfRule>
  </conditionalFormatting>
  <conditionalFormatting sqref="L99:L101">
    <cfRule type="cellIs" dxfId="479" priority="94" operator="equal">
      <formula>"BRONZE"</formula>
    </cfRule>
    <cfRule type="cellIs" dxfId="478" priority="95" operator="equal">
      <formula>"PRATA"</formula>
    </cfRule>
    <cfRule type="containsText" dxfId="477" priority="96" operator="containsText" text="OURO">
      <formula>NOT(ISERROR(SEARCH("OURO",L99)))</formula>
    </cfRule>
  </conditionalFormatting>
  <conditionalFormatting sqref="L112:L114">
    <cfRule type="cellIs" dxfId="476" priority="91" operator="equal">
      <formula>"BRONZE"</formula>
    </cfRule>
    <cfRule type="cellIs" dxfId="475" priority="92" operator="equal">
      <formula>"PRATA"</formula>
    </cfRule>
    <cfRule type="containsText" dxfId="474" priority="93" operator="containsText" text="OURO">
      <formula>NOT(ISERROR(SEARCH("OURO",L112)))</formula>
    </cfRule>
  </conditionalFormatting>
  <conditionalFormatting sqref="L125:L127">
    <cfRule type="cellIs" dxfId="473" priority="88" operator="equal">
      <formula>"BRONZE"</formula>
    </cfRule>
    <cfRule type="cellIs" dxfId="472" priority="89" operator="equal">
      <formula>"PRATA"</formula>
    </cfRule>
    <cfRule type="containsText" dxfId="471" priority="90" operator="containsText" text="OURO">
      <formula>NOT(ISERROR(SEARCH("OURO",L125)))</formula>
    </cfRule>
  </conditionalFormatting>
  <conditionalFormatting sqref="L138:L140">
    <cfRule type="cellIs" dxfId="470" priority="85" operator="equal">
      <formula>"BRONZE"</formula>
    </cfRule>
    <cfRule type="cellIs" dxfId="469" priority="86" operator="equal">
      <formula>"PRATA"</formula>
    </cfRule>
    <cfRule type="containsText" dxfId="468" priority="87" operator="containsText" text="OURO">
      <formula>NOT(ISERROR(SEARCH("OURO",L138)))</formula>
    </cfRule>
  </conditionalFormatting>
  <conditionalFormatting sqref="L151:L153">
    <cfRule type="cellIs" dxfId="467" priority="82" operator="equal">
      <formula>"BRONZE"</formula>
    </cfRule>
    <cfRule type="cellIs" dxfId="466" priority="83" operator="equal">
      <formula>"PRATA"</formula>
    </cfRule>
    <cfRule type="containsText" dxfId="465" priority="84" operator="containsText" text="OURO">
      <formula>NOT(ISERROR(SEARCH("OURO",L151)))</formula>
    </cfRule>
  </conditionalFormatting>
  <conditionalFormatting sqref="L164:L166">
    <cfRule type="cellIs" dxfId="464" priority="79" operator="equal">
      <formula>"BRONZE"</formula>
    </cfRule>
    <cfRule type="cellIs" dxfId="463" priority="80" operator="equal">
      <formula>"PRATA"</formula>
    </cfRule>
    <cfRule type="containsText" dxfId="462" priority="81" operator="containsText" text="OURO">
      <formula>NOT(ISERROR(SEARCH("OURO",L164)))</formula>
    </cfRule>
  </conditionalFormatting>
  <conditionalFormatting sqref="L177:L179">
    <cfRule type="cellIs" dxfId="461" priority="76" operator="equal">
      <formula>"BRONZE"</formula>
    </cfRule>
    <cfRule type="cellIs" dxfId="460" priority="77" operator="equal">
      <formula>"PRATA"</formula>
    </cfRule>
    <cfRule type="containsText" dxfId="459" priority="78" operator="containsText" text="OURO">
      <formula>NOT(ISERROR(SEARCH("OURO",L177)))</formula>
    </cfRule>
  </conditionalFormatting>
  <conditionalFormatting sqref="L190:L192">
    <cfRule type="cellIs" dxfId="458" priority="73" operator="equal">
      <formula>"BRONZE"</formula>
    </cfRule>
    <cfRule type="cellIs" dxfId="457" priority="74" operator="equal">
      <formula>"PRATA"</formula>
    </cfRule>
    <cfRule type="containsText" dxfId="456" priority="75" operator="containsText" text="OURO">
      <formula>NOT(ISERROR(SEARCH("OURO",L190)))</formula>
    </cfRule>
  </conditionalFormatting>
  <conditionalFormatting sqref="L203:L205">
    <cfRule type="cellIs" dxfId="455" priority="70" operator="equal">
      <formula>"BRONZE"</formula>
    </cfRule>
    <cfRule type="cellIs" dxfId="454" priority="71" operator="equal">
      <formula>"PRATA"</formula>
    </cfRule>
    <cfRule type="containsText" dxfId="453" priority="72" operator="containsText" text="OURO">
      <formula>NOT(ISERROR(SEARCH("OURO",L203)))</formula>
    </cfRule>
  </conditionalFormatting>
  <conditionalFormatting sqref="L216:L218">
    <cfRule type="cellIs" dxfId="452" priority="67" operator="equal">
      <formula>"BRONZE"</formula>
    </cfRule>
    <cfRule type="cellIs" dxfId="451" priority="68" operator="equal">
      <formula>"PRATA"</formula>
    </cfRule>
    <cfRule type="containsText" dxfId="450" priority="69" operator="containsText" text="OURO">
      <formula>NOT(ISERROR(SEARCH("OURO",L216)))</formula>
    </cfRule>
  </conditionalFormatting>
  <conditionalFormatting sqref="L229:L231">
    <cfRule type="cellIs" dxfId="449" priority="64" operator="equal">
      <formula>"BRONZE"</formula>
    </cfRule>
    <cfRule type="cellIs" dxfId="448" priority="65" operator="equal">
      <formula>"PRATA"</formula>
    </cfRule>
    <cfRule type="containsText" dxfId="447" priority="66" operator="containsText" text="OURO">
      <formula>NOT(ISERROR(SEARCH("OURO",L229)))</formula>
    </cfRule>
  </conditionalFormatting>
  <conditionalFormatting sqref="L242:L244">
    <cfRule type="cellIs" dxfId="446" priority="61" operator="equal">
      <formula>"BRONZE"</formula>
    </cfRule>
    <cfRule type="cellIs" dxfId="445" priority="62" operator="equal">
      <formula>"PRATA"</formula>
    </cfRule>
    <cfRule type="containsText" dxfId="444" priority="63" operator="containsText" text="OURO">
      <formula>NOT(ISERROR(SEARCH("OURO",L242)))</formula>
    </cfRule>
  </conditionalFormatting>
  <conditionalFormatting sqref="L255:L257">
    <cfRule type="cellIs" dxfId="443" priority="58" operator="equal">
      <formula>"BRONZE"</formula>
    </cfRule>
    <cfRule type="cellIs" dxfId="442" priority="59" operator="equal">
      <formula>"PRATA"</formula>
    </cfRule>
    <cfRule type="containsText" dxfId="441" priority="60" operator="containsText" text="OURO">
      <formula>NOT(ISERROR(SEARCH("OURO",L255)))</formula>
    </cfRule>
  </conditionalFormatting>
  <conditionalFormatting sqref="L268:L270">
    <cfRule type="cellIs" dxfId="440" priority="55" operator="equal">
      <formula>"BRONZE"</formula>
    </cfRule>
    <cfRule type="cellIs" dxfId="439" priority="56" operator="equal">
      <formula>"PRATA"</formula>
    </cfRule>
    <cfRule type="containsText" dxfId="438" priority="57" operator="containsText" text="OURO">
      <formula>NOT(ISERROR(SEARCH("OURO",L268)))</formula>
    </cfRule>
  </conditionalFormatting>
  <conditionalFormatting sqref="L281:L283">
    <cfRule type="cellIs" dxfId="437" priority="52" operator="equal">
      <formula>"BRONZE"</formula>
    </cfRule>
    <cfRule type="cellIs" dxfId="436" priority="53" operator="equal">
      <formula>"PRATA"</formula>
    </cfRule>
    <cfRule type="containsText" dxfId="435" priority="54" operator="containsText" text="OURO">
      <formula>NOT(ISERROR(SEARCH("OURO",L281)))</formula>
    </cfRule>
  </conditionalFormatting>
  <conditionalFormatting sqref="L294:L296">
    <cfRule type="cellIs" dxfId="434" priority="49" operator="equal">
      <formula>"BRONZE"</formula>
    </cfRule>
    <cfRule type="cellIs" dxfId="433" priority="50" operator="equal">
      <formula>"PRATA"</formula>
    </cfRule>
    <cfRule type="containsText" dxfId="432" priority="51" operator="containsText" text="OURO">
      <formula>NOT(ISERROR(SEARCH("OURO",L294)))</formula>
    </cfRule>
  </conditionalFormatting>
  <conditionalFormatting sqref="L307:L309">
    <cfRule type="cellIs" dxfId="431" priority="46" operator="equal">
      <formula>"BRONZE"</formula>
    </cfRule>
    <cfRule type="cellIs" dxfId="430" priority="47" operator="equal">
      <formula>"PRATA"</formula>
    </cfRule>
    <cfRule type="containsText" dxfId="429" priority="48" operator="containsText" text="OURO">
      <formula>NOT(ISERROR(SEARCH("OURO",L307)))</formula>
    </cfRule>
  </conditionalFormatting>
  <conditionalFormatting sqref="L320:L322">
    <cfRule type="cellIs" dxfId="428" priority="43" operator="equal">
      <formula>"BRONZE"</formula>
    </cfRule>
    <cfRule type="cellIs" dxfId="427" priority="44" operator="equal">
      <formula>"PRATA"</formula>
    </cfRule>
    <cfRule type="containsText" dxfId="426" priority="45" operator="containsText" text="OURO">
      <formula>NOT(ISERROR(SEARCH("OURO",L320)))</formula>
    </cfRule>
  </conditionalFormatting>
  <conditionalFormatting sqref="L333:L335">
    <cfRule type="cellIs" dxfId="425" priority="40" operator="equal">
      <formula>"BRONZE"</formula>
    </cfRule>
    <cfRule type="cellIs" dxfId="424" priority="41" operator="equal">
      <formula>"PRATA"</formula>
    </cfRule>
    <cfRule type="containsText" dxfId="423" priority="42" operator="containsText" text="OURO">
      <formula>NOT(ISERROR(SEARCH("OURO",L333)))</formula>
    </cfRule>
  </conditionalFormatting>
  <conditionalFormatting sqref="L346:L348">
    <cfRule type="cellIs" dxfId="422" priority="37" operator="equal">
      <formula>"BRONZE"</formula>
    </cfRule>
    <cfRule type="cellIs" dxfId="421" priority="38" operator="equal">
      <formula>"PRATA"</formula>
    </cfRule>
    <cfRule type="containsText" dxfId="420" priority="39" operator="containsText" text="OURO">
      <formula>NOT(ISERROR(SEARCH("OURO",L346)))</formula>
    </cfRule>
  </conditionalFormatting>
  <conditionalFormatting sqref="L359:L361">
    <cfRule type="cellIs" dxfId="419" priority="34" operator="equal">
      <formula>"BRONZE"</formula>
    </cfRule>
    <cfRule type="cellIs" dxfId="418" priority="35" operator="equal">
      <formula>"PRATA"</formula>
    </cfRule>
    <cfRule type="containsText" dxfId="417" priority="36" operator="containsText" text="OURO">
      <formula>NOT(ISERROR(SEARCH("OURO",L359)))</formula>
    </cfRule>
  </conditionalFormatting>
  <conditionalFormatting sqref="L372:L374">
    <cfRule type="cellIs" dxfId="416" priority="31" operator="equal">
      <formula>"BRONZE"</formula>
    </cfRule>
    <cfRule type="cellIs" dxfId="415" priority="32" operator="equal">
      <formula>"PRATA"</formula>
    </cfRule>
    <cfRule type="containsText" dxfId="414" priority="33" operator="containsText" text="OURO">
      <formula>NOT(ISERROR(SEARCH("OURO",L372)))</formula>
    </cfRule>
  </conditionalFormatting>
  <conditionalFormatting sqref="L385:L387">
    <cfRule type="cellIs" dxfId="413" priority="28" operator="equal">
      <formula>"BRONZE"</formula>
    </cfRule>
    <cfRule type="cellIs" dxfId="412" priority="29" operator="equal">
      <formula>"PRATA"</formula>
    </cfRule>
    <cfRule type="containsText" dxfId="411" priority="30" operator="containsText" text="OURO">
      <formula>NOT(ISERROR(SEARCH("OURO",L385)))</formula>
    </cfRule>
  </conditionalFormatting>
  <conditionalFormatting sqref="L398:L400">
    <cfRule type="cellIs" dxfId="410" priority="25" operator="equal">
      <formula>"BRONZE"</formula>
    </cfRule>
    <cfRule type="cellIs" dxfId="409" priority="26" operator="equal">
      <formula>"PRATA"</formula>
    </cfRule>
    <cfRule type="containsText" dxfId="408" priority="27" operator="containsText" text="OURO">
      <formula>NOT(ISERROR(SEARCH("OURO",L398)))</formula>
    </cfRule>
  </conditionalFormatting>
  <conditionalFormatting sqref="L411:L413">
    <cfRule type="cellIs" dxfId="407" priority="22" operator="equal">
      <formula>"BRONZE"</formula>
    </cfRule>
    <cfRule type="cellIs" dxfId="406" priority="23" operator="equal">
      <formula>"PRATA"</formula>
    </cfRule>
    <cfRule type="containsText" dxfId="405" priority="24" operator="containsText" text="OURO">
      <formula>NOT(ISERROR(SEARCH("OURO",L411)))</formula>
    </cfRule>
  </conditionalFormatting>
  <conditionalFormatting sqref="L424:L426">
    <cfRule type="cellIs" dxfId="404" priority="19" operator="equal">
      <formula>"BRONZE"</formula>
    </cfRule>
    <cfRule type="cellIs" dxfId="403" priority="20" operator="equal">
      <formula>"PRATA"</formula>
    </cfRule>
    <cfRule type="containsText" dxfId="402" priority="21" operator="containsText" text="OURO">
      <formula>NOT(ISERROR(SEARCH("OURO",L424)))</formula>
    </cfRule>
  </conditionalFormatting>
  <conditionalFormatting sqref="L436:L438">
    <cfRule type="cellIs" dxfId="401" priority="16" operator="equal">
      <formula>"BRONZE"</formula>
    </cfRule>
    <cfRule type="cellIs" dxfId="400" priority="17" operator="equal">
      <formula>"PRATA"</formula>
    </cfRule>
    <cfRule type="containsText" dxfId="399" priority="18" operator="containsText" text="OURO">
      <formula>NOT(ISERROR(SEARCH("OURO",L436)))</formula>
    </cfRule>
  </conditionalFormatting>
  <conditionalFormatting sqref="L448:L450">
    <cfRule type="cellIs" dxfId="398" priority="13" operator="equal">
      <formula>"BRONZE"</formula>
    </cfRule>
    <cfRule type="cellIs" dxfId="397" priority="14" operator="equal">
      <formula>"PRATA"</formula>
    </cfRule>
    <cfRule type="containsText" dxfId="396" priority="15" operator="containsText" text="OURO">
      <formula>NOT(ISERROR(SEARCH("OURO",L448)))</formula>
    </cfRule>
  </conditionalFormatting>
  <conditionalFormatting sqref="L460:L462">
    <cfRule type="cellIs" dxfId="395" priority="10" operator="equal">
      <formula>"BRONZE"</formula>
    </cfRule>
    <cfRule type="cellIs" dxfId="394" priority="11" operator="equal">
      <formula>"PRATA"</formula>
    </cfRule>
    <cfRule type="containsText" dxfId="393" priority="12" operator="containsText" text="OURO">
      <formula>NOT(ISERROR(SEARCH("OURO",L460)))</formula>
    </cfRule>
  </conditionalFormatting>
  <conditionalFormatting sqref="L472:L474">
    <cfRule type="cellIs" dxfId="392" priority="7" operator="equal">
      <formula>"BRONZE"</formula>
    </cfRule>
    <cfRule type="cellIs" dxfId="391" priority="8" operator="equal">
      <formula>"PRATA"</formula>
    </cfRule>
    <cfRule type="containsText" dxfId="390" priority="9" operator="containsText" text="OURO">
      <formula>NOT(ISERROR(SEARCH("OURO",L472)))</formula>
    </cfRule>
  </conditionalFormatting>
  <conditionalFormatting sqref="L484:L486">
    <cfRule type="cellIs" dxfId="389" priority="4" operator="equal">
      <formula>"BRONZE"</formula>
    </cfRule>
    <cfRule type="cellIs" dxfId="388" priority="5" operator="equal">
      <formula>"PRATA"</formula>
    </cfRule>
    <cfRule type="containsText" dxfId="387" priority="6" operator="containsText" text="OURO">
      <formula>NOT(ISERROR(SEARCH("OURO",L484)))</formula>
    </cfRule>
  </conditionalFormatting>
  <conditionalFormatting sqref="L496:L498">
    <cfRule type="cellIs" dxfId="386" priority="1" operator="equal">
      <formula>"BRONZE"</formula>
    </cfRule>
    <cfRule type="cellIs" dxfId="385" priority="2" operator="equal">
      <formula>"PRATA"</formula>
    </cfRule>
    <cfRule type="containsText" dxfId="384" priority="3" operator="containsText" text="OURO">
      <formula>NOT(ISERROR(SEARCH("OURO",L496)))</formula>
    </cfRule>
  </conditionalFormatting>
  <pageMargins left="0.51181102362204722" right="0.51181102362204722" top="0.78740157480314965" bottom="0.78740157480314965" header="0.31496062992125984" footer="0.31496062992125984"/>
  <pageSetup paperSize="9" scale="60" orientation="landscape"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A00-000000000000}">
          <x14:formula1>
            <xm:f>LISTAS!$D$10:$D$41</xm:f>
          </x14:formula1>
          <xm:sqref>G5</xm:sqref>
        </x14:dataValidation>
        <x14:dataValidation type="list" allowBlank="1" showInputMessage="1" showErrorMessage="1" xr:uid="{00000000-0002-0000-0A00-000001000000}">
          <x14:formula1>
            <xm:f>LISTAS!$F$5:$F$1004</xm:f>
          </x14:formula1>
          <xm:sqref>B8:B12 B269:B270 B47:B49 B60:B62 B73:B75 B308:B309 B99:B101 B112:B114 B125:B127 B138:B140 B151:B153 B164:B166 B398:B399 B485 B203:B205 B216:B218 B229:B231 B242:B244 B255:B257 B496:B498 B281:B283 B294:B296 B191:B192 B320:B322 B333:B335 B346:B348 B359:B361 B372:B374 B385:B387 B460:B461 B411:B413 B424:B426 B436:B438 B86:B87 B448:B449 B472:B474 B30:B33 B178:B179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tabColor theme="4" tint="0.39997558519241921"/>
    <pageSetUpPr fitToPage="1"/>
  </sheetPr>
  <dimension ref="B1:AW200"/>
  <sheetViews>
    <sheetView showGridLines="0" topLeftCell="AK100" zoomScale="63" zoomScaleNormal="85" workbookViewId="0">
      <selection activeCell="AT162" sqref="AT162"/>
    </sheetView>
  </sheetViews>
  <sheetFormatPr defaultColWidth="25.28515625" defaultRowHeight="16.5" x14ac:dyDescent="0.25"/>
  <cols>
    <col min="1" max="1" width="1.140625" style="1" customWidth="1"/>
    <col min="2" max="2" width="3.140625" style="1" customWidth="1"/>
    <col min="3" max="3" width="35.28515625" style="163" customWidth="1"/>
    <col min="4" max="4" width="5" style="1" customWidth="1"/>
    <col min="5" max="6" width="3.7109375" style="1" customWidth="1"/>
    <col min="7" max="7" width="18.7109375" style="173" customWidth="1"/>
    <col min="8" max="8" width="5" style="1" customWidth="1"/>
    <col min="9" max="9" width="3.7109375" style="1" customWidth="1"/>
    <col min="10" max="10" width="3.85546875" style="1" customWidth="1"/>
    <col min="11" max="11" width="18.7109375" style="173" customWidth="1"/>
    <col min="12" max="12" width="5" style="1" customWidth="1"/>
    <col min="13" max="14" width="3.7109375" style="1" customWidth="1"/>
    <col min="15" max="15" width="18.7109375" style="173" customWidth="1"/>
    <col min="16" max="16" width="5" style="1" customWidth="1"/>
    <col min="17" max="17" width="6.28515625" style="23" customWidth="1"/>
    <col min="18" max="18" width="18.7109375" style="183" customWidth="1"/>
    <col min="19" max="21" width="3.7109375" style="23" customWidth="1"/>
    <col min="22" max="22" width="18.5703125" style="183" customWidth="1"/>
    <col min="23" max="23" width="6.28515625" style="1" customWidth="1"/>
    <col min="24" max="24" width="5" style="2" customWidth="1"/>
    <col min="25" max="25" width="18.7109375" style="173" customWidth="1"/>
    <col min="26" max="27" width="3.7109375" style="1" customWidth="1"/>
    <col min="28" max="28" width="5" style="1" customWidth="1"/>
    <col min="29" max="29" width="18.85546875" style="173" customWidth="1"/>
    <col min="30" max="31" width="3.7109375" style="1" customWidth="1"/>
    <col min="32" max="32" width="5" style="1" customWidth="1"/>
    <col min="33" max="33" width="18.85546875" style="173" customWidth="1"/>
    <col min="34" max="34" width="3.7109375" style="1" customWidth="1"/>
    <col min="35" max="35" width="3.5703125" style="1" customWidth="1"/>
    <col min="36" max="36" width="5" style="1" customWidth="1"/>
    <col min="37" max="37" width="36.85546875" style="173" customWidth="1"/>
    <col min="38" max="38" width="3.28515625" style="23" customWidth="1"/>
    <col min="39" max="41" width="1.42578125" style="20" customWidth="1"/>
    <col min="42" max="42" width="9.7109375" style="1" customWidth="1"/>
    <col min="43" max="43" width="15.5703125" style="1" customWidth="1"/>
    <col min="44" max="44" width="57.28515625" style="1" customWidth="1"/>
    <col min="45" max="45" width="50.28515625" style="1" bestFit="1" customWidth="1"/>
    <col min="46" max="16384" width="25.28515625" style="1"/>
  </cols>
  <sheetData>
    <row r="1" spans="2:49" ht="6" customHeight="1" x14ac:dyDescent="0.25"/>
    <row r="2" spans="2:49" s="3" customFormat="1" ht="60.75" customHeight="1" x14ac:dyDescent="0.25">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5"/>
      <c r="AN2" s="25"/>
      <c r="AO2" s="25"/>
      <c r="AP2" s="233"/>
      <c r="AQ2" s="233"/>
      <c r="AR2" s="233"/>
      <c r="AS2" s="233"/>
      <c r="AT2" s="233"/>
      <c r="AU2" s="233"/>
    </row>
    <row r="3" spans="2:49" s="3" customFormat="1" ht="60.75" customHeight="1" x14ac:dyDescent="0.25">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5"/>
      <c r="AN3" s="25"/>
      <c r="AO3" s="25"/>
      <c r="AP3" s="233"/>
      <c r="AQ3" s="233"/>
      <c r="AR3" s="233"/>
      <c r="AS3" s="233"/>
      <c r="AT3" s="233"/>
      <c r="AU3" s="233"/>
      <c r="AV3" s="1"/>
      <c r="AW3" s="1"/>
    </row>
    <row r="4" spans="2:49" s="3" customFormat="1" ht="13.5" customHeight="1" x14ac:dyDescent="0.25">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5"/>
      <c r="AN4" s="25"/>
      <c r="AO4" s="25"/>
      <c r="AP4" s="4"/>
      <c r="AQ4" s="4"/>
      <c r="AR4" s="4"/>
      <c r="AS4" s="4"/>
      <c r="AT4" s="4"/>
      <c r="AU4" s="4"/>
    </row>
    <row r="5" spans="2:49" s="3" customFormat="1" ht="30" customHeight="1" x14ac:dyDescent="0.25">
      <c r="B5" s="274" t="s">
        <v>30</v>
      </c>
      <c r="C5" s="275"/>
      <c r="D5" s="275"/>
      <c r="E5" s="40"/>
      <c r="G5" s="174"/>
      <c r="H5" s="4"/>
      <c r="K5" s="178"/>
      <c r="O5" s="178"/>
      <c r="Q5" s="24"/>
      <c r="R5" s="184"/>
      <c r="S5" s="24"/>
      <c r="T5" s="24"/>
      <c r="U5" s="24"/>
      <c r="V5" s="184"/>
      <c r="W5" s="24"/>
      <c r="X5" s="24"/>
      <c r="Y5" s="184"/>
      <c r="Z5" s="5"/>
      <c r="AB5" s="4"/>
      <c r="AC5" s="174"/>
      <c r="AG5" s="178"/>
      <c r="AK5" s="178"/>
      <c r="AL5" s="24"/>
      <c r="AM5" s="25"/>
      <c r="AN5" s="25"/>
      <c r="AO5" s="25"/>
      <c r="AP5" s="274" t="s">
        <v>30</v>
      </c>
      <c r="AQ5" s="276"/>
      <c r="AR5" s="6" t="s">
        <v>13</v>
      </c>
      <c r="AS5" s="7" t="s">
        <v>14</v>
      </c>
      <c r="AT5" s="4"/>
      <c r="AU5" s="4"/>
    </row>
    <row r="6" spans="2:49" ht="30" customHeight="1" x14ac:dyDescent="0.25">
      <c r="B6" s="247" t="s">
        <v>21</v>
      </c>
      <c r="C6" s="248"/>
      <c r="D6" s="248"/>
      <c r="E6" s="248"/>
      <c r="F6" s="248"/>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P6" s="246" t="s">
        <v>21</v>
      </c>
      <c r="AQ6" s="246"/>
      <c r="AR6" s="246"/>
      <c r="AS6" s="246"/>
      <c r="AT6" s="246"/>
      <c r="AU6" s="246"/>
    </row>
    <row r="7" spans="2:49" ht="28.5" customHeight="1" thickBot="1" x14ac:dyDescent="0.3">
      <c r="B7" s="135"/>
      <c r="C7" s="187"/>
      <c r="D7" s="27"/>
      <c r="E7" s="27"/>
      <c r="F7" s="27"/>
      <c r="G7" s="191"/>
      <c r="H7" s="27"/>
      <c r="I7" s="27"/>
      <c r="J7" s="27"/>
      <c r="K7" s="195"/>
      <c r="L7" s="27"/>
      <c r="M7" s="27"/>
      <c r="N7" s="27"/>
      <c r="O7" s="195"/>
      <c r="P7" s="27"/>
      <c r="Q7" s="27"/>
      <c r="R7" s="195"/>
      <c r="S7" s="27"/>
      <c r="T7" s="27"/>
      <c r="U7" s="27"/>
      <c r="V7" s="195"/>
      <c r="W7" s="27"/>
      <c r="X7" s="26"/>
      <c r="Y7" s="195"/>
      <c r="Z7" s="27"/>
      <c r="AA7" s="27"/>
      <c r="AB7" s="92"/>
      <c r="AC7" s="195"/>
      <c r="AD7" s="150"/>
      <c r="AE7" s="150"/>
      <c r="AF7" s="150"/>
      <c r="AG7" s="200"/>
      <c r="AH7" s="150"/>
      <c r="AI7" s="150"/>
      <c r="AJ7" s="27"/>
      <c r="AK7" s="195"/>
      <c r="AL7" s="27"/>
      <c r="AP7" s="258" t="s">
        <v>3</v>
      </c>
      <c r="AQ7" s="260"/>
      <c r="AR7" s="132" t="s">
        <v>15</v>
      </c>
      <c r="AS7" s="132" t="s">
        <v>0</v>
      </c>
      <c r="AT7" s="132" t="s">
        <v>16</v>
      </c>
      <c r="AU7" s="132" t="s">
        <v>17</v>
      </c>
    </row>
    <row r="8" spans="2:49" ht="18" customHeight="1" x14ac:dyDescent="0.25">
      <c r="B8" s="136">
        <v>1</v>
      </c>
      <c r="C8" s="162" t="str">
        <f>IF('13M GRP'!G5&gt;=3,'13M GRP'!J8,IF('13M GRP'!G5=2,'13M GRP'!J8,IF('13M GRP'!G5=1,'13M GRP'!J8,"")))</f>
        <v>ALEXANDRE BORBA MARQUES</v>
      </c>
      <c r="D8" s="266">
        <v>0</v>
      </c>
      <c r="E8" s="101">
        <f>IF(D8&lt;&gt;"",D8,"")</f>
        <v>0</v>
      </c>
      <c r="F8" s="101" t="str">
        <f>IF(D8&lt;&gt;"",IF(C8="","",C8),"")</f>
        <v>ALEXANDRE BORBA MARQUES</v>
      </c>
      <c r="G8" s="190">
        <f>IF(E8&lt;&gt;"",IF(E10&lt;&gt;"",SMALL(E8:E10,1),""),"")</f>
        <v>0</v>
      </c>
      <c r="H8" s="101"/>
      <c r="I8" s="101"/>
      <c r="J8" s="101"/>
      <c r="K8" s="190"/>
      <c r="L8" s="101"/>
      <c r="M8" s="151"/>
      <c r="N8" s="30"/>
      <c r="O8" s="196"/>
      <c r="P8" s="30"/>
      <c r="Q8" s="37"/>
      <c r="R8" s="198"/>
      <c r="S8" s="37"/>
      <c r="T8" s="37"/>
      <c r="U8" s="37"/>
      <c r="V8" s="198"/>
      <c r="W8" s="37"/>
      <c r="X8" s="86"/>
      <c r="Y8" s="198"/>
      <c r="Z8" s="37"/>
      <c r="AA8" s="37"/>
      <c r="AB8" s="29"/>
      <c r="AC8" s="198"/>
      <c r="AD8" s="100"/>
      <c r="AE8" s="100"/>
      <c r="AF8" s="100"/>
      <c r="AG8" s="197">
        <f>IF(AJ8&lt;&gt;"",AJ8,"")</f>
        <v>1</v>
      </c>
      <c r="AH8" s="100" t="str">
        <f>IF(AJ8&lt;&gt;"",IF(AK8="","",AK8),"")</f>
        <v>MIGUEL AGUIAR</v>
      </c>
      <c r="AI8" s="101">
        <f>IF(AG8&lt;&gt;"",IF(AG10&lt;&gt;"",SMALL(AG8:AG10,1),""),"")</f>
        <v>0</v>
      </c>
      <c r="AJ8" s="266">
        <v>1</v>
      </c>
      <c r="AK8" s="162" t="str">
        <f>IF('13M GRP'!G5&gt;=3,'13M GRP'!J47,IF('13M GRP'!G5=2,IF('13M GRP'!H8=3,"",'13M GRP'!J9),IF('13M GRP'!G5=1,'13M GRP'!J10,"")))</f>
        <v>MIGUEL AGUIAR</v>
      </c>
      <c r="AL8" s="99">
        <v>3</v>
      </c>
      <c r="AP8" s="31">
        <f>IF(AR8&lt;&gt;"",1,"")</f>
        <v>1</v>
      </c>
      <c r="AQ8" s="32" t="str">
        <f>IF(AP8&lt;&gt;"","LUGAR","")</f>
        <v>LUGAR</v>
      </c>
      <c r="AR8" s="33" t="str">
        <f>IF(S36&lt;&gt;"",IF(U36&lt;&gt;"",IF(S36=U36,"",IF(S36&gt;U36,R36,V36)),""),"")</f>
        <v>THEO PANARIELLO PESSUTO CRUZ</v>
      </c>
      <c r="AS8" s="33" t="str">
        <f>IFERROR(IF(AR8="","",VLOOKUP(AR8,LISTAS!$F$5:$G$1004,2,0)),"0")</f>
        <v>COLÉGIO SÃO JOSÉ</v>
      </c>
      <c r="AT8" s="33">
        <f t="shared" ref="AT8:AT23" si="0">IF(AP8="","",IF(AP8=1,400,IF(AP8=2,340,IF(AP8=3,300,IF(AP8=4,280,IF(AP8=5,270,IF(AP8=6,260,IF(AP8=7,250,IF(AP8=8,240,IF(AP8=9,200,IF(AP8=10,200,IF(AP8=11,200,IF(AP8=12,200,IF(AP8=13,200,IF(AP8=14,200,IF(AP8=15,200,IF(AP8=16,200,IF(AP8&gt;16,"",""))))))))))))))))))</f>
        <v>400</v>
      </c>
      <c r="AU8" s="33">
        <f>IF(AP8="","",IF($AS$5="NÃO","",IF(AP8=1,400,IF(AP8=2,340,IF(AP8=3,300,IF(AP8=4,280,IF(AP8=5,270,IF(AP8=6,260,IF(AP8=7,250,IF(AP8=8,240,IF(AP8=9,200,IF(AP8=10,200,IF(AP8=11,200,IF(AP8=12,200,IF(AP8=13,200,IF(AP8=14,200,IF(AP8=15,200,IF(AP8=16,200,IF(AP8&gt;16,"","")))))))))))))))))))</f>
        <v>400</v>
      </c>
    </row>
    <row r="9" spans="2:49" ht="18" customHeight="1" thickBot="1" x14ac:dyDescent="0.3">
      <c r="B9" s="136"/>
      <c r="C9" s="165" t="str">
        <f>IFERROR(IF(C8="","",VLOOKUP(C8,LISTAS!$F$5:$G$1004,2,0)),"0")</f>
        <v>ABACO IPIRANGA</v>
      </c>
      <c r="D9" s="267"/>
      <c r="E9" s="101"/>
      <c r="F9" s="101"/>
      <c r="G9" s="190"/>
      <c r="H9" s="101"/>
      <c r="I9" s="101"/>
      <c r="J9" s="101"/>
      <c r="K9" s="190"/>
      <c r="L9" s="101"/>
      <c r="M9" s="151"/>
      <c r="N9" s="30"/>
      <c r="O9" s="196"/>
      <c r="P9" s="30"/>
      <c r="Q9" s="37"/>
      <c r="R9" s="198"/>
      <c r="S9" s="37"/>
      <c r="T9" s="37"/>
      <c r="U9" s="37"/>
      <c r="V9" s="198"/>
      <c r="W9" s="37"/>
      <c r="X9" s="86"/>
      <c r="Y9" s="198"/>
      <c r="Z9" s="37"/>
      <c r="AA9" s="37"/>
      <c r="AB9" s="29"/>
      <c r="AC9" s="198"/>
      <c r="AD9" s="100"/>
      <c r="AE9" s="100"/>
      <c r="AF9" s="100"/>
      <c r="AG9" s="197"/>
      <c r="AH9" s="100"/>
      <c r="AI9" s="101"/>
      <c r="AJ9" s="267"/>
      <c r="AK9" s="165" t="str">
        <f>IFERROR(IF(AK8="","",VLOOKUP(AK8,LISTAS!$F$5:$G$1004,2,0)),"0")</f>
        <v>COLÉGIO MARCONI - GRU</v>
      </c>
      <c r="AL9" s="99"/>
      <c r="AP9" s="31">
        <f>IF(AR9&lt;&gt;"",1+COUNTIF(AP8,"1"),"")</f>
        <v>2</v>
      </c>
      <c r="AQ9" s="32" t="str">
        <f t="shared" ref="AQ9:AQ39" si="1">IF(AP9&lt;&gt;"","LUGAR","")</f>
        <v>LUGAR</v>
      </c>
      <c r="AR9" s="33" t="str">
        <f>IF(S36&lt;&gt;"",IF(U36&lt;&gt;"",IF(S36=U36,"",IF(S36&lt;U36,R36,V36)),""),"")</f>
        <v>RAFAEL PICCOLO VENDRAME</v>
      </c>
      <c r="AS9" s="33" t="str">
        <f>IFERROR(IF(AR9="","",VLOOKUP(AR9,LISTAS!$F$5:$G$1004,2,0)),"0")</f>
        <v>COLEGIO PETROPOLIS</v>
      </c>
      <c r="AT9" s="33">
        <f t="shared" si="0"/>
        <v>340</v>
      </c>
      <c r="AU9" s="33">
        <f t="shared" ref="AU9:AU38" si="2">IF(AP9="","",IF($AS$5="NÃO","",IF(AP9=1,400,IF(AP9=2,340,IF(AP9=3,300,IF(AP9=4,280,IF(AP9=5,270,IF(AP9=6,260,IF(AP9=7,250,IF(AP9=8,240,IF(AP9=9,200,IF(AP9=10,200,IF(AP9=11,200,IF(AP9=12,200,IF(AP9=13,200,IF(AP9=14,200,IF(AP9=15,200,IF(AP9=16,200,IF(AP9&gt;16,"","")))))))))))))))))))</f>
        <v>340</v>
      </c>
    </row>
    <row r="10" spans="2:49" ht="18" customHeight="1" x14ac:dyDescent="0.25">
      <c r="B10" s="133">
        <v>32</v>
      </c>
      <c r="C10" s="33" t="s">
        <v>453</v>
      </c>
      <c r="D10" s="266">
        <v>1</v>
      </c>
      <c r="E10" s="107">
        <f>IF(D10&lt;&gt;"",D10,"")</f>
        <v>1</v>
      </c>
      <c r="F10" s="101" t="str">
        <f>IF(D10&lt;&gt;"",IF(C10="","",C10),"")</f>
        <v>MIGUEL TAVARES MALHEIRO</v>
      </c>
      <c r="G10" s="190" t="str">
        <f>VLOOKUP(G8,E8:F10,2,0)</f>
        <v>ALEXANDRE BORBA MARQUES</v>
      </c>
      <c r="H10" s="101"/>
      <c r="I10" s="101"/>
      <c r="J10" s="101"/>
      <c r="K10" s="190"/>
      <c r="L10" s="101"/>
      <c r="M10" s="151"/>
      <c r="N10" s="30"/>
      <c r="O10" s="196"/>
      <c r="P10" s="30"/>
      <c r="Q10" s="37"/>
      <c r="R10" s="198"/>
      <c r="S10" s="37"/>
      <c r="T10" s="37"/>
      <c r="U10" s="37"/>
      <c r="V10" s="198"/>
      <c r="W10" s="37"/>
      <c r="X10" s="86"/>
      <c r="Y10" s="198"/>
      <c r="Z10" s="37"/>
      <c r="AA10" s="37"/>
      <c r="AB10" s="29"/>
      <c r="AC10" s="198"/>
      <c r="AD10" s="100"/>
      <c r="AE10" s="100"/>
      <c r="AF10" s="100"/>
      <c r="AG10" s="197">
        <f>IF(AJ10&lt;&gt;"",AJ10,"")</f>
        <v>0</v>
      </c>
      <c r="AH10" s="100" t="str">
        <f>IF(AJ10&lt;&gt;"",IF(AK10="","",AK10),"")</f>
        <v>RAFAEL DE CARVALHO SOARES</v>
      </c>
      <c r="AI10" s="102" t="str">
        <f>VLOOKUP(AI8,AG8:AH10,2,0)</f>
        <v>RAFAEL DE CARVALHO SOARES</v>
      </c>
      <c r="AJ10" s="266">
        <v>0</v>
      </c>
      <c r="AK10" s="162" t="str">
        <f>IF('13M GRP'!G5&gt;=3,'13M GRP'!J398,IF('13M GRP'!G5=2,"",IF('13M GRP'!G5=1,"","")))</f>
        <v>RAFAEL DE CARVALHO SOARES</v>
      </c>
      <c r="AL10" s="29">
        <v>30</v>
      </c>
      <c r="AP10" s="31">
        <f>IF(AR10&lt;&gt;"",1+COUNTIF(AP8:AP9,"1")+COUNTIF(AP8:AP9,"2"),"")</f>
        <v>3</v>
      </c>
      <c r="AQ10" s="32" t="str">
        <f t="shared" si="1"/>
        <v>LUGAR</v>
      </c>
      <c r="AR10" s="111" t="str">
        <f>IF(AR8&lt;&gt;"",IF(O35=AR8,O37,IF(O37=AR8,O35,IF(Y35=AR8,Y37,IF(Y37=AR8,Y35)))),"")</f>
        <v>TIAGO DREER DURAN</v>
      </c>
      <c r="AS10" s="33" t="str">
        <f>IFERROR(IF(AR10="","",VLOOKUP(AR10,LISTAS!$F$5:$G$1004,2,0)),"0")</f>
        <v>COLÉGIO ARBOS SÃO CAETANO DO SUL</v>
      </c>
      <c r="AT10" s="33">
        <f t="shared" si="0"/>
        <v>300</v>
      </c>
      <c r="AU10" s="33">
        <f t="shared" si="2"/>
        <v>300</v>
      </c>
    </row>
    <row r="11" spans="2:49" ht="18" customHeight="1" thickBot="1" x14ac:dyDescent="0.3">
      <c r="B11" s="133"/>
      <c r="C11" s="165" t="str">
        <f>IFERROR(IF(C10="","",VLOOKUP(C10,LISTAS!$F$5:$G$1004,2,0)),"0")</f>
        <v>CENTRO DE ESTUDOS JÚLIO VERNE</v>
      </c>
      <c r="D11" s="267"/>
      <c r="E11" s="148"/>
      <c r="F11" s="101"/>
      <c r="G11" s="190"/>
      <c r="H11" s="101"/>
      <c r="I11" s="101"/>
      <c r="J11" s="101"/>
      <c r="K11" s="190"/>
      <c r="L11" s="101"/>
      <c r="M11" s="151"/>
      <c r="N11" s="30"/>
      <c r="O11" s="196"/>
      <c r="P11" s="30"/>
      <c r="Q11" s="37"/>
      <c r="R11" s="198"/>
      <c r="S11" s="37"/>
      <c r="T11" s="37"/>
      <c r="U11" s="37"/>
      <c r="V11" s="198"/>
      <c r="W11" s="37"/>
      <c r="X11" s="86"/>
      <c r="Y11" s="198"/>
      <c r="Z11" s="37"/>
      <c r="AA11" s="37"/>
      <c r="AB11" s="29"/>
      <c r="AC11" s="198"/>
      <c r="AD11" s="100"/>
      <c r="AE11" s="100"/>
      <c r="AF11" s="100"/>
      <c r="AG11" s="197"/>
      <c r="AH11" s="100"/>
      <c r="AI11" s="142"/>
      <c r="AJ11" s="267"/>
      <c r="AK11" s="165" t="str">
        <f>IFERROR(IF(AK10="","",VLOOKUP(AK10,LISTAS!$F$5:$G$1004,2,0)),"0")</f>
        <v>CENTRO DE ESTUDOS JÚLIO VERNE</v>
      </c>
      <c r="AL11" s="29"/>
      <c r="AP11" s="31">
        <f>IF(AR11&lt;&gt;"",1+COUNTIF(AP8:AP10,"1")+COUNTIF(AP8:AP10,"2")+COUNTIF(AP8:AP10,"3"),"")</f>
        <v>4</v>
      </c>
      <c r="AQ11" s="32" t="str">
        <f t="shared" si="1"/>
        <v>LUGAR</v>
      </c>
      <c r="AR11" s="111" t="str">
        <f>IF(AR9&lt;&gt;"",IF(O35=AR9,O37,IF(O37=AR9,O35,IF(Y35=AR9,Y37,IF(Y37=AR9,Y35)))),"")</f>
        <v>LUCAS WANG FUJII KAO</v>
      </c>
      <c r="AS11" s="33" t="str">
        <f>IFERROR(IF(AR11="","",VLOOKUP(AR11,LISTAS!$F$5:$G$1004,2,0)),"0")</f>
        <v>ABACO IPIRANGA</v>
      </c>
      <c r="AT11" s="33">
        <f t="shared" si="0"/>
        <v>280</v>
      </c>
      <c r="AU11" s="33">
        <f t="shared" si="2"/>
        <v>280</v>
      </c>
    </row>
    <row r="12" spans="2:49" ht="18" customHeight="1" x14ac:dyDescent="0.25">
      <c r="B12" s="133"/>
      <c r="C12" s="188"/>
      <c r="D12" s="29"/>
      <c r="E12" s="29"/>
      <c r="F12" s="34"/>
      <c r="G12" s="162" t="str">
        <f>IF(D8&lt;&gt;"",IF(D10&lt;&gt;"",IF(D8=D10,"",IF(D8&gt;D10,C8,C10)),""),"")</f>
        <v>MIGUEL TAVARES MALHEIRO</v>
      </c>
      <c r="H12" s="266">
        <v>0</v>
      </c>
      <c r="I12" s="101">
        <f>IF(H12&lt;&gt;"",H12,"")</f>
        <v>0</v>
      </c>
      <c r="J12" s="101" t="str">
        <f>IF(H12&lt;&gt;"",IF(G12="","",G12),"")</f>
        <v>MIGUEL TAVARES MALHEIRO</v>
      </c>
      <c r="K12" s="190">
        <f>IF(I12&lt;&gt;"",IF(I14&lt;&gt;"",SMALL(I12:J14,1),""),"")</f>
        <v>0</v>
      </c>
      <c r="L12" s="101"/>
      <c r="M12" s="101"/>
      <c r="N12" s="101"/>
      <c r="O12" s="190"/>
      <c r="P12" s="29"/>
      <c r="Q12" s="37"/>
      <c r="R12" s="198"/>
      <c r="S12" s="37"/>
      <c r="T12" s="37"/>
      <c r="U12" s="37"/>
      <c r="V12" s="198"/>
      <c r="W12" s="37"/>
      <c r="X12" s="86"/>
      <c r="Y12" s="198"/>
      <c r="Z12" s="37"/>
      <c r="AA12" s="37"/>
      <c r="AB12" s="29"/>
      <c r="AC12" s="198"/>
      <c r="AD12" s="37"/>
      <c r="AE12" s="95"/>
      <c r="AF12" s="266">
        <v>1</v>
      </c>
      <c r="AG12" s="162" t="str">
        <f>IF(AJ8&lt;&gt;"",IF(AJ10&lt;&gt;"",IF(AJ8=AJ10,"",IF(AJ8&gt;AJ10,AK8,AK10)),""),"")</f>
        <v>MIGUEL AGUIAR</v>
      </c>
      <c r="AH12" s="94"/>
      <c r="AI12" s="37"/>
      <c r="AJ12" s="29"/>
      <c r="AK12" s="188"/>
      <c r="AL12" s="29"/>
      <c r="AP12" s="31">
        <f>IF(AR12&lt;&gt;"",1+COUNTIF(AP8:AP11,"1")+COUNTIF(AP8:AP11,"2")+COUNTIF(AP8:AP11,"3")+COUNTIF(AP8:AP11,"4"),"")</f>
        <v>5</v>
      </c>
      <c r="AQ12" s="32" t="str">
        <f t="shared" si="1"/>
        <v>LUGAR</v>
      </c>
      <c r="AR12" s="111" t="str">
        <f>IF(AR8&lt;&gt;"",IF(K20=AR8,K22,IF(K22=AR8,K20,IF(K50=AR8,K52,IF(K52=AR8,K50,IF(AC20=AR8,AC22,IF(AC22=AR8,AC20,IF(AC50=AR8,AC52,IF(AC52=AR8,AC50)))))))),"")</f>
        <v>MATEUS YUDI SUIZO NINCAO</v>
      </c>
      <c r="AS12" s="33" t="str">
        <f>IFERROR(IF(AR12="","",VLOOKUP(AR12,LISTAS!$F$5:$G$1004,2,0)),"0")</f>
        <v>COLÉGIO SÃO JOSÉ</v>
      </c>
      <c r="AT12" s="33">
        <f t="shared" si="0"/>
        <v>270</v>
      </c>
      <c r="AU12" s="33">
        <f t="shared" si="2"/>
        <v>270</v>
      </c>
    </row>
    <row r="13" spans="2:49" ht="18" customHeight="1" thickBot="1" x14ac:dyDescent="0.3">
      <c r="B13" s="133"/>
      <c r="C13" s="188"/>
      <c r="D13" s="29"/>
      <c r="E13" s="29"/>
      <c r="F13" s="34"/>
      <c r="G13" s="165" t="str">
        <f>IFERROR(IF(G12="","",VLOOKUP(G12,LISTAS!$F$5:$G$1004,2,0)),"0")</f>
        <v>CENTRO DE ESTUDOS JÚLIO VERNE</v>
      </c>
      <c r="H13" s="267"/>
      <c r="I13" s="101"/>
      <c r="J13" s="101"/>
      <c r="K13" s="190"/>
      <c r="L13" s="101"/>
      <c r="M13" s="101"/>
      <c r="N13" s="101"/>
      <c r="O13" s="190"/>
      <c r="P13" s="29"/>
      <c r="Q13" s="37"/>
      <c r="R13" s="198"/>
      <c r="S13" s="37"/>
      <c r="T13" s="37"/>
      <c r="U13" s="37"/>
      <c r="V13" s="198"/>
      <c r="W13" s="37"/>
      <c r="X13" s="86"/>
      <c r="Y13" s="198"/>
      <c r="Z13" s="37"/>
      <c r="AA13" s="37"/>
      <c r="AB13" s="29"/>
      <c r="AC13" s="198"/>
      <c r="AD13" s="37"/>
      <c r="AE13" s="95"/>
      <c r="AF13" s="267"/>
      <c r="AG13" s="165" t="str">
        <f>IFERROR(IF(AG12="","",VLOOKUP(AG12,LISTAS!$F$5:$G$1004,2,0)),"0")</f>
        <v>COLÉGIO MARCONI - GRU</v>
      </c>
      <c r="AH13" s="94"/>
      <c r="AI13" s="37"/>
      <c r="AJ13" s="29"/>
      <c r="AK13" s="188"/>
      <c r="AL13" s="29"/>
      <c r="AP13" s="31">
        <f>IF(AR13&lt;&gt;"",1+COUNTIF(AP8:AP12,"1")+COUNTIF(AP8:AP12,"2")+COUNTIF(AP8:AP12,"3")+COUNTIF(AP8:AP12,"4")+COUNTIF(AP8:AP12,"5"),"")</f>
        <v>6</v>
      </c>
      <c r="AQ13" s="32" t="str">
        <f t="shared" si="1"/>
        <v>LUGAR</v>
      </c>
      <c r="AR13" s="111" t="str">
        <f>IF(AR9&lt;&gt;"",IF(K20=AR9,K22,IF(K22=AR9,K20,IF(K50=AR9,K52,IF(K52=AR9,K50,IF(AC20=AR9,AC22,IF(AC22=AR9,AC20,IF(AC50=AR9,AC52,IF(AC52=AR9,AC50)))))))),"")</f>
        <v>PEDRO MAZA</v>
      </c>
      <c r="AS13" s="33" t="str">
        <f>IFERROR(IF(AR13="","",VLOOKUP(AR13,LISTAS!$F$5:$G$1004,2,0)),"0")</f>
        <v>EDUCANDÁRIO - S.A</v>
      </c>
      <c r="AT13" s="33">
        <f t="shared" si="0"/>
        <v>260</v>
      </c>
      <c r="AU13" s="33">
        <f t="shared" si="2"/>
        <v>260</v>
      </c>
    </row>
    <row r="14" spans="2:49" ht="18" customHeight="1" x14ac:dyDescent="0.25">
      <c r="B14" s="133"/>
      <c r="C14" s="188"/>
      <c r="D14" s="29"/>
      <c r="E14" s="35"/>
      <c r="F14" s="36"/>
      <c r="G14" s="162" t="str">
        <f>IF(D16&lt;&gt;"",IF(D18&lt;&gt;"",IF(D16=D18,"",IF(D16&gt;D18,C16,C18)),""),"")</f>
        <v>FERNANDO GARAVELLO DE ARAUJO</v>
      </c>
      <c r="H14" s="266">
        <v>1</v>
      </c>
      <c r="I14" s="107">
        <f>IF(H14&lt;&gt;"",H14,"")</f>
        <v>1</v>
      </c>
      <c r="J14" s="101" t="str">
        <f>IF(H14&lt;&gt;"",IF(G14="","",G14),"")</f>
        <v>FERNANDO GARAVELLO DE ARAUJO</v>
      </c>
      <c r="K14" s="190" t="str">
        <f>VLOOKUP(K12,I12:J14,2,0)</f>
        <v>MIGUEL TAVARES MALHEIRO</v>
      </c>
      <c r="L14" s="101"/>
      <c r="M14" s="101"/>
      <c r="N14" s="101"/>
      <c r="O14" s="190"/>
      <c r="P14" s="29"/>
      <c r="Q14" s="37"/>
      <c r="R14" s="198"/>
      <c r="S14" s="37"/>
      <c r="T14" s="37"/>
      <c r="U14" s="37"/>
      <c r="V14" s="198"/>
      <c r="W14" s="37"/>
      <c r="X14" s="86"/>
      <c r="Y14" s="198"/>
      <c r="Z14" s="37"/>
      <c r="AA14" s="37"/>
      <c r="AB14" s="29"/>
      <c r="AC14" s="198"/>
      <c r="AD14" s="94"/>
      <c r="AE14" s="96"/>
      <c r="AF14" s="266">
        <v>0</v>
      </c>
      <c r="AG14" s="162" t="str">
        <f>IF(AJ16&lt;&gt;"",IF(AJ18&lt;&gt;"",IF(AJ16=AJ18,"",IF(AJ16&gt;AJ18,AK16,AK18)),""),"")</f>
        <v>RAFAEL LOBATO DA CONCEIÇÃO</v>
      </c>
      <c r="AH14" s="98"/>
      <c r="AI14" s="37"/>
      <c r="AJ14" s="29"/>
      <c r="AK14" s="188"/>
      <c r="AL14" s="29"/>
      <c r="AP14" s="31">
        <f>IF(AR14&lt;&gt;"",1+COUNTIF(AP8:AP13,"1")+COUNTIF(AP8:AP13,"2")+COUNTIF(AP8:AP13,"3")+COUNTIF(AP8:AP13,"4")+COUNTIF(AP8:AP13,"5")+COUNTIF(AP8:AP13,"6"),"")</f>
        <v>7</v>
      </c>
      <c r="AQ14" s="32" t="str">
        <f t="shared" si="1"/>
        <v>LUGAR</v>
      </c>
      <c r="AR14" s="111" t="str">
        <f>IF(AR10&lt;&gt;"",IF(K20=AR10,K22,IF(K22=AR10,K20,IF(K50=AR10,K52,IF(K52=AR10,K50,IF(AC20=AR10,AC22,IF(AC22=AR10,AC20,IF(AC50=AR10,AC52,IF(AC52=AR10,AC50)))))))),"")</f>
        <v>FERNANDO GARAVELLO DE ARAUJO</v>
      </c>
      <c r="AS14" s="33" t="str">
        <f>IFERROR(IF(AR14="","",VLOOKUP(AR14,LISTAS!$F$5:$G$1004,2,0)),"0")</f>
        <v>COLÉGIO ARBOS - UNIDADE SANTO ANDRÉ</v>
      </c>
      <c r="AT14" s="33">
        <f t="shared" si="0"/>
        <v>250</v>
      </c>
      <c r="AU14" s="33">
        <f t="shared" si="2"/>
        <v>250</v>
      </c>
    </row>
    <row r="15" spans="2:49" ht="18" customHeight="1" thickBot="1" x14ac:dyDescent="0.3">
      <c r="B15" s="133"/>
      <c r="C15" s="188"/>
      <c r="D15" s="29"/>
      <c r="E15" s="35"/>
      <c r="F15" s="29"/>
      <c r="G15" s="165" t="str">
        <f>IFERROR(IF(G14="","",VLOOKUP(G14,LISTAS!$F$5:$G$1004,2,0)),"0")</f>
        <v>COLÉGIO ARBOS - UNIDADE SANTO ANDRÉ</v>
      </c>
      <c r="H15" s="267"/>
      <c r="I15" s="138"/>
      <c r="J15" s="101"/>
      <c r="K15" s="190"/>
      <c r="L15" s="101"/>
      <c r="M15" s="101"/>
      <c r="N15" s="101"/>
      <c r="O15" s="190"/>
      <c r="P15" s="29"/>
      <c r="Q15" s="37"/>
      <c r="R15" s="198"/>
      <c r="S15" s="37"/>
      <c r="T15" s="37"/>
      <c r="U15" s="37"/>
      <c r="V15" s="198"/>
      <c r="W15" s="37"/>
      <c r="X15" s="86"/>
      <c r="Y15" s="198"/>
      <c r="Z15" s="37"/>
      <c r="AA15" s="37"/>
      <c r="AB15" s="29"/>
      <c r="AC15" s="198"/>
      <c r="AD15" s="94"/>
      <c r="AE15" s="37"/>
      <c r="AF15" s="267"/>
      <c r="AG15" s="165" t="str">
        <f>IFERROR(IF(AG14="","",VLOOKUP(AG14,LISTAS!$F$5:$G$1004,2,0)),"0")</f>
        <v>ESCOLA VILLARE</v>
      </c>
      <c r="AH15" s="37"/>
      <c r="AI15" s="89"/>
      <c r="AJ15" s="29"/>
      <c r="AK15" s="188"/>
      <c r="AL15" s="29"/>
      <c r="AP15" s="31">
        <f>IF(AR15&lt;&gt;"",1+COUNTIF(AP8:AP14,"1")+COUNTIF(AP8:AP14,"2")+COUNTIF(AP8:AP14,"3")+COUNTIF(AP8:AP14,"4")+COUNTIF(AP8:AP14,"5")+COUNTIF(AP8:AP14,"6")+COUNTIF(AP8:AP14,"7"),"")</f>
        <v>8</v>
      </c>
      <c r="AQ15" s="32" t="str">
        <f t="shared" si="1"/>
        <v>LUGAR</v>
      </c>
      <c r="AR15" s="111" t="str">
        <f>IF(AR11&lt;&gt;"",IF(K20=AR11,K22,IF(K22=AR11,K20,IF(K50=AR11,K52,IF(K52=AR11,K50,IF(AC20=AR11,AC22,IF(AC22=AR11,AC20,IF(AC50=AR11,AC52,IF(AC52=AR11,AC50)))))))),"")</f>
        <v>MIGUEL AGUIAR</v>
      </c>
      <c r="AS15" s="33" t="str">
        <f>IFERROR(IF(AR15="","",VLOOKUP(AR15,LISTAS!$F$5:$G$1004,2,0)),"0")</f>
        <v>COLÉGIO MARCONI - GRU</v>
      </c>
      <c r="AT15" s="33">
        <f t="shared" si="0"/>
        <v>240</v>
      </c>
      <c r="AU15" s="33">
        <f t="shared" si="2"/>
        <v>240</v>
      </c>
    </row>
    <row r="16" spans="2:49" ht="18" customHeight="1" x14ac:dyDescent="0.25">
      <c r="B16" s="133">
        <v>17</v>
      </c>
      <c r="C16" s="39" t="s">
        <v>411</v>
      </c>
      <c r="D16" s="266">
        <v>0</v>
      </c>
      <c r="E16" s="148">
        <f>IF(D16&lt;&gt;"",D16,"")</f>
        <v>0</v>
      </c>
      <c r="F16" s="101" t="str">
        <f>IF(D16&lt;&gt;"",IF(C16="","",C16),"")</f>
        <v>GABRIEL SORECHIO NETO</v>
      </c>
      <c r="G16" s="190">
        <f>IF(E16&lt;&gt;"",IF(E18&lt;&gt;"",SMALL(E16:E18,1),""),"")</f>
        <v>0</v>
      </c>
      <c r="H16" s="101"/>
      <c r="I16" s="138"/>
      <c r="J16" s="101"/>
      <c r="K16" s="190"/>
      <c r="L16" s="101"/>
      <c r="M16" s="101"/>
      <c r="N16" s="101"/>
      <c r="O16" s="190"/>
      <c r="P16" s="29"/>
      <c r="Q16" s="37"/>
      <c r="R16" s="198"/>
      <c r="S16" s="37"/>
      <c r="T16" s="37"/>
      <c r="U16" s="37"/>
      <c r="V16" s="198"/>
      <c r="W16" s="37"/>
      <c r="X16" s="86"/>
      <c r="Y16" s="198"/>
      <c r="Z16" s="37"/>
      <c r="AA16" s="37"/>
      <c r="AB16" s="29"/>
      <c r="AC16" s="198"/>
      <c r="AD16" s="94"/>
      <c r="AE16" s="100"/>
      <c r="AF16" s="100"/>
      <c r="AG16" s="197">
        <f>IF(AJ16&lt;&gt;"",AJ16,"")</f>
        <v>0</v>
      </c>
      <c r="AH16" s="100" t="str">
        <f>IF(AJ16&lt;&gt;"",IF(AK16="","",AK16),"")</f>
        <v>BERNARDO KAIROF DE SOUZA MENDES DA SILVA</v>
      </c>
      <c r="AI16" s="137">
        <f>IF(AG16&lt;&gt;"",IF(AG18&lt;&gt;"",SMALL(AG16:AG18,1),""),"")</f>
        <v>0</v>
      </c>
      <c r="AJ16" s="266">
        <v>0</v>
      </c>
      <c r="AK16" s="162" t="str">
        <f>IF('13M GRP'!G5&gt;=3,'13M GRP'!J190,IF('13M GRP'!G5=2,"",IF('13M GRP'!G5=1,"","")))</f>
        <v>BERNARDO KAIROF DE SOUZA MENDES DA SILVA</v>
      </c>
      <c r="AL16" s="29">
        <v>14</v>
      </c>
      <c r="AP16" s="31">
        <f>IF(AR16&lt;&gt;"",1+COUNTIF(AP8:AP15,"1")+COUNTIF(AP8:AP15,"2")+COUNTIF(AP8:AP15,"3")+COUNTIF(AP8:AP15,"4")+COUNTIF(AP8:AP15,"5")+COUNTIF(AP8:AP15,"6")+COUNTIF(AP8:AP15,"7")+COUNTIF(AP8:AP15,"8"),"")</f>
        <v>9</v>
      </c>
      <c r="AQ16" s="32" t="str">
        <f t="shared" si="1"/>
        <v>LUGAR</v>
      </c>
      <c r="AR16" s="111" t="str">
        <f>IF(AR8&lt;&gt;"",IF(G12=AR8,G14,IF(G14=AR8,G12,IF(G28=AR8,G30,IF(G30=AR8,G28,IF(AG12=AR8,AG14,IF(AG14=AR8,AG12,IF(AG28=AR8,AG30,IF(AG30=AR8,AG28,IF(G42=AR8,G44,IF(G44=AR8,G42,IF(G58=AR8,G60,IF(G60=AR8,G58,IF(AG42=AR8,AG44,IF(AG44=AR8,AG42,IF(AG58=AR8,AG60,IF(AG60=AR8,AG58)))))))))))))))),"")</f>
        <v>GUSTAVO ANDREASSA CARVALHO</v>
      </c>
      <c r="AS16" s="33" t="str">
        <f>IFERROR(IF(AR16="","",VLOOKUP(AR16,LISTAS!$F$5:$G$1004,2,0)),"0")</f>
        <v>COLEGIO PETROPOLIS</v>
      </c>
      <c r="AT16" s="33">
        <f t="shared" si="0"/>
        <v>200</v>
      </c>
      <c r="AU16" s="33">
        <f t="shared" si="2"/>
        <v>200</v>
      </c>
    </row>
    <row r="17" spans="2:47" ht="18" customHeight="1" thickBot="1" x14ac:dyDescent="0.3">
      <c r="B17" s="133"/>
      <c r="C17" s="165" t="str">
        <f>IFERROR(IF(C16="","",VLOOKUP(C16,LISTAS!$F$5:$G$1004,2,0)),"0")</f>
        <v>COLÉGIO ARBOS - UNIDADE SANTO ANDRÉ</v>
      </c>
      <c r="D17" s="267"/>
      <c r="E17" s="105"/>
      <c r="F17" s="101"/>
      <c r="G17" s="190"/>
      <c r="H17" s="101"/>
      <c r="I17" s="138"/>
      <c r="J17" s="101"/>
      <c r="K17" s="190"/>
      <c r="L17" s="101"/>
      <c r="M17" s="101"/>
      <c r="N17" s="101"/>
      <c r="O17" s="190"/>
      <c r="P17" s="29"/>
      <c r="Q17" s="37"/>
      <c r="R17" s="198"/>
      <c r="S17" s="37"/>
      <c r="T17" s="37"/>
      <c r="U17" s="37"/>
      <c r="V17" s="198"/>
      <c r="W17" s="37"/>
      <c r="X17" s="86"/>
      <c r="Y17" s="198"/>
      <c r="Z17" s="37"/>
      <c r="AA17" s="37"/>
      <c r="AB17" s="29"/>
      <c r="AC17" s="198"/>
      <c r="AD17" s="94"/>
      <c r="AE17" s="100"/>
      <c r="AF17" s="100"/>
      <c r="AG17" s="197"/>
      <c r="AH17" s="100"/>
      <c r="AI17" s="143"/>
      <c r="AJ17" s="267"/>
      <c r="AK17" s="165" t="str">
        <f>IFERROR(IF(AK16="","",VLOOKUP(AK16,LISTAS!$F$5:$G$1004,2,0)),"0")</f>
        <v>LICEU JARDIM</v>
      </c>
      <c r="AL17" s="29"/>
      <c r="AP17" s="31">
        <f>IF(AR17&lt;&gt;"",1+COUNTIF(AP8:AP16,"1")+COUNTIF(AP8:AP16,"2")+COUNTIF(AP8:AP16,"3")+COUNTIF(AP8:AP16,"4")+COUNTIF(AP8:AP16,"5")+COUNTIF(AP8:AP16,"6")+COUNTIF(AP8:AP16,"7")+COUNTIF(AP8:AP16,"8")+COUNTIF(AP8:AP16,"9"),"")</f>
        <v>10</v>
      </c>
      <c r="AQ17" s="32" t="str">
        <f t="shared" si="1"/>
        <v>LUGAR</v>
      </c>
      <c r="AR17" s="111" t="str">
        <f>IF(AR9&lt;&gt;"",IF(G12=AR9,G14,IF(G14=AR9,G12,IF(G28=AR9,G30,IF(G30=AR9,G28,IF(AG12=AR9,AG14,IF(AG14=AR9,AG12,IF(AG28=AR9,AG30,IF(AG30=AR9,AG28,IF(G42=AR9,G44,IF(G44=AR9,G42,IF(G58=AR9,G60,IF(G60=AR9,G58,IF(AG42=AR9,AG44,IF(AG44=AR9,AG42,IF(AG58=AR9,AG60,IF(AG60=AR9,AG58)))))))))))))))),"")</f>
        <v>BENTO SAKATA UZUELI</v>
      </c>
      <c r="AS17" s="33" t="str">
        <f>IFERROR(IF(AR17="","",VLOOKUP(AR17,LISTAS!$F$5:$G$1004,2,0)),"0")</f>
        <v>COLÉGIO VÉRTICE</v>
      </c>
      <c r="AT17" s="33">
        <f t="shared" si="0"/>
        <v>200</v>
      </c>
      <c r="AU17" s="33">
        <f t="shared" si="2"/>
        <v>200</v>
      </c>
    </row>
    <row r="18" spans="2:47" ht="18" customHeight="1" x14ac:dyDescent="0.25">
      <c r="B18" s="133">
        <v>16</v>
      </c>
      <c r="C18" s="162" t="str">
        <f>IF('13M GRP'!G5&gt;=3,'13M GRP'!J216,IF('13M GRP'!G5=2,"",IF('13M GRP'!G5=1,"","")))</f>
        <v>FERNANDO GARAVELLO DE ARAUJO</v>
      </c>
      <c r="D18" s="266">
        <v>1</v>
      </c>
      <c r="E18" s="106">
        <f>IF(D18&lt;&gt;"",D18,"")</f>
        <v>1</v>
      </c>
      <c r="F18" s="101" t="str">
        <f>IF(D18&lt;&gt;"",IF(C18="","",C18),"")</f>
        <v>FERNANDO GARAVELLO DE ARAUJO</v>
      </c>
      <c r="G18" s="190" t="str">
        <f>VLOOKUP(G16,E16:F18,2,0)</f>
        <v>GABRIEL SORECHIO NETO</v>
      </c>
      <c r="H18" s="101"/>
      <c r="I18" s="138"/>
      <c r="J18" s="101"/>
      <c r="K18" s="190"/>
      <c r="L18" s="101"/>
      <c r="M18" s="101"/>
      <c r="N18" s="101"/>
      <c r="O18" s="190"/>
      <c r="P18" s="29"/>
      <c r="Q18" s="37"/>
      <c r="R18" s="198"/>
      <c r="S18" s="37"/>
      <c r="T18" s="37"/>
      <c r="U18" s="37"/>
      <c r="V18" s="198"/>
      <c r="W18" s="37"/>
      <c r="X18" s="86"/>
      <c r="Y18" s="198"/>
      <c r="Z18" s="37"/>
      <c r="AA18" s="37"/>
      <c r="AB18" s="29"/>
      <c r="AC18" s="198"/>
      <c r="AD18" s="94"/>
      <c r="AE18" s="100"/>
      <c r="AF18" s="100"/>
      <c r="AG18" s="197">
        <f>IF(AJ18&lt;&gt;"",AJ18,"")</f>
        <v>1</v>
      </c>
      <c r="AH18" s="100" t="str">
        <f>IF(AJ18&lt;&gt;"",IF(AK18="","",AK18),"")</f>
        <v>RAFAEL LOBATO DA CONCEIÇÃO</v>
      </c>
      <c r="AI18" s="104" t="str">
        <f>VLOOKUP(AI16,AG16:AH18,2,0)</f>
        <v>BERNARDO KAIROF DE SOUZA MENDES DA SILVA</v>
      </c>
      <c r="AJ18" s="266">
        <v>1</v>
      </c>
      <c r="AK18" s="39" t="s">
        <v>468</v>
      </c>
      <c r="AL18" s="29">
        <v>19</v>
      </c>
      <c r="AP18" s="31">
        <f>IF(AR18&lt;&gt;"",1+COUNTIF(AP8:AP17,"1")+COUNTIF(AP8:AP17,"2")+COUNTIF(AP8:AP17,"3")+COUNTIF(AP8:AP17,"4")+COUNTIF(AP8:AP17,"5")+COUNTIF(AP8:AP17,"6")+COUNTIF(AP8:AP17,"7")+COUNTIF(AP8:AP17,"8")+COUNTIF(AP8:AP17,"9")+COUNTIF(AP8:AP17,"10"),"")</f>
        <v>11</v>
      </c>
      <c r="AQ18" s="32" t="str">
        <f t="shared" si="1"/>
        <v>LUGAR</v>
      </c>
      <c r="AR18" s="111" t="str">
        <f>IF(AR10&lt;&gt;"",IF(G12=AR10,G14,IF(G14=AR10,G12,IF(G28=AR10,G30,IF(G30=AR10,G28,IF(AG12=AR10,AG14,IF(AG14=AR10,AG12,IF(AG28=AR10,AG30,IF(AG30=AR10,AG28,IF(G42=AR10,G44,IF(G44=AR10,G42,IF(G58=AR10,G60,IF(G60=AR10,G58,IF(AG42=AR10,AG44,IF(AG44=AR10,AG42,IF(AG58=AR10,AG60,IF(AG60=AR10,AG58)))))))))))))))),"")</f>
        <v>BERNARDO PAGETTI GUEDES</v>
      </c>
      <c r="AS18" s="33" t="str">
        <f>IFERROR(IF(AR18="","",VLOOKUP(AR18,LISTAS!$F$5:$G$1004,2,0)),"0")</f>
        <v>ABACO IPIRANGA</v>
      </c>
      <c r="AT18" s="33">
        <f t="shared" si="0"/>
        <v>200</v>
      </c>
      <c r="AU18" s="33">
        <f t="shared" si="2"/>
        <v>200</v>
      </c>
    </row>
    <row r="19" spans="2:47" ht="18" customHeight="1" thickBot="1" x14ac:dyDescent="0.3">
      <c r="B19" s="133"/>
      <c r="C19" s="165" t="str">
        <f>IFERROR(IF(C18="","",VLOOKUP(C18,LISTAS!$F$5:$G$1004,2,0)),"0")</f>
        <v>COLÉGIO ARBOS - UNIDADE SANTO ANDRÉ</v>
      </c>
      <c r="D19" s="267"/>
      <c r="E19" s="101"/>
      <c r="F19" s="101"/>
      <c r="G19" s="190"/>
      <c r="H19" s="101"/>
      <c r="I19" s="138"/>
      <c r="J19" s="101"/>
      <c r="K19" s="190"/>
      <c r="L19" s="101"/>
      <c r="M19" s="101"/>
      <c r="N19" s="101"/>
      <c r="O19" s="190"/>
      <c r="P19" s="29"/>
      <c r="Q19" s="37"/>
      <c r="R19" s="198"/>
      <c r="S19" s="37"/>
      <c r="T19" s="37"/>
      <c r="U19" s="37"/>
      <c r="V19" s="198"/>
      <c r="W19" s="37"/>
      <c r="X19" s="86"/>
      <c r="Y19" s="198"/>
      <c r="Z19" s="37"/>
      <c r="AA19" s="37"/>
      <c r="AB19" s="29"/>
      <c r="AC19" s="198"/>
      <c r="AD19" s="94"/>
      <c r="AE19" s="100"/>
      <c r="AF19" s="100"/>
      <c r="AG19" s="197"/>
      <c r="AH19" s="100"/>
      <c r="AI19" s="101"/>
      <c r="AJ19" s="267"/>
      <c r="AK19" s="165" t="str">
        <f>IFERROR(IF(AK18="","",VLOOKUP(AK18,LISTAS!$F$5:$G$1004,2,0)),"0")</f>
        <v>ESCOLA VILLARE</v>
      </c>
      <c r="AL19" s="29"/>
      <c r="AP19" s="31">
        <f>IF(AR19&lt;&gt;"",1+COUNTIF(AP8:AP18,"1")+COUNTIF(AP8:AP18,"2")+COUNTIF(AP8:AP18,"3")+COUNTIF(AP8:AP18,"4")+COUNTIF(AP8:AP18,"5")+COUNTIF(AP8:AP18,"6")+COUNTIF(AP8:AP18,"7")+COUNTIF(AP8:AP18,"8")+COUNTIF(AP8:AP18,"9")+COUNTIF(AP8:AP18,"10")+COUNTIF(AP8:AP18,"11"),"")</f>
        <v>12</v>
      </c>
      <c r="AQ19" s="32" t="str">
        <f t="shared" si="1"/>
        <v>LUGAR</v>
      </c>
      <c r="AR19" s="111" t="str">
        <f>IF(AR11&lt;&gt;"",IF(G12=AR11,G14,IF(G14=AR11,G12,IF(G28=AR11,G30,IF(G30=AR11,G28,IF(AG12=AR11,AG14,IF(AG14=AR11,AG12,IF(AG28=AR11,AG30,IF(AG30=AR11,AG28,IF(G42=AR11,G44,IF(G44=AR11,G42,IF(G58=AR11,G60,IF(G60=AR11,G58,IF(AG42=AR11,AG44,IF(AG44=AR11,AG42,IF(AG58=AR11,AG60,IF(AG60=AR11,AG58)))))))))))))))),"")</f>
        <v>NICOLAS GRACIANO</v>
      </c>
      <c r="AS19" s="33" t="str">
        <f>IFERROR(IF(AR19="","",VLOOKUP(AR19,LISTAS!$F$5:$G$1004,2,0)),"0")</f>
        <v>COLÉGIO MARCONI - GRU</v>
      </c>
      <c r="AT19" s="33">
        <f t="shared" si="0"/>
        <v>200</v>
      </c>
      <c r="AU19" s="33">
        <f t="shared" si="2"/>
        <v>200</v>
      </c>
    </row>
    <row r="20" spans="2:47" ht="18" customHeight="1" x14ac:dyDescent="0.25">
      <c r="B20" s="133"/>
      <c r="C20" s="188"/>
      <c r="D20" s="29"/>
      <c r="E20" s="87"/>
      <c r="F20" s="87"/>
      <c r="G20" s="192"/>
      <c r="H20" s="29"/>
      <c r="I20" s="35"/>
      <c r="J20" s="29"/>
      <c r="K20" s="162" t="str">
        <f>IF(H12&lt;&gt;"",IF(H14&lt;&gt;"",IF(H12=H14,"",IF(H12&gt;H14,G12,G14)),""),"")</f>
        <v>FERNANDO GARAVELLO DE ARAUJO</v>
      </c>
      <c r="L20" s="266">
        <v>0</v>
      </c>
      <c r="M20" s="101">
        <f>IF(L20&lt;&gt;"",L20,"")</f>
        <v>0</v>
      </c>
      <c r="N20" s="101" t="str">
        <f>IF(L20&lt;&gt;"",IF(K20="","",K20),"")</f>
        <v>FERNANDO GARAVELLO DE ARAUJO</v>
      </c>
      <c r="O20" s="190">
        <f>IF(M20&lt;&gt;"",IF(M22&lt;&gt;"",SMALL(M20:N22,1),""),"")</f>
        <v>0</v>
      </c>
      <c r="P20" s="101"/>
      <c r="Q20" s="100"/>
      <c r="R20" s="272" t="s">
        <v>90</v>
      </c>
      <c r="S20" s="273"/>
      <c r="T20" s="273"/>
      <c r="U20" s="273"/>
      <c r="V20" s="273"/>
      <c r="W20" s="37"/>
      <c r="X20" s="86"/>
      <c r="Y20" s="198"/>
      <c r="Z20" s="37"/>
      <c r="AA20" s="37"/>
      <c r="AB20" s="266">
        <v>0</v>
      </c>
      <c r="AC20" s="162" t="str">
        <f>IF(AF12&lt;&gt;"",IF(AF14&lt;&gt;"",IF(AF12=AF14,"",IF(AF12&gt;AF14,AG12,AG14)),""),"")</f>
        <v>MIGUEL AGUIAR</v>
      </c>
      <c r="AD20" s="141"/>
      <c r="AE20" s="100"/>
      <c r="AF20" s="100"/>
      <c r="AG20" s="197"/>
      <c r="AH20" s="100"/>
      <c r="AI20" s="100"/>
      <c r="AJ20" s="29"/>
      <c r="AK20" s="188"/>
      <c r="AL20" s="29"/>
      <c r="AM20" s="23"/>
      <c r="AN20" s="23"/>
      <c r="AO20" s="23"/>
      <c r="AP20" s="31">
        <f>IF(AR20&lt;&gt;"",1+COUNTIF(AP8:AP19,"1")+COUNTIF(AP8:AP19,"2")+COUNTIF(AP8:AP19,"3")+COUNTIF(AP8:AP19,"4")+COUNTIF(AP8:AP19,"5")+COUNTIF(AP8:AP19,"6")+COUNTIF(AP8:AP19,"7")+COUNTIF(AP8:AP19,"8")+COUNTIF(AP8:AP19,"9")+COUNTIF(AP8:AP19,"10")+COUNTIF(AP8:AP19,"11")+COUNTIF(AP8:AP19,"12"),"")</f>
        <v>13</v>
      </c>
      <c r="AQ20" s="32" t="str">
        <f t="shared" si="1"/>
        <v>LUGAR</v>
      </c>
      <c r="AR20" s="111" t="str">
        <f>IF(AR12&lt;&gt;"",IF(G12=AR12,G14,IF(G14=AR12,G12,IF(G28=AR12,G30,IF(G30=AR12,G28,IF(AG12=AR12,AG14,IF(AG14=AR12,AG12,IF(AG28=AR12,AG30,IF(AG30=AR12,AG28,IF(G42=AR12,G44,IF(G44=AR12,G42,IF(G58=AR12,G60,IF(G60=AR12,G58,IF(AG42=AR12,AG44,IF(AG44=AR12,AG42,IF(AG58=AR12,AG60,IF(AG60=AR12,AG58)))))))))))))))),"")</f>
        <v>FERNANDO BIRAL MAROTA</v>
      </c>
      <c r="AS20" s="33" t="str">
        <f>IFERROR(IF(AR20="","",VLOOKUP(AR20,LISTAS!$F$5:$G$1004,2,0)),"0")</f>
        <v>COLÉGIO ARBOS SÃO CAETANO DO SUL</v>
      </c>
      <c r="AT20" s="33">
        <f t="shared" si="0"/>
        <v>200</v>
      </c>
      <c r="AU20" s="33">
        <f t="shared" si="2"/>
        <v>200</v>
      </c>
    </row>
    <row r="21" spans="2:47" ht="18" customHeight="1" thickBot="1" x14ac:dyDescent="0.3">
      <c r="B21" s="133"/>
      <c r="C21" s="188"/>
      <c r="D21" s="29"/>
      <c r="E21" s="29"/>
      <c r="F21" s="29"/>
      <c r="G21" s="188"/>
      <c r="H21" s="29"/>
      <c r="I21" s="35"/>
      <c r="J21" s="29"/>
      <c r="K21" s="165" t="str">
        <f>IFERROR(IF(K20="","",VLOOKUP(K20,LISTAS!$F$5:$G$1004,2,0)),"0")</f>
        <v>COLÉGIO ARBOS - UNIDADE SANTO ANDRÉ</v>
      </c>
      <c r="L21" s="267"/>
      <c r="M21" s="101"/>
      <c r="N21" s="101"/>
      <c r="O21" s="190"/>
      <c r="P21" s="101"/>
      <c r="Q21" s="100"/>
      <c r="R21" s="272" t="s">
        <v>30</v>
      </c>
      <c r="S21" s="273"/>
      <c r="T21" s="273"/>
      <c r="U21" s="273"/>
      <c r="V21" s="273"/>
      <c r="W21" s="37"/>
      <c r="X21" s="86"/>
      <c r="Y21" s="198"/>
      <c r="Z21" s="37"/>
      <c r="AA21" s="37"/>
      <c r="AB21" s="267"/>
      <c r="AC21" s="165" t="str">
        <f>IFERROR(IF(AC20="","",VLOOKUP(AC20,LISTAS!$F$5:$G$1004,2,0)),"0")</f>
        <v>COLÉGIO MARCONI - GRU</v>
      </c>
      <c r="AD21" s="37"/>
      <c r="AE21" s="144"/>
      <c r="AF21" s="100"/>
      <c r="AG21" s="197"/>
      <c r="AH21" s="100"/>
      <c r="AI21" s="100"/>
      <c r="AJ21" s="29"/>
      <c r="AK21" s="188"/>
      <c r="AL21" s="29"/>
      <c r="AM21" s="23"/>
      <c r="AN21" s="23"/>
      <c r="AO21" s="23"/>
      <c r="AP21" s="31">
        <f>IF(AR21&lt;&gt;"",1+COUNTIF(AP8:AP20,"1")+COUNTIF(AP8:AP20,"2")+COUNTIF(AP8:AP20,"3")+COUNTIF(AP8:AP20,"4")+COUNTIF(AP8:AP20,"5")+COUNTIF(AP8:AP20,"6")+COUNTIF(AP8:AP20,"7")+COUNTIF(AP8:AP20,"8")+COUNTIF(AP8:AP20,"9")+COUNTIF(AP8:AP20,"10")+COUNTIF(AP8:AP20,"11")+COUNTIF(AP8:AP20,"12")+COUNTIF(AP8:AP20,"13"),"")</f>
        <v>14</v>
      </c>
      <c r="AQ21" s="32" t="str">
        <f t="shared" si="1"/>
        <v>LUGAR</v>
      </c>
      <c r="AR21" s="111" t="str">
        <f>IF(AR13&lt;&gt;"",IF(G12=AR13,G14,IF(G14=AR13,G12,IF(G28=AR13,G30,IF(G30=AR13,G28,IF(AG12=AR13,AG14,IF(AG14=AR13,AG12,IF(AG28=AR13,AG30,IF(AG30=AR13,AG28,IF(G42=AR13,G44,IF(G44=AR13,G42,IF(G58=AR13,G60,IF(G60=AR13,G58,IF(AG42=AR13,AG44,IF(AG44=AR13,AG42,IF(AG58=AR13,AG60,IF(AG60=AR13,AG58)))))))))))))))),"")</f>
        <v>APOLO GROSSO BEVILAQUA</v>
      </c>
      <c r="AS21" s="33" t="str">
        <f>IFERROR(IF(AR21="","",VLOOKUP(AR21,LISTAS!$F$5:$G$1004,2,0)),"0")</f>
        <v>ESCOLA VILLARE</v>
      </c>
      <c r="AT21" s="33">
        <f t="shared" si="0"/>
        <v>200</v>
      </c>
      <c r="AU21" s="33">
        <f t="shared" si="2"/>
        <v>200</v>
      </c>
    </row>
    <row r="22" spans="2:47" ht="18" customHeight="1" x14ac:dyDescent="0.25">
      <c r="B22" s="133"/>
      <c r="C22" s="188"/>
      <c r="D22" s="29"/>
      <c r="E22" s="29"/>
      <c r="F22" s="29"/>
      <c r="G22" s="188"/>
      <c r="H22" s="29"/>
      <c r="I22" s="35"/>
      <c r="J22" s="36"/>
      <c r="K22" s="162" t="str">
        <f>IF(H28&lt;&gt;"",IF(H30&lt;&gt;"",IF(H28=H30,"",IF(H28&gt;H30,G28,G30)),""),"")</f>
        <v>TIAGO DREER DURAN</v>
      </c>
      <c r="L22" s="266">
        <v>1</v>
      </c>
      <c r="M22" s="107">
        <f>IF(L22&lt;&gt;"",L22,"")</f>
        <v>1</v>
      </c>
      <c r="N22" s="101" t="str">
        <f>IF(L22&lt;&gt;"",IF(K22="","",K22),"")</f>
        <v>TIAGO DREER DURAN</v>
      </c>
      <c r="O22" s="190" t="str">
        <f>VLOOKUP(O20,M20:N22,2,0)</f>
        <v>FERNANDO GARAVELLO DE ARAUJO</v>
      </c>
      <c r="P22" s="101"/>
      <c r="Q22" s="100"/>
      <c r="R22" s="198"/>
      <c r="S22" s="37"/>
      <c r="T22" s="37"/>
      <c r="U22" s="37"/>
      <c r="V22" s="198"/>
      <c r="W22" s="37"/>
      <c r="X22" s="86"/>
      <c r="Y22" s="198"/>
      <c r="Z22" s="94"/>
      <c r="AA22" s="96"/>
      <c r="AB22" s="266">
        <v>1</v>
      </c>
      <c r="AC22" s="162" t="str">
        <f>IF(AF28&lt;&gt;"",IF(AF30&lt;&gt;"",IF(AF28=AF30,"",IF(AF28&gt;AF30,AG28,AG30)),""),"")</f>
        <v>LUCAS WANG FUJII KAO</v>
      </c>
      <c r="AD22" s="37"/>
      <c r="AE22" s="144"/>
      <c r="AF22" s="100"/>
      <c r="AG22" s="197"/>
      <c r="AH22" s="100"/>
      <c r="AI22" s="100"/>
      <c r="AJ22" s="29"/>
      <c r="AK22" s="188"/>
      <c r="AL22" s="29"/>
      <c r="AP22" s="31">
        <f>IF(AR22&lt;&gt;"",1+COUNTIF(AP8:AP21,"1")+COUNTIF(AP8:AP21,"2")+COUNTIF(AP8:AP21,"3")+COUNTIF(AP8:AP21,"4")+COUNTIF(AP8:AP21,"5")+COUNTIF(AP8:AP21,"6")+COUNTIF(AP8:AP21,"7")+COUNTIF(AP8:AP21,"8")+COUNTIF(AP8:AP21,"9")+COUNTIF(AP8:AP21,"10")+COUNTIF(AP8:AP21,"11")+COUNTIF(AP8:AP21,"12")+COUNTIF(AP8:AP21,"13")+COUNTIF(AP8:AP21,"14"),"")</f>
        <v>15</v>
      </c>
      <c r="AQ22" s="32" t="str">
        <f t="shared" si="1"/>
        <v>LUGAR</v>
      </c>
      <c r="AR22" s="111" t="str">
        <f>IF(AR14&lt;&gt;"",IF(G12=AR14,G14,IF(G14=AR14,G12,IF(G28=AR14,G30,IF(G30=AR14,G28,IF(AG12=AR14,AG14,IF(AG14=AR14,AG12,IF(AG28=AR14,AG30,IF(AG30=AR14,AG28,IF(G42=AR14,G44,IF(G44=AR14,G42,IF(G58=AR14,G60,IF(G60=AR14,G58,IF(AG42=AR14,AG44,IF(AG44=AR14,AG42,IF(AG58=AR14,AG60,IF(AG60=AR14,AG58)))))))))))))))),"")</f>
        <v>MIGUEL TAVARES MALHEIRO</v>
      </c>
      <c r="AS22" s="33" t="str">
        <f>IFERROR(IF(AR22="","",VLOOKUP(AR22,LISTAS!$F$5:$G$1004,2,0)),"0")</f>
        <v>CENTRO DE ESTUDOS JÚLIO VERNE</v>
      </c>
      <c r="AT22" s="33">
        <f t="shared" si="0"/>
        <v>200</v>
      </c>
      <c r="AU22" s="33">
        <f t="shared" si="2"/>
        <v>200</v>
      </c>
    </row>
    <row r="23" spans="2:47" ht="18" customHeight="1" thickBot="1" x14ac:dyDescent="0.3">
      <c r="B23" s="133"/>
      <c r="C23" s="188"/>
      <c r="D23" s="29"/>
      <c r="E23" s="29"/>
      <c r="F23" s="29"/>
      <c r="G23" s="188"/>
      <c r="H23" s="29"/>
      <c r="I23" s="35"/>
      <c r="J23" s="29"/>
      <c r="K23" s="165" t="str">
        <f>IFERROR(IF(K22="","",VLOOKUP(K22,LISTAS!$F$5:$G$1004,2,0)),"0")</f>
        <v>COLÉGIO ARBOS SÃO CAETANO DO SUL</v>
      </c>
      <c r="L23" s="267"/>
      <c r="M23" s="138"/>
      <c r="N23" s="101"/>
      <c r="O23" s="190"/>
      <c r="P23" s="101"/>
      <c r="Q23" s="100"/>
      <c r="R23" s="198"/>
      <c r="S23" s="37"/>
      <c r="T23" s="37"/>
      <c r="U23" s="37"/>
      <c r="V23" s="198"/>
      <c r="W23" s="37"/>
      <c r="X23" s="86"/>
      <c r="Y23" s="198"/>
      <c r="Z23" s="94"/>
      <c r="AA23" s="37"/>
      <c r="AB23" s="267"/>
      <c r="AC23" s="165" t="str">
        <f>IFERROR(IF(AC22="","",VLOOKUP(AC22,LISTAS!$F$5:$G$1004,2,0)),"0")</f>
        <v>ABACO IPIRANGA</v>
      </c>
      <c r="AD23" s="37"/>
      <c r="AE23" s="144"/>
      <c r="AF23" s="100"/>
      <c r="AG23" s="197"/>
      <c r="AH23" s="100"/>
      <c r="AI23" s="100"/>
      <c r="AJ23" s="29"/>
      <c r="AK23" s="188"/>
      <c r="AL23" s="29"/>
      <c r="AP23" s="31">
        <f>IF(AR23&lt;&gt;"",1+COUNTIF(AP8:AP22,"1")+COUNTIF(AP8:AP22,"2")+COUNTIF(AP8:AP22,"3")+COUNTIF(AP8:AP22,"4")+COUNTIF(AP8:AP22,"5")+COUNTIF(AP8:AP22,"6")+COUNTIF(AP8:AP22,"7")+COUNTIF(AP8:AP22,"8")+COUNTIF(AP8:AP22,"9")+COUNTIF(AP8:AP22,"10")+COUNTIF(AP8:AP22,"11")+COUNTIF(AP8:AP22,"12")+COUNTIF(AP8:AP22,"13")+COUNTIF(AP8:AP22,"14")+COUNTIF(AP8:AP22,"15"),"")</f>
        <v>16</v>
      </c>
      <c r="AQ23" s="32" t="str">
        <f t="shared" si="1"/>
        <v>LUGAR</v>
      </c>
      <c r="AR23" s="111" t="str">
        <f>IF(AR15&lt;&gt;"",IF(G12=AR15,G14,IF(G14=AR15,G12,IF(G28=AR15,G30,IF(G30=AR15,G28,IF(AG12=AR15,AG14,IF(AG14=AR15,AG12,IF(AG28=AR15,AG30,IF(AG30=AR15,AG28,IF(G42=AR15,G44,IF(G44=AR15,G42,IF(G58=AR15,G60,IF(G60=AR15,G58,IF(AG42=AR15,AG44,IF(AG44=AR15,AG42,IF(AG58=AR15,AG60,IF(AG60=AR15,AG58)))))))))))))))),"")</f>
        <v>RAFAEL LOBATO DA CONCEIÇÃO</v>
      </c>
      <c r="AS23" s="33" t="str">
        <f>IFERROR(IF(AR23="","",VLOOKUP(AR23,LISTAS!$F$5:$G$1004,2,0)),"0")</f>
        <v>ESCOLA VILLARE</v>
      </c>
      <c r="AT23" s="33">
        <f t="shared" si="0"/>
        <v>200</v>
      </c>
      <c r="AU23" s="33">
        <f t="shared" si="2"/>
        <v>200</v>
      </c>
    </row>
    <row r="24" spans="2:47" ht="18" customHeight="1" x14ac:dyDescent="0.25">
      <c r="B24" s="133">
        <v>9</v>
      </c>
      <c r="C24" s="162" t="str">
        <f>IF('13M GRP'!G5&gt;=3,'13M GRP'!J125,IF('13M GRP'!G5=2,"",IF('13M GRP'!G5=1,"","")))</f>
        <v>BERNARDO CARREIRA GUANDALIGNI</v>
      </c>
      <c r="D24" s="266">
        <v>0</v>
      </c>
      <c r="E24" s="101">
        <f>IF(D24&lt;&gt;"",D24,"")</f>
        <v>0</v>
      </c>
      <c r="F24" s="101" t="str">
        <f>IF(D24&lt;&gt;"",IF(C24="","",C24),"")</f>
        <v>BERNARDO CARREIRA GUANDALIGNI</v>
      </c>
      <c r="G24" s="190">
        <f>IF(E24&lt;&gt;"",IF(E26&lt;&gt;"",SMALL(E24:E26,1),""),"")</f>
        <v>0</v>
      </c>
      <c r="H24" s="101"/>
      <c r="I24" s="138"/>
      <c r="J24" s="101"/>
      <c r="K24" s="190"/>
      <c r="L24" s="101"/>
      <c r="M24" s="138"/>
      <c r="N24" s="101"/>
      <c r="O24" s="190"/>
      <c r="P24" s="101"/>
      <c r="Q24" s="100"/>
      <c r="R24" s="198"/>
      <c r="S24" s="37"/>
      <c r="T24" s="37"/>
      <c r="U24" s="37"/>
      <c r="V24" s="198"/>
      <c r="W24" s="37"/>
      <c r="X24" s="86"/>
      <c r="Y24" s="198"/>
      <c r="Z24" s="94"/>
      <c r="AA24" s="37"/>
      <c r="AB24" s="29"/>
      <c r="AC24" s="198"/>
      <c r="AD24" s="37"/>
      <c r="AE24" s="144"/>
      <c r="AF24" s="100"/>
      <c r="AG24" s="197">
        <f>IF(AJ24&lt;&gt;"",AJ24,"")</f>
        <v>1</v>
      </c>
      <c r="AH24" s="100" t="str">
        <f>IF(AJ24&lt;&gt;"",IF(AK24="","",AK24),"")</f>
        <v>LUCAS WANG FUJII KAO</v>
      </c>
      <c r="AI24" s="101">
        <f>IF(AG24&lt;&gt;"",IF(AG26&lt;&gt;"",SMALL(AG24:AG26,1),""),"")</f>
        <v>0</v>
      </c>
      <c r="AJ24" s="266">
        <v>1</v>
      </c>
      <c r="AK24" s="162" t="str">
        <f>IF('13M GRP'!G5&gt;=3,'13M GRP'!J294,IF('13M GRP'!G5=2,"",IF('13M GRP'!G5=1,"","")))</f>
        <v>LUCAS WANG FUJII KAO</v>
      </c>
      <c r="AL24" s="29">
        <v>22</v>
      </c>
      <c r="AP24" s="31">
        <f>IF(AR24&lt;&gt;"",1+COUNTIF(AP8:AP23,"1")+COUNTIF(AP8:AP23,"2")+COUNTIF(AP8:AP23,"3")+COUNTIF(AP8:AP23,"4")+COUNTIF(AP8:AP23,"5")+COUNTIF(AP8:AP23,"6")+COUNTIF(AP8:AP23,"7")+COUNTIF(AP8:AP23,"8")+COUNTIF(AP8:AP23,"9")+COUNTIF(AP8:AP23,"10")+COUNTIF(AP8:AP23,"11")+COUNTIF(AP8:AP23,"12")+COUNTIF(AP8:AP23,"13")+COUNTIF(AP8:AP23,"14")+COUNTIF(AP8:AP23,"15")+COUNTIF(AP8:AP23,"16"),"")</f>
        <v>17</v>
      </c>
      <c r="AQ24" s="32" t="str">
        <f t="shared" si="1"/>
        <v>LUGAR</v>
      </c>
      <c r="AR24" s="111" t="str">
        <f>IF(AR8&lt;&gt;"",IF(C8=AR8,G10,IF(C10=AR8,G10,IF(C16=AR8,G18,IF(C18=AR8,G18,IF(C38=AR8,G40,IF(C40=AR8,G40,IF(C46=AR8,G48,IF(C48=AR8,G48,IF(C24=AR8,G26,IF(C26=AR8,G26,IF(C32=AR8,G34,IF(C34=AR8,G34,IF(C54=AR8,G56,IF(C56=AR8,G56,IF(C62=AR8,G64,IF(C64=AR8,G64,IF(AK8=AR8,AI10,IF(AK10=AR8,AI10,IF(AK16=AR8,AI18,IF(AK18=AR8,AI18,IF(AK38=AR8,AI40,IF(AK40=AR8,AI40,IF(AK46=AR8,AI48,IF(AK48=AR8,AI48,IF(AK24=AR8,AI26,IF(AK26=AR8,AI26,IF(AK32=AR8,AI34,IF(AK34=AR8,AI34,IF(AK54=AR8,AI56,IF(AK56=AR8,AI56,IF(AK62=AR8,AI64,IF(AK64=AR8,AI64)))))))))))))))))))))))))))))))),"")</f>
        <v>Pedro Augusto de Oliveira</v>
      </c>
      <c r="AS24" s="33" t="str">
        <f>IFERROR(IF(AR24="","",VLOOKUP(AR24,LISTAS!$F$5:$G$1004,2,0)),"0")</f>
        <v>ESCOLA INTERAÇÃO</v>
      </c>
      <c r="AT24" s="33">
        <v>190</v>
      </c>
      <c r="AU24" s="33" t="str">
        <f t="shared" si="2"/>
        <v/>
      </c>
    </row>
    <row r="25" spans="2:47" ht="18" customHeight="1" thickBot="1" x14ac:dyDescent="0.3">
      <c r="B25" s="133"/>
      <c r="C25" s="165" t="str">
        <f>IFERROR(IF(C24="","",VLOOKUP(C24,LISTAS!$F$5:$G$1004,2,0)),"0")</f>
        <v>COLÉGIO ARBOS - UNIDADE SANTO ANDRÉ</v>
      </c>
      <c r="D25" s="267"/>
      <c r="E25" s="101"/>
      <c r="F25" s="101"/>
      <c r="G25" s="190"/>
      <c r="H25" s="101"/>
      <c r="I25" s="138"/>
      <c r="J25" s="101"/>
      <c r="K25" s="190"/>
      <c r="L25" s="101"/>
      <c r="M25" s="138"/>
      <c r="N25" s="101"/>
      <c r="O25" s="190"/>
      <c r="P25" s="101"/>
      <c r="Q25" s="100"/>
      <c r="R25" s="198"/>
      <c r="S25" s="37"/>
      <c r="T25" s="37"/>
      <c r="U25" s="37"/>
      <c r="V25" s="198"/>
      <c r="W25" s="37"/>
      <c r="X25" s="86"/>
      <c r="Y25" s="198"/>
      <c r="Z25" s="94"/>
      <c r="AA25" s="37"/>
      <c r="AB25" s="29"/>
      <c r="AC25" s="198"/>
      <c r="AD25" s="37"/>
      <c r="AE25" s="144"/>
      <c r="AF25" s="100"/>
      <c r="AG25" s="197"/>
      <c r="AH25" s="100"/>
      <c r="AI25" s="101"/>
      <c r="AJ25" s="267"/>
      <c r="AK25" s="165" t="str">
        <f>IFERROR(IF(AK24="","",VLOOKUP(AK24,LISTAS!$F$5:$G$1004,2,0)),"0")</f>
        <v>ABACO IPIRANGA</v>
      </c>
      <c r="AL25" s="29"/>
      <c r="AP25" s="31">
        <f>IF(AR25&lt;&gt;"",1+COUNTIF(AP8:AP24,"1")+COUNTIF(AP8:AP24,"2")+COUNTIF(AP8:AP24,"3")+COUNTIF(AP8:AP24,"4")+COUNTIF(AP8:AP24,"5")+COUNTIF(AP8:AP24,"6")+COUNTIF(AP8:AP24,"7")+COUNTIF(AP8:AP24,"8")+COUNTIF(AP8:AP24,"9")+COUNTIF(AP8:AP24,"10")+COUNTIF(AP8:AP24,"11")+COUNTIF(AP8:AP24,"12")+COUNTIF(AP8:AP24,"13")+COUNTIF(AP8:AP24,"14")+COUNTIF(AP8:AP24,"15")+COUNTIF(AP8:AP24,"16")+COUNTIF(AP8:AP24,"17"),"")</f>
        <v>18</v>
      </c>
      <c r="AQ25" s="32" t="str">
        <f t="shared" si="1"/>
        <v>LUGAR</v>
      </c>
      <c r="AR25" s="111" t="str">
        <f>IF(AR9&lt;&gt;"",IF(C8=AR9,G10,IF(C10=AR9,G10,IF(C16=AR9,G18,IF(C18=AR9,G18,IF(C38=AR9,G40,IF(C40=AR9,G40,IF(C46=AR9,G48,IF(C48=AR9,G48,IF(C24=AR9,G26,IF(C26=AR9,G26,IF(C32=AR9,G34,IF(C34=AR9,G34,IF(C54=AR9,G56,IF(C56=AR9,G56,IF(C62=AR9,G64,IF(C64=AR9,G64,IF(AK8=AR9,AI10,IF(AK10=AR9,AI10,IF(AK16=AR9,AI18,IF(AK18=AR9,AI18,IF(AK38=AR9,AI40,IF(AK40=AR9,AI40,IF(AK46=AR9,AI48,IF(AK48=AR9,AI48,IF(AK24=AR9,AI26,IF(AK26=AR9,AI26,IF(AK32=AR9,AI34,IF(AK34=AR9,AI34,IF(AK54=AR9,AI56,IF(AK56=AR9,AI56,IF(AK62=AR9,AI64,IF(AK64=AR9,AI64)))))))))))))))))))))))))))))))),"")</f>
        <v>ANTÔNIO SILVEIRA DE CARVALHO</v>
      </c>
      <c r="AS25" s="33" t="str">
        <f>IFERROR(IF(AR25="","",VLOOKUP(AR25,LISTAS!$F$5:$G$1004,2,0)),"0")</f>
        <v>COLÉGIO ARBOS - UNIDADE SANTO ANDRÉ</v>
      </c>
      <c r="AT25" s="33">
        <v>190</v>
      </c>
      <c r="AU25" s="33" t="str">
        <f t="shared" si="2"/>
        <v/>
      </c>
    </row>
    <row r="26" spans="2:47" ht="18" customHeight="1" x14ac:dyDescent="0.25">
      <c r="B26" s="133">
        <v>24</v>
      </c>
      <c r="C26" s="162" t="str">
        <f>IF('13M GRP'!G5&gt;=3,'13M GRP'!J320,IF('13M GRP'!G5=2,"",IF('13M GRP'!G5=1,"","")))</f>
        <v>TIAGO DREER DURAN</v>
      </c>
      <c r="D26" s="266">
        <v>1</v>
      </c>
      <c r="E26" s="107">
        <f>IF(D26&lt;&gt;"",D26,"")</f>
        <v>1</v>
      </c>
      <c r="F26" s="101" t="str">
        <f>IF(D26&lt;&gt;"",IF(C26="","",C26),"")</f>
        <v>TIAGO DREER DURAN</v>
      </c>
      <c r="G26" s="190" t="str">
        <f>VLOOKUP(G24,E24:F26,2,0)</f>
        <v>BERNARDO CARREIRA GUANDALIGNI</v>
      </c>
      <c r="H26" s="101"/>
      <c r="I26" s="138"/>
      <c r="J26" s="101"/>
      <c r="K26" s="190"/>
      <c r="L26" s="101"/>
      <c r="M26" s="138"/>
      <c r="N26" s="101"/>
      <c r="O26" s="190"/>
      <c r="P26" s="101"/>
      <c r="Q26" s="100"/>
      <c r="R26" s="198"/>
      <c r="S26" s="37"/>
      <c r="T26" s="37"/>
      <c r="U26" s="37"/>
      <c r="V26" s="198"/>
      <c r="W26" s="37"/>
      <c r="X26" s="86"/>
      <c r="Y26" s="198"/>
      <c r="Z26" s="94"/>
      <c r="AA26" s="37"/>
      <c r="AB26" s="29"/>
      <c r="AC26" s="198"/>
      <c r="AD26" s="37"/>
      <c r="AE26" s="144"/>
      <c r="AF26" s="100"/>
      <c r="AG26" s="197">
        <f>IF(AJ26&lt;&gt;"",AJ26,"")</f>
        <v>0</v>
      </c>
      <c r="AH26" s="100" t="str">
        <f>IF(AJ26&lt;&gt;"",IF(AK26="","",AK26),"")</f>
        <v>JULIANO MOLINA DE OLIVEIRA</v>
      </c>
      <c r="AI26" s="102" t="str">
        <f>VLOOKUP(AI24,AG24:AH26,2,0)</f>
        <v>JULIANO MOLINA DE OLIVEIRA</v>
      </c>
      <c r="AJ26" s="266">
        <v>0</v>
      </c>
      <c r="AK26" s="162" t="str">
        <f>IF('13M GRP'!G5&gt;=3,'13M GRP'!J151,IF('13M GRP'!G5=2,"",IF('13M GRP'!G5=1,"","")))</f>
        <v>JULIANO MOLINA DE OLIVEIRA</v>
      </c>
      <c r="AL26" s="29">
        <v>11</v>
      </c>
      <c r="AM26" s="23"/>
      <c r="AN26" s="23"/>
      <c r="AO26" s="23"/>
      <c r="AP26" s="31">
        <f>IF(AR26&lt;&gt;"",1+COUNTIF(AP8:AP25,"1")+COUNTIF(AP8:AP25,"2")+COUNTIF(AP8:AP25,"3")+COUNTIF(AP8:AP25,"4")+COUNTIF(AP8:AP25,"5")+COUNTIF(AP8:AP25,"6")+COUNTIF(AP8:AP25,"7")+COUNTIF(AP8:AP25,"8")+COUNTIF(AP8:AP25,"9")+COUNTIF(AP8:AP25,"10")+COUNTIF(AP8:AP25,"11")+COUNTIF(AP8:AP25,"12")+COUNTIF(AP8:AP25,"13")+COUNTIF(AP8:AP25,"14")+COUNTIF(AP8:AP25,"15")+COUNTIF(AP8:AP25,"16")+COUNTIF(AP8:AP25,"17")+COUNTIF(AP8:AP25,"18"),"")</f>
        <v>19</v>
      </c>
      <c r="AQ26" s="32" t="str">
        <f t="shared" si="1"/>
        <v>LUGAR</v>
      </c>
      <c r="AR26" s="111" t="str">
        <f>IF(AR10&lt;&gt;"",IF(C8=AR10,G10,IF(C10=AR10,G10,IF(C16=AR10,G18,IF(C18=AR10,G18,IF(C38=AR10,G40,IF(C40=AR10,G40,IF(C46=AR10,G48,IF(C48=AR10,G48,IF(C24=AR10,G26,IF(C26=AR10,G26,IF(C32=AR10,G34,IF(C34=AR10,G34,IF(C54=AR10,G56,IF(C56=AR10,G56,IF(C62=AR10,G64,IF(C64=AR10,G64,IF(AK8=AR10,AI10,IF(AK10=AR10,AI10,IF(AK16=AR10,AI18,IF(AK18=AR10,AI18,IF(AK38=AR10,AI40,IF(AK40=AR10,AI40,IF(AK46=AR10,AI48,IF(AK48=AR10,AI48,IF(AK24=AR10,AI26,IF(AK26=AR10,AI26,IF(AK32=AR10,AI34,IF(AK34=AR10,AI34,IF(AK54=AR10,AI56,IF(AK56=AR10,AI56,IF(AK62=AR10,AI64,IF(AK64=AR10,AI64)))))))))))))))))))))))))))))))),"")</f>
        <v>BERNARDO CARREIRA GUANDALIGNI</v>
      </c>
      <c r="AS26" s="33" t="str">
        <f>IFERROR(IF(AR26="","",VLOOKUP(AR26,LISTAS!$F$5:$G$1004,2,0)),"0")</f>
        <v>COLÉGIO ARBOS - UNIDADE SANTO ANDRÉ</v>
      </c>
      <c r="AT26" s="33">
        <v>190</v>
      </c>
      <c r="AU26" s="33" t="str">
        <f t="shared" si="2"/>
        <v/>
      </c>
    </row>
    <row r="27" spans="2:47" ht="18" customHeight="1" thickBot="1" x14ac:dyDescent="0.3">
      <c r="B27" s="133"/>
      <c r="C27" s="165" t="str">
        <f>IFERROR(IF(C26="","",VLOOKUP(C26,LISTAS!$F$5:$G$1004,2,0)),"0")</f>
        <v>COLÉGIO ARBOS SÃO CAETANO DO SUL</v>
      </c>
      <c r="D27" s="267"/>
      <c r="E27" s="148"/>
      <c r="F27" s="101"/>
      <c r="G27" s="190"/>
      <c r="H27" s="101"/>
      <c r="I27" s="138"/>
      <c r="J27" s="101"/>
      <c r="K27" s="190"/>
      <c r="L27" s="101"/>
      <c r="M27" s="138"/>
      <c r="N27" s="101"/>
      <c r="O27" s="190"/>
      <c r="P27" s="101"/>
      <c r="Q27" s="100"/>
      <c r="R27" s="198"/>
      <c r="S27" s="37"/>
      <c r="T27" s="37"/>
      <c r="U27" s="37"/>
      <c r="V27" s="198"/>
      <c r="W27" s="37"/>
      <c r="X27" s="86"/>
      <c r="Y27" s="198"/>
      <c r="Z27" s="94"/>
      <c r="AA27" s="37"/>
      <c r="AB27" s="29"/>
      <c r="AC27" s="198"/>
      <c r="AD27" s="37"/>
      <c r="AE27" s="144"/>
      <c r="AF27" s="100"/>
      <c r="AG27" s="197"/>
      <c r="AH27" s="100"/>
      <c r="AI27" s="142"/>
      <c r="AJ27" s="267"/>
      <c r="AK27" s="165" t="str">
        <f>IFERROR(IF(AK26="","",VLOOKUP(AK26,LISTAS!$F$5:$G$1004,2,0)),"0")</f>
        <v>ESCOLA VILLARE</v>
      </c>
      <c r="AL27" s="29"/>
      <c r="AP27" s="31">
        <f>IF(AR27&lt;&gt;"",1+COUNTIF(AP8:AP26,"1")+COUNTIF(AP8:AP26,"2")+COUNTIF(AP8:AP26,"3")+COUNTIF(AP8:AP26,"4")+COUNTIF(AP8:AP26,"5")+COUNTIF(AP8:AP26,"6")+COUNTIF(AP8:AP26,"7")+COUNTIF(AP8:AP26,"8")+COUNTIF(AP8:AP26,"9")+COUNTIF(AP8:AP26,"10")+COUNTIF(AP8:AP26,"11")+COUNTIF(AP8:AP26,"12")+COUNTIF(AP8:AP26,"13")+COUNTIF(AP8:AP26,"14")+COUNTIF(AP8:AP26,"15")+COUNTIF(AP8:AP26,"16")+COUNTIF(AP8:AP26,"17")+COUNTIF(AP8:AP26,"18")+COUNTIF(AP8:AP26,"19"),"")</f>
        <v>20</v>
      </c>
      <c r="AQ27" s="32" t="str">
        <f t="shared" si="1"/>
        <v>LUGAR</v>
      </c>
      <c r="AR27" s="111" t="str">
        <f>IF(AR11&lt;&gt;"",IF(C8=AR11,G10,IF(C10=AR11,G10,IF(C16=AR11,G18,IF(C18=AR11,G18,IF(C38=AR11,G40,IF(C40=AR11,G40,IF(C46=AR11,G48,IF(C48=AR11,G48,IF(C24=AR11,G26,IF(C26=AR11,G26,IF(C32=AR11,G34,IF(C34=AR11,G34,IF(C54=AR11,G56,IF(C56=AR11,G56,IF(C62=AR11,G64,IF(C64=AR11,G64,IF(AK8=AR11,AI10,IF(AK10=AR11,AI10,IF(AK16=AR11,AI18,IF(AK18=AR11,AI18,IF(AK38=AR11,AI40,IF(AK40=AR11,AI40,IF(AK46=AR11,AI48,IF(AK48=AR11,AI48,IF(AK24=AR11,AI26,IF(AK26=AR11,AI26,IF(AK32=AR11,AI34,IF(AK34=AR11,AI34,IF(AK54=AR11,AI56,IF(AK56=AR11,AI56,IF(AK62=AR11,AI64,IF(AK64=AR11,AI64)))))))))))))))))))))))))))))))),"")</f>
        <v>JULIANO MOLINA DE OLIVEIRA</v>
      </c>
      <c r="AS27" s="33" t="str">
        <f>IFERROR(IF(AR27="","",VLOOKUP(AR27,LISTAS!$F$5:$G$1004,2,0)),"0")</f>
        <v>ESCOLA VILLARE</v>
      </c>
      <c r="AT27" s="33">
        <v>190</v>
      </c>
      <c r="AU27" s="33" t="str">
        <f t="shared" si="2"/>
        <v/>
      </c>
    </row>
    <row r="28" spans="2:47" ht="18" customHeight="1" x14ac:dyDescent="0.25">
      <c r="B28" s="133"/>
      <c r="C28" s="188"/>
      <c r="D28" s="29"/>
      <c r="E28" s="29"/>
      <c r="F28" s="34"/>
      <c r="G28" s="162" t="str">
        <f>IF(D24&lt;&gt;"",IF(D26&lt;&gt;"",IF(D24=D26,"",IF(D24&gt;D26,C24,C26)),""),"")</f>
        <v>TIAGO DREER DURAN</v>
      </c>
      <c r="H28" s="266">
        <v>1</v>
      </c>
      <c r="I28" s="148">
        <f>IF(H28&lt;&gt;"",H28,"")</f>
        <v>1</v>
      </c>
      <c r="J28" s="101" t="str">
        <f>IF(H28&lt;&gt;"",IF(G28="","",G28),"")</f>
        <v>TIAGO DREER DURAN</v>
      </c>
      <c r="K28" s="190">
        <f>IF(I28&lt;&gt;"",IF(I30&lt;&gt;"",SMALL(I28:J30,1),""),"")</f>
        <v>0</v>
      </c>
      <c r="L28" s="101"/>
      <c r="M28" s="138"/>
      <c r="N28" s="101"/>
      <c r="O28" s="188"/>
      <c r="P28" s="29"/>
      <c r="Q28" s="37"/>
      <c r="R28" s="198"/>
      <c r="S28" s="37"/>
      <c r="T28" s="37"/>
      <c r="U28" s="37"/>
      <c r="V28" s="198"/>
      <c r="W28" s="37"/>
      <c r="X28" s="86"/>
      <c r="Y28" s="198"/>
      <c r="Z28" s="94"/>
      <c r="AA28" s="37"/>
      <c r="AB28" s="29"/>
      <c r="AC28" s="198"/>
      <c r="AD28" s="37"/>
      <c r="AE28" s="34"/>
      <c r="AF28" s="266">
        <v>1</v>
      </c>
      <c r="AG28" s="162" t="str">
        <f>IF(AJ24&lt;&gt;"",IF(AJ26&lt;&gt;"",IF(AJ24=AJ26,"",IF(AJ24&gt;AJ26,AK24,AK26)),""),"")</f>
        <v>LUCAS WANG FUJII KAO</v>
      </c>
      <c r="AH28" s="94"/>
      <c r="AI28" s="37"/>
      <c r="AJ28" s="29"/>
      <c r="AK28" s="188"/>
      <c r="AL28" s="29"/>
      <c r="AP28" s="31">
        <f>IF(AR28&lt;&gt;"",1+COUNTIF(AP8:AP27,"1")+COUNTIF(AP8:AP27,"2")+COUNTIF(AP8:AP27,"3")+COUNTIF(AP8:AP27,"4")+COUNTIF(AP8:AP27,"5")+COUNTIF(AP8:AP27,"6")+COUNTIF(AP8:AP27,"7")+COUNTIF(AP8:AP27,"8")+COUNTIF(AP8:AP27,"9")+COUNTIF(AP8:AP27,"10")+COUNTIF(AP8:AP27,"11")+COUNTIF(AP8:AP27,"12")+COUNTIF(AP8:AP27,"13")+COUNTIF(AP8:AP27,"14")+COUNTIF(AP8:AP27,"15")+COUNTIF(AP8:AP27,"16")+COUNTIF(AP8:AP27,"17")+COUNTIF(AP8:AP27,"18")+COUNTIF(AP8:AP27,"19")+COUNTIF(AP8:AP27,"20"),"")</f>
        <v>21</v>
      </c>
      <c r="AQ28" s="32" t="str">
        <f t="shared" si="1"/>
        <v>LUGAR</v>
      </c>
      <c r="AR28" s="111" t="str">
        <f>IF(AR12&lt;&gt;"",IF(C8=AR12,G10,IF(C10=AR12,G10,IF(C16=AR12,G18,IF(C18=AR12,G18,IF(C38=AR12,G40,IF(C40=AR12,G40,IF(C46=AR12,G48,IF(C48=AR12,G48,IF(C24=AR12,G26,IF(C26=AR12,G26,IF(C32=AR12,G34,IF(C34=AR12,G34,IF(C54=AR12,G56,IF(C56=AR12,G56,IF(C62=AR12,G64,IF(C64=AR12,G64,IF(AK8=AR12,AI10,IF(AK10=AR12,AI10,IF(AK16=AR12,AI18,IF(AK18=AR12,AI18,IF(AK38=AR12,AI40,IF(AK40=AR12,AI40,IF(AK46=AR12,AI48,IF(AK48=AR12,AI48,IF(AK24=AR12,AI26,IF(AK26=AR12,AI26,IF(AK32=AR12,AI34,IF(AK34=AR12,AI34,IF(AK54=AR12,AI56,IF(AK56=AR12,AI56,IF(AK62=AR12,AI64,IF(AK64=AR12,AI64)))))))))))))))))))))))))))))))),"")</f>
        <v>PEDRO LIMA DE MELO</v>
      </c>
      <c r="AS28" s="33" t="str">
        <f>IFERROR(IF(AR28="","",VLOOKUP(AR28,LISTAS!$F$5:$G$1004,2,0)),"0")</f>
        <v>CENTRO DE ESTUDOS JÚLIO VERNE</v>
      </c>
      <c r="AT28" s="33">
        <v>190</v>
      </c>
      <c r="AU28" s="33" t="str">
        <f t="shared" si="2"/>
        <v/>
      </c>
    </row>
    <row r="29" spans="2:47" ht="18" customHeight="1" thickBot="1" x14ac:dyDescent="0.3">
      <c r="B29" s="133"/>
      <c r="C29" s="188"/>
      <c r="D29" s="29"/>
      <c r="E29" s="29"/>
      <c r="F29" s="34"/>
      <c r="G29" s="165" t="str">
        <f>IFERROR(IF(G28="","",VLOOKUP(G28,LISTAS!$F$5:$G$1004,2,0)),"0")</f>
        <v>COLÉGIO ARBOS SÃO CAETANO DO SUL</v>
      </c>
      <c r="H29" s="267"/>
      <c r="I29" s="105"/>
      <c r="J29" s="101"/>
      <c r="K29" s="190"/>
      <c r="L29" s="101"/>
      <c r="M29" s="138"/>
      <c r="N29" s="101"/>
      <c r="O29" s="188"/>
      <c r="P29" s="29"/>
      <c r="Q29" s="37"/>
      <c r="R29" s="198"/>
      <c r="S29" s="37"/>
      <c r="T29" s="37"/>
      <c r="U29" s="37"/>
      <c r="V29" s="198"/>
      <c r="W29" s="37"/>
      <c r="X29" s="86"/>
      <c r="Y29" s="198"/>
      <c r="Z29" s="94"/>
      <c r="AA29" s="37"/>
      <c r="AB29" s="29"/>
      <c r="AC29" s="198"/>
      <c r="AD29" s="37"/>
      <c r="AE29" s="140"/>
      <c r="AF29" s="267"/>
      <c r="AG29" s="165" t="str">
        <f>IFERROR(IF(AG28="","",VLOOKUP(AG28,LISTAS!$F$5:$G$1004,2,0)),"0")</f>
        <v>ABACO IPIRANGA</v>
      </c>
      <c r="AH29" s="94"/>
      <c r="AI29" s="37"/>
      <c r="AJ29" s="29"/>
      <c r="AK29" s="188"/>
      <c r="AL29" s="29"/>
      <c r="AP29" s="31">
        <f>IF(AR29&lt;&gt;"",1+COUNTIF(AP8:AP28,"1")+COUNTIF(AP8:AP28,"2")+COUNTIF(AP8:AP28,"3")+COUNTIF(AP8:AP28,"4")+COUNTIF(AP8:AP28,"5")+COUNTIF(AP8:AP28,"6")+COUNTIF(AP8:AP28,"7")+COUNTIF(AP8:AP28,"8")+COUNTIF(AP8:AP28,"9")+COUNTIF(AP8:AP28,"10")+COUNTIF(AP8:AP28,"11")+COUNTIF(AP8:AP28,"12")+COUNTIF(AP8:AP28,"13")+COUNTIF(AP8:AP28,"14")+COUNTIF(AP8:AP28,"15")+COUNTIF(AP8:AP28,"16")+COUNTIF(AP8:AP28,"17")+COUNTIF(AP8:AP28,"18")+COUNTIF(AP8:AP28,"19")+COUNTIF(AP8:AP28,"20")+COUNTIF(AP8:AP28,"21"),"")</f>
        <v>22</v>
      </c>
      <c r="AQ29" s="32" t="str">
        <f t="shared" si="1"/>
        <v>LUGAR</v>
      </c>
      <c r="AR29" s="111" t="str">
        <f>IF(AR13&lt;&gt;"",IF(C8=AR13,G10,IF(C10=AR13,G10,IF(C16=AR13,G18,IF(C18=AR13,G18,IF(C38=AR13,G40,IF(C40=AR13,G40,IF(C46=AR13,G48,IF(C48=AR13,G48,IF(C24=AR13,G26,IF(C26=AR13,G26,IF(C32=AR13,G34,IF(C34=AR13,G34,IF(C54=AR13,G56,IF(C56=AR13,G56,IF(C62=AR13,G64,IF(C64=AR13,G64,IF(AK8=AR13,AI10,IF(AK10=AR13,AI10,IF(AK16=AR13,AI18,IF(AK18=AR13,AI18,IF(AK38=AR13,AI40,IF(AK40=AR13,AI40,IF(AK46=AR13,AI48,IF(AK48=AR13,AI48,IF(AK24=AR13,AI26,IF(AK26=AR13,AI26,IF(AK32=AR13,AI34,IF(AK34=AR13,AI34,IF(AK54=AR13,AI56,IF(AK56=AR13,AI56,IF(AK62=AR13,AI64,IF(AK64=AR13,AI64)))))))))))))))))))))))))))))))),"")</f>
        <v>BENICIO LOURENÇON VARELA SCOPEL</v>
      </c>
      <c r="AS29" s="33" t="str">
        <f>IFERROR(IF(AR29="","",VLOOKUP(AR29,LISTAS!$F$5:$G$1004,2,0)),"0")</f>
        <v>COLEGIO PETROPOLIS</v>
      </c>
      <c r="AT29" s="33">
        <v>190</v>
      </c>
      <c r="AU29" s="33" t="str">
        <f t="shared" si="2"/>
        <v/>
      </c>
    </row>
    <row r="30" spans="2:47" ht="18" customHeight="1" x14ac:dyDescent="0.25">
      <c r="B30" s="133"/>
      <c r="C30" s="188"/>
      <c r="D30" s="29"/>
      <c r="E30" s="35"/>
      <c r="F30" s="36"/>
      <c r="G30" s="162" t="str">
        <f>IF(D32&lt;&gt;"",IF(D34&lt;&gt;"",IF(D32=D34,"",IF(D32&gt;D34,C32,C34)),""),"")</f>
        <v>BERNARDO PAGETTI GUEDES</v>
      </c>
      <c r="H30" s="266">
        <v>0</v>
      </c>
      <c r="I30" s="106">
        <f>IF(H30&lt;&gt;"",H30,"")</f>
        <v>0</v>
      </c>
      <c r="J30" s="101" t="str">
        <f>IF(H30&lt;&gt;"",IF(G30="","",G30),"")</f>
        <v>BERNARDO PAGETTI GUEDES</v>
      </c>
      <c r="K30" s="190" t="str">
        <f>VLOOKUP(K28,I28:J30,2,0)</f>
        <v>BERNARDO PAGETTI GUEDES</v>
      </c>
      <c r="L30" s="101"/>
      <c r="M30" s="138"/>
      <c r="N30" s="101"/>
      <c r="O30" s="188"/>
      <c r="P30" s="29"/>
      <c r="Q30" s="37"/>
      <c r="R30" s="198"/>
      <c r="S30" s="37"/>
      <c r="T30" s="37"/>
      <c r="U30" s="37"/>
      <c r="V30" s="198"/>
      <c r="W30" s="37"/>
      <c r="X30" s="86"/>
      <c r="Y30" s="198"/>
      <c r="Z30" s="94"/>
      <c r="AA30" s="37"/>
      <c r="AB30" s="29"/>
      <c r="AC30" s="198"/>
      <c r="AD30" s="37"/>
      <c r="AE30" s="91"/>
      <c r="AF30" s="266">
        <v>0</v>
      </c>
      <c r="AG30" s="162" t="str">
        <f>IF(AJ32&lt;&gt;"",IF(AJ34&lt;&gt;"",IF(AJ32=AJ34,"",IF(AJ32&gt;AJ34,AK32,AK34)),""),"")</f>
        <v>NICOLAS GRACIANO</v>
      </c>
      <c r="AH30" s="98"/>
      <c r="AI30" s="37"/>
      <c r="AJ30" s="29"/>
      <c r="AK30" s="188"/>
      <c r="AL30" s="29"/>
      <c r="AP30" s="31">
        <f>IF(AR30&lt;&gt;"",1+COUNTIF(AP8:AP29,"1")+COUNTIF(AP8:AP29,"2")+COUNTIF(AP8:AP29,"3")+COUNTIF(AP8:AP29,"4")+COUNTIF(AP8:AP29,"5")+COUNTIF(AP8:AP29,"6")+COUNTIF(AP8:AP29,"7")+COUNTIF(AP8:AP29,"8")+COUNTIF(AP8:AP29,"9")+COUNTIF(AP8:AP29,"10")+COUNTIF(AP8:AP29,"11")+COUNTIF(AP8:AP29,"12")+COUNTIF(AP8:AP29,"13")+COUNTIF(AP8:AP29,"14")+COUNTIF(AP8:AP29,"15")+COUNTIF(AP8:AP29,"16")+COUNTIF(AP8:AP29,"17")+COUNTIF(AP8:AP29,"18")+COUNTIF(AP8:AP29,"19")+COUNTIF(AP8:AP29,"20")+COUNTIF(AP8:AP29,"21")+COUNTIF(AP8:AP29,"22"),"")</f>
        <v>23</v>
      </c>
      <c r="AQ30" s="32" t="str">
        <f t="shared" si="1"/>
        <v>LUGAR</v>
      </c>
      <c r="AR30" s="111" t="str">
        <f>IF(AR14&lt;&gt;"",IF(C8=AR14,G10,IF(C10=AR14,G10,IF(C16=AR14,G18,IF(C18=AR14,G18,IF(C38=AR14,G40,IF(C40=AR14,G40,IF(C46=AR14,G48,IF(C48=AR14,G48,IF(C24=AR14,G26,IF(C26=AR14,G26,IF(C32=AR14,G34,IF(C34=AR14,G34,IF(C54=AR14,G56,IF(C56=AR14,G56,IF(C62=AR14,G64,IF(C64=AR14,G64,IF(AK8=AR14,AI10,IF(AK10=AR14,AI10,IF(AK16=AR14,AI18,IF(AK18=AR14,AI18,IF(AK38=AR14,AI40,IF(AK40=AR14,AI40,IF(AK46=AR14,AI48,IF(AK48=AR14,AI48,IF(AK24=AR14,AI26,IF(AK26=AR14,AI26,IF(AK32=AR14,AI34,IF(AK34=AR14,AI34,IF(AK54=AR14,AI56,IF(AK56=AR14,AI56,IF(AK62=AR14,AI64,IF(AK64=AR14,AI64)))))))))))))))))))))))))))))))),"")</f>
        <v>GABRIEL SORECHIO NETO</v>
      </c>
      <c r="AS30" s="33" t="str">
        <f>IFERROR(IF(AR30="","",VLOOKUP(AR30,LISTAS!$F$5:$G$1004,2,0)),"0")</f>
        <v>COLÉGIO ARBOS - UNIDADE SANTO ANDRÉ</v>
      </c>
      <c r="AT30" s="33">
        <v>190</v>
      </c>
      <c r="AU30" s="33" t="str">
        <f t="shared" si="2"/>
        <v/>
      </c>
    </row>
    <row r="31" spans="2:47" ht="18" customHeight="1" thickBot="1" x14ac:dyDescent="0.3">
      <c r="B31" s="133"/>
      <c r="C31" s="188"/>
      <c r="D31" s="29"/>
      <c r="E31" s="35"/>
      <c r="F31" s="29"/>
      <c r="G31" s="165" t="str">
        <f>IFERROR(IF(G30="","",VLOOKUP(G30,LISTAS!$F$5:$G$1004,2,0)),"0")</f>
        <v>ABACO IPIRANGA</v>
      </c>
      <c r="H31" s="267"/>
      <c r="I31" s="101"/>
      <c r="J31" s="101"/>
      <c r="K31" s="190"/>
      <c r="L31" s="101"/>
      <c r="M31" s="138"/>
      <c r="N31" s="101"/>
      <c r="O31" s="188"/>
      <c r="P31" s="29"/>
      <c r="Q31" s="37"/>
      <c r="R31" s="198"/>
      <c r="S31" s="37"/>
      <c r="T31" s="37"/>
      <c r="U31" s="37"/>
      <c r="V31" s="198"/>
      <c r="W31" s="37"/>
      <c r="X31" s="86"/>
      <c r="Y31" s="198"/>
      <c r="Z31" s="94"/>
      <c r="AA31" s="37"/>
      <c r="AB31" s="29"/>
      <c r="AC31" s="198"/>
      <c r="AD31" s="37"/>
      <c r="AE31" s="37"/>
      <c r="AF31" s="267"/>
      <c r="AG31" s="165" t="str">
        <f>IFERROR(IF(AG30="","",VLOOKUP(AG30,LISTAS!$F$5:$G$1004,2,0)),"0")</f>
        <v>COLÉGIO MARCONI - GRU</v>
      </c>
      <c r="AH31" s="37"/>
      <c r="AI31" s="89"/>
      <c r="AJ31" s="29"/>
      <c r="AK31" s="188"/>
      <c r="AL31" s="29"/>
      <c r="AP31" s="31">
        <f>IF(AR31&lt;&gt;"",1+COUNTIF(AP8:AP30,"1")+COUNTIF(AP8:AP30,"2")+COUNTIF(AP8:AP30,"3")+COUNTIF(AP8:AP30,"4")+COUNTIF(AP8:AP30,"5")+COUNTIF(AP8:AP30,"6")+COUNTIF(AP8:AP30,"7")+COUNTIF(AP8:AP30,"8")+COUNTIF(AP8:AP30,"9")+COUNTIF(AP8:AP30,"10")+COUNTIF(AP8:AP30,"11")+COUNTIF(AP8:AP30,"12")+COUNTIF(AP8:AP30,"13")+COUNTIF(AP8:AP30,"14")+COUNTIF(AP8:AP30,"15")+COUNTIF(AP8:AP30,"16")+COUNTIF(AP8:AP30,"17")+COUNTIF(AP8:AP30,"18")+COUNTIF(AP8:AP30,"19")+COUNTIF(AP8:AP30,"20")+COUNTIF(AP8:AP30,"21")+COUNTIF(AP8:AP30,"22")+COUNTIF(AP8:AP30,"23"),"")</f>
        <v>24</v>
      </c>
      <c r="AQ31" s="32" t="str">
        <f t="shared" si="1"/>
        <v>LUGAR</v>
      </c>
      <c r="AR31" s="111" t="str">
        <f>IF(AR15&lt;&gt;"",IF(C8=AR15,G10,IF(C10=AR15,G10,IF(C16=AR15,G18,IF(C18=AR15,G18,IF(C38=AR15,G40,IF(C40=AR15,G40,IF(C46=AR15,G48,IF(C48=AR15,G48,IF(C24=AR15,G26,IF(C26=AR15,G26,IF(C32=AR15,G34,IF(C34=AR15,G34,IF(C54=AR15,G56,IF(C56=AR15,G56,IF(C62=AR15,G64,IF(C64=AR15,G64,IF(AK8=AR15,AI10,IF(AK10=AR15,AI10,IF(AK16=AR15,AI18,IF(AK18=AR15,AI18,IF(AK38=AR15,AI40,IF(AK40=AR15,AI40,IF(AK46=AR15,AI48,IF(AK48=AR15,AI48,IF(AK24=AR15,AI26,IF(AK26=AR15,AI26,IF(AK32=AR15,AI34,IF(AK34=AR15,AI34,IF(AK54=AR15,AI56,IF(AK56=AR15,AI56,IF(AK62=AR15,AI64,IF(AK64=AR15,AI64)))))))))))))))))))))))))))))))),"")</f>
        <v>RAFAEL DE CARVALHO SOARES</v>
      </c>
      <c r="AS31" s="33" t="str">
        <f>IFERROR(IF(AR31="","",VLOOKUP(AR31,LISTAS!$F$5:$G$1004,2,0)),"0")</f>
        <v>CENTRO DE ESTUDOS JÚLIO VERNE</v>
      </c>
      <c r="AT31" s="33">
        <v>190</v>
      </c>
      <c r="AU31" s="33" t="str">
        <f t="shared" si="2"/>
        <v/>
      </c>
    </row>
    <row r="32" spans="2:47" ht="18" customHeight="1" x14ac:dyDescent="0.25">
      <c r="B32" s="133">
        <v>25</v>
      </c>
      <c r="C32" s="162" t="str">
        <f>IF('13M GRP'!G5&gt;=3,'13M GRP'!J333,IF('13M GRP'!G5=2,"",IF('13M GRP'!G5=1,"","")))</f>
        <v>Vinicius Gonçalves Visentim</v>
      </c>
      <c r="D32" s="266">
        <v>0</v>
      </c>
      <c r="E32" s="148">
        <f>IF(D32&lt;&gt;"",D32,"")</f>
        <v>0</v>
      </c>
      <c r="F32" s="101" t="str">
        <f>IF(D32&lt;&gt;"",IF(C32="","",C32),"")</f>
        <v>Vinicius Gonçalves Visentim</v>
      </c>
      <c r="G32" s="190">
        <f>IF(E32&lt;&gt;"",IF(E34&lt;&gt;"",SMALL(E32:E34,1),""),"")</f>
        <v>0</v>
      </c>
      <c r="H32" s="101"/>
      <c r="I32" s="101"/>
      <c r="J32" s="101"/>
      <c r="K32" s="190"/>
      <c r="L32" s="101"/>
      <c r="M32" s="138"/>
      <c r="N32" s="101"/>
      <c r="O32" s="188"/>
      <c r="P32" s="29"/>
      <c r="Q32" s="37"/>
      <c r="R32" s="198"/>
      <c r="S32" s="37"/>
      <c r="T32" s="37"/>
      <c r="U32" s="37"/>
      <c r="V32" s="198"/>
      <c r="W32" s="37"/>
      <c r="X32" s="86"/>
      <c r="Y32" s="198"/>
      <c r="Z32" s="94"/>
      <c r="AA32" s="37"/>
      <c r="AB32" s="29"/>
      <c r="AC32" s="198"/>
      <c r="AD32" s="100"/>
      <c r="AE32" s="100"/>
      <c r="AF32" s="100"/>
      <c r="AG32" s="197">
        <f>IF(AJ32&lt;&gt;"",AJ32,"")</f>
        <v>0</v>
      </c>
      <c r="AH32" s="100" t="str">
        <f>IF(AJ32&lt;&gt;"",IF(AK32="","",AK32),"")</f>
        <v>HENRIQUE MARQUES MONTAGNER</v>
      </c>
      <c r="AI32" s="137">
        <f>IF(AG32&lt;&gt;"",IF(AG34&lt;&gt;"",SMALL(AG32:AG34,1),""),"")</f>
        <v>0</v>
      </c>
      <c r="AJ32" s="266">
        <v>0</v>
      </c>
      <c r="AK32" s="162" t="str">
        <f>IF('13M GRP'!G5&gt;=3,'13M GRP'!J359,IF('13M GRP'!G5=2,"",IF('13M GRP'!G5=1,"","")))</f>
        <v>HENRIQUE MARQUES MONTAGNER</v>
      </c>
      <c r="AL32" s="29">
        <v>27</v>
      </c>
      <c r="AP32" s="31">
        <f>IF(AR32&lt;&gt;"",1+COUNTIF(AP8:AP31,"1")+COUNTIF(AP8:AP31,"2")+COUNTIF(AP8:AP31,"3")+COUNTIF(AP8:AP31,"4")+COUNTIF(AP8:AP31,"5")+COUNTIF(AP8:AP31,"6")+COUNTIF(AP8:AP31,"7")+COUNTIF(AP8:AP31,"8")+COUNTIF(AP8:AP31,"9")+COUNTIF(AP8:AP31,"10")+COUNTIF(AP8:AP31,"11")+COUNTIF(AP8:AP31,"12")+COUNTIF(AP8:AP31,"13")+COUNTIF(AP8:AP31,"14")+COUNTIF(AP8:AP31,"15")+COUNTIF(AP8:AP31,"16")+COUNTIF(AP8:AP31,"17")+COUNTIF(AP8:AP31,"18")+COUNTIF(AP8:AP31,"19")+COUNTIF(AP8:AP31,"20")+COUNTIF(AP8:AP31,"21")+COUNTIF(AP8:AP31,"22")+COUNTIF(AP8:AP31,"23")+COUNTIF(AP8:AP31,"24"),"")</f>
        <v>25</v>
      </c>
      <c r="AQ32" s="32" t="str">
        <f t="shared" si="1"/>
        <v>LUGAR</v>
      </c>
      <c r="AR32" s="111" t="str">
        <f>IF(AR16&lt;&gt;"",IF(C8=AR16,G10,IF(C10=AR16,G10,IF(C16=AR16,G18,IF(C18=AR16,G18,IF(C38=AR16,G40,IF(C40=AR16,G40,IF(C46=AR16,G48,IF(C48=AR16,G48,IF(C24=AR16,G26,IF(C26=AR16,G26,IF(C32=AR16,G34,IF(C34=AR16,G34,IF(C54=AR16,G56,IF(C56=AR16,G56,IF(C62=AR16,G64,IF(C64=AR16,G64,IF(AK8=AR16,AI10,IF(AK10=AR16,AI10,IF(AK16=AR16,AI18,IF(AK18=AR16,AI18,IF(AK38=AR16,AI40,IF(AK40=AR16,AI40,IF(AK46=AR16,AI48,IF(AK48=AR16,AI48,IF(AK24=AR16,AI26,IF(AK26=AR16,AI26,IF(AK32=AR16,AI34,IF(AK34=AR16,AI34,IF(AK54=AR16,AI56,IF(AK56=AR16,AI56,IF(AK62=AR16,AI64,IF(AK64=AR16,AI64)))))))))))))))))))))))))))))))),"")</f>
        <v>DAVI POVEDA COELHO</v>
      </c>
      <c r="AS32" s="33" t="str">
        <f>IFERROR(IF(AR32="","",VLOOKUP(AR32,LISTAS!$F$5:$G$1004,2,0)),"0")</f>
        <v>COLÉGIO ARBOS - UNIDADE SANTO ANDRÉ</v>
      </c>
      <c r="AT32" s="33">
        <v>190</v>
      </c>
      <c r="AU32" s="33" t="str">
        <f t="shared" si="2"/>
        <v/>
      </c>
    </row>
    <row r="33" spans="2:47" ht="18" customHeight="1" thickBot="1" x14ac:dyDescent="0.3">
      <c r="B33" s="133"/>
      <c r="C33" s="165" t="str">
        <f>IFERROR(IF(C32="","",VLOOKUP(C32,LISTAS!$F$5:$G$1004,2,0)),"0")</f>
        <v>ESCOLA INTERAÇÃO</v>
      </c>
      <c r="D33" s="267"/>
      <c r="E33" s="105"/>
      <c r="F33" s="101"/>
      <c r="G33" s="190"/>
      <c r="H33" s="101"/>
      <c r="I33" s="101"/>
      <c r="J33" s="101"/>
      <c r="K33" s="190"/>
      <c r="L33" s="101"/>
      <c r="M33" s="138"/>
      <c r="N33" s="101"/>
      <c r="O33" s="188"/>
      <c r="P33" s="29"/>
      <c r="Q33" s="37"/>
      <c r="R33" s="198"/>
      <c r="S33" s="37"/>
      <c r="T33" s="37"/>
      <c r="U33" s="37"/>
      <c r="V33" s="198"/>
      <c r="W33" s="37"/>
      <c r="X33" s="86"/>
      <c r="Y33" s="198"/>
      <c r="Z33" s="94"/>
      <c r="AA33" s="37"/>
      <c r="AB33" s="29"/>
      <c r="AC33" s="198"/>
      <c r="AD33" s="100"/>
      <c r="AE33" s="100"/>
      <c r="AF33" s="100"/>
      <c r="AG33" s="197"/>
      <c r="AH33" s="100"/>
      <c r="AI33" s="143"/>
      <c r="AJ33" s="267"/>
      <c r="AK33" s="165" t="str">
        <f>IFERROR(IF(AK32="","",VLOOKUP(AK32,LISTAS!$F$5:$G$1004,2,0)),"0")</f>
        <v>COLEGIO PETROPOLIS</v>
      </c>
      <c r="AL33" s="29"/>
      <c r="AP33" s="31">
        <f>IF(AR33&lt;&gt;"",1+COUNTIF(AP8:AP32,"1")+COUNTIF(AP8:AP32,"2")+COUNTIF(AP8:AP32,"3")+COUNTIF(AP8:AP32,"4")+COUNTIF(AP8:AP32,"5")+COUNTIF(AP8:AP32,"6")+COUNTIF(AP8:AP32,"7")+COUNTIF(AP8:AP32,"8")+COUNTIF(AP8:AP32,"9")+COUNTIF(AP8:AP32,"10")+COUNTIF(AP8:AP32,"11")+COUNTIF(AP8:AP32,"12")+COUNTIF(AP8:AP32,"13")+COUNTIF(AP8:AP32,"14")+COUNTIF(AP8:AP32,"15")+COUNTIF(AP8:AP32,"16")+COUNTIF(AP8:AP32,"17")+COUNTIF(AP8:AP32,"18")+COUNTIF(AP8:AP32,"19")+COUNTIF(AP8:AP32,"20")+COUNTIF(AP8:AP32,"21")+COUNTIF(AP8:AP32,"22")+COUNTIF(AP8:AP32,"23")+COUNTIF(AP8:AP32,"24")+COUNTIF(AP8:AP32,"25"),"")</f>
        <v>26</v>
      </c>
      <c r="AQ33" s="32" t="str">
        <f t="shared" si="1"/>
        <v>LUGAR</v>
      </c>
      <c r="AR33" s="111" t="str">
        <f>IF(AR17&lt;&gt;"",IF(C8=AR17,G10,IF(C10=AR17,G10,IF(C16=AR17,G18,IF(C18=AR17,G18,IF(C38=AR17,G40,IF(C40=AR17,G40,IF(C46=AR17,G48,IF(C48=AR17,G48,IF(C24=AR17,G26,IF(C26=AR17,G26,IF(C32=AR17,G34,IF(C34=AR17,G34,IF(C54=AR17,G56,IF(C56=AR17,G56,IF(C62=AR17,G64,IF(C64=AR17,G64,IF(AK8=AR17,AI10,IF(AK10=AR17,AI10,IF(AK16=AR17,AI18,IF(AK18=AR17,AI18,IF(AK38=AR17,AI40,IF(AK40=AR17,AI40,IF(AK46=AR17,AI48,IF(AK48=AR17,AI48,IF(AK24=AR17,AI26,IF(AK26=AR17,AI26,IF(AK32=AR17,AI34,IF(AK34=AR17,AI34,IF(AK54=AR17,AI56,IF(AK56=AR17,AI56,IF(AK62=AR17,AI64,IF(AK64=AR17,AI64)))))))))))))))))))))))))))))))),"")</f>
        <v>EDUARDO TADASHI SHIMIZU</v>
      </c>
      <c r="AS33" s="33" t="str">
        <f>IFERROR(IF(AR33="","",VLOOKUP(AR33,LISTAS!$F$5:$G$1004,2,0)),"0")</f>
        <v>ABACO IPIRANGA</v>
      </c>
      <c r="AT33" s="33">
        <v>190</v>
      </c>
      <c r="AU33" s="33" t="str">
        <f t="shared" si="2"/>
        <v/>
      </c>
    </row>
    <row r="34" spans="2:47" ht="18" customHeight="1" thickBot="1" x14ac:dyDescent="0.3">
      <c r="B34" s="133">
        <v>8</v>
      </c>
      <c r="C34" s="162" t="str">
        <f>IF('13M GRP'!G5&gt;=3,'13M GRP'!J112,IF('13M GRP'!G5=2,"",IF('13M GRP'!G5=1,"","")))</f>
        <v>BERNARDO PAGETTI GUEDES</v>
      </c>
      <c r="D34" s="266">
        <v>1</v>
      </c>
      <c r="E34" s="106">
        <f>IF(D34&lt;&gt;"",D34,"")</f>
        <v>1</v>
      </c>
      <c r="F34" s="101" t="str">
        <f>IF(D34&lt;&gt;"",IF(C34="","",C34),"")</f>
        <v>BERNARDO PAGETTI GUEDES</v>
      </c>
      <c r="G34" s="190" t="str">
        <f>VLOOKUP(G32,E32:F34,2,0)</f>
        <v>Vinicius Gonçalves Visentim</v>
      </c>
      <c r="H34" s="101"/>
      <c r="I34" s="101"/>
      <c r="J34" s="101"/>
      <c r="K34" s="190"/>
      <c r="L34" s="101"/>
      <c r="M34" s="138"/>
      <c r="N34" s="101"/>
      <c r="O34" s="188"/>
      <c r="P34" s="29"/>
      <c r="Q34" s="37"/>
      <c r="R34" s="268" t="s">
        <v>37</v>
      </c>
      <c r="S34" s="268"/>
      <c r="T34" s="268"/>
      <c r="U34" s="268"/>
      <c r="V34" s="268"/>
      <c r="W34" s="37"/>
      <c r="X34" s="86"/>
      <c r="Y34" s="198"/>
      <c r="Z34" s="94"/>
      <c r="AA34" s="37"/>
      <c r="AB34" s="29"/>
      <c r="AC34" s="198"/>
      <c r="AD34" s="100"/>
      <c r="AE34" s="100"/>
      <c r="AF34" s="100"/>
      <c r="AG34" s="197">
        <f>IF(AJ34&lt;&gt;"",AJ34,"")</f>
        <v>1</v>
      </c>
      <c r="AH34" s="100" t="str">
        <f>IF(AJ34&lt;&gt;"",IF(AK34="","",AK34),"")</f>
        <v>NICOLAS GRACIANO</v>
      </c>
      <c r="AI34" s="145" t="str">
        <f>VLOOKUP(AI32,AG32:AH34,2,0)</f>
        <v>HENRIQUE MARQUES MONTAGNER</v>
      </c>
      <c r="AJ34" s="266">
        <v>1</v>
      </c>
      <c r="AK34" s="162" t="str">
        <f>IF('13M GRP'!G5&gt;=3,'13M GRP'!J86,IF('13M GRP'!G5=2,"",IF('13M GRP'!G5=1,"","")))</f>
        <v>NICOLAS GRACIANO</v>
      </c>
      <c r="AL34" s="29">
        <v>6</v>
      </c>
      <c r="AP34" s="31">
        <f>IF(AR34&lt;&gt;"",1+COUNTIF(AP8:AP33,"1")+COUNTIF(AP8:AP33,"2")+COUNTIF(AP8:AP33,"3")+COUNTIF(AP8:AP33,"4")+COUNTIF(AP8:AP33,"5")+COUNTIF(AP8:AP33,"6")+COUNTIF(AP8:AP33,"7")+COUNTIF(AP8:AP33,"8")+COUNTIF(AP8:AP33,"9")+COUNTIF(AP8:AP33,"10")+COUNTIF(AP8:AP33,"11")+COUNTIF(AP8:AP33,"12")+COUNTIF(AP8:AP33,"13")+COUNTIF(AP8:AP33,"14")+COUNTIF(AP8:AP33,"15")+COUNTIF(AP8:AP33,"16")+COUNTIF(AP8:AP33,"17")+COUNTIF(AP8:AP33,"18")+COUNTIF(AP8:AP33,"19")+COUNTIF(AP8:AP33,"20")+COUNTIF(AP8:AP33,"21")+COUNTIF(AP8:AP33,"22")+COUNTIF(AP8:AP33,"23")+COUNTIF(AP8:AP33,"24")+COUNTIF(AP8:AP33,"25")+COUNTIF(AP8:AP33,"26"),"")</f>
        <v>27</v>
      </c>
      <c r="AQ34" s="32" t="str">
        <f t="shared" si="1"/>
        <v>LUGAR</v>
      </c>
      <c r="AR34" s="111" t="str">
        <f>IF(AR18&lt;&gt;"",IF(C8=AR18,G10,IF(C10=AR18,G10,IF(C16=AR18,G18,IF(C18=AR18,G18,IF(C38=AR18,G40,IF(C40=AR18,G40,IF(C46=AR18,G48,IF(C48=AR18,G48,IF(C24=AR18,G26,IF(C26=AR18,G26,IF(C32=AR18,G34,IF(C34=AR18,G34,IF(C54=AR18,G56,IF(C56=AR18,G56,IF(C62=AR18,G64,IF(C64=AR18,G64,IF(AK8=AR18,AI10,IF(AK10=AR18,AI10,IF(AK16=AR18,AI18,IF(AK18=AR18,AI18,IF(AK38=AR18,AI40,IF(AK40=AR18,AI40,IF(AK46=AR18,AI48,IF(AK48=AR18,AI48,IF(AK24=AR18,AI26,IF(AK26=AR18,AI26,IF(AK32=AR18,AI34,IF(AK34=AR18,AI34,IF(AK54=AR18,AI56,IF(AK56=AR18,AI56,IF(AK62=AR18,AI64,IF(AK64=AR18,AI64)))))))))))))))))))))))))))))))),"")</f>
        <v>Vinicius Gonçalves Visentim</v>
      </c>
      <c r="AS34" s="33" t="str">
        <f>IFERROR(IF(AR34="","",VLOOKUP(AR34,LISTAS!$F$5:$G$1004,2,0)),"0")</f>
        <v>ESCOLA INTERAÇÃO</v>
      </c>
      <c r="AT34" s="33">
        <v>190</v>
      </c>
      <c r="AU34" s="33" t="str">
        <f t="shared" si="2"/>
        <v/>
      </c>
    </row>
    <row r="35" spans="2:47" ht="18" customHeight="1" thickBot="1" x14ac:dyDescent="0.3">
      <c r="B35" s="133"/>
      <c r="C35" s="165" t="str">
        <f>IFERROR(IF(C34="","",VLOOKUP(C34,LISTAS!$F$5:$G$1004,2,0)),"0")</f>
        <v>ABACO IPIRANGA</v>
      </c>
      <c r="D35" s="267"/>
      <c r="E35" s="101"/>
      <c r="F35" s="101"/>
      <c r="G35" s="190"/>
      <c r="H35" s="101"/>
      <c r="I35" s="101"/>
      <c r="J35" s="101"/>
      <c r="K35" s="190"/>
      <c r="L35" s="101"/>
      <c r="M35" s="138"/>
      <c r="N35" s="101"/>
      <c r="O35" s="162" t="str">
        <f>IF(L20&lt;&gt;"",IF(L22&lt;&gt;"",IF(L20=L22,"",IF(L20&gt;L22,K20,K22)),""),"")</f>
        <v>TIAGO DREER DURAN</v>
      </c>
      <c r="P35" s="266">
        <v>0</v>
      </c>
      <c r="Q35" s="37"/>
      <c r="R35" s="189"/>
      <c r="S35" s="84"/>
      <c r="T35" s="84"/>
      <c r="U35" s="84"/>
      <c r="V35" s="189"/>
      <c r="W35" s="37"/>
      <c r="X35" s="266">
        <v>0</v>
      </c>
      <c r="Y35" s="162" t="str">
        <f>IF(AB20&lt;&gt;"",IF(AB22&lt;&gt;"",IF(AB20=AB22,"",IF(AB20&gt;AB22,AC20,AC22)),""),"")</f>
        <v>LUCAS WANG FUJII KAO</v>
      </c>
      <c r="Z35" s="94"/>
      <c r="AA35" s="37"/>
      <c r="AB35" s="29"/>
      <c r="AC35" s="198"/>
      <c r="AD35" s="100"/>
      <c r="AE35" s="100"/>
      <c r="AF35" s="100"/>
      <c r="AG35" s="197"/>
      <c r="AH35" s="100"/>
      <c r="AI35" s="101"/>
      <c r="AJ35" s="267"/>
      <c r="AK35" s="165" t="str">
        <f>IFERROR(IF(AK34="","",VLOOKUP(AK34,LISTAS!$F$5:$G$1004,2,0)),"0")</f>
        <v>COLÉGIO MARCONI - GRU</v>
      </c>
      <c r="AL35" s="29"/>
      <c r="AP35" s="31">
        <f>IF(AR35&lt;&gt;"",1+COUNTIF(AP8:AP34,"1")+COUNTIF(AP8:AP34,"2")+COUNTIF(AP8:AP34,"3")+COUNTIF(AP8:AP34,"4")+COUNTIF(AP8:AP34,"5")+COUNTIF(AP8:AP34,"6")+COUNTIF(AP8:AP34,"7")+COUNTIF(AP8:AP34,"8")+COUNTIF(AP8:AP34,"9")+COUNTIF(AP8:AP34,"10")+COUNTIF(AP8:AP34,"11")+COUNTIF(AP8:AP34,"12")+COUNTIF(AP8:AP34,"13")+COUNTIF(AP8:AP34,"14")+COUNTIF(AP8:AP34,"15")+COUNTIF(AP8:AP34,"16")+COUNTIF(AP8:AP34,"17")+COUNTIF(AP8:AP34,"18")+COUNTIF(AP8:AP34,"19")+COUNTIF(AP8:AP34,"20")+COUNTIF(AP8:AP34,"21")+COUNTIF(AP8:AP34,"22")+COUNTIF(AP8:AP34,"23")+COUNTIF(AP8:AP34,"24")+COUNTIF(AP8:AP34,"25")+COUNTIF(AP8:AP34,"26")+COUNTIF(AP8:AP34,"27"),"")</f>
        <v>28</v>
      </c>
      <c r="AQ35" s="32" t="str">
        <f t="shared" si="1"/>
        <v>LUGAR</v>
      </c>
      <c r="AR35" s="111" t="str">
        <f>IF(AR19&lt;&gt;"",IF(C8=AR19,G10,IF(C10=AR19,G10,IF(C16=AR19,G18,IF(C18=AR19,G18,IF(C38=AR19,G40,IF(C40=AR19,G40,IF(C46=AR19,G48,IF(C48=AR19,G48,IF(C24=AR19,G26,IF(C26=AR19,G26,IF(C32=AR19,G34,IF(C34=AR19,G34,IF(C54=AR19,G56,IF(C56=AR19,G56,IF(C62=AR19,G64,IF(C64=AR19,G64,IF(AK8=AR19,AI10,IF(AK10=AR19,AI10,IF(AK16=AR19,AI18,IF(AK18=AR19,AI18,IF(AK38=AR19,AI40,IF(AK40=AR19,AI40,IF(AK46=AR19,AI48,IF(AK48=AR19,AI48,IF(AK24=AR19,AI26,IF(AK26=AR19,AI26,IF(AK32=AR19,AI34,IF(AK34=AR19,AI34,IF(AK54=AR19,AI56,IF(AK56=AR19,AI56,IF(AK62=AR19,AI64,IF(AK64=AR19,AI64)))))))))))))))))))))))))))))))),"")</f>
        <v>HENRIQUE MARQUES MONTAGNER</v>
      </c>
      <c r="AS35" s="33" t="str">
        <f>IFERROR(IF(AR35="","",VLOOKUP(AR35,LISTAS!$F$5:$G$1004,2,0)),"0")</f>
        <v>COLEGIO PETROPOLIS</v>
      </c>
      <c r="AT35" s="33">
        <v>190</v>
      </c>
      <c r="AU35" s="33" t="str">
        <f t="shared" si="2"/>
        <v/>
      </c>
    </row>
    <row r="36" spans="2:47" ht="18" customHeight="1" thickBot="1" x14ac:dyDescent="0.3">
      <c r="B36" s="133"/>
      <c r="C36" s="188"/>
      <c r="D36" s="29"/>
      <c r="E36" s="101"/>
      <c r="F36" s="101"/>
      <c r="G36" s="190"/>
      <c r="H36" s="101"/>
      <c r="I36" s="101"/>
      <c r="J36" s="101"/>
      <c r="K36" s="190"/>
      <c r="L36" s="101"/>
      <c r="M36" s="138"/>
      <c r="N36" s="101"/>
      <c r="O36" s="165" t="str">
        <f>IFERROR(IF(O35="","",VLOOKUP(O35,LISTAS!$F$5:$G$1004,2,0)),"0")</f>
        <v>COLÉGIO ARBOS SÃO CAETANO DO SUL</v>
      </c>
      <c r="P36" s="267"/>
      <c r="Q36" s="37"/>
      <c r="R36" s="162" t="str">
        <f>IF(P35&lt;&gt;"",IF(P37&lt;&gt;"",IF(P35=P37,"",IF(P35&gt;P37,O35,O37)),""),"")</f>
        <v>THEO PANARIELLO PESSUTO CRUZ</v>
      </c>
      <c r="S36" s="266">
        <v>1</v>
      </c>
      <c r="T36" s="269" t="s">
        <v>38</v>
      </c>
      <c r="U36" s="266">
        <v>0</v>
      </c>
      <c r="V36" s="162" t="str">
        <f>IF(X35&lt;&gt;"",IF(X37&lt;&gt;"",IF(X35=X37,"",IF(X35&gt;X37,Y35,Y37)),""),"")</f>
        <v>RAFAEL PICCOLO VENDRAME</v>
      </c>
      <c r="W36" s="141"/>
      <c r="X36" s="267"/>
      <c r="Y36" s="165" t="str">
        <f>IFERROR(IF(Y35="","",VLOOKUP(Y35,LISTAS!$F$5:$G$1004,2,0)),"0")</f>
        <v>ABACO IPIRANGA</v>
      </c>
      <c r="Z36" s="141"/>
      <c r="AA36" s="37"/>
      <c r="AB36" s="29"/>
      <c r="AC36" s="198"/>
      <c r="AD36" s="100"/>
      <c r="AE36" s="100"/>
      <c r="AF36" s="100"/>
      <c r="AG36" s="197"/>
      <c r="AH36" s="100"/>
      <c r="AI36" s="100"/>
      <c r="AJ36" s="29"/>
      <c r="AK36" s="188"/>
      <c r="AL36" s="29"/>
      <c r="AP36" s="31">
        <f>IF(AR36&lt;&gt;"",1+COUNTIF(AP8:AP35,"1")+COUNTIF(AP8:AP35,"2")+COUNTIF(AP8:AP35,"3")+COUNTIF(AP8:AP35,"4")+COUNTIF(AP8:AP35,"5")+COUNTIF(AP8:AP35,"6")+COUNTIF(AP8:AP35,"7")+COUNTIF(AP8:AP35,"8")+COUNTIF(AP8:AP35,"9")+COUNTIF(AP8:AP35,"10")+COUNTIF(AP8:AP35,"11")+COUNTIF(AP8:AP35,"12")+COUNTIF(AP8:AP35,"13")+COUNTIF(AP8:AP35,"14")+COUNTIF(AP8:AP35,"15")+COUNTIF(AP8:AP35,"16")+COUNTIF(AP8:AP35,"17")+COUNTIF(AP8:AP35,"18")+COUNTIF(AP8:AP35,"19")+COUNTIF(AP8:AP35,"20")+COUNTIF(AP8:AP35,"21")+COUNTIF(AP8:AP35,"22")+COUNTIF(AP8:AP35,"23")+COUNTIF(AP8:AP35,"24")+COUNTIF(AP8:AP35,"25")+COUNTIF(AP8:AP35,"26")+COUNTIF(AP8:AP35,"27")+COUNTIF(AP8:AP35,"28"),"")</f>
        <v>29</v>
      </c>
      <c r="AQ36" s="32" t="str">
        <f t="shared" si="1"/>
        <v>LUGAR</v>
      </c>
      <c r="AR36" s="111" t="str">
        <f>IF(AR20&lt;&gt;"",IF(C8=AR20,G10,IF(C10=AR20,G10,IF(C16=AR20,G18,IF(C18=AR20,G18,IF(C38=AR20,G40,IF(C40=AR20,G40,IF(C46=AR20,G48,IF(C48=AR20,G48,IF(C24=AR20,G26,IF(C26=AR20,G26,IF(C32=AR20,G34,IF(C34=AR20,G34,IF(C54=AR20,G56,IF(C56=AR20,G56,IF(C62=AR20,G64,IF(C64=AR20,G64,IF(AK8=AR20,AI10,IF(AK10=AR20,AI10,IF(AK16=AR20,AI18,IF(AK18=AR20,AI18,IF(AK38=AR20,AI40,IF(AK40=AR20,AI40,IF(AK46=AR20,AI48,IF(AK48=AR20,AI48,IF(AK24=AR20,AI26,IF(AK26=AR20,AI26,IF(AK32=AR20,AI34,IF(AK34=AR20,AI34,IF(AK54=AR20,AI56,IF(AK56=AR20,AI56,IF(AK62=AR20,AI64,IF(AK64=AR20,AI64)))))))))))))))))))))))))))))))),"")</f>
        <v>GIOVANI PRADO MARTINS GARCIA</v>
      </c>
      <c r="AS36" s="33" t="str">
        <f>IFERROR(IF(AR36="","",VLOOKUP(AR36,LISTAS!$F$5:$G$1004,2,0)),"0")</f>
        <v>PEN LIFE</v>
      </c>
      <c r="AT36" s="33">
        <v>190</v>
      </c>
      <c r="AU36" s="33" t="str">
        <f t="shared" si="2"/>
        <v/>
      </c>
    </row>
    <row r="37" spans="2:47" ht="18" customHeight="1" thickBot="1" x14ac:dyDescent="0.3">
      <c r="B37" s="133"/>
      <c r="C37" s="188"/>
      <c r="D37" s="29"/>
      <c r="E37" s="101"/>
      <c r="F37" s="101"/>
      <c r="G37" s="190"/>
      <c r="H37" s="101"/>
      <c r="I37" s="101"/>
      <c r="J37" s="101"/>
      <c r="K37" s="190"/>
      <c r="L37" s="101"/>
      <c r="M37" s="138"/>
      <c r="N37" s="102"/>
      <c r="O37" s="162" t="str">
        <f>IF(L50&lt;&gt;"",IF(L52&lt;&gt;"",IF(L50=L52,"",IF(L50&gt;L52,K50,K52)),""),"")</f>
        <v>THEO PANARIELLO PESSUTO CRUZ</v>
      </c>
      <c r="P37" s="266">
        <v>1</v>
      </c>
      <c r="Q37" s="97"/>
      <c r="R37" s="165" t="str">
        <f>IFERROR(IF(R36="","",VLOOKUP(R36,LISTAS!$F$5:$G$1004,2,0)),"0")</f>
        <v>COLÉGIO SÃO JOSÉ</v>
      </c>
      <c r="S37" s="267"/>
      <c r="T37" s="269"/>
      <c r="U37" s="267"/>
      <c r="V37" s="165" t="str">
        <f>IFERROR(IF(V36="","",VLOOKUP(V36,LISTAS!$F$5:$G$1004,2,0)),"0")</f>
        <v>COLEGIO PETROPOLIS</v>
      </c>
      <c r="W37" s="98"/>
      <c r="X37" s="266">
        <v>1</v>
      </c>
      <c r="Y37" s="162" t="str">
        <f>IF(AB50&lt;&gt;"",IF(AB52&lt;&gt;"",IF(AB50=AB52,"",IF(AB50&gt;AB52,AC50,AC52)),""),"")</f>
        <v>RAFAEL PICCOLO VENDRAME</v>
      </c>
      <c r="Z37" s="98"/>
      <c r="AA37" s="37"/>
      <c r="AB37" s="29"/>
      <c r="AC37" s="198"/>
      <c r="AD37" s="100"/>
      <c r="AE37" s="100"/>
      <c r="AF37" s="100"/>
      <c r="AG37" s="197"/>
      <c r="AH37" s="100"/>
      <c r="AI37" s="100"/>
      <c r="AJ37" s="29"/>
      <c r="AK37" s="188"/>
      <c r="AL37" s="29"/>
      <c r="AP37" s="31">
        <f>IF(AR37&lt;&gt;"",1+COUNTIF(AP8:AP36,"1")+COUNTIF(AP8:AP36,"2")+COUNTIF(AP8:AP36,"3")+COUNTIF(AP8:AP36,"4")+COUNTIF(AP8:AP36,"5")+COUNTIF(AP8:AP36,"6")+COUNTIF(AP8:AP36,"7")+COUNTIF(AP8:AP36,"8")+COUNTIF(AP8:AP36,"9")+COUNTIF(AP8:AP36,"10")+COUNTIF(AP8:AP36,"11")+COUNTIF(AP8:AP36,"12")+COUNTIF(AP8:AP36,"13")+COUNTIF(AP8:AP36,"14")+COUNTIF(AP8:AP36,"15")+COUNTIF(AP8:AP36,"16")+COUNTIF(AP8:AP36,"17")+COUNTIF(AP8:AP36,"18")+COUNTIF(AP8:AP36,"19")+COUNTIF(AP8:AP36,"20")+COUNTIF(AP8:AP36,"21")+COUNTIF(AP8:AP36,"22")+COUNTIF(AP8:AP36,"23")+COUNTIF(AP8:AP36,"24")+COUNTIF(AP8:AP36,"25")+COUNTIF(AP8:AP36,"26")+COUNTIF(AP8:AP36,"27")+COUNTIF(AP8:AP36,"28")+COUNTIF(AP8:AP36,"29"),"")</f>
        <v>30</v>
      </c>
      <c r="AQ37" s="32" t="str">
        <f t="shared" si="1"/>
        <v>LUGAR</v>
      </c>
      <c r="AR37" s="111" t="str">
        <f>IF(AR21&lt;&gt;"",IF(C8=AR21,G10,IF(C10=AR21,G10,IF(C16=AR21,G18,IF(C18=AR21,G18,IF(C38=AR21,G40,IF(C40=AR21,G40,IF(C46=AR21,G48,IF(C48=AR21,G48,IF(C24=AR21,G26,IF(C26=AR21,G26,IF(C32=AR21,G34,IF(C34=AR21,G34,IF(C54=AR21,G56,IF(C56=AR21,G56,IF(C62=AR21,G64,IF(C64=AR21,G64,IF(AK8=AR21,AI10,IF(AK10=AR21,AI10,IF(AK16=AR21,AI18,IF(AK18=AR21,AI18,IF(AK38=AR21,AI40,IF(AK40=AR21,AI40,IF(AK46=AR21,AI48,IF(AK48=AR21,AI48,IF(AK24=AR21,AI26,IF(AK26=AR21,AI26,IF(AK32=AR21,AI34,IF(AK34=AR21,AI34,IF(AK54=AR21,AI56,IF(AK56=AR21,AI56,IF(AK62=AR21,AI64,IF(AK64=AR21,AI64)))))))))))))))))))))))))))))))),"")</f>
        <v>PIETRO GUIRRO CARINCI</v>
      </c>
      <c r="AS37" s="33" t="str">
        <f>IFERROR(IF(AR37="","",VLOOKUP(AR37,LISTAS!$F$5:$G$1004,2,0)),"0")</f>
        <v>COLÉGIO ARBOS - UNIDADE SANTO ANDRÉ</v>
      </c>
      <c r="AT37" s="33">
        <v>190</v>
      </c>
      <c r="AU37" s="33" t="str">
        <f t="shared" si="2"/>
        <v/>
      </c>
    </row>
    <row r="38" spans="2:47" ht="18" customHeight="1" thickBot="1" x14ac:dyDescent="0.3">
      <c r="B38" s="133">
        <v>5</v>
      </c>
      <c r="C38" s="162" t="str">
        <f>IF('13M GRP'!G5&gt;=3,'13M GRP'!J73,IF('13M GRP'!G5=2,"",IF('13M GRP'!G5=1,'13M GRP'!J12,"")))</f>
        <v>THEO PANARIELLO PESSUTO CRUZ</v>
      </c>
      <c r="D38" s="266">
        <v>1</v>
      </c>
      <c r="E38" s="101">
        <f>IF(D38&lt;&gt;"",D38,"")</f>
        <v>1</v>
      </c>
      <c r="F38" s="101" t="str">
        <f>IF(D38&lt;&gt;"",IF(C38="","",C38),"")</f>
        <v>THEO PANARIELLO PESSUTO CRUZ</v>
      </c>
      <c r="G38" s="190">
        <f>IF(E38&lt;&gt;"",IF(E40&lt;&gt;"",SMALL(E38:E40,1),""),"")</f>
        <v>0</v>
      </c>
      <c r="H38" s="101"/>
      <c r="I38" s="101"/>
      <c r="J38" s="101"/>
      <c r="K38" s="190"/>
      <c r="L38" s="101"/>
      <c r="M38" s="138"/>
      <c r="N38" s="100"/>
      <c r="O38" s="165" t="str">
        <f>IFERROR(IF(O37="","",VLOOKUP(O37,LISTAS!$F$5:$G$1004,2,0)),"0")</f>
        <v>COLÉGIO SÃO JOSÉ</v>
      </c>
      <c r="P38" s="267"/>
      <c r="Q38" s="85"/>
      <c r="R38" s="198"/>
      <c r="S38" s="37"/>
      <c r="T38" s="37"/>
      <c r="U38" s="37"/>
      <c r="V38" s="198"/>
      <c r="W38" s="37"/>
      <c r="X38" s="267"/>
      <c r="Y38" s="165" t="str">
        <f>IFERROR(IF(Y37="","",VLOOKUP(Y37,LISTAS!$F$5:$G$1004,2,0)),"0")</f>
        <v>COLEGIO PETROPOLIS</v>
      </c>
      <c r="Z38" s="94"/>
      <c r="AA38" s="37"/>
      <c r="AB38" s="29"/>
      <c r="AC38" s="198"/>
      <c r="AD38" s="100"/>
      <c r="AE38" s="100"/>
      <c r="AF38" s="100"/>
      <c r="AG38" s="197">
        <f>IF(AJ38&lt;&gt;"",AJ38,"")</f>
        <v>1</v>
      </c>
      <c r="AH38" s="100" t="str">
        <f>IF(AJ38&lt;&gt;"",IF(AK38="","",AK38),"")</f>
        <v>APOLO GROSSO BEVILAQUA</v>
      </c>
      <c r="AI38" s="101">
        <f>IF(AG38&lt;&gt;"",IF(AG40&lt;&gt;"",SMALL(AG38:AG40,1),""),"")</f>
        <v>0</v>
      </c>
      <c r="AJ38" s="266">
        <v>1</v>
      </c>
      <c r="AK38" s="162" t="str">
        <f>IF('13M GRP'!G5&gt;=3,'13M GRP'!J99,IF('13M GRP'!G5=2,"",IF('13M GRP'!G5=1,"","")))</f>
        <v>APOLO GROSSO BEVILAQUA</v>
      </c>
      <c r="AL38" s="29">
        <v>7</v>
      </c>
      <c r="AP38" s="31">
        <f>IF(AR38&lt;&gt;"",1+COUNTIF(AP8:AP37,"1")+COUNTIF(AP8:AP37,"2")+COUNTIF(AP8:AP37,"3")+COUNTIF(AP8:AP37,"4")+COUNTIF(AP8:AP37,"5")+COUNTIF(AP8:AP37,"6")+COUNTIF(AP8:AP37,"7")+COUNTIF(AP8:AP37,"8")+COUNTIF(AP8:AP37,"9")+COUNTIF(AP8:AP37,"10")+COUNTIF(AP8:AP37,"11")+COUNTIF(AP8:AP37,"12")+COUNTIF(AP8:AP37,"13")+COUNTIF(AP8:AP37,"14")+COUNTIF(AP8:AP37,"15")+COUNTIF(AP8:AP37,"16")+COUNTIF(AP8:AP37,"17")+COUNTIF(AP8:AP37,"18")+COUNTIF(AP8:AP37,"19")+COUNTIF(AP8:AP37,"20")+COUNTIF(AP8:AP37,"21")+COUNTIF(AP8:AP37,"22")+COUNTIF(AP8:AP37,"23")+COUNTIF(AP8:AP37,"24")+COUNTIF(AP8:AP37,"25")+COUNTIF(AP8:AP37,"26")+COUNTIF(AP8:AP37,"27")+COUNTIF(AP8:AP37,"28")+COUNTIF(AP8:AP37,"29")+COUNTIF(AP8:AP37,"30"),"")</f>
        <v>31</v>
      </c>
      <c r="AQ38" s="32" t="str">
        <f t="shared" si="1"/>
        <v>LUGAR</v>
      </c>
      <c r="AR38" s="111" t="str">
        <f>IF(AR22&lt;&gt;"",IF(C8=AR22,G10,IF(C10=AR22,G10,IF(C16=AR22,G18,IF(C18=AR22,G18,IF(C38=AR22,G40,IF(C40=AR22,G40,IF(C46=AR22,G48,IF(C48=AR22,G48,IF(C24=AR22,G26,IF(C26=AR22,G26,IF(C32=AR22,G34,IF(C34=AR22,G34,IF(C54=AR22,G56,IF(C56=AR22,G56,IF(C62=AR22,G64,IF(C64=AR22,G64,IF(AK8=AR22,AI10,IF(AK10=AR22,AI10,IF(AK16=AR22,AI18,IF(AK18=AR22,AI18,IF(AK38=AR22,AI40,IF(AK40=AR22,AI40,IF(AK46=AR22,AI48,IF(AK48=AR22,AI48,IF(AK24=AR22,AI26,IF(AK26=AR22,AI26,IF(AK32=AR22,AI34,IF(AK34=AR22,AI34,IF(AK54=AR22,AI56,IF(AK56=AR22,AI56,IF(AK62=AR22,AI64,IF(AK64=AR22,AI64)))))))))))))))))))))))))))))))),"")</f>
        <v>ALEXANDRE BORBA MARQUES</v>
      </c>
      <c r="AS38" s="33" t="str">
        <f>IFERROR(IF(AR38="","",VLOOKUP(AR38,LISTAS!$F$5:$G$1004,2,0)),"0")</f>
        <v>ABACO IPIRANGA</v>
      </c>
      <c r="AT38" s="33">
        <v>190</v>
      </c>
      <c r="AU38" s="33" t="str">
        <f t="shared" si="2"/>
        <v/>
      </c>
    </row>
    <row r="39" spans="2:47" ht="18" customHeight="1" thickBot="1" x14ac:dyDescent="0.3">
      <c r="B39" s="133"/>
      <c r="C39" s="165" t="str">
        <f>IFERROR(IF(C38="","",VLOOKUP(C38,LISTAS!$F$5:$G$1004,2,0)),"0")</f>
        <v>COLÉGIO SÃO JOSÉ</v>
      </c>
      <c r="D39" s="267"/>
      <c r="E39" s="101"/>
      <c r="F39" s="101"/>
      <c r="G39" s="190"/>
      <c r="H39" s="101"/>
      <c r="I39" s="101"/>
      <c r="J39" s="101"/>
      <c r="K39" s="190"/>
      <c r="L39" s="101"/>
      <c r="M39" s="138"/>
      <c r="N39" s="100"/>
      <c r="O39" s="197"/>
      <c r="P39" s="100"/>
      <c r="Q39" s="100"/>
      <c r="R39" s="198"/>
      <c r="S39" s="37"/>
      <c r="T39" s="37"/>
      <c r="U39" s="37"/>
      <c r="V39" s="198"/>
      <c r="W39" s="37"/>
      <c r="X39" s="86"/>
      <c r="Y39" s="198"/>
      <c r="Z39" s="94"/>
      <c r="AA39" s="37"/>
      <c r="AB39" s="29"/>
      <c r="AC39" s="198"/>
      <c r="AD39" s="100"/>
      <c r="AE39" s="100"/>
      <c r="AF39" s="100"/>
      <c r="AG39" s="197"/>
      <c r="AH39" s="100"/>
      <c r="AI39" s="101"/>
      <c r="AJ39" s="267"/>
      <c r="AK39" s="165" t="str">
        <f>IFERROR(IF(AK38="","",VLOOKUP(AK38,LISTAS!$F$5:$G$1004,2,0)),"0")</f>
        <v>ESCOLA VILLARE</v>
      </c>
      <c r="AL39" s="29"/>
      <c r="AP39" s="31">
        <f>IF(AR39&lt;&gt;"",1+COUNTIF(AP8:AP38,"1")+COUNTIF(AP8:AP38,"2")+COUNTIF(AP8:AP38,"3")+COUNTIF(AP8:AP38,"4")+COUNTIF(AP8:AP38,"5")+COUNTIF(AP8:AP38,"6")+COUNTIF(AP8:AP38,"7")+COUNTIF(AP8:AP38,"8")+COUNTIF(AP8:AP38,"9")+COUNTIF(AP8:AP38,"10")+COUNTIF(AP8:AP38,"11")+COUNTIF(AP8:AP38,"12")+COUNTIF(AP8:AP38,"13")+COUNTIF(AP8:AP38,"14")+COUNTIF(AP8:AP38,"15")+COUNTIF(AP8:AP38,"16")+COUNTIF(AP8:AP38,"17")+COUNTIF(AP8:AP38,"18")+COUNTIF(AP8:AP38,"19")+COUNTIF(AP8:AP38,"20")+COUNTIF(AP8:AP38,"21")+COUNTIF(AP8:AP38,"22")+COUNTIF(AP8:AP38,"23")+COUNTIF(AP8:AP38,"24")+COUNTIF(AP8:AP38,"25")+COUNTIF(AP8:AP38,"26")+COUNTIF(AP8:AP38,"27")+COUNTIF(AP8:AP38,"28")+COUNTIF(AP8:AP38,"29")+COUNTIF(AP8:AP38,"30")+COUNTIF(AP8:AP38,"31"),"")</f>
        <v>32</v>
      </c>
      <c r="AQ39" s="32" t="str">
        <f t="shared" si="1"/>
        <v>LUGAR</v>
      </c>
      <c r="AR39" s="111" t="str">
        <f>IF(AR23&lt;&gt;"",IF(C8=AR23,G10,IF(C10=AR23,G10,IF(C16=AR23,G18,IF(C18=AR23,G18,IF(C38=AR23,G40,IF(C40=AR23,G40,IF(C46=AR23,G48,IF(C48=AR23,G48,IF(C24=AR23,G26,IF(C26=AR23,G26,IF(C32=AR23,G34,IF(C34=AR23,G34,IF(C54=AR23,G56,IF(C56=AR23,G56,IF(C62=AR23,G64,IF(C64=AR23,G64,IF(AK8=AR23,AI10,IF(AK10=AR23,AI10,IF(AK16=AR23,AI18,IF(AK18=AR23,AI18,IF(AK38=AR23,AI40,IF(AK40=AR23,AI40,IF(AK46=AR23,AI48,IF(AK48=AR23,AI48,IF(AK24=AR23,AI26,IF(AK26=AR23,AI26,IF(AK32=AR23,AI34,IF(AK34=AR23,AI34,IF(AK54=AR23,AI56,IF(AK56=AR23,AI56,IF(AK62=AR23,AI64,IF(AK64=AR23,AI64)))))))))))))))))))))))))))))))),"")</f>
        <v>BERNARDO KAIROF DE SOUZA MENDES DA SILVA</v>
      </c>
      <c r="AS39" s="33" t="str">
        <f>IFERROR(IF(AR39="","",VLOOKUP(AR39,LISTAS!$F$5:$G$1004,2,0)),"0")</f>
        <v>LICEU JARDIM</v>
      </c>
      <c r="AT39" s="33">
        <v>190</v>
      </c>
      <c r="AU39" s="33" t="str">
        <f>IF(AP39="","",IF($AS$5="NÃO","",IF(AP39=1,400,IF(AP39=2,340,IF(AP39=3,300,IF(AP39=4,280,IF(AP39=5,270,IF(AP39=6,260,IF(AP39=7,250,IF(AP39=8,240,IF(AP39=9,200,IF(AP39=10,200,IF(AP39=11,200,IF(AP39=12,200,IF(AP39=13,200,IF(AP39=14,200,IF(AP39=15,200,IF(AP39=16,200,IF(AP39&gt;16,"","")))))))))))))))))))</f>
        <v/>
      </c>
    </row>
    <row r="40" spans="2:47" ht="18" customHeight="1" x14ac:dyDescent="0.25">
      <c r="B40" s="133">
        <v>28</v>
      </c>
      <c r="C40" s="162" t="str">
        <f>IF('13M GRP'!G5&gt;=3,'13M GRP'!J372,IF('13M GRP'!G5=2,"",IF('13M GRP'!G5=1,"","")))</f>
        <v>Pedro Augusto de Oliveira</v>
      </c>
      <c r="D40" s="266">
        <v>0</v>
      </c>
      <c r="E40" s="107">
        <f>IF(D40&lt;&gt;"",D40,"")</f>
        <v>0</v>
      </c>
      <c r="F40" s="101" t="str">
        <f>IF(D40&lt;&gt;"",IF(C40="","",C40),"")</f>
        <v>Pedro Augusto de Oliveira</v>
      </c>
      <c r="G40" s="190" t="str">
        <f>VLOOKUP(G38,E38:F40,2,0)</f>
        <v>Pedro Augusto de Oliveira</v>
      </c>
      <c r="H40" s="101"/>
      <c r="I40" s="101"/>
      <c r="J40" s="101"/>
      <c r="K40" s="190"/>
      <c r="L40" s="101"/>
      <c r="M40" s="138"/>
      <c r="N40" s="101">
        <f>IF(P35&lt;&gt;"",P35,"")</f>
        <v>0</v>
      </c>
      <c r="O40" s="190" t="str">
        <f>IF(P35&lt;&gt;"",O35,"")</f>
        <v>TIAGO DREER DURAN</v>
      </c>
      <c r="P40" s="101">
        <f>IF(N40&lt;&gt;"",IF(N42&lt;&gt;"",LARGE(N40:N42,1),""),"")</f>
        <v>1</v>
      </c>
      <c r="Q40" s="100"/>
      <c r="R40" s="198"/>
      <c r="S40" s="37"/>
      <c r="T40" s="37"/>
      <c r="U40" s="37"/>
      <c r="V40" s="198"/>
      <c r="W40" s="37"/>
      <c r="X40" s="86"/>
      <c r="Y40" s="198"/>
      <c r="Z40" s="94"/>
      <c r="AA40" s="37"/>
      <c r="AB40" s="29"/>
      <c r="AC40" s="198"/>
      <c r="AD40" s="100"/>
      <c r="AE40" s="100"/>
      <c r="AF40" s="100"/>
      <c r="AG40" s="197">
        <f>IF(AJ40&lt;&gt;"",AJ40,"")</f>
        <v>0</v>
      </c>
      <c r="AH40" s="100" t="str">
        <f>IF(AJ40&lt;&gt;"",IF(AK40="","",AK40),"")</f>
        <v>PIETRO GUIRRO CARINCI</v>
      </c>
      <c r="AI40" s="102" t="str">
        <f>VLOOKUP(AI38,AG38:AH40,2,0)</f>
        <v>PIETRO GUIRRO CARINCI</v>
      </c>
      <c r="AJ40" s="266">
        <v>0</v>
      </c>
      <c r="AK40" s="162" t="str">
        <f>IF('13M GRP'!G5&gt;=3,'13M GRP'!J346,IF('13M GRP'!G5=2,"",IF('13M GRP'!G5=1,"","")))</f>
        <v>PIETRO GUIRRO CARINCI</v>
      </c>
      <c r="AL40" s="29">
        <v>26</v>
      </c>
      <c r="AP40" s="31">
        <v>33</v>
      </c>
      <c r="AQ40" s="32" t="str">
        <f t="shared" ref="AQ40:AQ55" si="3">IF(AP40&lt;&gt;"","LUGAR","")</f>
        <v>LUGAR</v>
      </c>
      <c r="AR40" s="111" t="s">
        <v>744</v>
      </c>
      <c r="AS40" s="33" t="s">
        <v>745</v>
      </c>
      <c r="AT40" s="33">
        <v>190</v>
      </c>
      <c r="AU40" s="33" t="str">
        <f t="shared" ref="AU40:AU55" si="4">IF(AP40="","",IF($AS$5="NÃO","",IF(AP40=1,400,IF(AP40=2,340,IF(AP40=3,300,IF(AP40=4,280,IF(AP40=5,270,IF(AP40=6,260,IF(AP40=7,250,IF(AP40=8,240,IF(AP40=9,200,IF(AP40=10,200,IF(AP40=11,200,IF(AP40=12,200,IF(AP40=13,200,IF(AP40=14,200,IF(AP40=15,200,IF(AP40=16,200,IF(AP40&gt;16,"","")))))))))))))))))))</f>
        <v/>
      </c>
    </row>
    <row r="41" spans="2:47" ht="18" customHeight="1" thickBot="1" x14ac:dyDescent="0.3">
      <c r="B41" s="133"/>
      <c r="C41" s="165" t="str">
        <f>IFERROR(IF(C40="","",VLOOKUP(C40,LISTAS!$F$5:$G$1004,2,0)),"0")</f>
        <v>ESCOLA INTERAÇÃO</v>
      </c>
      <c r="D41" s="267"/>
      <c r="E41" s="148"/>
      <c r="F41" s="101"/>
      <c r="G41" s="190"/>
      <c r="H41" s="101"/>
      <c r="I41" s="101"/>
      <c r="J41" s="101"/>
      <c r="K41" s="190"/>
      <c r="L41" s="101"/>
      <c r="M41" s="138"/>
      <c r="N41" s="101"/>
      <c r="O41" s="190"/>
      <c r="P41" s="101"/>
      <c r="Q41" s="100"/>
      <c r="R41" s="198"/>
      <c r="S41" s="37"/>
      <c r="T41" s="37"/>
      <c r="U41" s="37"/>
      <c r="V41" s="198"/>
      <c r="W41" s="37"/>
      <c r="X41" s="86"/>
      <c r="Y41" s="198"/>
      <c r="Z41" s="94"/>
      <c r="AA41" s="37"/>
      <c r="AB41" s="29"/>
      <c r="AC41" s="198"/>
      <c r="AD41" s="100"/>
      <c r="AE41" s="100"/>
      <c r="AF41" s="100"/>
      <c r="AG41" s="197"/>
      <c r="AH41" s="100"/>
      <c r="AI41" s="142"/>
      <c r="AJ41" s="267"/>
      <c r="AK41" s="165" t="str">
        <f>IFERROR(IF(AK40="","",VLOOKUP(AK40,LISTAS!$F$5:$G$1004,2,0)),"0")</f>
        <v>COLÉGIO ARBOS - UNIDADE SANTO ANDRÉ</v>
      </c>
      <c r="AL41" s="29"/>
      <c r="AP41" s="31">
        <v>34</v>
      </c>
      <c r="AQ41" s="32" t="str">
        <f t="shared" si="3"/>
        <v>LUGAR</v>
      </c>
      <c r="AR41" s="111" t="s">
        <v>746</v>
      </c>
      <c r="AS41" s="33" t="s">
        <v>697</v>
      </c>
      <c r="AT41" s="33">
        <v>190</v>
      </c>
      <c r="AU41" s="33" t="str">
        <f t="shared" si="4"/>
        <v/>
      </c>
    </row>
    <row r="42" spans="2:47" ht="30" x14ac:dyDescent="0.25">
      <c r="B42" s="133"/>
      <c r="C42" s="188"/>
      <c r="D42" s="29"/>
      <c r="E42" s="29"/>
      <c r="F42" s="34"/>
      <c r="G42" s="162" t="str">
        <f>IF(D38&lt;&gt;"",IF(D40&lt;&gt;"",IF(D38=D40,"",IF(D38&gt;D40,C38,C40)),""),"")</f>
        <v>THEO PANARIELLO PESSUTO CRUZ</v>
      </c>
      <c r="H42" s="266">
        <v>1</v>
      </c>
      <c r="I42" s="101">
        <f>IF(H42&lt;&gt;"",H42,"")</f>
        <v>1</v>
      </c>
      <c r="J42" s="101" t="str">
        <f>IF(H42&lt;&gt;"",IF(G42="","",G42),"")</f>
        <v>THEO PANARIELLO PESSUTO CRUZ</v>
      </c>
      <c r="K42" s="190">
        <f>IF(I42&lt;&gt;"",IF(I44&lt;&gt;"",SMALL(I42:J44,1),""),"")</f>
        <v>0</v>
      </c>
      <c r="L42" s="101"/>
      <c r="M42" s="138"/>
      <c r="N42" s="101">
        <f>IF(P37&lt;&gt;"",P37,"")</f>
        <v>1</v>
      </c>
      <c r="O42" s="190" t="str">
        <f>IF(P37&lt;&gt;"",O37,"")</f>
        <v>THEO PANARIELLO PESSUTO CRUZ</v>
      </c>
      <c r="P42" s="101" t="str">
        <f>VLOOKUP(P40,N40:O42,2,0)</f>
        <v>THEO PANARIELLO PESSUTO CRUZ</v>
      </c>
      <c r="Q42" s="100"/>
      <c r="R42" s="198"/>
      <c r="S42" s="37"/>
      <c r="T42" s="37"/>
      <c r="U42" s="37"/>
      <c r="V42" s="198"/>
      <c r="W42" s="37"/>
      <c r="X42" s="86"/>
      <c r="Y42" s="198"/>
      <c r="Z42" s="94"/>
      <c r="AA42" s="37"/>
      <c r="AB42" s="29"/>
      <c r="AC42" s="198"/>
      <c r="AD42" s="37"/>
      <c r="AE42" s="95"/>
      <c r="AF42" s="266">
        <v>0</v>
      </c>
      <c r="AG42" s="162" t="str">
        <f>IF(AJ38&lt;&gt;"",IF(AJ40&lt;&gt;"",IF(AJ38=AJ40,"",IF(AJ38&gt;AJ40,AK38,AK40)),""),"")</f>
        <v>APOLO GROSSO BEVILAQUA</v>
      </c>
      <c r="AH42" s="94"/>
      <c r="AI42" s="37"/>
      <c r="AJ42" s="29"/>
      <c r="AK42" s="188"/>
      <c r="AL42" s="29"/>
      <c r="AP42" s="31">
        <v>35</v>
      </c>
      <c r="AQ42" s="32" t="str">
        <f t="shared" si="3"/>
        <v>LUGAR</v>
      </c>
      <c r="AR42" s="111" t="s">
        <v>747</v>
      </c>
      <c r="AS42" s="33" t="s">
        <v>748</v>
      </c>
      <c r="AT42" s="33">
        <v>190</v>
      </c>
      <c r="AU42" s="33" t="str">
        <f t="shared" si="4"/>
        <v/>
      </c>
    </row>
    <row r="43" spans="2:47" ht="17.25" thickBot="1" x14ac:dyDescent="0.3">
      <c r="B43" s="133"/>
      <c r="C43" s="188"/>
      <c r="D43" s="29"/>
      <c r="E43" s="29"/>
      <c r="F43" s="34"/>
      <c r="G43" s="165" t="str">
        <f>IFERROR(IF(G42="","",VLOOKUP(G42,LISTAS!$F$5:$G$1004,2,0)),"0")</f>
        <v>COLÉGIO SÃO JOSÉ</v>
      </c>
      <c r="H43" s="267"/>
      <c r="I43" s="101"/>
      <c r="J43" s="101"/>
      <c r="K43" s="190"/>
      <c r="L43" s="101"/>
      <c r="M43" s="138"/>
      <c r="N43" s="101"/>
      <c r="O43" s="190"/>
      <c r="P43" s="101"/>
      <c r="Q43" s="100"/>
      <c r="R43" s="198"/>
      <c r="S43" s="37"/>
      <c r="T43" s="37"/>
      <c r="U43" s="37"/>
      <c r="V43" s="198"/>
      <c r="W43" s="37"/>
      <c r="X43" s="86"/>
      <c r="Y43" s="198"/>
      <c r="Z43" s="94"/>
      <c r="AA43" s="37"/>
      <c r="AB43" s="29"/>
      <c r="AC43" s="198"/>
      <c r="AD43" s="37"/>
      <c r="AE43" s="95"/>
      <c r="AF43" s="267"/>
      <c r="AG43" s="165" t="str">
        <f>IFERROR(IF(AG42="","",VLOOKUP(AG42,LISTAS!$F$5:$G$1004,2,0)),"0")</f>
        <v>ESCOLA VILLARE</v>
      </c>
      <c r="AH43" s="94"/>
      <c r="AI43" s="37"/>
      <c r="AJ43" s="29"/>
      <c r="AK43" s="188"/>
      <c r="AL43" s="29"/>
      <c r="AP43" s="31">
        <v>36</v>
      </c>
      <c r="AQ43" s="32" t="str">
        <f t="shared" si="3"/>
        <v>LUGAR</v>
      </c>
      <c r="AR43" s="111" t="s">
        <v>749</v>
      </c>
      <c r="AS43" s="33" t="s">
        <v>127</v>
      </c>
      <c r="AT43" s="33">
        <v>190</v>
      </c>
      <c r="AU43" s="33" t="str">
        <f t="shared" si="4"/>
        <v/>
      </c>
    </row>
    <row r="44" spans="2:47" ht="18" customHeight="1" x14ac:dyDescent="0.25">
      <c r="B44" s="133"/>
      <c r="C44" s="188"/>
      <c r="D44" s="29"/>
      <c r="E44" s="35"/>
      <c r="F44" s="36"/>
      <c r="G44" s="162" t="str">
        <f>IF(D46&lt;&gt;"",IF(D48&lt;&gt;"",IF(D46=D48,"",IF(D46&gt;D48,C46,C48)),""),"")</f>
        <v>GUSTAVO ANDREASSA CARVALHO</v>
      </c>
      <c r="H44" s="266">
        <v>0</v>
      </c>
      <c r="I44" s="107">
        <f>IF(H44&lt;&gt;"",H44,"")</f>
        <v>0</v>
      </c>
      <c r="J44" s="101" t="str">
        <f>IF(H44&lt;&gt;"",IF(G44="","",G44),"")</f>
        <v>GUSTAVO ANDREASSA CARVALHO</v>
      </c>
      <c r="K44" s="190" t="str">
        <f>VLOOKUP(K42,I42:J44,2,0)</f>
        <v>GUSTAVO ANDREASSA CARVALHO</v>
      </c>
      <c r="L44" s="101"/>
      <c r="M44" s="138"/>
      <c r="N44" s="101">
        <f>IF(P35&lt;&gt;"",P35,"")</f>
        <v>0</v>
      </c>
      <c r="O44" s="190" t="str">
        <f>IF(P35&lt;&gt;"",O35,"")</f>
        <v>TIAGO DREER DURAN</v>
      </c>
      <c r="P44" s="101">
        <f>IF(N44&lt;&gt;"",IF(N46&lt;&gt;"",SMALL(N44:N46,1),""),"")</f>
        <v>0</v>
      </c>
      <c r="Q44" s="100"/>
      <c r="R44" s="198"/>
      <c r="S44" s="37"/>
      <c r="T44" s="37"/>
      <c r="U44" s="37"/>
      <c r="V44" s="198"/>
      <c r="W44" s="37"/>
      <c r="X44" s="86"/>
      <c r="Y44" s="198"/>
      <c r="Z44" s="94"/>
      <c r="AA44" s="37"/>
      <c r="AB44" s="29"/>
      <c r="AC44" s="198"/>
      <c r="AD44" s="94"/>
      <c r="AE44" s="96"/>
      <c r="AF44" s="266">
        <v>1</v>
      </c>
      <c r="AG44" s="162" t="str">
        <f>IF(AJ46&lt;&gt;"",IF(AJ48&lt;&gt;"",IF(AJ46=AJ48,"",IF(AJ46&gt;AJ48,AK46,AK48)),""),"")</f>
        <v>PEDRO MAZA</v>
      </c>
      <c r="AH44" s="98"/>
      <c r="AI44" s="37"/>
      <c r="AJ44" s="29"/>
      <c r="AK44" s="188"/>
      <c r="AL44" s="29"/>
      <c r="AP44" s="31">
        <v>37</v>
      </c>
      <c r="AQ44" s="32" t="str">
        <f t="shared" si="3"/>
        <v>LUGAR</v>
      </c>
      <c r="AR44" s="111" t="s">
        <v>750</v>
      </c>
      <c r="AS44" s="33" t="s">
        <v>751</v>
      </c>
      <c r="AT44" s="33">
        <v>190</v>
      </c>
      <c r="AU44" s="33" t="str">
        <f t="shared" si="4"/>
        <v/>
      </c>
    </row>
    <row r="45" spans="2:47" ht="18" customHeight="1" thickBot="1" x14ac:dyDescent="0.3">
      <c r="B45" s="133"/>
      <c r="C45" s="188"/>
      <c r="D45" s="29"/>
      <c r="E45" s="35"/>
      <c r="F45" s="29"/>
      <c r="G45" s="165" t="str">
        <f>IFERROR(IF(G44="","",VLOOKUP(G44,LISTAS!$F$5:$G$1004,2,0)),"0")</f>
        <v>COLEGIO PETROPOLIS</v>
      </c>
      <c r="H45" s="267"/>
      <c r="I45" s="138"/>
      <c r="J45" s="101"/>
      <c r="K45" s="190"/>
      <c r="L45" s="101"/>
      <c r="M45" s="138"/>
      <c r="N45" s="101"/>
      <c r="O45" s="190"/>
      <c r="P45" s="101"/>
      <c r="Q45" s="100"/>
      <c r="R45" s="198"/>
      <c r="S45" s="37"/>
      <c r="T45" s="37"/>
      <c r="U45" s="37"/>
      <c r="V45" s="198"/>
      <c r="W45" s="37"/>
      <c r="X45" s="86"/>
      <c r="Y45" s="198"/>
      <c r="Z45" s="37"/>
      <c r="AA45" s="89"/>
      <c r="AB45" s="29"/>
      <c r="AC45" s="198"/>
      <c r="AD45" s="94"/>
      <c r="AE45" s="37"/>
      <c r="AF45" s="267"/>
      <c r="AG45" s="165" t="str">
        <f>IFERROR(IF(AG44="","",VLOOKUP(AG44,LISTAS!$F$5:$G$1004,2,0)),"0")</f>
        <v>EDUCANDÁRIO - S.A</v>
      </c>
      <c r="AH45" s="37"/>
      <c r="AI45" s="89"/>
      <c r="AJ45" s="29"/>
      <c r="AK45" s="188"/>
      <c r="AL45" s="29"/>
      <c r="AP45" s="31" t="str">
        <f t="shared" ref="AP45:AP55" si="5">IF(AR45&lt;&gt;"",1+COUNTIF(AP14:AP44,"1")+COUNTIF(AP14:AP44,"2")+COUNTIF(AP14:AP44,"3")+COUNTIF(AP14:AP44,"4")+COUNTIF(AP14:AP44,"5")+COUNTIF(AP14:AP44,"6")+COUNTIF(AP14:AP44,"7")+COUNTIF(AP14:AP44,"8")+COUNTIF(AP14:AP44,"9")+COUNTIF(AP14:AP44,"10")+COUNTIF(AP14:AP44,"11")+COUNTIF(AP14:AP44,"12")+COUNTIF(AP14:AP44,"13")+COUNTIF(AP14:AP44,"14")+COUNTIF(AP14:AP44,"15")+COUNTIF(AP14:AP44,"16")+COUNTIF(AP14:AP44,"17")+COUNTIF(AP14:AP44,"18")+COUNTIF(AP14:AP44,"19")+COUNTIF(AP14:AP44,"20")+COUNTIF(AP14:AP44,"21")+COUNTIF(AP14:AP44,"22")+COUNTIF(AP14:AP44,"23")+COUNTIF(AP14:AP44,"24")+COUNTIF(AP14:AP44,"25")+COUNTIF(AP14:AP44,"26")+COUNTIF(AP14:AP44,"27")+COUNTIF(AP14:AP44,"28")+COUNTIF(AP14:AP44,"29")+COUNTIF(AP14:AP44,"30")+COUNTIF(AP14:AP44,"31"),"")</f>
        <v/>
      </c>
      <c r="AQ45" s="32" t="str">
        <f t="shared" si="3"/>
        <v/>
      </c>
      <c r="AR45" s="111"/>
      <c r="AS45" s="33"/>
      <c r="AT45" s="33" t="str">
        <f t="shared" ref="AT45:AT55" si="6">IF(AP45="","",IF(AP45=1,400,IF(AP45=2,340,IF(AP45=3,300,IF(AP45=4,280,IF(AP45=5,270,IF(AP45=6,260,IF(AP45=7,250,IF(AP45=8,240,IF(AP45=9,200,IF(AP45=10,200,IF(AP45=11,200,IF(AP45=12,200,IF(AP45=13,200,IF(AP45=14,200,IF(AP45=15,200,IF(AP45=16,200,IF(AP45&gt;16,"",""))))))))))))))))))</f>
        <v/>
      </c>
      <c r="AU45" s="33" t="str">
        <f t="shared" si="4"/>
        <v/>
      </c>
    </row>
    <row r="46" spans="2:47" ht="18" customHeight="1" x14ac:dyDescent="0.25">
      <c r="B46" s="133">
        <v>12</v>
      </c>
      <c r="C46" s="162" t="str">
        <f>IF('13M GRP'!G5&gt;=3,'13M GRP'!J164,IF('13M GRP'!G5=2,"",IF('13M GRP'!G5=1,"","")))</f>
        <v>DAVI POVEDA COELHO</v>
      </c>
      <c r="D46" s="266">
        <v>0</v>
      </c>
      <c r="E46" s="148">
        <f>IF(D46&lt;&gt;"",D46,"")</f>
        <v>0</v>
      </c>
      <c r="F46" s="101" t="str">
        <f>IF(D46&lt;&gt;"",IF(C46="","",C46),"")</f>
        <v>DAVI POVEDA COELHO</v>
      </c>
      <c r="G46" s="190">
        <f>IF(E46&lt;&gt;"",IF(E48&lt;&gt;"",SMALL(E46:E48,1),""),"")</f>
        <v>0</v>
      </c>
      <c r="H46" s="101"/>
      <c r="I46" s="138"/>
      <c r="J46" s="101"/>
      <c r="K46" s="190"/>
      <c r="L46" s="101"/>
      <c r="M46" s="138"/>
      <c r="N46" s="101">
        <f>IF(P37&lt;&gt;"",P37,"")</f>
        <v>1</v>
      </c>
      <c r="O46" s="190" t="str">
        <f>IF(P37&lt;&gt;"",O37,"")</f>
        <v>THEO PANARIELLO PESSUTO CRUZ</v>
      </c>
      <c r="P46" s="101" t="str">
        <f>VLOOKUP(P44,N44:O46,2,0)</f>
        <v>TIAGO DREER DURAN</v>
      </c>
      <c r="Q46" s="100"/>
      <c r="R46" s="198"/>
      <c r="S46" s="37"/>
      <c r="T46" s="37"/>
      <c r="U46" s="37"/>
      <c r="V46" s="198"/>
      <c r="W46" s="37"/>
      <c r="X46" s="86"/>
      <c r="Y46" s="198"/>
      <c r="Z46" s="37"/>
      <c r="AA46" s="89"/>
      <c r="AB46" s="29"/>
      <c r="AC46" s="198"/>
      <c r="AD46" s="94"/>
      <c r="AE46" s="100"/>
      <c r="AF46" s="100"/>
      <c r="AG46" s="197">
        <f>IF(AJ46&lt;&gt;"",AJ46,"")</f>
        <v>0</v>
      </c>
      <c r="AH46" s="100" t="str">
        <f>IF(AJ46&lt;&gt;"",IF(AK46="","",AK46),"")</f>
        <v>BENICIO LOURENÇON VARELA SCOPEL</v>
      </c>
      <c r="AI46" s="137">
        <f>IF(AG46&lt;&gt;"",IF(AG48&lt;&gt;"",SMALL(AG46:AG48,1),""),"")</f>
        <v>0</v>
      </c>
      <c r="AJ46" s="266">
        <v>0</v>
      </c>
      <c r="AK46" s="162" t="str">
        <f>IF('13M GRP'!G5&gt;=3,'13M GRP'!J138,IF('13M GRP'!G5=2,"",IF('13M GRP'!G5=1,"","")))</f>
        <v>BENICIO LOURENÇON VARELA SCOPEL</v>
      </c>
      <c r="AL46" s="29">
        <v>10</v>
      </c>
      <c r="AP46" s="31" t="str">
        <f t="shared" si="5"/>
        <v/>
      </c>
      <c r="AQ46" s="32" t="str">
        <f t="shared" si="3"/>
        <v/>
      </c>
      <c r="AR46" s="111"/>
      <c r="AS46" s="33"/>
      <c r="AT46" s="33" t="str">
        <f t="shared" si="6"/>
        <v/>
      </c>
      <c r="AU46" s="33" t="str">
        <f t="shared" si="4"/>
        <v/>
      </c>
    </row>
    <row r="47" spans="2:47" ht="18" customHeight="1" thickBot="1" x14ac:dyDescent="0.3">
      <c r="B47" s="133"/>
      <c r="C47" s="165" t="str">
        <f>IFERROR(IF(C46="","",VLOOKUP(C46,LISTAS!$F$5:$G$1004,2,0)),"0")</f>
        <v>COLÉGIO ARBOS - UNIDADE SANTO ANDRÉ</v>
      </c>
      <c r="D47" s="267"/>
      <c r="E47" s="105"/>
      <c r="F47" s="101"/>
      <c r="G47" s="190"/>
      <c r="H47" s="101"/>
      <c r="I47" s="138"/>
      <c r="J47" s="101"/>
      <c r="K47" s="190"/>
      <c r="L47" s="101"/>
      <c r="M47" s="138"/>
      <c r="N47" s="101"/>
      <c r="O47" s="190"/>
      <c r="P47" s="101"/>
      <c r="Q47" s="100"/>
      <c r="R47" s="198"/>
      <c r="S47" s="37"/>
      <c r="T47" s="37"/>
      <c r="U47" s="37"/>
      <c r="V47" s="198"/>
      <c r="W47" s="37"/>
      <c r="X47" s="86"/>
      <c r="Y47" s="198"/>
      <c r="Z47" s="37"/>
      <c r="AA47" s="89"/>
      <c r="AB47" s="29"/>
      <c r="AC47" s="198"/>
      <c r="AD47" s="94"/>
      <c r="AE47" s="100"/>
      <c r="AF47" s="100"/>
      <c r="AG47" s="197"/>
      <c r="AH47" s="100"/>
      <c r="AI47" s="143"/>
      <c r="AJ47" s="267"/>
      <c r="AK47" s="165" t="str">
        <f>IFERROR(IF(AK46="","",VLOOKUP(AK46,LISTAS!$F$5:$G$1004,2,0)),"0")</f>
        <v>COLEGIO PETROPOLIS</v>
      </c>
      <c r="AL47" s="29"/>
      <c r="AP47" s="31" t="str">
        <f t="shared" si="5"/>
        <v/>
      </c>
      <c r="AQ47" s="32" t="str">
        <f t="shared" si="3"/>
        <v/>
      </c>
      <c r="AR47" s="111"/>
      <c r="AS47" s="33"/>
      <c r="AT47" s="33" t="str">
        <f t="shared" si="6"/>
        <v/>
      </c>
      <c r="AU47" s="33" t="str">
        <f t="shared" si="4"/>
        <v/>
      </c>
    </row>
    <row r="48" spans="2:47" ht="18" customHeight="1" x14ac:dyDescent="0.25">
      <c r="B48" s="133">
        <v>21</v>
      </c>
      <c r="C48" s="39" t="s">
        <v>415</v>
      </c>
      <c r="D48" s="266">
        <v>1</v>
      </c>
      <c r="E48" s="106">
        <f>IF(D48&lt;&gt;"",D48,"")</f>
        <v>1</v>
      </c>
      <c r="F48" s="101" t="str">
        <f>IF(D48&lt;&gt;"",IF(C48="","",C48),"")</f>
        <v>GUSTAVO ANDREASSA CARVALHO</v>
      </c>
      <c r="G48" s="190" t="str">
        <f>VLOOKUP(G46,E46:F48,2,0)</f>
        <v>DAVI POVEDA COELHO</v>
      </c>
      <c r="H48" s="101"/>
      <c r="I48" s="138"/>
      <c r="J48" s="101"/>
      <c r="K48" s="190"/>
      <c r="L48" s="101"/>
      <c r="M48" s="138"/>
      <c r="N48" s="101"/>
      <c r="O48" s="190"/>
      <c r="P48" s="101"/>
      <c r="Q48" s="100"/>
      <c r="R48" s="198"/>
      <c r="S48" s="37"/>
      <c r="T48" s="37"/>
      <c r="U48" s="37"/>
      <c r="V48" s="198"/>
      <c r="W48" s="37"/>
      <c r="X48" s="86"/>
      <c r="Y48" s="198"/>
      <c r="Z48" s="37"/>
      <c r="AA48" s="89"/>
      <c r="AB48" s="29"/>
      <c r="AC48" s="198"/>
      <c r="AD48" s="94"/>
      <c r="AE48" s="100"/>
      <c r="AF48" s="100"/>
      <c r="AG48" s="197">
        <f>IF(AJ48&lt;&gt;"",AJ48,"")</f>
        <v>1</v>
      </c>
      <c r="AH48" s="100" t="str">
        <f>IF(AJ48&lt;&gt;"",IF(AK48="","",AK48),"")</f>
        <v>PEDRO MAZA</v>
      </c>
      <c r="AI48" s="145" t="str">
        <f>VLOOKUP(AI46,AG46:AH48,2,0)</f>
        <v>BENICIO LOURENÇON VARELA SCOPEL</v>
      </c>
      <c r="AJ48" s="266">
        <v>1</v>
      </c>
      <c r="AK48" s="162" t="str">
        <f>IF('13M GRP'!G5&gt;=3,'13M GRP'!J307,IF('13M GRP'!G5=2,"",IF('13M GRP'!G5=1,"","")))</f>
        <v>PEDRO MAZA</v>
      </c>
      <c r="AL48" s="29">
        <v>23</v>
      </c>
      <c r="AP48" s="31" t="str">
        <f t="shared" si="5"/>
        <v/>
      </c>
      <c r="AQ48" s="32" t="str">
        <f t="shared" si="3"/>
        <v/>
      </c>
      <c r="AR48" s="111"/>
      <c r="AS48" s="33"/>
      <c r="AT48" s="33" t="str">
        <f t="shared" si="6"/>
        <v/>
      </c>
      <c r="AU48" s="33" t="str">
        <f t="shared" si="4"/>
        <v/>
      </c>
    </row>
    <row r="49" spans="2:47" ht="18" customHeight="1" thickBot="1" x14ac:dyDescent="0.3">
      <c r="B49" s="133"/>
      <c r="C49" s="165" t="str">
        <f>IFERROR(IF(C48="","",VLOOKUP(C48,LISTAS!$F$5:$G$1004,2,0)),"0")</f>
        <v>COLEGIO PETROPOLIS</v>
      </c>
      <c r="D49" s="267"/>
      <c r="E49" s="101"/>
      <c r="F49" s="101"/>
      <c r="G49" s="190"/>
      <c r="H49" s="101"/>
      <c r="I49" s="138"/>
      <c r="J49" s="101"/>
      <c r="K49" s="190"/>
      <c r="L49" s="101"/>
      <c r="M49" s="138"/>
      <c r="N49" s="101"/>
      <c r="O49" s="190"/>
      <c r="P49" s="101"/>
      <c r="Q49" s="100"/>
      <c r="R49" s="198"/>
      <c r="S49" s="37"/>
      <c r="T49" s="37"/>
      <c r="U49" s="37"/>
      <c r="V49" s="198"/>
      <c r="W49" s="37"/>
      <c r="X49" s="86"/>
      <c r="Y49" s="198"/>
      <c r="Z49" s="37"/>
      <c r="AA49" s="89"/>
      <c r="AB49" s="29"/>
      <c r="AC49" s="198"/>
      <c r="AD49" s="94"/>
      <c r="AE49" s="100"/>
      <c r="AF49" s="100"/>
      <c r="AG49" s="197"/>
      <c r="AH49" s="100"/>
      <c r="AI49" s="101"/>
      <c r="AJ49" s="267"/>
      <c r="AK49" s="165" t="str">
        <f>IFERROR(IF(AK48="","",VLOOKUP(AK48,LISTAS!$F$5:$G$1004,2,0)),"0")</f>
        <v>EDUCANDÁRIO - S.A</v>
      </c>
      <c r="AL49" s="29"/>
      <c r="AP49" s="31" t="str">
        <f t="shared" si="5"/>
        <v/>
      </c>
      <c r="AQ49" s="32" t="str">
        <f t="shared" si="3"/>
        <v/>
      </c>
      <c r="AR49" s="111"/>
      <c r="AS49" s="33"/>
      <c r="AT49" s="33" t="str">
        <f t="shared" si="6"/>
        <v/>
      </c>
      <c r="AU49" s="33" t="str">
        <f t="shared" si="4"/>
        <v/>
      </c>
    </row>
    <row r="50" spans="2:47" ht="18" customHeight="1" x14ac:dyDescent="0.25">
      <c r="B50" s="133"/>
      <c r="C50" s="188"/>
      <c r="D50" s="29"/>
      <c r="E50" s="101"/>
      <c r="F50" s="101"/>
      <c r="G50" s="190"/>
      <c r="H50" s="101"/>
      <c r="I50" s="138"/>
      <c r="J50" s="101"/>
      <c r="K50" s="162" t="str">
        <f>IF(H42&lt;&gt;"",IF(H44&lt;&gt;"",IF(H42=H44,"",IF(H42&gt;H44,G42,G44)),""),"")</f>
        <v>THEO PANARIELLO PESSUTO CRUZ</v>
      </c>
      <c r="L50" s="266">
        <v>1</v>
      </c>
      <c r="M50" s="148">
        <f>IF(L50&lt;&gt;"",L50,"")</f>
        <v>1</v>
      </c>
      <c r="N50" s="101" t="str">
        <f>IF(L50&lt;&gt;"",IF(K50="","",K50),"")</f>
        <v>THEO PANARIELLO PESSUTO CRUZ</v>
      </c>
      <c r="O50" s="190">
        <f>IF(M50&lt;&gt;"",IF(M52&lt;&gt;"",SMALL(M50:N52,1),""),"")</f>
        <v>0</v>
      </c>
      <c r="P50" s="101"/>
      <c r="Q50" s="88"/>
      <c r="R50" s="198"/>
      <c r="S50" s="37"/>
      <c r="T50" s="37"/>
      <c r="U50" s="37"/>
      <c r="V50" s="198"/>
      <c r="W50" s="37"/>
      <c r="X50" s="86"/>
      <c r="Y50" s="198"/>
      <c r="Z50" s="37"/>
      <c r="AA50" s="89"/>
      <c r="AB50" s="266">
        <v>0</v>
      </c>
      <c r="AC50" s="162" t="str">
        <f>IF(AF42&lt;&gt;"",IF(AF44&lt;&gt;"",IF(AF42=AF44,"",IF(AF42&gt;AF44,AG42,AG44)),""),"")</f>
        <v>PEDRO MAZA</v>
      </c>
      <c r="AD50" s="141"/>
      <c r="AE50" s="100"/>
      <c r="AF50" s="100"/>
      <c r="AG50" s="197"/>
      <c r="AH50" s="100"/>
      <c r="AI50" s="100"/>
      <c r="AJ50" s="29"/>
      <c r="AK50" s="188"/>
      <c r="AL50" s="29"/>
      <c r="AP50" s="31" t="str">
        <f t="shared" si="5"/>
        <v/>
      </c>
      <c r="AQ50" s="32" t="str">
        <f t="shared" si="3"/>
        <v/>
      </c>
      <c r="AR50" s="111"/>
      <c r="AS50" s="33"/>
      <c r="AT50" s="33" t="str">
        <f t="shared" si="6"/>
        <v/>
      </c>
      <c r="AU50" s="33" t="str">
        <f t="shared" si="4"/>
        <v/>
      </c>
    </row>
    <row r="51" spans="2:47" ht="18" customHeight="1" thickBot="1" x14ac:dyDescent="0.3">
      <c r="B51" s="133"/>
      <c r="C51" s="188"/>
      <c r="D51" s="29"/>
      <c r="E51" s="101"/>
      <c r="F51" s="101"/>
      <c r="G51" s="190"/>
      <c r="H51" s="101"/>
      <c r="I51" s="138"/>
      <c r="J51" s="101"/>
      <c r="K51" s="165" t="str">
        <f>IFERROR(IF(K50="","",VLOOKUP(K50,LISTAS!$F$5:$G$1004,2,0)),"0")</f>
        <v>COLÉGIO SÃO JOSÉ</v>
      </c>
      <c r="L51" s="267"/>
      <c r="M51" s="105"/>
      <c r="N51" s="101"/>
      <c r="O51" s="190"/>
      <c r="P51" s="101"/>
      <c r="Q51" s="88"/>
      <c r="R51" s="198"/>
      <c r="S51" s="37"/>
      <c r="T51" s="37"/>
      <c r="U51" s="37"/>
      <c r="V51" s="198"/>
      <c r="W51" s="37"/>
      <c r="X51" s="86"/>
      <c r="Y51" s="198"/>
      <c r="Z51" s="37"/>
      <c r="AA51" s="139"/>
      <c r="AB51" s="267"/>
      <c r="AC51" s="165" t="str">
        <f>IFERROR(IF(AC50="","",VLOOKUP(AC50,LISTAS!$F$5:$G$1004,2,0)),"0")</f>
        <v>EDUCANDÁRIO - S.A</v>
      </c>
      <c r="AD51" s="37"/>
      <c r="AE51" s="144"/>
      <c r="AF51" s="100"/>
      <c r="AG51" s="197"/>
      <c r="AH51" s="100"/>
      <c r="AI51" s="100"/>
      <c r="AJ51" s="29"/>
      <c r="AK51" s="188"/>
      <c r="AL51" s="29"/>
      <c r="AP51" s="31" t="str">
        <f t="shared" si="5"/>
        <v/>
      </c>
      <c r="AQ51" s="32" t="str">
        <f t="shared" si="3"/>
        <v/>
      </c>
      <c r="AR51" s="111"/>
      <c r="AS51" s="33"/>
      <c r="AT51" s="33" t="str">
        <f t="shared" si="6"/>
        <v/>
      </c>
      <c r="AU51" s="33" t="str">
        <f t="shared" si="4"/>
        <v/>
      </c>
    </row>
    <row r="52" spans="2:47" ht="18" customHeight="1" x14ac:dyDescent="0.25">
      <c r="B52" s="133"/>
      <c r="C52" s="188"/>
      <c r="D52" s="29"/>
      <c r="E52" s="101"/>
      <c r="F52" s="101"/>
      <c r="G52" s="190"/>
      <c r="H52" s="101"/>
      <c r="I52" s="138"/>
      <c r="J52" s="102"/>
      <c r="K52" s="162" t="str">
        <f>IF(H58&lt;&gt;"",IF(H60&lt;&gt;"",IF(H58=H60,"",IF(H58&gt;H60,G58,G60)),""),"")</f>
        <v>MATEUS YUDI SUIZO NINCAO</v>
      </c>
      <c r="L52" s="266">
        <v>0</v>
      </c>
      <c r="M52" s="106">
        <f>IF(L52&lt;&gt;"",L52,"")</f>
        <v>0</v>
      </c>
      <c r="N52" s="101" t="str">
        <f>IF(L52&lt;&gt;"",IF(K52="","",K52),"")</f>
        <v>MATEUS YUDI SUIZO NINCAO</v>
      </c>
      <c r="O52" s="190" t="str">
        <f>VLOOKUP(O50,M50:N52,2,0)</f>
        <v>MATEUS YUDI SUIZO NINCAO</v>
      </c>
      <c r="P52" s="101"/>
      <c r="Q52" s="88"/>
      <c r="R52" s="198"/>
      <c r="S52" s="37"/>
      <c r="T52" s="37"/>
      <c r="U52" s="37"/>
      <c r="V52" s="198"/>
      <c r="W52" s="37"/>
      <c r="X52" s="86"/>
      <c r="Y52" s="198"/>
      <c r="Z52" s="37"/>
      <c r="AA52" s="37"/>
      <c r="AB52" s="266">
        <v>1</v>
      </c>
      <c r="AC52" s="162" t="str">
        <f>IF(AF58&lt;&gt;"",IF(AF60&lt;&gt;"",IF(AF58=AF60,"",IF(AF58&gt;AF60,AG58,AG60)),""),"")</f>
        <v>RAFAEL PICCOLO VENDRAME</v>
      </c>
      <c r="AD52" s="37"/>
      <c r="AE52" s="144"/>
      <c r="AF52" s="100"/>
      <c r="AG52" s="197"/>
      <c r="AH52" s="100"/>
      <c r="AI52" s="100"/>
      <c r="AJ52" s="29"/>
      <c r="AK52" s="188"/>
      <c r="AL52" s="29"/>
      <c r="AP52" s="31" t="str">
        <f t="shared" si="5"/>
        <v/>
      </c>
      <c r="AQ52" s="32" t="str">
        <f t="shared" si="3"/>
        <v/>
      </c>
      <c r="AR52" s="111"/>
      <c r="AS52" s="33"/>
      <c r="AT52" s="33" t="str">
        <f t="shared" si="6"/>
        <v/>
      </c>
      <c r="AU52" s="33" t="str">
        <f t="shared" si="4"/>
        <v/>
      </c>
    </row>
    <row r="53" spans="2:47" ht="18" customHeight="1" thickBot="1" x14ac:dyDescent="0.3">
      <c r="B53" s="133"/>
      <c r="C53" s="188"/>
      <c r="D53" s="29"/>
      <c r="E53" s="101"/>
      <c r="F53" s="101"/>
      <c r="G53" s="190"/>
      <c r="H53" s="101"/>
      <c r="I53" s="138"/>
      <c r="J53" s="101"/>
      <c r="K53" s="165" t="str">
        <f>IFERROR(IF(K52="","",VLOOKUP(K52,LISTAS!$F$5:$G$1004,2,0)),"0")</f>
        <v>COLÉGIO SÃO JOSÉ</v>
      </c>
      <c r="L53" s="267"/>
      <c r="M53" s="101"/>
      <c r="N53" s="101"/>
      <c r="O53" s="190"/>
      <c r="P53" s="101"/>
      <c r="Q53" s="88"/>
      <c r="R53" s="198"/>
      <c r="S53" s="37"/>
      <c r="T53" s="37"/>
      <c r="U53" s="37"/>
      <c r="V53" s="198"/>
      <c r="W53" s="37"/>
      <c r="X53" s="86"/>
      <c r="Y53" s="198"/>
      <c r="Z53" s="37"/>
      <c r="AA53" s="37"/>
      <c r="AB53" s="267"/>
      <c r="AC53" s="165" t="str">
        <f>IFERROR(IF(AC52="","",VLOOKUP(AC52,LISTAS!$F$5:$G$1004,2,0)),"0")</f>
        <v>COLEGIO PETROPOLIS</v>
      </c>
      <c r="AD53" s="37"/>
      <c r="AE53" s="144"/>
      <c r="AF53" s="100"/>
      <c r="AG53" s="197"/>
      <c r="AH53" s="100"/>
      <c r="AI53" s="100"/>
      <c r="AJ53" s="29"/>
      <c r="AK53" s="188"/>
      <c r="AL53" s="29"/>
      <c r="AP53" s="31" t="str">
        <f t="shared" si="5"/>
        <v/>
      </c>
      <c r="AQ53" s="32" t="str">
        <f t="shared" si="3"/>
        <v/>
      </c>
      <c r="AR53" s="111"/>
      <c r="AS53" s="33"/>
      <c r="AT53" s="33" t="str">
        <f t="shared" si="6"/>
        <v/>
      </c>
      <c r="AU53" s="33" t="str">
        <f t="shared" si="4"/>
        <v/>
      </c>
    </row>
    <row r="54" spans="2:47" ht="18" customHeight="1" x14ac:dyDescent="0.25">
      <c r="B54" s="133">
        <v>20</v>
      </c>
      <c r="C54" s="39" t="s">
        <v>649</v>
      </c>
      <c r="D54" s="266">
        <v>0</v>
      </c>
      <c r="E54" s="101">
        <f>IF(D54&lt;&gt;"",D54,"")</f>
        <v>0</v>
      </c>
      <c r="F54" s="101" t="str">
        <f>IF(D54&lt;&gt;"",IF(C54="","",C54),"")</f>
        <v>GIOVANI PRADO MARTINS GARCIA</v>
      </c>
      <c r="G54" s="190">
        <f>IF(E54&lt;&gt;"",IF(E56&lt;&gt;"",SMALL(E54:E56,1),""),"")</f>
        <v>0</v>
      </c>
      <c r="H54" s="101"/>
      <c r="I54" s="138"/>
      <c r="J54" s="101"/>
      <c r="K54" s="192"/>
      <c r="L54" s="87"/>
      <c r="M54" s="101"/>
      <c r="N54" s="101"/>
      <c r="O54" s="190"/>
      <c r="P54" s="101"/>
      <c r="Q54" s="37"/>
      <c r="R54" s="198"/>
      <c r="S54" s="37"/>
      <c r="T54" s="37"/>
      <c r="U54" s="37"/>
      <c r="V54" s="198"/>
      <c r="W54" s="37"/>
      <c r="X54" s="86"/>
      <c r="Y54" s="198"/>
      <c r="Z54" s="37"/>
      <c r="AA54" s="37"/>
      <c r="AB54" s="29"/>
      <c r="AC54" s="198"/>
      <c r="AD54" s="37"/>
      <c r="AE54" s="144"/>
      <c r="AF54" s="100"/>
      <c r="AG54" s="197">
        <f>IF(AJ54&lt;&gt;"",AJ54,"")</f>
        <v>0</v>
      </c>
      <c r="AH54" s="100" t="str">
        <f>IF(AJ54&lt;&gt;"",IF(AK54="","",AK54),"")</f>
        <v>EDUARDO TADASHI SHIMIZU</v>
      </c>
      <c r="AI54" s="101">
        <f>IF(AG54&lt;&gt;"",IF(AG56&lt;&gt;"",SMALL(AG54:AG56,1),""),"")</f>
        <v>0</v>
      </c>
      <c r="AJ54" s="266">
        <v>0</v>
      </c>
      <c r="AK54" s="162" t="str">
        <f>IF('13M GRP'!G5&gt;=3,'13M GRP'!J203,IF('13M GRP'!G5=2,"",IF('13M GRP'!G5=1,"","")))</f>
        <v>EDUARDO TADASHI SHIMIZU</v>
      </c>
      <c r="AL54" s="29">
        <v>15</v>
      </c>
      <c r="AP54" s="31" t="str">
        <f t="shared" si="5"/>
        <v/>
      </c>
      <c r="AQ54" s="32" t="str">
        <f t="shared" si="3"/>
        <v/>
      </c>
      <c r="AR54" s="111"/>
      <c r="AS54" s="33"/>
      <c r="AT54" s="33" t="str">
        <f t="shared" si="6"/>
        <v/>
      </c>
      <c r="AU54" s="33" t="str">
        <f t="shared" si="4"/>
        <v/>
      </c>
    </row>
    <row r="55" spans="2:47" ht="18" customHeight="1" thickBot="1" x14ac:dyDescent="0.3">
      <c r="B55" s="133"/>
      <c r="C55" s="165" t="str">
        <f>IFERROR(IF(C54="","",VLOOKUP(C54,LISTAS!$F$5:$G$1004,2,0)),"0")</f>
        <v>PEN LIFE</v>
      </c>
      <c r="D55" s="267"/>
      <c r="E55" s="101"/>
      <c r="F55" s="101"/>
      <c r="G55" s="190"/>
      <c r="H55" s="101"/>
      <c r="I55" s="138"/>
      <c r="J55" s="101"/>
      <c r="K55" s="192"/>
      <c r="L55" s="87"/>
      <c r="M55" s="101"/>
      <c r="N55" s="101"/>
      <c r="O55" s="190"/>
      <c r="P55" s="101"/>
      <c r="Q55" s="37"/>
      <c r="R55" s="198"/>
      <c r="S55" s="37"/>
      <c r="T55" s="37"/>
      <c r="U55" s="37"/>
      <c r="V55" s="198"/>
      <c r="W55" s="37"/>
      <c r="X55" s="86"/>
      <c r="Y55" s="198"/>
      <c r="Z55" s="37"/>
      <c r="AA55" s="37"/>
      <c r="AB55" s="29"/>
      <c r="AC55" s="198"/>
      <c r="AD55" s="37"/>
      <c r="AE55" s="144"/>
      <c r="AF55" s="100"/>
      <c r="AG55" s="197"/>
      <c r="AH55" s="100"/>
      <c r="AI55" s="101"/>
      <c r="AJ55" s="267"/>
      <c r="AK55" s="165" t="str">
        <f>IFERROR(IF(AK54="","",VLOOKUP(AK54,LISTAS!$F$5:$G$1004,2,0)),"0")</f>
        <v>ABACO IPIRANGA</v>
      </c>
      <c r="AL55" s="29"/>
      <c r="AP55" s="31" t="str">
        <f t="shared" si="5"/>
        <v/>
      </c>
      <c r="AQ55" s="32" t="str">
        <f t="shared" si="3"/>
        <v/>
      </c>
      <c r="AR55" s="111"/>
      <c r="AS55" s="33"/>
      <c r="AT55" s="33" t="str">
        <f t="shared" si="6"/>
        <v/>
      </c>
      <c r="AU55" s="33" t="str">
        <f t="shared" si="4"/>
        <v/>
      </c>
    </row>
    <row r="56" spans="2:47" ht="18" customHeight="1" x14ac:dyDescent="0.25">
      <c r="B56" s="133">
        <v>13</v>
      </c>
      <c r="C56" s="162" t="str">
        <f>IF('13M GRP'!G5&gt;=3,'13M GRP'!J177,IF('13M GRP'!G5=2,"",IF('13M GRP'!G5=1,"","")))</f>
        <v>FERNANDO BIRAL MAROTA</v>
      </c>
      <c r="D56" s="266">
        <v>1</v>
      </c>
      <c r="E56" s="107">
        <f>IF(D56&lt;&gt;"",D56,"")</f>
        <v>1</v>
      </c>
      <c r="F56" s="101" t="str">
        <f>IF(D56&lt;&gt;"",IF(C56="","",C56),"")</f>
        <v>FERNANDO BIRAL MAROTA</v>
      </c>
      <c r="G56" s="190" t="str">
        <f>VLOOKUP(G54,E54:F56,2,0)</f>
        <v>GIOVANI PRADO MARTINS GARCIA</v>
      </c>
      <c r="H56" s="101"/>
      <c r="I56" s="138"/>
      <c r="J56" s="101"/>
      <c r="K56" s="192"/>
      <c r="L56" s="87"/>
      <c r="M56" s="87"/>
      <c r="N56" s="29"/>
      <c r="O56" s="188"/>
      <c r="P56" s="29"/>
      <c r="Q56" s="37"/>
      <c r="R56" s="198"/>
      <c r="S56" s="37"/>
      <c r="T56" s="37"/>
      <c r="U56" s="37"/>
      <c r="V56" s="198"/>
      <c r="W56" s="37"/>
      <c r="X56" s="86"/>
      <c r="Y56" s="198"/>
      <c r="Z56" s="37"/>
      <c r="AA56" s="37"/>
      <c r="AB56" s="29"/>
      <c r="AC56" s="198"/>
      <c r="AD56" s="37"/>
      <c r="AE56" s="144"/>
      <c r="AF56" s="100"/>
      <c r="AG56" s="197">
        <f>IF(AJ56&lt;&gt;"",AJ56,"")</f>
        <v>1</v>
      </c>
      <c r="AH56" s="100" t="str">
        <f>IF(AJ56&lt;&gt;"",IF(AK56="","",AK56),"")</f>
        <v>BENTO SAKATA UZUELI</v>
      </c>
      <c r="AI56" s="102" t="str">
        <f>VLOOKUP(AI54,AG54:AH56,2,0)</f>
        <v>EDUARDO TADASHI SHIMIZU</v>
      </c>
      <c r="AJ56" s="266">
        <v>1</v>
      </c>
      <c r="AK56" s="39" t="s">
        <v>382</v>
      </c>
      <c r="AL56" s="29">
        <v>18</v>
      </c>
      <c r="AN56" s="23"/>
      <c r="AO56" s="23"/>
    </row>
    <row r="57" spans="2:47" ht="18" customHeight="1" thickBot="1" x14ac:dyDescent="0.3">
      <c r="B57" s="133"/>
      <c r="C57" s="165" t="str">
        <f>IFERROR(IF(C56="","",VLOOKUP(C56,LISTAS!$F$5:$G$1004,2,0)),"0")</f>
        <v>COLÉGIO ARBOS SÃO CAETANO DO SUL</v>
      </c>
      <c r="D57" s="267"/>
      <c r="E57" s="148"/>
      <c r="F57" s="101"/>
      <c r="G57" s="190"/>
      <c r="H57" s="101"/>
      <c r="I57" s="138"/>
      <c r="J57" s="101"/>
      <c r="K57" s="192"/>
      <c r="L57" s="87"/>
      <c r="M57" s="87"/>
      <c r="N57" s="29"/>
      <c r="O57" s="188"/>
      <c r="P57" s="29"/>
      <c r="Q57" s="37"/>
      <c r="R57" s="198"/>
      <c r="S57" s="37"/>
      <c r="T57" s="37"/>
      <c r="U57" s="37"/>
      <c r="V57" s="198"/>
      <c r="W57" s="37"/>
      <c r="X57" s="86"/>
      <c r="Y57" s="198"/>
      <c r="Z57" s="37"/>
      <c r="AA57" s="37"/>
      <c r="AB57" s="29"/>
      <c r="AC57" s="198"/>
      <c r="AD57" s="37"/>
      <c r="AE57" s="144"/>
      <c r="AF57" s="100"/>
      <c r="AG57" s="197"/>
      <c r="AH57" s="146"/>
      <c r="AI57" s="101"/>
      <c r="AJ57" s="267"/>
      <c r="AK57" s="165" t="str">
        <f>IFERROR(IF(AK56="","",VLOOKUP(AK56,LISTAS!$F$5:$G$1004,2,0)),"0")</f>
        <v>COLÉGIO VÉRTICE</v>
      </c>
      <c r="AL57" s="29"/>
      <c r="AM57" s="23"/>
      <c r="AN57" s="23"/>
      <c r="AO57" s="23"/>
    </row>
    <row r="58" spans="2:47" ht="18" customHeight="1" x14ac:dyDescent="0.25">
      <c r="B58" s="133"/>
      <c r="C58" s="188"/>
      <c r="D58" s="29"/>
      <c r="E58" s="29"/>
      <c r="F58" s="34"/>
      <c r="G58" s="162" t="str">
        <f>IF(D54&lt;&gt;"",IF(D56&lt;&gt;"",IF(D54=D56,"",IF(D54&gt;D56,C54,C56)),""),"")</f>
        <v>FERNANDO BIRAL MAROTA</v>
      </c>
      <c r="H58" s="266">
        <v>0</v>
      </c>
      <c r="I58" s="148">
        <f>IF(H58&lt;&gt;"",H58,"")</f>
        <v>0</v>
      </c>
      <c r="J58" s="101" t="str">
        <f>IF(H58&lt;&gt;"",IF(G58="","",G58),"")</f>
        <v>FERNANDO BIRAL MAROTA</v>
      </c>
      <c r="K58" s="190">
        <f>IF(I58&lt;&gt;"",IF(I60&lt;&gt;"",SMALL(I58:J60,1),""),"")</f>
        <v>0</v>
      </c>
      <c r="L58" s="101"/>
      <c r="M58" s="101"/>
      <c r="N58" s="29"/>
      <c r="O58" s="188"/>
      <c r="P58" s="29"/>
      <c r="Q58" s="37"/>
      <c r="R58" s="198"/>
      <c r="S58" s="37"/>
      <c r="T58" s="37"/>
      <c r="U58" s="37"/>
      <c r="V58" s="198"/>
      <c r="W58" s="37"/>
      <c r="X58" s="86"/>
      <c r="Y58" s="198"/>
      <c r="Z58" s="37"/>
      <c r="AA58" s="37"/>
      <c r="AB58" s="29"/>
      <c r="AC58" s="198"/>
      <c r="AD58" s="37"/>
      <c r="AE58" s="89"/>
      <c r="AF58" s="266">
        <v>0</v>
      </c>
      <c r="AG58" s="162" t="str">
        <f>IF(AJ54&lt;&gt;"",IF(AJ56&lt;&gt;"",IF(AJ54=AJ56,"",IF(AJ54&gt;AJ56,AK54,AK56)),""),"")</f>
        <v>BENTO SAKATA UZUELI</v>
      </c>
      <c r="AH58" s="94"/>
      <c r="AI58" s="37"/>
      <c r="AJ58" s="29"/>
      <c r="AK58" s="188"/>
      <c r="AL58" s="29"/>
      <c r="AM58" s="23"/>
    </row>
    <row r="59" spans="2:47" ht="18" customHeight="1" thickBot="1" x14ac:dyDescent="0.3">
      <c r="B59" s="133"/>
      <c r="C59" s="188"/>
      <c r="D59" s="29"/>
      <c r="E59" s="29"/>
      <c r="F59" s="34"/>
      <c r="G59" s="165" t="str">
        <f>IFERROR(IF(G58="","",VLOOKUP(G58,LISTAS!$F$5:$G$1004,2,0)),"0")</f>
        <v>COLÉGIO ARBOS SÃO CAETANO DO SUL</v>
      </c>
      <c r="H59" s="267"/>
      <c r="I59" s="105"/>
      <c r="J59" s="101"/>
      <c r="K59" s="190"/>
      <c r="L59" s="101"/>
      <c r="M59" s="101"/>
      <c r="N59" s="29"/>
      <c r="O59" s="188"/>
      <c r="P59" s="29"/>
      <c r="Q59" s="37"/>
      <c r="R59" s="198"/>
      <c r="S59" s="37"/>
      <c r="T59" s="37"/>
      <c r="U59" s="37"/>
      <c r="V59" s="198"/>
      <c r="W59" s="37"/>
      <c r="X59" s="86"/>
      <c r="Y59" s="198"/>
      <c r="Z59" s="37"/>
      <c r="AA59" s="37"/>
      <c r="AB59" s="29"/>
      <c r="AC59" s="198"/>
      <c r="AD59" s="37"/>
      <c r="AE59" s="90"/>
      <c r="AF59" s="267"/>
      <c r="AG59" s="165" t="str">
        <f>IFERROR(IF(AG58="","",VLOOKUP(AG58,LISTAS!$F$5:$G$1004,2,0)),"0")</f>
        <v>COLÉGIO VÉRTICE</v>
      </c>
      <c r="AH59" s="94"/>
      <c r="AI59" s="37"/>
      <c r="AJ59" s="29"/>
      <c r="AK59" s="188"/>
      <c r="AL59" s="29"/>
    </row>
    <row r="60" spans="2:47" ht="18" customHeight="1" x14ac:dyDescent="0.25">
      <c r="B60" s="133"/>
      <c r="C60" s="188"/>
      <c r="D60" s="29"/>
      <c r="E60" s="35"/>
      <c r="F60" s="36"/>
      <c r="G60" s="162" t="str">
        <f>IF(D62&lt;&gt;"",IF(D64&lt;&gt;"",IF(D62=D64,"",IF(D62&gt;D64,C62,C64)),""),"")</f>
        <v>MATEUS YUDI SUIZO NINCAO</v>
      </c>
      <c r="H60" s="266">
        <v>1</v>
      </c>
      <c r="I60" s="106">
        <f>IF(H60&lt;&gt;"",H60,"")</f>
        <v>1</v>
      </c>
      <c r="J60" s="101" t="str">
        <f>IF(H60&lt;&gt;"",IF(G60="","",G60),"")</f>
        <v>MATEUS YUDI SUIZO NINCAO</v>
      </c>
      <c r="K60" s="190" t="str">
        <f>VLOOKUP(K58,I58:J60,2,0)</f>
        <v>FERNANDO BIRAL MAROTA</v>
      </c>
      <c r="L60" s="101"/>
      <c r="M60" s="101"/>
      <c r="N60" s="29"/>
      <c r="O60" s="188"/>
      <c r="P60" s="29"/>
      <c r="Q60" s="37"/>
      <c r="R60" s="198"/>
      <c r="S60" s="37"/>
      <c r="T60" s="37"/>
      <c r="U60" s="37"/>
      <c r="V60" s="198"/>
      <c r="W60" s="37"/>
      <c r="X60" s="86"/>
      <c r="Y60" s="198"/>
      <c r="Z60" s="37"/>
      <c r="AA60" s="37"/>
      <c r="AB60" s="29"/>
      <c r="AC60" s="198"/>
      <c r="AD60" s="37"/>
      <c r="AE60" s="91"/>
      <c r="AF60" s="266">
        <v>1</v>
      </c>
      <c r="AG60" s="162" t="str">
        <f>IF(AJ62&lt;&gt;"",IF(AJ64&lt;&gt;"",IF(AJ62=AJ64,"",IF(AJ62&gt;AJ64,AK62,AK64)),""),"")</f>
        <v>RAFAEL PICCOLO VENDRAME</v>
      </c>
      <c r="AH60" s="98"/>
      <c r="AI60" s="37"/>
      <c r="AJ60" s="29"/>
      <c r="AK60" s="188"/>
      <c r="AL60" s="29"/>
    </row>
    <row r="61" spans="2:47" ht="18" customHeight="1" thickBot="1" x14ac:dyDescent="0.3">
      <c r="B61" s="133"/>
      <c r="C61" s="188"/>
      <c r="D61" s="29"/>
      <c r="E61" s="35"/>
      <c r="F61" s="29"/>
      <c r="G61" s="165" t="str">
        <f>IFERROR(IF(G60="","",VLOOKUP(G60,LISTAS!$F$5:$G$1004,2,0)),"0")</f>
        <v>COLÉGIO SÃO JOSÉ</v>
      </c>
      <c r="H61" s="267"/>
      <c r="I61" s="101"/>
      <c r="J61" s="101"/>
      <c r="K61" s="190"/>
      <c r="L61" s="101"/>
      <c r="M61" s="101"/>
      <c r="N61" s="29"/>
      <c r="O61" s="188"/>
      <c r="P61" s="29"/>
      <c r="Q61" s="37"/>
      <c r="R61" s="198"/>
      <c r="S61" s="37"/>
      <c r="T61" s="37"/>
      <c r="U61" s="37"/>
      <c r="V61" s="198"/>
      <c r="W61" s="37"/>
      <c r="X61" s="86"/>
      <c r="Y61" s="198"/>
      <c r="Z61" s="37"/>
      <c r="AA61" s="37"/>
      <c r="AB61" s="29"/>
      <c r="AC61" s="198"/>
      <c r="AD61" s="37"/>
      <c r="AE61" s="37"/>
      <c r="AF61" s="267"/>
      <c r="AG61" s="165" t="str">
        <f>IFERROR(IF(AG60="","",VLOOKUP(AG60,LISTAS!$F$5:$G$1004,2,0)),"0")</f>
        <v>COLEGIO PETROPOLIS</v>
      </c>
      <c r="AH61" s="37"/>
      <c r="AI61" s="89"/>
      <c r="AJ61" s="29"/>
      <c r="AK61" s="188"/>
      <c r="AL61" s="29"/>
    </row>
    <row r="62" spans="2:47" ht="18" customHeight="1" x14ac:dyDescent="0.25">
      <c r="B62" s="133">
        <v>29</v>
      </c>
      <c r="C62" s="162" t="str">
        <f>IF('13M GRP'!G5&gt;=3,'13M GRP'!J385,IF('13M GRP'!G5=2,"",IF('13M GRP'!G5=1,"","")))</f>
        <v>PEDRO LIMA DE MELO</v>
      </c>
      <c r="D62" s="266">
        <v>0</v>
      </c>
      <c r="E62" s="148">
        <f>IF(D62&lt;&gt;"",D62,"")</f>
        <v>0</v>
      </c>
      <c r="F62" s="101" t="str">
        <f>IF(D62&lt;&gt;"",IF(C62="","",C62),"")</f>
        <v>PEDRO LIMA DE MELO</v>
      </c>
      <c r="G62" s="190">
        <f>IF(E62&lt;&gt;"",IF(E64&lt;&gt;"",SMALL(E62:E64,1),""),"")</f>
        <v>0</v>
      </c>
      <c r="H62" s="101"/>
      <c r="I62" s="101"/>
      <c r="J62" s="101"/>
      <c r="K62" s="190"/>
      <c r="L62" s="101"/>
      <c r="M62" s="101"/>
      <c r="N62" s="29"/>
      <c r="O62" s="188"/>
      <c r="P62" s="29"/>
      <c r="Q62" s="37"/>
      <c r="R62" s="198"/>
      <c r="S62" s="37"/>
      <c r="T62" s="37"/>
      <c r="U62" s="37"/>
      <c r="V62" s="198"/>
      <c r="W62" s="37"/>
      <c r="X62" s="86"/>
      <c r="Y62" s="198"/>
      <c r="Z62" s="37"/>
      <c r="AA62" s="37"/>
      <c r="AB62" s="29"/>
      <c r="AC62" s="198"/>
      <c r="AD62" s="37"/>
      <c r="AE62" s="100"/>
      <c r="AF62" s="100"/>
      <c r="AG62" s="197">
        <f>IF(AJ62&lt;&gt;"",AJ62,"")</f>
        <v>1</v>
      </c>
      <c r="AH62" s="100" t="str">
        <f>IF(AJ62&lt;&gt;"",IF(AK62="","",AK62),"")</f>
        <v>RAFAEL PICCOLO VENDRAME</v>
      </c>
      <c r="AI62" s="137">
        <f>IF(AG62&lt;&gt;"",IF(AG64&lt;&gt;"",SMALL(AG62:AG64,1),""),"")</f>
        <v>0</v>
      </c>
      <c r="AJ62" s="266">
        <v>1</v>
      </c>
      <c r="AK62" s="162" t="str">
        <f>IF('13M GRP'!G5&gt;=3,'13M GRP'!J411,IF('13M GRP'!G5=2,"",IF('13M GRP'!G5=1,"","")))</f>
        <v>RAFAEL PICCOLO VENDRAME</v>
      </c>
      <c r="AL62" s="29">
        <v>31</v>
      </c>
    </row>
    <row r="63" spans="2:47" ht="18" customHeight="1" thickBot="1" x14ac:dyDescent="0.3">
      <c r="B63" s="133"/>
      <c r="C63" s="165" t="str">
        <f>IFERROR(IF(C62="","",VLOOKUP(C62,LISTAS!$F$5:$G$1004,2,0)),"0")</f>
        <v>CENTRO DE ESTUDOS JÚLIO VERNE</v>
      </c>
      <c r="D63" s="267"/>
      <c r="E63" s="105"/>
      <c r="F63" s="101"/>
      <c r="G63" s="190"/>
      <c r="H63" s="101"/>
      <c r="I63" s="101"/>
      <c r="J63" s="87"/>
      <c r="K63" s="188"/>
      <c r="L63" s="29"/>
      <c r="M63" s="29"/>
      <c r="N63" s="29"/>
      <c r="O63" s="188"/>
      <c r="P63" s="29"/>
      <c r="Q63" s="37"/>
      <c r="R63" s="198"/>
      <c r="S63" s="37"/>
      <c r="T63" s="37"/>
      <c r="U63" s="37"/>
      <c r="V63" s="198"/>
      <c r="W63" s="37"/>
      <c r="X63" s="86"/>
      <c r="Y63" s="198"/>
      <c r="Z63" s="37"/>
      <c r="AA63" s="37"/>
      <c r="AB63" s="29"/>
      <c r="AC63" s="198"/>
      <c r="AD63" s="37"/>
      <c r="AE63" s="100"/>
      <c r="AF63" s="100"/>
      <c r="AG63" s="197"/>
      <c r="AH63" s="100"/>
      <c r="AI63" s="103"/>
      <c r="AJ63" s="267"/>
      <c r="AK63" s="165" t="str">
        <f>IFERROR(IF(AK62="","",VLOOKUP(AK62,LISTAS!$F$5:$G$1004,2,0)),"0")</f>
        <v>COLEGIO PETROPOLIS</v>
      </c>
      <c r="AL63" s="29"/>
    </row>
    <row r="64" spans="2:47" ht="18" customHeight="1" x14ac:dyDescent="0.25">
      <c r="B64" s="133">
        <v>4</v>
      </c>
      <c r="C64" s="162" t="str">
        <f>IF('13M GRP'!G5&gt;=3,'13M GRP'!J60,IF('13M GRP'!G5=2,IF('13M GRP'!H8=3,"",'13M GRP'!J31),IF('13M GRP'!G5=1,'13M GRP'!J11,"")))</f>
        <v>MATEUS YUDI SUIZO NINCAO</v>
      </c>
      <c r="D64" s="266">
        <v>1</v>
      </c>
      <c r="E64" s="106">
        <f>IF(D64&lt;&gt;"",D64,"")</f>
        <v>1</v>
      </c>
      <c r="F64" s="101" t="str">
        <f>IF(D64&lt;&gt;"",IF(C64="","",C64),"")</f>
        <v>MATEUS YUDI SUIZO NINCAO</v>
      </c>
      <c r="G64" s="190" t="str">
        <f>VLOOKUP(G62,E62:F64,2,0)</f>
        <v>PEDRO LIMA DE MELO</v>
      </c>
      <c r="H64" s="101"/>
      <c r="I64" s="101"/>
      <c r="J64" s="87"/>
      <c r="K64" s="188"/>
      <c r="L64" s="29"/>
      <c r="M64" s="29"/>
      <c r="N64" s="29"/>
      <c r="O64" s="188"/>
      <c r="P64" s="29"/>
      <c r="Q64" s="37"/>
      <c r="R64" s="198"/>
      <c r="S64" s="37"/>
      <c r="T64" s="37"/>
      <c r="U64" s="37"/>
      <c r="V64" s="198"/>
      <c r="W64" s="37"/>
      <c r="X64" s="86"/>
      <c r="Y64" s="198"/>
      <c r="Z64" s="37"/>
      <c r="AA64" s="37"/>
      <c r="AB64" s="29"/>
      <c r="AC64" s="198"/>
      <c r="AD64" s="37"/>
      <c r="AE64" s="100"/>
      <c r="AF64" s="100"/>
      <c r="AG64" s="197">
        <f>IF(AJ64&lt;&gt;"",AJ64,"")</f>
        <v>0</v>
      </c>
      <c r="AH64" s="100" t="str">
        <f>IF(AJ64&lt;&gt;"",IF(AK64="","",AK64),"")</f>
        <v>ANTÔNIO SILVEIRA DE CARVALHO</v>
      </c>
      <c r="AI64" s="104" t="str">
        <f>VLOOKUP(AI62,AG62:AH64,2,0)</f>
        <v>ANTÔNIO SILVEIRA DE CARVALHO</v>
      </c>
      <c r="AJ64" s="266">
        <v>0</v>
      </c>
      <c r="AK64" s="162" t="str">
        <f>IF('13M GRP'!G5&gt;=3,'13M GRP'!J30,IF('13M GRP'!G5=2,IF('13M GRP'!H8=3,'13M GRP'!J30,'13M GRP'!J30),IF('13M GRP'!G5=1,'13M GRP'!J9,"")))</f>
        <v>ANTÔNIO SILVEIRA DE CARVALHO</v>
      </c>
      <c r="AL64" s="29">
        <v>2</v>
      </c>
    </row>
    <row r="65" spans="2:47" ht="18" customHeight="1" thickBot="1" x14ac:dyDescent="0.3">
      <c r="B65" s="133"/>
      <c r="C65" s="165" t="str">
        <f>IFERROR(IF(C64="","",VLOOKUP(C64,LISTAS!$F$5:$G$1004,2,0)),"0")</f>
        <v>COLÉGIO SÃO JOSÉ</v>
      </c>
      <c r="D65" s="267"/>
      <c r="E65" s="101"/>
      <c r="F65" s="101"/>
      <c r="G65" s="190"/>
      <c r="H65" s="101"/>
      <c r="I65" s="101"/>
      <c r="J65" s="87"/>
      <c r="K65" s="188"/>
      <c r="L65" s="29"/>
      <c r="M65" s="29"/>
      <c r="N65" s="29"/>
      <c r="O65" s="188"/>
      <c r="P65" s="29"/>
      <c r="Q65" s="37"/>
      <c r="R65" s="198"/>
      <c r="S65" s="37"/>
      <c r="T65" s="37"/>
      <c r="U65" s="37"/>
      <c r="V65" s="198"/>
      <c r="W65" s="37"/>
      <c r="X65" s="86"/>
      <c r="Y65" s="198"/>
      <c r="Z65" s="37"/>
      <c r="AA65" s="37"/>
      <c r="AB65" s="29"/>
      <c r="AC65" s="198"/>
      <c r="AD65" s="37"/>
      <c r="AE65" s="100"/>
      <c r="AF65" s="100"/>
      <c r="AG65" s="197"/>
      <c r="AH65" s="100"/>
      <c r="AI65" s="101"/>
      <c r="AJ65" s="267"/>
      <c r="AK65" s="165" t="str">
        <f>IFERROR(IF(AK64="","",VLOOKUP(AK64,LISTAS!$F$5:$G$1004,2,0)),"0")</f>
        <v>COLÉGIO ARBOS - UNIDADE SANTO ANDRÉ</v>
      </c>
      <c r="AL65" s="29"/>
    </row>
    <row r="66" spans="2:47" ht="18" customHeight="1" x14ac:dyDescent="0.25">
      <c r="B66" s="133"/>
      <c r="C66" s="189"/>
      <c r="D66" s="84"/>
      <c r="E66" s="134"/>
      <c r="F66" s="134"/>
      <c r="G66" s="193"/>
      <c r="H66" s="134"/>
      <c r="I66" s="134"/>
      <c r="J66" s="134"/>
      <c r="K66" s="189"/>
      <c r="L66" s="84"/>
      <c r="M66" s="84"/>
      <c r="N66" s="84"/>
      <c r="O66" s="189"/>
      <c r="P66" s="84"/>
      <c r="Q66" s="37"/>
      <c r="R66" s="198"/>
      <c r="S66" s="37"/>
      <c r="T66" s="37"/>
      <c r="U66" s="37"/>
      <c r="V66" s="198"/>
      <c r="W66" s="37"/>
      <c r="X66" s="86"/>
      <c r="Y66" s="198"/>
      <c r="Z66" s="37"/>
      <c r="AA66" s="37"/>
      <c r="AB66" s="29"/>
      <c r="AC66" s="198"/>
      <c r="AD66" s="37"/>
      <c r="AE66" s="100"/>
      <c r="AF66" s="100"/>
      <c r="AG66" s="197"/>
      <c r="AH66" s="100"/>
      <c r="AI66" s="100"/>
      <c r="AJ66" s="84"/>
      <c r="AK66" s="189"/>
      <c r="AL66" s="29"/>
    </row>
    <row r="67" spans="2:47" ht="18" customHeight="1" x14ac:dyDescent="0.25">
      <c r="B67" s="29"/>
      <c r="C67" s="189"/>
      <c r="D67" s="84"/>
      <c r="E67" s="84"/>
      <c r="F67" s="84"/>
      <c r="G67" s="189"/>
      <c r="H67" s="84"/>
      <c r="I67" s="84"/>
      <c r="J67" s="84"/>
      <c r="K67" s="189"/>
      <c r="L67" s="84"/>
      <c r="M67" s="84"/>
      <c r="N67" s="84"/>
      <c r="O67" s="189"/>
      <c r="P67" s="84"/>
      <c r="Q67" s="37"/>
      <c r="R67" s="198"/>
      <c r="S67" s="37"/>
      <c r="T67" s="37"/>
      <c r="U67" s="37"/>
      <c r="V67" s="198"/>
      <c r="W67" s="37"/>
      <c r="X67" s="86"/>
      <c r="Y67" s="198"/>
      <c r="Z67" s="37"/>
      <c r="AA67" s="37"/>
      <c r="AB67" s="29"/>
      <c r="AC67" s="198"/>
      <c r="AD67" s="37"/>
      <c r="AE67" s="100"/>
      <c r="AF67" s="100"/>
      <c r="AG67" s="197"/>
      <c r="AH67" s="100"/>
      <c r="AI67" s="100"/>
      <c r="AJ67" s="84"/>
      <c r="AK67" s="189"/>
      <c r="AL67" s="29"/>
    </row>
    <row r="68" spans="2:47" ht="18" customHeight="1" x14ac:dyDescent="0.25">
      <c r="B68" s="22"/>
      <c r="C68" s="168"/>
      <c r="D68" s="22"/>
      <c r="E68" s="22"/>
      <c r="F68" s="22"/>
      <c r="G68" s="168"/>
      <c r="H68" s="22"/>
      <c r="I68" s="22"/>
      <c r="J68" s="22"/>
      <c r="K68" s="168"/>
      <c r="L68" s="22"/>
      <c r="M68" s="22"/>
      <c r="N68" s="22"/>
      <c r="O68" s="168"/>
      <c r="P68" s="22"/>
      <c r="W68" s="22"/>
      <c r="X68" s="22"/>
      <c r="Y68" s="168"/>
      <c r="Z68" s="22"/>
      <c r="AA68" s="22"/>
      <c r="AB68" s="22"/>
      <c r="AC68" s="168"/>
      <c r="AD68" s="22"/>
      <c r="AE68" s="22"/>
      <c r="AF68" s="22"/>
      <c r="AG68" s="168"/>
      <c r="AH68" s="22"/>
      <c r="AI68" s="22"/>
      <c r="AJ68" s="22"/>
      <c r="AK68" s="168"/>
    </row>
    <row r="69" spans="2:47" ht="18" customHeight="1" x14ac:dyDescent="0.25">
      <c r="B69" s="22"/>
      <c r="C69" s="168"/>
      <c r="D69" s="22"/>
      <c r="E69" s="22"/>
      <c r="F69" s="22"/>
      <c r="G69" s="168"/>
      <c r="H69" s="22"/>
      <c r="I69" s="22"/>
      <c r="J69" s="22"/>
      <c r="K69" s="168"/>
      <c r="L69" s="22"/>
      <c r="M69" s="22"/>
      <c r="N69" s="22"/>
      <c r="O69" s="168"/>
      <c r="P69" s="22"/>
      <c r="W69" s="22"/>
      <c r="X69" s="22"/>
      <c r="Y69" s="168"/>
      <c r="Z69" s="22"/>
      <c r="AA69" s="22"/>
      <c r="AB69" s="22"/>
      <c r="AC69" s="168"/>
      <c r="AD69" s="22"/>
      <c r="AE69" s="22"/>
      <c r="AF69" s="22"/>
      <c r="AG69" s="168"/>
      <c r="AH69" s="22"/>
      <c r="AI69" s="22"/>
      <c r="AJ69" s="22"/>
      <c r="AK69" s="168"/>
    </row>
    <row r="70" spans="2:47" ht="30" customHeight="1" x14ac:dyDescent="0.25">
      <c r="B70" s="249" t="s">
        <v>20</v>
      </c>
      <c r="C70" s="250"/>
      <c r="D70" s="250"/>
      <c r="E70" s="250"/>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0"/>
      <c r="AI70" s="250"/>
      <c r="AJ70" s="250"/>
      <c r="AK70" s="250"/>
      <c r="AL70" s="250"/>
      <c r="AP70" s="240" t="s">
        <v>4</v>
      </c>
      <c r="AQ70" s="240"/>
      <c r="AR70" s="240"/>
      <c r="AS70" s="240"/>
      <c r="AT70" s="240"/>
      <c r="AU70" s="240"/>
    </row>
    <row r="71" spans="2:47" ht="18" customHeight="1" thickBot="1" x14ac:dyDescent="0.3">
      <c r="B71" s="135"/>
      <c r="C71" s="187"/>
      <c r="D71" s="27"/>
      <c r="E71" s="27"/>
      <c r="F71" s="27"/>
      <c r="G71" s="191"/>
      <c r="H71" s="27"/>
      <c r="I71" s="27"/>
      <c r="J71" s="27"/>
      <c r="K71" s="195"/>
      <c r="L71" s="27"/>
      <c r="M71" s="27"/>
      <c r="N71" s="27"/>
      <c r="O71" s="195"/>
      <c r="P71" s="27"/>
      <c r="Q71" s="27"/>
      <c r="R71" s="195"/>
      <c r="S71" s="27"/>
      <c r="T71" s="27"/>
      <c r="U71" s="27"/>
      <c r="V71" s="195"/>
      <c r="W71" s="27"/>
      <c r="X71" s="26"/>
      <c r="Y71" s="195"/>
      <c r="Z71" s="27"/>
      <c r="AA71" s="27"/>
      <c r="AB71" s="92"/>
      <c r="AC71" s="195"/>
      <c r="AD71" s="27"/>
      <c r="AE71" s="150"/>
      <c r="AF71" s="150"/>
      <c r="AG71" s="200"/>
      <c r="AH71" s="150"/>
      <c r="AI71" s="150"/>
      <c r="AJ71" s="27"/>
      <c r="AK71" s="195"/>
      <c r="AL71" s="27"/>
      <c r="AP71" s="258" t="s">
        <v>3</v>
      </c>
      <c r="AQ71" s="260"/>
      <c r="AR71" s="132" t="s">
        <v>15</v>
      </c>
      <c r="AS71" s="132" t="s">
        <v>0</v>
      </c>
      <c r="AT71" s="132" t="s">
        <v>16</v>
      </c>
      <c r="AU71" s="132" t="s">
        <v>17</v>
      </c>
    </row>
    <row r="72" spans="2:47" ht="18" customHeight="1" x14ac:dyDescent="0.25">
      <c r="B72" s="136">
        <v>1</v>
      </c>
      <c r="C72" s="169" t="str">
        <f>IF('13M GRP'!G5&gt;=3,'13M GRP'!J9,IF('13M GRP'!G5=2,IF('13M GRP'!H8=3,'13M GRP'!J9,'13M GRP'!J10),IF('13M GRP'!G5=1,"","")))</f>
        <v>ARTHUR VIEIRA SICART</v>
      </c>
      <c r="D72" s="266">
        <v>1</v>
      </c>
      <c r="E72" s="101">
        <f>IF(D72&lt;&gt;"",D72,"")</f>
        <v>1</v>
      </c>
      <c r="F72" s="101" t="str">
        <f>IF(D72&lt;&gt;"",IF(C72="","",C72),"")</f>
        <v>ARTHUR VIEIRA SICART</v>
      </c>
      <c r="G72" s="190">
        <f>IF(E72&lt;&gt;"",IF(E74&lt;&gt;"",SMALL(E72:E74,1),""),"")</f>
        <v>0</v>
      </c>
      <c r="H72" s="101"/>
      <c r="I72" s="101"/>
      <c r="J72" s="101"/>
      <c r="K72" s="188"/>
      <c r="L72" s="29"/>
      <c r="M72" s="30"/>
      <c r="N72" s="30"/>
      <c r="O72" s="196"/>
      <c r="P72" s="30"/>
      <c r="Q72" s="37"/>
      <c r="R72" s="198"/>
      <c r="S72" s="37"/>
      <c r="T72" s="37"/>
      <c r="U72" s="37"/>
      <c r="V72" s="198"/>
      <c r="W72" s="37"/>
      <c r="X72" s="86"/>
      <c r="Y72" s="198"/>
      <c r="Z72" s="37"/>
      <c r="AA72" s="37"/>
      <c r="AB72" s="29"/>
      <c r="AC72" s="198"/>
      <c r="AD72" s="37"/>
      <c r="AE72" s="100"/>
      <c r="AF72" s="100"/>
      <c r="AG72" s="197">
        <f>IF(AJ72&lt;&gt;"",AJ72,"")</f>
        <v>0</v>
      </c>
      <c r="AH72" s="100" t="str">
        <f>IF(AJ72&lt;&gt;"",IF(AK72="","",AK72),"")</f>
        <v>RAFAEL GUIMARÃES FURTADO</v>
      </c>
      <c r="AI72" s="101">
        <f>IF(AG72&lt;&gt;"",IF(AG74&lt;&gt;"",SMALL(AG72:AG74,1),""),"")</f>
        <v>0</v>
      </c>
      <c r="AJ72" s="266">
        <v>0</v>
      </c>
      <c r="AK72" s="169" t="str">
        <f>IF('13M GRP'!G5&gt;=3,'13M GRP'!J48,IF('13M GRP'!G5=2,IF('13M GRP'!H8=3,"",'13M GRP'!J11),IF('13M GRP'!G5=1,"","")))</f>
        <v>RAFAEL GUIMARÃES FURTADO</v>
      </c>
      <c r="AL72" s="99">
        <v>3</v>
      </c>
      <c r="AP72" s="31">
        <f>IF(AR72&lt;&gt;"",1,"")</f>
        <v>1</v>
      </c>
      <c r="AQ72" s="32" t="str">
        <f>IF(AP72&lt;&gt;"","LUGAR","")</f>
        <v>LUGAR</v>
      </c>
      <c r="AR72" s="33" t="str">
        <f>IF(S100&lt;&gt;"",IF(U100&lt;&gt;"",IF(S100=U100,"",IF(S100&gt;U100,R100,V100)),""),"")</f>
        <v>LUCAS CLAUDINO</v>
      </c>
      <c r="AS72" s="33" t="str">
        <f>IFERROR(IF(AR72="","",VLOOKUP(AR72,LISTAS!$F$5:$G$1004,2,0)),"0")</f>
        <v>COLÉGIO MARCONI - GRU</v>
      </c>
      <c r="AT72" s="33">
        <f>IF(AP72="","",IF(AP72=1,180,IF(AP72=2,170,IF(AP72=3,150,IF(AP72=4,140,IF(AP72=5,135,IF(AP72=6,130,IF(AP72=7,120,IF(AP72=8,110,IF(AP72=9,105,IF(AP72=10,105,IF(AP72=11,105,IF(AP72=12,105,IF(AP72=13,105,IF(AP72=14,105,IF(AP72=15,105,IF(AP72=16,105,IF(AP72&gt;16,"",""))))))))))))))))))</f>
        <v>180</v>
      </c>
      <c r="AU72" s="33">
        <f>IF(AP72="","",IF($AS$5="NÃO","",IF(AP72=1,180,IF(AP72=2,170,IF(AP72=3,150,IF(AP72=4,140,IF(AP72=5,135,IF(AP72=6,130,IF(AP72=7,120,IF(AP72=8,110,IF(AP72=9,105,IF(AP72=10,105,IF(AP72=11,105,IF(AP72=12,105,IF(AP72=13,105,IF(AP72=14,105,IF(AP72=15,105,IF(AP72=16,105,IF(AP72&gt;16,"","")))))))))))))))))))</f>
        <v>180</v>
      </c>
    </row>
    <row r="73" spans="2:47" ht="18" customHeight="1" thickBot="1" x14ac:dyDescent="0.3">
      <c r="B73" s="136"/>
      <c r="C73" s="170" t="str">
        <f>IFERROR(IF(C72="","",VLOOKUP(C72,LISTAS!$F$5:$G$1004,2,0)),"0")</f>
        <v>COLEGIO PETROPOLIS</v>
      </c>
      <c r="D73" s="267"/>
      <c r="E73" s="101"/>
      <c r="F73" s="101"/>
      <c r="G73" s="190"/>
      <c r="H73" s="101"/>
      <c r="I73" s="101"/>
      <c r="J73" s="101"/>
      <c r="K73" s="188"/>
      <c r="L73" s="29"/>
      <c r="M73" s="30"/>
      <c r="N73" s="30"/>
      <c r="O73" s="196"/>
      <c r="P73" s="30"/>
      <c r="Q73" s="37"/>
      <c r="R73" s="198"/>
      <c r="S73" s="37"/>
      <c r="T73" s="37"/>
      <c r="U73" s="37"/>
      <c r="V73" s="198"/>
      <c r="W73" s="37"/>
      <c r="X73" s="86"/>
      <c r="Y73" s="198"/>
      <c r="Z73" s="37"/>
      <c r="AA73" s="37"/>
      <c r="AB73" s="29"/>
      <c r="AC73" s="198"/>
      <c r="AD73" s="37"/>
      <c r="AE73" s="100"/>
      <c r="AF73" s="100"/>
      <c r="AG73" s="197"/>
      <c r="AH73" s="100"/>
      <c r="AI73" s="101"/>
      <c r="AJ73" s="267"/>
      <c r="AK73" s="170" t="str">
        <f>IFERROR(IF(AK72="","",VLOOKUP(AK72,LISTAS!$F$5:$G$1004,2,0)),"0")</f>
        <v>PEN LIFE</v>
      </c>
      <c r="AL73" s="99"/>
      <c r="AP73" s="31">
        <f>IF(AR73&lt;&gt;"",1+COUNTIF(AP72,"1"),"")</f>
        <v>2</v>
      </c>
      <c r="AQ73" s="32" t="str">
        <f t="shared" ref="AQ73:AQ103" si="7">IF(AP73&lt;&gt;"","LUGAR","")</f>
        <v>LUGAR</v>
      </c>
      <c r="AR73" s="33" t="str">
        <f>IF(S100&lt;&gt;"",IF(U100&lt;&gt;"",IF(S100=U100,"",IF(S100&lt;U100,R100,V100)),""),"")</f>
        <v>BENTO MARCHETI UEDA</v>
      </c>
      <c r="AS73" s="33" t="str">
        <f>IFERROR(IF(AR73="","",VLOOKUP(AR73,LISTAS!$F$5:$G$1004,2,0)),"0")</f>
        <v>ABACO IPIRANGA</v>
      </c>
      <c r="AT73" s="33">
        <f t="shared" ref="AT73:AT87" si="8">IF(AP73="","",IF(AP73=1,180,IF(AP73=2,170,IF(AP73=3,150,IF(AP73=4,140,IF(AP73=5,135,IF(AP73=6,130,IF(AP73=7,120,IF(AP73=8,110,IF(AP73=9,105,IF(AP73=10,105,IF(AP73=11,105,IF(AP73=12,105,IF(AP73=13,105,IF(AP73=14,105,IF(AP73=15,105,IF(AP73=16,105,IF(AP73&gt;16,"",""))))))))))))))))))</f>
        <v>170</v>
      </c>
      <c r="AU73" s="33">
        <f t="shared" ref="AU73:AU102" si="9">IF(AP73="","",IF($AS$5="NÃO","",IF(AP73=1,180,IF(AP73=2,170,IF(AP73=3,150,IF(AP73=4,140,IF(AP73=5,135,IF(AP73=6,130,IF(AP73=7,120,IF(AP73=8,110,IF(AP73=9,105,IF(AP73=10,105,IF(AP73=11,105,IF(AP73=12,105,IF(AP73=13,105,IF(AP73=14,105,IF(AP73=15,105,IF(AP73=16,105,IF(AP73&gt;16,"","")))))))))))))))))))</f>
        <v>170</v>
      </c>
    </row>
    <row r="74" spans="2:47" ht="18" customHeight="1" x14ac:dyDescent="0.25">
      <c r="B74" s="133">
        <v>32</v>
      </c>
      <c r="C74" s="169" t="str">
        <f>IF('13M GRP'!G5&gt;=3,'13M GRP'!J425,IF('13M GRP'!G5=2,"",IF('13M GRP'!G5=1,"","")))</f>
        <v>MURILO SILVA GOMES</v>
      </c>
      <c r="D74" s="266">
        <v>0</v>
      </c>
      <c r="E74" s="107">
        <f>IF(D74&lt;&gt;"",D74,"")</f>
        <v>0</v>
      </c>
      <c r="F74" s="101" t="str">
        <f>IF(D74&lt;&gt;"",IF(C74="","",C74),"")</f>
        <v>MURILO SILVA GOMES</v>
      </c>
      <c r="G74" s="190" t="str">
        <f>VLOOKUP(G72,E72:F74,2,0)</f>
        <v>MURILO SILVA GOMES</v>
      </c>
      <c r="H74" s="101"/>
      <c r="I74" s="101"/>
      <c r="J74" s="101"/>
      <c r="K74" s="188"/>
      <c r="L74" s="29"/>
      <c r="M74" s="30"/>
      <c r="N74" s="30"/>
      <c r="O74" s="196"/>
      <c r="P74" s="30"/>
      <c r="Q74" s="37"/>
      <c r="R74" s="198"/>
      <c r="S74" s="37"/>
      <c r="T74" s="37"/>
      <c r="U74" s="37"/>
      <c r="V74" s="198"/>
      <c r="W74" s="37"/>
      <c r="X74" s="86"/>
      <c r="Y74" s="198"/>
      <c r="Z74" s="37"/>
      <c r="AA74" s="37"/>
      <c r="AB74" s="29"/>
      <c r="AC74" s="198"/>
      <c r="AD74" s="37"/>
      <c r="AE74" s="100"/>
      <c r="AF74" s="100"/>
      <c r="AG74" s="197">
        <f>IF(AJ74&lt;&gt;"",AJ74,"")</f>
        <v>1</v>
      </c>
      <c r="AH74" s="100" t="str">
        <f>IF(AJ74&lt;&gt;"",IF(AK74="","",AK74),"")</f>
        <v>ENZO CASANOVA</v>
      </c>
      <c r="AI74" s="102" t="str">
        <f>VLOOKUP(AI72,AG72:AH74,2,0)</f>
        <v>RAFAEL GUIMARÃES FURTADO</v>
      </c>
      <c r="AJ74" s="266">
        <v>1</v>
      </c>
      <c r="AK74" s="169" t="str">
        <f>IF('13M GRP'!G5&gt;=3,'13M GRP'!J399,IF('13M GRP'!G5=2,"",IF('13M GRP'!G5=1,"","")))</f>
        <v>ENZO CASANOVA</v>
      </c>
      <c r="AL74" s="29">
        <v>30</v>
      </c>
      <c r="AP74" s="31">
        <f>IF(AR74&lt;&gt;"",1+COUNTIF(AP72:AP73,"1")+COUNTIF(AP72:AP73,"2"),"")</f>
        <v>3</v>
      </c>
      <c r="AQ74" s="32" t="str">
        <f t="shared" si="7"/>
        <v>LUGAR</v>
      </c>
      <c r="AR74" s="111" t="str">
        <f>IF(AR72&lt;&gt;"",IF(O99=AR72,O101,IF(O101=AR72,O99,IF(Y99=AR72,Y101,IF(Y101=AR72,Y99)))),"")</f>
        <v>ARTHUR VIEIRA SICART</v>
      </c>
      <c r="AS74" s="33" t="str">
        <f>IFERROR(IF(AR74="","",VLOOKUP(AR74,LISTAS!$F$5:$G$1004,2,0)),"0")</f>
        <v>COLEGIO PETROPOLIS</v>
      </c>
      <c r="AT74" s="33">
        <f t="shared" si="8"/>
        <v>150</v>
      </c>
      <c r="AU74" s="33">
        <f t="shared" si="9"/>
        <v>150</v>
      </c>
    </row>
    <row r="75" spans="2:47" ht="18" customHeight="1" thickBot="1" x14ac:dyDescent="0.3">
      <c r="B75" s="133"/>
      <c r="C75" s="170" t="str">
        <f>IFERROR(IF(C74="","",VLOOKUP(C74,LISTAS!$F$5:$G$1004,2,0)),"0")</f>
        <v>COLEGIO PETROPOLIS</v>
      </c>
      <c r="D75" s="267"/>
      <c r="E75" s="148"/>
      <c r="F75" s="101"/>
      <c r="G75" s="190"/>
      <c r="H75" s="101"/>
      <c r="I75" s="101"/>
      <c r="J75" s="101"/>
      <c r="K75" s="188"/>
      <c r="L75" s="29"/>
      <c r="M75" s="30"/>
      <c r="N75" s="30"/>
      <c r="O75" s="196"/>
      <c r="P75" s="30"/>
      <c r="Q75" s="37"/>
      <c r="R75" s="198"/>
      <c r="S75" s="37"/>
      <c r="T75" s="37"/>
      <c r="U75" s="37"/>
      <c r="V75" s="198"/>
      <c r="W75" s="37"/>
      <c r="X75" s="86"/>
      <c r="Y75" s="198"/>
      <c r="Z75" s="37"/>
      <c r="AA75" s="37"/>
      <c r="AB75" s="29"/>
      <c r="AC75" s="198"/>
      <c r="AD75" s="37"/>
      <c r="AE75" s="100"/>
      <c r="AF75" s="100"/>
      <c r="AG75" s="197"/>
      <c r="AH75" s="100"/>
      <c r="AI75" s="142"/>
      <c r="AJ75" s="267"/>
      <c r="AK75" s="170" t="str">
        <f>IFERROR(IF(AK74="","",VLOOKUP(AK74,LISTAS!$F$5:$G$1004,2,0)),"0")</f>
        <v>ESCOLA STAGIUM</v>
      </c>
      <c r="AL75" s="29"/>
      <c r="AP75" s="31">
        <f>IF(AR75&lt;&gt;"",1+COUNTIF(AP72:AP74,"1")+COUNTIF(AP72:AP74,"2")+COUNTIF(AP72:AP74,"3"),"")</f>
        <v>4</v>
      </c>
      <c r="AQ75" s="32" t="str">
        <f t="shared" si="7"/>
        <v>LUGAR</v>
      </c>
      <c r="AR75" s="111" t="str">
        <f>IF(AR73&lt;&gt;"",IF(O99=AR73,O101,IF(O101=AR73,O99,IF(Y99=AR73,Y101,IF(Y101=AR73,Y99)))),"")</f>
        <v xml:space="preserve">RAPHAEL FERNANDES </v>
      </c>
      <c r="AS75" s="33" t="str">
        <f>IFERROR(IF(AR75="","",VLOOKUP(AR75,LISTAS!$F$5:$G$1004,2,0)),"0")</f>
        <v>ESCOLA STAGIUM</v>
      </c>
      <c r="AT75" s="33">
        <f t="shared" si="8"/>
        <v>140</v>
      </c>
      <c r="AU75" s="33">
        <f t="shared" si="9"/>
        <v>140</v>
      </c>
    </row>
    <row r="76" spans="2:47" ht="18" customHeight="1" x14ac:dyDescent="0.25">
      <c r="B76" s="133"/>
      <c r="C76" s="188"/>
      <c r="D76" s="29"/>
      <c r="E76" s="29"/>
      <c r="F76" s="34"/>
      <c r="G76" s="169" t="str">
        <f>IF(D72&lt;&gt;"",IF(D74&lt;&gt;"",IF(D72=D74,"",IF(D72&gt;D74,C72,C74)),""),"")</f>
        <v>ARTHUR VIEIRA SICART</v>
      </c>
      <c r="H76" s="266">
        <v>1</v>
      </c>
      <c r="I76" s="101">
        <f>IF(H76&lt;&gt;"",H76,"")</f>
        <v>1</v>
      </c>
      <c r="J76" s="101" t="str">
        <f>IF(H76&lt;&gt;"",IF(G76="","",G76),"")</f>
        <v>ARTHUR VIEIRA SICART</v>
      </c>
      <c r="K76" s="190">
        <f>IF(I76&lt;&gt;"",IF(I78&lt;&gt;"",SMALL(I76:J78,1),""),"")</f>
        <v>0</v>
      </c>
      <c r="L76" s="101"/>
      <c r="M76" s="101"/>
      <c r="N76" s="29"/>
      <c r="O76" s="188"/>
      <c r="P76" s="29"/>
      <c r="Q76" s="37"/>
      <c r="R76" s="198"/>
      <c r="S76" s="37"/>
      <c r="T76" s="37"/>
      <c r="U76" s="37"/>
      <c r="V76" s="198"/>
      <c r="W76" s="37"/>
      <c r="X76" s="86"/>
      <c r="Y76" s="198"/>
      <c r="Z76" s="37"/>
      <c r="AA76" s="37"/>
      <c r="AB76" s="29"/>
      <c r="AC76" s="198"/>
      <c r="AD76" s="37"/>
      <c r="AE76" s="95"/>
      <c r="AF76" s="266">
        <v>0</v>
      </c>
      <c r="AG76" s="169" t="str">
        <f>IF(AJ72&lt;&gt;"",IF(AJ74&lt;&gt;"",IF(AJ72=AJ74,"",IF(AJ72&gt;AJ74,AK72,AK74)),""),"")</f>
        <v>ENZO CASANOVA</v>
      </c>
      <c r="AH76" s="94"/>
      <c r="AI76" s="37"/>
      <c r="AJ76" s="29"/>
      <c r="AK76" s="188"/>
      <c r="AL76" s="29"/>
      <c r="AP76" s="31">
        <f>IF(AR76&lt;&gt;"",1+COUNTIF(AP72:AP75,"1")+COUNTIF(AP72:AP75,"2")+COUNTIF(AP72:AP75,"3")+COUNTIF(AP72:AP75,"4"),"")</f>
        <v>5</v>
      </c>
      <c r="AQ76" s="32" t="str">
        <f t="shared" si="7"/>
        <v>LUGAR</v>
      </c>
      <c r="AR76" s="111" t="str">
        <f>IF(AR72&lt;&gt;"",IF(K84=AR72,K86,IF(K86=AR72,K84,IF(K114=AR72,K116,IF(K116=AR72,K114,IF(AC84=AR72,AC86,IF(AC86=AR72,AC84,IF(AC114=AR72,AC116,IF(AC116=AR72,AC114)))))))),"")</f>
        <v>LEONARDO HERNANDES DE ASSIS</v>
      </c>
      <c r="AS76" s="33" t="str">
        <f>IFERROR(IF(AR76="","",VLOOKUP(AR76,LISTAS!$F$5:$G$1004,2,0)),"0")</f>
        <v>COLEGIO PETROPOLIS</v>
      </c>
      <c r="AT76" s="33">
        <f t="shared" si="8"/>
        <v>135</v>
      </c>
      <c r="AU76" s="33">
        <f t="shared" si="9"/>
        <v>135</v>
      </c>
    </row>
    <row r="77" spans="2:47" ht="18" customHeight="1" thickBot="1" x14ac:dyDescent="0.3">
      <c r="B77" s="133"/>
      <c r="C77" s="188"/>
      <c r="D77" s="29"/>
      <c r="E77" s="29"/>
      <c r="F77" s="34"/>
      <c r="G77" s="170" t="str">
        <f>IFERROR(IF(G76="","",VLOOKUP(G76,LISTAS!$F$5:$G$1004,2,0)),"0")</f>
        <v>COLEGIO PETROPOLIS</v>
      </c>
      <c r="H77" s="267"/>
      <c r="I77" s="101"/>
      <c r="J77" s="101"/>
      <c r="K77" s="190"/>
      <c r="L77" s="101"/>
      <c r="M77" s="101"/>
      <c r="N77" s="29"/>
      <c r="O77" s="188"/>
      <c r="P77" s="29"/>
      <c r="Q77" s="37"/>
      <c r="R77" s="198"/>
      <c r="S77" s="37"/>
      <c r="T77" s="37"/>
      <c r="U77" s="37"/>
      <c r="V77" s="198"/>
      <c r="W77" s="37"/>
      <c r="X77" s="86"/>
      <c r="Y77" s="198"/>
      <c r="Z77" s="37"/>
      <c r="AA77" s="37"/>
      <c r="AB77" s="29"/>
      <c r="AC77" s="198"/>
      <c r="AD77" s="37"/>
      <c r="AE77" s="95"/>
      <c r="AF77" s="267"/>
      <c r="AG77" s="170" t="str">
        <f>IFERROR(IF(AG76="","",VLOOKUP(AG76,LISTAS!$F$5:$G$1004,2,0)),"0")</f>
        <v>ESCOLA STAGIUM</v>
      </c>
      <c r="AH77" s="94"/>
      <c r="AI77" s="37"/>
      <c r="AJ77" s="29"/>
      <c r="AK77" s="188"/>
      <c r="AL77" s="29"/>
      <c r="AP77" s="31">
        <f>IF(AR77&lt;&gt;"",1+COUNTIF(AP72:AP76,"1")+COUNTIF(AP72:AP76,"2")+COUNTIF(AP72:AP76,"3")+COUNTIF(AP72:AP76,"4")+COUNTIF(AP72:AP76,"5"),"")</f>
        <v>6</v>
      </c>
      <c r="AQ77" s="32" t="str">
        <f t="shared" si="7"/>
        <v>LUGAR</v>
      </c>
      <c r="AR77" s="111" t="str">
        <f>IF(AR73&lt;&gt;"",IF(K84=AR73,K86,IF(K86=AR73,K84,IF(K114=AR73,K116,IF(K116=AR73,K114,IF(AC84=AR73,AC86,IF(AC86=AR73,AC84,IF(AC114=AR73,AC116,IF(AC116=AR73,AC114)))))))),"")</f>
        <v>GUILHERME HENRIQUE PORTELA NUNES</v>
      </c>
      <c r="AS77" s="33" t="str">
        <f>IFERROR(IF(AR77="","",VLOOKUP(AR77,LISTAS!$F$5:$G$1004,2,0)),"0")</f>
        <v>COLÉGIO ARBOS SÃO CAETANO DO SUL</v>
      </c>
      <c r="AT77" s="33">
        <f t="shared" si="8"/>
        <v>130</v>
      </c>
      <c r="AU77" s="33">
        <f t="shared" si="9"/>
        <v>130</v>
      </c>
    </row>
    <row r="78" spans="2:47" ht="30" x14ac:dyDescent="0.25">
      <c r="B78" s="133"/>
      <c r="C78" s="188"/>
      <c r="D78" s="29"/>
      <c r="E78" s="35"/>
      <c r="F78" s="36"/>
      <c r="G78" s="169" t="str">
        <f>IF(D80&lt;&gt;"",IF(D82&lt;&gt;"",IF(D80=D82,"",IF(D80&gt;D82,C80,C82)),""),"")</f>
        <v>EDUARDO ALVES MENDES FILHO</v>
      </c>
      <c r="H78" s="266">
        <v>0</v>
      </c>
      <c r="I78" s="107">
        <f>IF(H78&lt;&gt;"",H78,"")</f>
        <v>0</v>
      </c>
      <c r="J78" s="101" t="str">
        <f>IF(H78&lt;&gt;"",IF(G78="","",G78),"")</f>
        <v>EDUARDO ALVES MENDES FILHO</v>
      </c>
      <c r="K78" s="190" t="str">
        <f>VLOOKUP(K76,I76:J78,2,0)</f>
        <v>EDUARDO ALVES MENDES FILHO</v>
      </c>
      <c r="L78" s="101"/>
      <c r="M78" s="101"/>
      <c r="N78" s="29"/>
      <c r="O78" s="188"/>
      <c r="P78" s="29"/>
      <c r="Q78" s="37"/>
      <c r="R78" s="198"/>
      <c r="S78" s="37"/>
      <c r="T78" s="37"/>
      <c r="U78" s="37"/>
      <c r="V78" s="198"/>
      <c r="W78" s="37"/>
      <c r="X78" s="86"/>
      <c r="Y78" s="198"/>
      <c r="Z78" s="37"/>
      <c r="AA78" s="37"/>
      <c r="AB78" s="29"/>
      <c r="AC78" s="198"/>
      <c r="AD78" s="94"/>
      <c r="AE78" s="96"/>
      <c r="AF78" s="266">
        <v>1</v>
      </c>
      <c r="AG78" s="169" t="str">
        <f>IF(AJ80&lt;&gt;"",IF(AJ82&lt;&gt;"",IF(AJ80=AJ82,"",IF(AJ80&gt;AJ82,AK80,AK82)),""),"")</f>
        <v xml:space="preserve">RAPHAEL FERNANDES </v>
      </c>
      <c r="AH78" s="98"/>
      <c r="AI78" s="37"/>
      <c r="AJ78" s="29"/>
      <c r="AK78" s="188"/>
      <c r="AL78" s="29"/>
      <c r="AP78" s="31">
        <f>IF(AR78&lt;&gt;"",1+COUNTIF(AP72:AP77,"1")+COUNTIF(AP72:AP77,"2")+COUNTIF(AP72:AP77,"3")+COUNTIF(AP72:AP77,"4")+COUNTIF(AP72:AP77,"5")+COUNTIF(AP72:AP77,"6"),"")</f>
        <v>7</v>
      </c>
      <c r="AQ78" s="32" t="str">
        <f t="shared" si="7"/>
        <v>LUGAR</v>
      </c>
      <c r="AR78" s="111" t="str">
        <f>IF(AR74&lt;&gt;"",IF(K84=AR74,K86,IF(K86=AR74,K84,IF(K114=AR74,K116,IF(K116=AR74,K114,IF(AC84=AR74,AC86,IF(AC86=AR74,AC84,IF(AC114=AR74,AC116,IF(AC116=AR74,AC114)))))))),"")</f>
        <v>BRUNO PICHELLI ZUCHETTO</v>
      </c>
      <c r="AS78" s="33" t="str">
        <f>IFERROR(IF(AR78="","",VLOOKUP(AR78,LISTAS!$F$5:$G$1004,2,0)),"0")</f>
        <v>COLÉGIO SINGULAR SÃO CAETANO</v>
      </c>
      <c r="AT78" s="33">
        <f t="shared" si="8"/>
        <v>120</v>
      </c>
      <c r="AU78" s="33">
        <f t="shared" si="9"/>
        <v>120</v>
      </c>
    </row>
    <row r="79" spans="2:47" ht="30.75" thickBot="1" x14ac:dyDescent="0.3">
      <c r="B79" s="133"/>
      <c r="C79" s="188"/>
      <c r="D79" s="29"/>
      <c r="E79" s="35"/>
      <c r="F79" s="29"/>
      <c r="G79" s="170" t="str">
        <f>IFERROR(IF(G78="","",VLOOKUP(G78,LISTAS!$F$5:$G$1004,2,0)),"0")</f>
        <v>COLÉGIO SÃO MAURO</v>
      </c>
      <c r="H79" s="267"/>
      <c r="I79" s="138"/>
      <c r="J79" s="101"/>
      <c r="K79" s="190"/>
      <c r="L79" s="101"/>
      <c r="M79" s="101"/>
      <c r="N79" s="29"/>
      <c r="O79" s="188"/>
      <c r="P79" s="29"/>
      <c r="Q79" s="37"/>
      <c r="R79" s="198"/>
      <c r="S79" s="37"/>
      <c r="T79" s="37"/>
      <c r="U79" s="37"/>
      <c r="V79" s="198"/>
      <c r="W79" s="37"/>
      <c r="X79" s="86"/>
      <c r="Y79" s="198"/>
      <c r="Z79" s="37"/>
      <c r="AA79" s="37"/>
      <c r="AB79" s="29"/>
      <c r="AC79" s="198"/>
      <c r="AD79" s="94"/>
      <c r="AE79" s="37"/>
      <c r="AF79" s="267"/>
      <c r="AG79" s="170" t="str">
        <f>IFERROR(IF(AG78="","",VLOOKUP(AG78,LISTAS!$F$5:$G$1004,2,0)),"0")</f>
        <v>ESCOLA STAGIUM</v>
      </c>
      <c r="AH79" s="37"/>
      <c r="AI79" s="89"/>
      <c r="AJ79" s="29"/>
      <c r="AK79" s="188"/>
      <c r="AL79" s="29"/>
      <c r="AP79" s="31">
        <f>IF(AR79&lt;&gt;"",1+COUNTIF(AP72:AP78,"1")+COUNTIF(AP72:AP78,"2")+COUNTIF(AP72:AP78,"3")+COUNTIF(AP72:AP78,"4")+COUNTIF(AP72:AP78,"5")+COUNTIF(AP72:AP78,"6")+COUNTIF(AP72:AP78,"7"),"")</f>
        <v>8</v>
      </c>
      <c r="AQ79" s="32" t="str">
        <f t="shared" si="7"/>
        <v>LUGAR</v>
      </c>
      <c r="AR79" s="111" t="str">
        <f>IF(AR75&lt;&gt;"",IF(K84=AR75,K86,IF(K86=AR75,K84,IF(K114=AR75,K116,IF(K116=AR75,K114,IF(AC84=AR75,AC86,IF(AC86=AR75,AC84,IF(AC114=AR75,AC116,IF(AC116=AR75,AC114)))))))),"")</f>
        <v>MIGUEL FERREIRA DE JESUS</v>
      </c>
      <c r="AS79" s="33" t="str">
        <f>IFERROR(IF(AR79="","",VLOOKUP(AR79,LISTAS!$F$5:$G$1004,2,0)),"0")</f>
        <v>CENTRO DE ESTUDOS JÚLIO VERNE</v>
      </c>
      <c r="AT79" s="33">
        <f t="shared" si="8"/>
        <v>110</v>
      </c>
      <c r="AU79" s="33">
        <f t="shared" si="9"/>
        <v>110</v>
      </c>
    </row>
    <row r="80" spans="2:47" ht="18" customHeight="1" x14ac:dyDescent="0.25">
      <c r="B80" s="133">
        <v>17</v>
      </c>
      <c r="C80" s="39" t="s">
        <v>398</v>
      </c>
      <c r="D80" s="266">
        <v>1</v>
      </c>
      <c r="E80" s="148">
        <f>IF(D80&lt;&gt;"",D80,"")</f>
        <v>1</v>
      </c>
      <c r="F80" s="101" t="str">
        <f>IF(D80&lt;&gt;"",IF(C80="","",C80),"")</f>
        <v>EDUARDO ALVES MENDES FILHO</v>
      </c>
      <c r="G80" s="190">
        <f>IF(E80&lt;&gt;"",IF(E82&lt;&gt;"",SMALL(E80:E82,1),""),"")</f>
        <v>0</v>
      </c>
      <c r="H80" s="101"/>
      <c r="I80" s="138"/>
      <c r="J80" s="101"/>
      <c r="K80" s="190"/>
      <c r="L80" s="101"/>
      <c r="M80" s="101"/>
      <c r="N80" s="29"/>
      <c r="O80" s="188"/>
      <c r="P80" s="29"/>
      <c r="Q80" s="37"/>
      <c r="R80" s="198"/>
      <c r="S80" s="37"/>
      <c r="T80" s="37"/>
      <c r="U80" s="37"/>
      <c r="V80" s="198"/>
      <c r="W80" s="37"/>
      <c r="X80" s="86"/>
      <c r="Y80" s="198"/>
      <c r="Z80" s="37"/>
      <c r="AA80" s="37"/>
      <c r="AB80" s="29"/>
      <c r="AC80" s="198"/>
      <c r="AD80" s="146"/>
      <c r="AE80" s="100"/>
      <c r="AF80" s="100"/>
      <c r="AG80" s="197">
        <f>IF(AJ80&lt;&gt;"",AJ80,"")</f>
        <v>1</v>
      </c>
      <c r="AH80" s="100" t="str">
        <f>IF(AJ80&lt;&gt;"",IF(AK80="","",AK80),"")</f>
        <v xml:space="preserve">RAPHAEL FERNANDES </v>
      </c>
      <c r="AI80" s="137">
        <f>IF(AG80&lt;&gt;"",IF(AG82&lt;&gt;"",SMALL(AG80:AG82,1),""),"")</f>
        <v>0</v>
      </c>
      <c r="AJ80" s="266">
        <v>1</v>
      </c>
      <c r="AK80" s="169" t="str">
        <f>IF('13M GRP'!G5&gt;=3,'13M GRP'!J191,IF('13M GRP'!G5=2,"",IF('13M GRP'!G5=1,"","")))</f>
        <v xml:space="preserve">RAPHAEL FERNANDES </v>
      </c>
      <c r="AL80" s="29">
        <v>14</v>
      </c>
      <c r="AP80" s="31">
        <f>IF(AR80&lt;&gt;"",1+COUNTIF(AP72:AP79,"1")+COUNTIF(AP72:AP79,"2")+COUNTIF(AP72:AP79,"3")+COUNTIF(AP72:AP79,"4")+COUNTIF(AP72:AP79,"5")+COUNTIF(AP72:AP79,"6")+COUNTIF(AP72:AP79,"7")+COUNTIF(AP72:AP79,"8"),"")</f>
        <v>9</v>
      </c>
      <c r="AQ80" s="32" t="str">
        <f t="shared" si="7"/>
        <v>LUGAR</v>
      </c>
      <c r="AR80" s="111" t="str">
        <f>IF(AR72&lt;&gt;"",IF(G76=AR72,G78,IF(G78=AR72,G76,IF(G92=AR72,G94,IF(G94=AR72,G92,IF(AG76=AR72,AG78,IF(AG78=AR72,AG76,IF(AG92=AR72,AG94,IF(AG94=AR72,AG92,IF(G106=AR72,G108,IF(G108=AR72,G106,IF(G122=AR72,G124,IF(G124=AR72,G122,IF(AG106=AR72,AG108,IF(AG108=AR72,AG106,IF(AG122=AR72,AG124,IF(AG124=AR72,AG122)))))))))))))))),"")</f>
        <v>LUCCA LAW GUASTAPAGLIA</v>
      </c>
      <c r="AS80" s="33" t="str">
        <f>IFERROR(IF(AR80="","",VLOOKUP(AR80,LISTAS!$F$5:$G$1004,2,0)),"0")</f>
        <v>ESCOLA VILLARE</v>
      </c>
      <c r="AT80" s="33">
        <f t="shared" si="8"/>
        <v>105</v>
      </c>
      <c r="AU80" s="33">
        <f t="shared" si="9"/>
        <v>105</v>
      </c>
    </row>
    <row r="81" spans="2:47" ht="18" customHeight="1" thickBot="1" x14ac:dyDescent="0.3">
      <c r="B81" s="133"/>
      <c r="C81" s="170" t="str">
        <f>IFERROR(IF(C80="","",VLOOKUP(C80,LISTAS!$F$5:$G$1004,2,0)),"0")</f>
        <v>COLÉGIO SÃO MAURO</v>
      </c>
      <c r="D81" s="267"/>
      <c r="E81" s="105"/>
      <c r="F81" s="101"/>
      <c r="G81" s="190"/>
      <c r="H81" s="101"/>
      <c r="I81" s="138"/>
      <c r="J81" s="29"/>
      <c r="K81" s="188"/>
      <c r="L81" s="29"/>
      <c r="M81" s="29"/>
      <c r="N81" s="29"/>
      <c r="O81" s="188"/>
      <c r="P81" s="29"/>
      <c r="Q81" s="37"/>
      <c r="R81" s="198"/>
      <c r="S81" s="37"/>
      <c r="T81" s="37"/>
      <c r="U81" s="37"/>
      <c r="V81" s="198"/>
      <c r="W81" s="37"/>
      <c r="X81" s="86"/>
      <c r="Y81" s="198"/>
      <c r="Z81" s="37"/>
      <c r="AA81" s="37"/>
      <c r="AB81" s="29"/>
      <c r="AC81" s="198"/>
      <c r="AD81" s="146"/>
      <c r="AE81" s="100"/>
      <c r="AF81" s="100"/>
      <c r="AG81" s="197"/>
      <c r="AH81" s="100"/>
      <c r="AI81" s="143"/>
      <c r="AJ81" s="267"/>
      <c r="AK81" s="170" t="str">
        <f>IFERROR(IF(AK80="","",VLOOKUP(AK80,LISTAS!$F$5:$G$1004,2,0)),"0")</f>
        <v>ESCOLA STAGIUM</v>
      </c>
      <c r="AL81" s="29"/>
      <c r="AP81" s="31">
        <f>IF(AR81&lt;&gt;"",1+COUNTIF(AP72:AP80,"1")+COUNTIF(AP72:AP80,"2")+COUNTIF(AP72:AP80,"3")+COUNTIF(AP72:AP80,"4")+COUNTIF(AP72:AP80,"5")+COUNTIF(AP72:AP80,"6")+COUNTIF(AP72:AP80,"7")+COUNTIF(AP72:AP80,"8")+COUNTIF(AP72:AP80,"9"),"")</f>
        <v>10</v>
      </c>
      <c r="AQ81" s="32" t="str">
        <f t="shared" si="7"/>
        <v>LUGAR</v>
      </c>
      <c r="AR81" s="111" t="str">
        <f>IF(AR73&lt;&gt;"",IF(G76=AR73,G78,IF(G78=AR73,G76,IF(G92=AR73,G94,IF(G94=AR73,G92,IF(AG76=AR73,AG78,IF(AG78=AR73,AG76,IF(AG92=AR73,AG94,IF(AG94=AR73,AG92,IF(G106=AR73,G108,IF(G108=AR73,G106,IF(G122=AR73,G124,IF(G124=AR73,G122,IF(AG106=AR73,AG108,IF(AG108=AR73,AG106,IF(AG122=AR73,AG124,IF(AG124=AR73,AG122)))))))))))))))),"")</f>
        <v>GUSTAVO NOGUEIRA FEITOSA</v>
      </c>
      <c r="AS81" s="33" t="str">
        <f>IFERROR(IF(AR81="","",VLOOKUP(AR81,LISTAS!$F$5:$G$1004,2,0)),"0")</f>
        <v>CENTRO DE ESTUDOS JÚLIO VERNE</v>
      </c>
      <c r="AT81" s="33">
        <f t="shared" si="8"/>
        <v>105</v>
      </c>
      <c r="AU81" s="33">
        <f t="shared" si="9"/>
        <v>105</v>
      </c>
    </row>
    <row r="82" spans="2:47" ht="18" customHeight="1" x14ac:dyDescent="0.25">
      <c r="B82" s="133">
        <v>16</v>
      </c>
      <c r="C82" s="169" t="str">
        <f>IF('13M GRP'!G5&gt;=3,'13M GRP'!J217,IF('13M GRP'!G5=2,"",IF('13M GRP'!G5=1,"","")))</f>
        <v>EDUARDO PRADO TORRES</v>
      </c>
      <c r="D82" s="266">
        <v>0</v>
      </c>
      <c r="E82" s="106">
        <f>IF(D82&lt;&gt;"",D82,"")</f>
        <v>0</v>
      </c>
      <c r="F82" s="101" t="str">
        <f>IF(D82&lt;&gt;"",IF(C82="","",C82),"")</f>
        <v>EDUARDO PRADO TORRES</v>
      </c>
      <c r="G82" s="190" t="str">
        <f>VLOOKUP(G80,E80:F82,2,0)</f>
        <v>EDUARDO PRADO TORRES</v>
      </c>
      <c r="H82" s="101"/>
      <c r="I82" s="138"/>
      <c r="J82" s="29"/>
      <c r="K82" s="188"/>
      <c r="L82" s="29"/>
      <c r="M82" s="29"/>
      <c r="N82" s="29"/>
      <c r="O82" s="188"/>
      <c r="P82" s="29"/>
      <c r="Q82" s="37"/>
      <c r="R82" s="198"/>
      <c r="S82" s="37"/>
      <c r="T82" s="37"/>
      <c r="U82" s="37"/>
      <c r="V82" s="198"/>
      <c r="W82" s="37"/>
      <c r="X82" s="86"/>
      <c r="Y82" s="198"/>
      <c r="Z82" s="37"/>
      <c r="AA82" s="37"/>
      <c r="AB82" s="29"/>
      <c r="AC82" s="198"/>
      <c r="AD82" s="146"/>
      <c r="AE82" s="100"/>
      <c r="AF82" s="100"/>
      <c r="AG82" s="197">
        <f>IF(AJ82&lt;&gt;"",AJ82,"")</f>
        <v>0</v>
      </c>
      <c r="AH82" s="100" t="str">
        <f>IF(AJ82&lt;&gt;"",IF(AK82="","",AK82),"")</f>
        <v xml:space="preserve">JOÃO PEDRO GRAZIANO </v>
      </c>
      <c r="AI82" s="104" t="str">
        <f>VLOOKUP(AI80,AG80:AH82,2,0)</f>
        <v xml:space="preserve">JOÃO PEDRO GRAZIANO </v>
      </c>
      <c r="AJ82" s="266">
        <v>0</v>
      </c>
      <c r="AK82" s="39" t="s">
        <v>676</v>
      </c>
      <c r="AL82" s="29">
        <v>19</v>
      </c>
      <c r="AP82" s="31">
        <f>IF(AR82&lt;&gt;"",1+COUNTIF(AP72:AP81,"1")+COUNTIF(AP72:AP81,"2")+COUNTIF(AP72:AP81,"3")+COUNTIF(AP72:AP81,"4")+COUNTIF(AP72:AP81,"5")+COUNTIF(AP72:AP81,"6")+COUNTIF(AP72:AP81,"7")+COUNTIF(AP72:AP81,"8")+COUNTIF(AP72:AP81,"9")+COUNTIF(AP72:AP81,"10"),"")</f>
        <v>11</v>
      </c>
      <c r="AQ82" s="32" t="str">
        <f t="shared" si="7"/>
        <v>LUGAR</v>
      </c>
      <c r="AR82" s="111" t="str">
        <f>IF(AR74&lt;&gt;"",IF(G76=AR74,G78,IF(G78=AR74,G76,IF(G92=AR74,G94,IF(G94=AR74,G92,IF(AG76=AR74,AG78,IF(AG78=AR74,AG76,IF(AG92=AR74,AG94,IF(AG94=AR74,AG92,IF(G106=AR74,G108,IF(G108=AR74,G106,IF(G122=AR74,G124,IF(G124=AR74,G122,IF(AG106=AR74,AG108,IF(AG108=AR74,AG106,IF(AG122=AR74,AG124,IF(AG124=AR74,AG122)))))))))))))))),"")</f>
        <v>EDUARDO ALVES MENDES FILHO</v>
      </c>
      <c r="AS82" s="33" t="str">
        <f>IFERROR(IF(AR82="","",VLOOKUP(AR82,LISTAS!$F$5:$G$1004,2,0)),"0")</f>
        <v>COLÉGIO SÃO MAURO</v>
      </c>
      <c r="AT82" s="33">
        <f t="shared" si="8"/>
        <v>105</v>
      </c>
      <c r="AU82" s="33">
        <f t="shared" si="9"/>
        <v>105</v>
      </c>
    </row>
    <row r="83" spans="2:47" ht="18" customHeight="1" thickBot="1" x14ac:dyDescent="0.3">
      <c r="B83" s="133"/>
      <c r="C83" s="170" t="str">
        <f>IFERROR(IF(C82="","",VLOOKUP(C82,LISTAS!$F$5:$G$1004,2,0)),"0")</f>
        <v>COLÉGIO ATENEU</v>
      </c>
      <c r="D83" s="267"/>
      <c r="E83" s="101"/>
      <c r="F83" s="101"/>
      <c r="G83" s="190"/>
      <c r="H83" s="101"/>
      <c r="I83" s="138"/>
      <c r="J83" s="29"/>
      <c r="K83" s="188"/>
      <c r="L83" s="29"/>
      <c r="M83" s="29"/>
      <c r="N83" s="29"/>
      <c r="O83" s="188"/>
      <c r="P83" s="29"/>
      <c r="Q83" s="37"/>
      <c r="R83" s="198"/>
      <c r="S83" s="37"/>
      <c r="T83" s="37"/>
      <c r="U83" s="37"/>
      <c r="V83" s="198"/>
      <c r="W83" s="37"/>
      <c r="X83" s="86"/>
      <c r="Y83" s="198"/>
      <c r="Z83" s="37"/>
      <c r="AA83" s="37"/>
      <c r="AB83" s="29"/>
      <c r="AC83" s="198"/>
      <c r="AD83" s="146"/>
      <c r="AE83" s="100"/>
      <c r="AF83" s="100"/>
      <c r="AG83" s="197"/>
      <c r="AH83" s="100"/>
      <c r="AI83" s="101"/>
      <c r="AJ83" s="267"/>
      <c r="AK83" s="170" t="str">
        <f>IFERROR(IF(AK82="","",VLOOKUP(AK82,LISTAS!$F$5:$G$1004,2,0)),"0")</f>
        <v>ESCOLA STAGIUM</v>
      </c>
      <c r="AL83" s="29"/>
      <c r="AP83" s="31">
        <f>IF(AR83&lt;&gt;"",1+COUNTIF(AP72:AP82,"1")+COUNTIF(AP72:AP82,"2")+COUNTIF(AP72:AP82,"3")+COUNTIF(AP72:AP82,"4")+COUNTIF(AP72:AP82,"5")+COUNTIF(AP72:AP82,"6")+COUNTIF(AP72:AP82,"7")+COUNTIF(AP72:AP82,"8")+COUNTIF(AP72:AP82,"9")+COUNTIF(AP72:AP82,"10")+COUNTIF(AP72:AP82,"11"),"")</f>
        <v>12</v>
      </c>
      <c r="AQ83" s="32" t="str">
        <f t="shared" si="7"/>
        <v>LUGAR</v>
      </c>
      <c r="AR83" s="111" t="str">
        <f>IF(AR75&lt;&gt;"",IF(G76=AR75,G78,IF(G78=AR75,G76,IF(G92=AR75,G94,IF(G94=AR75,G92,IF(AG76=AR75,AG78,IF(AG78=AR75,AG76,IF(AG92=AR75,AG94,IF(AG94=AR75,AG92,IF(G106=AR75,G108,IF(G108=AR75,G106,IF(G122=AR75,G124,IF(G124=AR75,G122,IF(AG106=AR75,AG108,IF(AG108=AR75,AG106,IF(AG122=AR75,AG124,IF(AG124=AR75,AG122)))))))))))))))),"")</f>
        <v>ENZO CASANOVA</v>
      </c>
      <c r="AS83" s="33" t="str">
        <f>IFERROR(IF(AR83="","",VLOOKUP(AR83,LISTAS!$F$5:$G$1004,2,0)),"0")</f>
        <v>ESCOLA STAGIUM</v>
      </c>
      <c r="AT83" s="33">
        <f t="shared" si="8"/>
        <v>105</v>
      </c>
      <c r="AU83" s="33">
        <f t="shared" si="9"/>
        <v>105</v>
      </c>
    </row>
    <row r="84" spans="2:47" ht="18" customHeight="1" x14ac:dyDescent="0.25">
      <c r="B84" s="133"/>
      <c r="C84" s="188"/>
      <c r="D84" s="29"/>
      <c r="E84" s="29"/>
      <c r="F84" s="29"/>
      <c r="G84" s="188"/>
      <c r="H84" s="29"/>
      <c r="I84" s="35"/>
      <c r="J84" s="29"/>
      <c r="K84" s="169" t="str">
        <f>IF(H76&lt;&gt;"",IF(H78&lt;&gt;"",IF(H76=H78,"",IF(H76&gt;H78,G76,G78)),""),"")</f>
        <v>ARTHUR VIEIRA SICART</v>
      </c>
      <c r="L84" s="266">
        <v>1</v>
      </c>
      <c r="M84" s="101">
        <f>IF(L84&lt;&gt;"",L84,"")</f>
        <v>1</v>
      </c>
      <c r="N84" s="101" t="str">
        <f>IF(L84&lt;&gt;"",IF(K84="","",K84),"")</f>
        <v>ARTHUR VIEIRA SICART</v>
      </c>
      <c r="O84" s="190">
        <f>IF(M84&lt;&gt;"",IF(M86&lt;&gt;"",SMALL(M84:N86,1),""),"")</f>
        <v>0</v>
      </c>
      <c r="P84" s="101"/>
      <c r="Q84" s="37"/>
      <c r="R84" s="272" t="s">
        <v>88</v>
      </c>
      <c r="S84" s="273"/>
      <c r="T84" s="273"/>
      <c r="U84" s="273"/>
      <c r="V84" s="273"/>
      <c r="W84" s="37"/>
      <c r="X84" s="86"/>
      <c r="Y84" s="198"/>
      <c r="Z84" s="37"/>
      <c r="AA84" s="37"/>
      <c r="AB84" s="266">
        <v>1</v>
      </c>
      <c r="AC84" s="169" t="str">
        <f>IF(AF76&lt;&gt;"",IF(AF78&lt;&gt;"",IF(AF76=AF78,"",IF(AF76&gt;AF78,AG76,AG78)),""),"")</f>
        <v xml:space="preserve">RAPHAEL FERNANDES </v>
      </c>
      <c r="AD84" s="147"/>
      <c r="AE84" s="100"/>
      <c r="AF84" s="100"/>
      <c r="AG84" s="197"/>
      <c r="AH84" s="100"/>
      <c r="AI84" s="100"/>
      <c r="AJ84" s="29"/>
      <c r="AK84" s="188"/>
      <c r="AL84" s="29"/>
      <c r="AP84" s="31">
        <f>IF(AR84&lt;&gt;"",1+COUNTIF(AP72:AP83,"1")+COUNTIF(AP72:AP83,"2")+COUNTIF(AP72:AP83,"3")+COUNTIF(AP72:AP83,"4")+COUNTIF(AP72:AP83,"5")+COUNTIF(AP72:AP83,"6")+COUNTIF(AP72:AP83,"7")+COUNTIF(AP72:AP83,"8")+COUNTIF(AP72:AP83,"9")+COUNTIF(AP72:AP83,"10")+COUNTIF(AP72:AP83,"11")+COUNTIF(AP72:AP83,"12"),"")</f>
        <v>13</v>
      </c>
      <c r="AQ84" s="32" t="str">
        <f t="shared" si="7"/>
        <v>LUGAR</v>
      </c>
      <c r="AR84" s="111" t="str">
        <f>IF(AR76&lt;&gt;"",IF(G76=AR76,G78,IF(G78=AR76,G76,IF(G92=AR76,G94,IF(G94=AR76,G92,IF(AG76=AR76,AG78,IF(AG78=AR76,AG76,IF(AG92=AR76,AG94,IF(AG94=AR76,AG92,IF(G106=AR76,G108,IF(G108=AR76,G106,IF(G122=AR76,G124,IF(G124=AR76,G122,IF(AG106=AR76,AG108,IF(AG108=AR76,AG106,IF(AG122=AR76,AG124,IF(AG124=AR76,AG122)))))))))))))))),"")</f>
        <v>LUCAS F. CORREA</v>
      </c>
      <c r="AS84" s="33" t="str">
        <f>IFERROR(IF(AR84="","",VLOOKUP(AR84,LISTAS!$F$5:$G$1004,2,0)),"0")</f>
        <v>ABACO IPIRANGA</v>
      </c>
      <c r="AT84" s="33">
        <f t="shared" si="8"/>
        <v>105</v>
      </c>
      <c r="AU84" s="33">
        <f t="shared" si="9"/>
        <v>105</v>
      </c>
    </row>
    <row r="85" spans="2:47" ht="18" customHeight="1" thickBot="1" x14ac:dyDescent="0.3">
      <c r="B85" s="133"/>
      <c r="C85" s="188"/>
      <c r="D85" s="29"/>
      <c r="E85" s="29"/>
      <c r="F85" s="29"/>
      <c r="G85" s="188"/>
      <c r="H85" s="29"/>
      <c r="I85" s="35"/>
      <c r="J85" s="29"/>
      <c r="K85" s="170" t="str">
        <f>IFERROR(IF(K84="","",VLOOKUP(K84,LISTAS!$F$5:$G$1004,2,0)),"0")</f>
        <v>COLEGIO PETROPOLIS</v>
      </c>
      <c r="L85" s="267"/>
      <c r="M85" s="101"/>
      <c r="N85" s="101"/>
      <c r="O85" s="190"/>
      <c r="P85" s="101"/>
      <c r="Q85" s="37"/>
      <c r="R85" s="272" t="s">
        <v>30</v>
      </c>
      <c r="S85" s="273"/>
      <c r="T85" s="273"/>
      <c r="U85" s="273"/>
      <c r="V85" s="273"/>
      <c r="W85" s="37"/>
      <c r="X85" s="86"/>
      <c r="Y85" s="198"/>
      <c r="Z85" s="37"/>
      <c r="AA85" s="37"/>
      <c r="AB85" s="267"/>
      <c r="AC85" s="170" t="str">
        <f>IFERROR(IF(AC84="","",VLOOKUP(AC84,LISTAS!$F$5:$G$1004,2,0)),"0")</f>
        <v>ESCOLA STAGIUM</v>
      </c>
      <c r="AD85" s="37"/>
      <c r="AE85" s="89"/>
      <c r="AF85" s="37"/>
      <c r="AG85" s="198"/>
      <c r="AH85" s="37"/>
      <c r="AI85" s="37"/>
      <c r="AJ85" s="29"/>
      <c r="AK85" s="188"/>
      <c r="AL85" s="29"/>
      <c r="AP85" s="31">
        <f>IF(AR85&lt;&gt;"",1+COUNTIF(AP72:AP84,"1")+COUNTIF(AP72:AP84,"2")+COUNTIF(AP72:AP84,"3")+COUNTIF(AP72:AP84,"4")+COUNTIF(AP72:AP84,"5")+COUNTIF(AP72:AP84,"6")+COUNTIF(AP72:AP84,"7")+COUNTIF(AP72:AP84,"8")+COUNTIF(AP72:AP84,"9")+COUNTIF(AP72:AP84,"10")+COUNTIF(AP72:AP84,"11")+COUNTIF(AP72:AP84,"12")+COUNTIF(AP72:AP84,"13"),"")</f>
        <v>14</v>
      </c>
      <c r="AQ85" s="32" t="str">
        <f t="shared" si="7"/>
        <v>LUGAR</v>
      </c>
      <c r="AR85" s="111" t="str">
        <f>IF(AR77&lt;&gt;"",IF(G76=AR77,G78,IF(G78=AR77,G76,IF(G92=AR77,G94,IF(G94=AR77,G92,IF(AG76=AR77,AG78,IF(AG78=AR77,AG76,IF(AG92=AR77,AG94,IF(AG94=AR77,AG92,IF(G106=AR77,G108,IF(G108=AR77,G106,IF(G122=AR77,G124,IF(G124=AR77,G122,IF(AG106=AR77,AG108,IF(AG108=AR77,AG106,IF(AG122=AR77,AG124,IF(AG124=AR77,AG122)))))))))))))))),"")</f>
        <v>CARLOS EDUARDO RODRIGUES RIBEIRO</v>
      </c>
      <c r="AS85" s="33" t="str">
        <f>IFERROR(IF(AR85="","",VLOOKUP(AR85,LISTAS!$F$5:$G$1004,2,0)),"0")</f>
        <v>CENTRO DE ESTUDOS JÚLIO VERNE</v>
      </c>
      <c r="AT85" s="33">
        <f t="shared" si="8"/>
        <v>105</v>
      </c>
      <c r="AU85" s="33">
        <f t="shared" si="9"/>
        <v>105</v>
      </c>
    </row>
    <row r="86" spans="2:47" ht="18" customHeight="1" x14ac:dyDescent="0.25">
      <c r="B86" s="133"/>
      <c r="C86" s="188"/>
      <c r="D86" s="29"/>
      <c r="E86" s="29"/>
      <c r="F86" s="29"/>
      <c r="G86" s="188"/>
      <c r="H86" s="29"/>
      <c r="I86" s="35"/>
      <c r="J86" s="36"/>
      <c r="K86" s="169" t="str">
        <f>IF(H92&lt;&gt;"",IF(H94&lt;&gt;"",IF(H92=H94,"",IF(H92&gt;H94,G92,G94)),""),"")</f>
        <v>BRUNO PICHELLI ZUCHETTO</v>
      </c>
      <c r="L86" s="266">
        <v>0</v>
      </c>
      <c r="M86" s="107">
        <f>IF(L86&lt;&gt;"",L86,"")</f>
        <v>0</v>
      </c>
      <c r="N86" s="101" t="str">
        <f>IF(L86&lt;&gt;"",IF(K86="","",K86),"")</f>
        <v>BRUNO PICHELLI ZUCHETTO</v>
      </c>
      <c r="O86" s="190" t="str">
        <f>VLOOKUP(O84,M84:N86,2,0)</f>
        <v>BRUNO PICHELLI ZUCHETTO</v>
      </c>
      <c r="P86" s="101"/>
      <c r="Q86" s="37"/>
      <c r="R86" s="198"/>
      <c r="S86" s="37"/>
      <c r="T86" s="37"/>
      <c r="U86" s="37"/>
      <c r="V86" s="198"/>
      <c r="W86" s="37"/>
      <c r="X86" s="86"/>
      <c r="Y86" s="198"/>
      <c r="Z86" s="94"/>
      <c r="AA86" s="96"/>
      <c r="AB86" s="266">
        <v>0</v>
      </c>
      <c r="AC86" s="169" t="str">
        <f>IF(AF92&lt;&gt;"",IF(AF94&lt;&gt;"",IF(AF92=AF94,"",IF(AF92&gt;AF94,AG92,AG94)),""),"")</f>
        <v>MIGUEL FERREIRA DE JESUS</v>
      </c>
      <c r="AD86" s="37"/>
      <c r="AE86" s="89"/>
      <c r="AF86" s="37"/>
      <c r="AG86" s="198"/>
      <c r="AH86" s="37"/>
      <c r="AI86" s="37"/>
      <c r="AJ86" s="29"/>
      <c r="AK86" s="188"/>
      <c r="AL86" s="29"/>
      <c r="AP86" s="31">
        <f>IF(AR86&lt;&gt;"",1+COUNTIF(AP72:AP85,"1")+COUNTIF(AP72:AP85,"2")+COUNTIF(AP72:AP85,"3")+COUNTIF(AP72:AP85,"4")+COUNTIF(AP72:AP85,"5")+COUNTIF(AP72:AP85,"6")+COUNTIF(AP72:AP85,"7")+COUNTIF(AP72:AP85,"8")+COUNTIF(AP72:AP85,"9")+COUNTIF(AP72:AP85,"10")+COUNTIF(AP72:AP85,"11")+COUNTIF(AP72:AP85,"12")+COUNTIF(AP72:AP85,"13")+COUNTIF(AP72:AP85,"14"),"")</f>
        <v>15</v>
      </c>
      <c r="AQ86" s="32" t="str">
        <f t="shared" si="7"/>
        <v>LUGAR</v>
      </c>
      <c r="AR86" s="111" t="str">
        <f>IF(AR78&lt;&gt;"",IF(G76=AR78,G78,IF(G78=AR78,G76,IF(G92=AR78,G94,IF(G94=AR78,G92,IF(AG76=AR78,AG78,IF(AG78=AR78,AG76,IF(AG92=AR78,AG94,IF(AG94=AR78,AG92,IF(G106=AR78,G108,IF(G108=AR78,G106,IF(G122=AR78,G124,IF(G124=AR78,G122,IF(AG106=AR78,AG108,IF(AG108=AR78,AG106,IF(AG122=AR78,AG124,IF(AG124=AR78,AG122)))))))))))))))),"")</f>
        <v>GABRIEL LOURENÇO LESSA</v>
      </c>
      <c r="AS86" s="33" t="str">
        <f>IFERROR(IF(AR86="","",VLOOKUP(AR86,LISTAS!$F$5:$G$1004,2,0)),"0")</f>
        <v>CENTRO DE ESTUDOS JÚLIO VERNE</v>
      </c>
      <c r="AT86" s="33">
        <f t="shared" si="8"/>
        <v>105</v>
      </c>
      <c r="AU86" s="33">
        <f t="shared" si="9"/>
        <v>105</v>
      </c>
    </row>
    <row r="87" spans="2:47" ht="18" customHeight="1" thickBot="1" x14ac:dyDescent="0.3">
      <c r="B87" s="133"/>
      <c r="C87" s="188"/>
      <c r="D87" s="29"/>
      <c r="E87" s="29"/>
      <c r="F87" s="29"/>
      <c r="G87" s="188"/>
      <c r="H87" s="29"/>
      <c r="I87" s="35"/>
      <c r="J87" s="29"/>
      <c r="K87" s="170" t="str">
        <f>IFERROR(IF(K86="","",VLOOKUP(K86,LISTAS!$F$5:$G$1004,2,0)),"0")</f>
        <v>COLÉGIO SINGULAR SÃO CAETANO</v>
      </c>
      <c r="L87" s="267"/>
      <c r="M87" s="138"/>
      <c r="N87" s="101"/>
      <c r="O87" s="190"/>
      <c r="P87" s="101"/>
      <c r="Q87" s="37"/>
      <c r="R87" s="198"/>
      <c r="S87" s="37"/>
      <c r="T87" s="37"/>
      <c r="U87" s="37"/>
      <c r="V87" s="198"/>
      <c r="W87" s="37"/>
      <c r="X87" s="86"/>
      <c r="Y87" s="198"/>
      <c r="Z87" s="94"/>
      <c r="AA87" s="37"/>
      <c r="AB87" s="267"/>
      <c r="AC87" s="170" t="str">
        <f>IFERROR(IF(AC86="","",VLOOKUP(AC86,LISTAS!$F$5:$G$1004,2,0)),"0")</f>
        <v>CENTRO DE ESTUDOS JÚLIO VERNE</v>
      </c>
      <c r="AD87" s="37"/>
      <c r="AE87" s="89"/>
      <c r="AF87" s="37"/>
      <c r="AG87" s="198"/>
      <c r="AH87" s="37"/>
      <c r="AI87" s="37"/>
      <c r="AJ87" s="29"/>
      <c r="AK87" s="188"/>
      <c r="AL87" s="29"/>
      <c r="AP87" s="31">
        <f>IF(AR87&lt;&gt;"",1+COUNTIF(AP72:AP86,"1")+COUNTIF(AP72:AP86,"2")+COUNTIF(AP72:AP86,"3")+COUNTIF(AP72:AP86,"4")+COUNTIF(AP72:AP86,"5")+COUNTIF(AP72:AP86,"6")+COUNTIF(AP72:AP86,"7")+COUNTIF(AP72:AP86,"8")+COUNTIF(AP72:AP86,"9")+COUNTIF(AP72:AP86,"10")+COUNTIF(AP72:AP86,"11")+COUNTIF(AP72:AP86,"12")+COUNTIF(AP72:AP86,"13")+COUNTIF(AP72:AP86,"14")+COUNTIF(AP72:AP86,"15"),"")</f>
        <v>16</v>
      </c>
      <c r="AQ87" s="32" t="str">
        <f t="shared" si="7"/>
        <v>LUGAR</v>
      </c>
      <c r="AR87" s="111" t="str">
        <f>IF(AR79&lt;&gt;"",IF(G76=AR79,G78,IF(G78=AR79,G76,IF(G92=AR79,G94,IF(G94=AR79,G92,IF(AG76=AR79,AG78,IF(AG78=AR79,AG76,IF(AG92=AR79,AG94,IF(AG94=AR79,AG92,IF(G106=AR79,G108,IF(G108=AR79,G106,IF(G122=AR79,G124,IF(G124=AR79,G122,IF(AG106=AR79,AG108,IF(AG108=AR79,AG106,IF(AG122=AR79,AG124,IF(AG124=AR79,AG122)))))))))))))))),"")</f>
        <v>Benjamin Morgado Badanai</v>
      </c>
      <c r="AS87" s="33" t="str">
        <f>IFERROR(IF(AR87="","",VLOOKUP(AR87,LISTAS!$F$5:$G$1004,2,0)),"0")</f>
        <v>ESCOLA INTERAÇÃO</v>
      </c>
      <c r="AT87" s="33">
        <f t="shared" si="8"/>
        <v>105</v>
      </c>
      <c r="AU87" s="33">
        <f t="shared" si="9"/>
        <v>105</v>
      </c>
    </row>
    <row r="88" spans="2:47" ht="18" customHeight="1" x14ac:dyDescent="0.25">
      <c r="B88" s="133">
        <v>9</v>
      </c>
      <c r="C88" s="169" t="str">
        <f>IF('13M GRP'!G5&gt;=3,'13M GRP'!J126,IF('13M GRP'!G5=2,"",IF('13M GRP'!G5=1,"","")))</f>
        <v>GABRIEL LOURENÇO LESSA</v>
      </c>
      <c r="D88" s="266">
        <v>1</v>
      </c>
      <c r="E88" s="101">
        <f>IF(D88&lt;&gt;"",D88,"")</f>
        <v>1</v>
      </c>
      <c r="F88" s="101" t="str">
        <f>IF(D88&lt;&gt;"",IF(C88="","",C88),"")</f>
        <v>GABRIEL LOURENÇO LESSA</v>
      </c>
      <c r="G88" s="190">
        <f>IF(E88&lt;&gt;"",IF(E90&lt;&gt;"",SMALL(E88:E90,1),""),"")</f>
        <v>0</v>
      </c>
      <c r="H88" s="101"/>
      <c r="I88" s="138"/>
      <c r="J88" s="101"/>
      <c r="K88" s="190"/>
      <c r="L88" s="29"/>
      <c r="M88" s="138"/>
      <c r="N88" s="101"/>
      <c r="O88" s="190"/>
      <c r="P88" s="101"/>
      <c r="Q88" s="37"/>
      <c r="R88" s="198"/>
      <c r="S88" s="37"/>
      <c r="T88" s="37"/>
      <c r="U88" s="37"/>
      <c r="V88" s="198"/>
      <c r="W88" s="37"/>
      <c r="X88" s="86"/>
      <c r="Y88" s="198"/>
      <c r="Z88" s="94"/>
      <c r="AA88" s="37"/>
      <c r="AB88" s="29"/>
      <c r="AC88" s="198"/>
      <c r="AD88" s="100"/>
      <c r="AE88" s="144"/>
      <c r="AF88" s="100"/>
      <c r="AG88" s="197">
        <f>IF(AJ88&lt;&gt;"",AJ88,"")</f>
        <v>1</v>
      </c>
      <c r="AH88" s="100" t="str">
        <f>IF(AJ88&lt;&gt;"",IF(AK88="","",AK88),"")</f>
        <v>Benjamin Morgado Badanai</v>
      </c>
      <c r="AI88" s="101">
        <f>IF(AG88&lt;&gt;"",IF(AG90&lt;&gt;"",SMALL(AG88:AG90,1),""),"")</f>
        <v>0</v>
      </c>
      <c r="AJ88" s="266">
        <v>1</v>
      </c>
      <c r="AK88" s="169" t="str">
        <f>IF('13M GRP'!G5&gt;=3,'13M GRP'!J295,IF('13M GRP'!G5=2,"",IF('13M GRP'!G5=1,"","")))</f>
        <v>Benjamin Morgado Badanai</v>
      </c>
      <c r="AL88" s="29">
        <v>22</v>
      </c>
      <c r="AP88" s="31">
        <f>IF(AR88&lt;&gt;"",1+COUNTIF(AP72:AP87,"1")+COUNTIF(AP72:AP87,"2")+COUNTIF(AP72:AP87,"3")+COUNTIF(AP72:AP87,"4")+COUNTIF(AP72:AP87,"5")+COUNTIF(AP72:AP87,"6")+COUNTIF(AP72:AP87,"7")+COUNTIF(AP72:AP87,"8")+COUNTIF(AP72:AP87,"9")+COUNTIF(AP72:AP87,"10")+COUNTIF(AP72:AP87,"11")+COUNTIF(AP72:AP87,"12")+COUNTIF(AP72:AP87,"13")+COUNTIF(AP72:AP87,"14")+COUNTIF(AP72:AP87,"15")+COUNTIF(AP72:AP87,"16"),"")</f>
        <v>17</v>
      </c>
      <c r="AQ88" s="32" t="str">
        <f t="shared" si="7"/>
        <v>LUGAR</v>
      </c>
      <c r="AR88" s="111" t="str">
        <f>IF(AR72&lt;&gt;"",IF(C72=AR72,G74,IF(C74=AR72,G74,IF(C80=AR72,G82,IF(C82=AR72,G82,IF(C102=AR72,G104,IF(C104=AR72,G104,IF(C110=AR72,G112,IF(C112=AR72,G112,IF(C88=AR72,G90,IF(C90=AR72,G90,IF(C96=AR72,G98,IF(C98=AR72,G98,IF(C118=AR72,G120,IF(C120=AR72,G120,IF(C126=AR72,G128,IF(C128=AR72,G128,IF(AK72=AR72,AI74,IF(AK74=AR72,AI74,IF(AK80=AR72,AI82,IF(AK82=AR72,AI82,IF(AK102=AR72,AI104,IF(AK104=AR72,AI104,IF(AK110=AR72,AI112,IF(AK112=AR72,AI112,IF(AK88=AR72,AI90,IF(AK90=AR72,AI90,IF(AK96=AR72,AI98,IF(AK98=AR72,AI98,IF(AK118=AR72,AI120,IF(AK120=AR72,AI120,IF(AK126=AR72,AI128,IF(AK128=AR72,AI128)))))))))))))))))))))))))))))))),"")</f>
        <v>JOÃO PAULO GIANNOTTI BATISTUCCI</v>
      </c>
      <c r="AS88" s="33" t="str">
        <f>IFERROR(IF(AR88="","",VLOOKUP(AR88,LISTAS!$F$5:$G$1004,2,0)),"0")</f>
        <v>COLEGIO PETROPOLIS</v>
      </c>
      <c r="AT88" s="33">
        <v>102</v>
      </c>
      <c r="AU88" s="33" t="str">
        <f t="shared" si="9"/>
        <v/>
      </c>
    </row>
    <row r="89" spans="2:47" ht="18" customHeight="1" thickBot="1" x14ac:dyDescent="0.3">
      <c r="B89" s="133"/>
      <c r="C89" s="170" t="str">
        <f>IFERROR(IF(C88="","",VLOOKUP(C88,LISTAS!$F$5:$G$1004,2,0)),"0")</f>
        <v>CENTRO DE ESTUDOS JÚLIO VERNE</v>
      </c>
      <c r="D89" s="267"/>
      <c r="E89" s="101"/>
      <c r="F89" s="101"/>
      <c r="G89" s="190"/>
      <c r="H89" s="101"/>
      <c r="I89" s="138"/>
      <c r="J89" s="101"/>
      <c r="K89" s="190"/>
      <c r="L89" s="29"/>
      <c r="M89" s="35"/>
      <c r="N89" s="29"/>
      <c r="O89" s="188"/>
      <c r="P89" s="29"/>
      <c r="Q89" s="37"/>
      <c r="R89" s="198"/>
      <c r="S89" s="37"/>
      <c r="T89" s="37"/>
      <c r="U89" s="37"/>
      <c r="V89" s="198"/>
      <c r="W89" s="37"/>
      <c r="X89" s="86"/>
      <c r="Y89" s="198"/>
      <c r="Z89" s="94"/>
      <c r="AA89" s="37"/>
      <c r="AB89" s="29"/>
      <c r="AC89" s="198"/>
      <c r="AD89" s="100"/>
      <c r="AE89" s="144"/>
      <c r="AF89" s="100"/>
      <c r="AG89" s="197"/>
      <c r="AH89" s="100"/>
      <c r="AI89" s="101"/>
      <c r="AJ89" s="267"/>
      <c r="AK89" s="170" t="str">
        <f>IFERROR(IF(AK88="","",VLOOKUP(AK88,LISTAS!$F$5:$G$1004,2,0)),"0")</f>
        <v>ESCOLA INTERAÇÃO</v>
      </c>
      <c r="AL89" s="29"/>
      <c r="AP89" s="31">
        <f>IF(AR89&lt;&gt;"",1+COUNTIF(AP72:AP88,"1")+COUNTIF(AP72:AP88,"2")+COUNTIF(AP72:AP88,"3")+COUNTIF(AP72:AP88,"4")+COUNTIF(AP72:AP88,"5")+COUNTIF(AP72:AP88,"6")+COUNTIF(AP72:AP88,"7")+COUNTIF(AP72:AP88,"8")+COUNTIF(AP72:AP88,"9")+COUNTIF(AP72:AP88,"10")+COUNTIF(AP72:AP88,"11")+COUNTIF(AP72:AP88,"12")+COUNTIF(AP72:AP88,"13")+COUNTIF(AP72:AP88,"14")+COUNTIF(AP72:AP88,"15")+COUNTIF(AP72:AP88,"16")+COUNTIF(AP72:AP88,"17"),"")</f>
        <v>18</v>
      </c>
      <c r="AQ89" s="32" t="str">
        <f t="shared" si="7"/>
        <v>LUGAR</v>
      </c>
      <c r="AR89" s="111" t="str">
        <f>IF(AR73&lt;&gt;"",IF(C72=AR73,G74,IF(C74=AR73,G74,IF(C80=AR73,G82,IF(C82=AR73,G82,IF(C102=AR73,G104,IF(C104=AR73,G104,IF(C110=AR73,G112,IF(C112=AR73,G112,IF(C88=AR73,G90,IF(C90=AR73,G90,IF(C96=AR73,G98,IF(C98=AR73,G98,IF(C118=AR73,G120,IF(C120=AR73,G120,IF(C126=AR73,G128,IF(C128=AR73,G128,IF(AK72=AR73,AI74,IF(AK74=AR73,AI74,IF(AK80=AR73,AI82,IF(AK82=AR73,AI82,IF(AK102=AR73,AI104,IF(AK104=AR73,AI104,IF(AK110=AR73,AI112,IF(AK112=AR73,AI112,IF(AK88=AR73,AI90,IF(AK90=AR73,AI90,IF(AK96=AR73,AI98,IF(AK98=AR73,AI98,IF(AK118=AR73,AI120,IF(AK120=AR73,AI120,IF(AK126=AR73,AI128,IF(AK128=AR73,AI128)))))))))))))))))))))))))))))))),"")</f>
        <v>Pedro Henrique Carvalho Moreira</v>
      </c>
      <c r="AS89" s="33" t="str">
        <f>IFERROR(IF(AR89="","",VLOOKUP(AR89,LISTAS!$F$5:$G$1004,2,0)),"0")</f>
        <v>ESCOLA INTERAÇÃO</v>
      </c>
      <c r="AT89" s="33">
        <v>102</v>
      </c>
      <c r="AU89" s="33" t="str">
        <f t="shared" si="9"/>
        <v/>
      </c>
    </row>
    <row r="90" spans="2:47" ht="18" customHeight="1" x14ac:dyDescent="0.25">
      <c r="B90" s="133">
        <v>24</v>
      </c>
      <c r="C90" s="169" t="str">
        <f>IF('13M GRP'!G5&gt;=3,'13M GRP'!J321,IF('13M GRP'!G5=2,"",IF('13M GRP'!G5=1,"","")))</f>
        <v>Pedro Rocha Antonangelo da Silva</v>
      </c>
      <c r="D90" s="266">
        <v>0</v>
      </c>
      <c r="E90" s="107">
        <f>IF(D90&lt;&gt;"",D90,"")</f>
        <v>0</v>
      </c>
      <c r="F90" s="101" t="str">
        <f>IF(D90&lt;&gt;"",IF(C90="","",C90),"")</f>
        <v>Pedro Rocha Antonangelo da Silva</v>
      </c>
      <c r="G90" s="190" t="str">
        <f>VLOOKUP(G88,E88:F90,2,0)</f>
        <v>Pedro Rocha Antonangelo da Silva</v>
      </c>
      <c r="H90" s="101"/>
      <c r="I90" s="138"/>
      <c r="J90" s="101"/>
      <c r="K90" s="190"/>
      <c r="L90" s="29"/>
      <c r="M90" s="35"/>
      <c r="N90" s="29"/>
      <c r="O90" s="188"/>
      <c r="P90" s="29"/>
      <c r="Q90" s="37"/>
      <c r="R90" s="198"/>
      <c r="S90" s="37"/>
      <c r="T90" s="37"/>
      <c r="U90" s="37"/>
      <c r="V90" s="198"/>
      <c r="W90" s="37"/>
      <c r="X90" s="86"/>
      <c r="Y90" s="198"/>
      <c r="Z90" s="94"/>
      <c r="AA90" s="37"/>
      <c r="AB90" s="29"/>
      <c r="AC90" s="198"/>
      <c r="AD90" s="100"/>
      <c r="AE90" s="144"/>
      <c r="AF90" s="100"/>
      <c r="AG90" s="197">
        <f>IF(AJ90&lt;&gt;"",AJ90,"")</f>
        <v>0</v>
      </c>
      <c r="AH90" s="100" t="str">
        <f>IF(AJ90&lt;&gt;"",IF(AK90="","",AK90),"")</f>
        <v>DANIEL MAYER BONTEMPI</v>
      </c>
      <c r="AI90" s="102" t="str">
        <f>VLOOKUP(AI88,AG88:AH90,2,0)</f>
        <v>DANIEL MAYER BONTEMPI</v>
      </c>
      <c r="AJ90" s="266">
        <v>0</v>
      </c>
      <c r="AK90" s="169" t="str">
        <f>IF('13M GRP'!G5&gt;=3,'13M GRP'!J152,IF('13M GRP'!G5=2,"",IF('13M GRP'!G5=1,"","")))</f>
        <v>DANIEL MAYER BONTEMPI</v>
      </c>
      <c r="AL90" s="29">
        <v>11</v>
      </c>
      <c r="AP90" s="31">
        <f>IF(AR90&lt;&gt;"",1+COUNTIF(AP72:AP89,"1")+COUNTIF(AP72:AP89,"2")+COUNTIF(AP72:AP89,"3")+COUNTIF(AP72:AP89,"4")+COUNTIF(AP72:AP89,"5")+COUNTIF(AP72:AP89,"6")+COUNTIF(AP72:AP89,"7")+COUNTIF(AP72:AP89,"8")+COUNTIF(AP72:AP89,"9")+COUNTIF(AP72:AP89,"10")+COUNTIF(AP72:AP89,"11")+COUNTIF(AP72:AP89,"12")+COUNTIF(AP72:AP89,"13")+COUNTIF(AP72:AP89,"14")+COUNTIF(AP72:AP89,"15")+COUNTIF(AP72:AP89,"16")+COUNTIF(AP72:AP89,"17")+COUNTIF(AP72:AP89,"18"),"")</f>
        <v>19</v>
      </c>
      <c r="AQ90" s="32" t="str">
        <f t="shared" si="7"/>
        <v>LUGAR</v>
      </c>
      <c r="AR90" s="111" t="str">
        <f>IF(AR74&lt;&gt;"",IF(C72=AR74,G74,IF(C74=AR74,G74,IF(C80=AR74,G82,IF(C82=AR74,G82,IF(C102=AR74,G104,IF(C104=AR74,G104,IF(C110=AR74,G112,IF(C112=AR74,G112,IF(C88=AR74,G90,IF(C90=AR74,G90,IF(C96=AR74,G98,IF(C98=AR74,G98,IF(C118=AR74,G120,IF(C120=AR74,G120,IF(C126=AR74,G128,IF(C128=AR74,G128,IF(AK72=AR74,AI74,IF(AK74=AR74,AI74,IF(AK80=AR74,AI82,IF(AK82=AR74,AI82,IF(AK102=AR74,AI104,IF(AK104=AR74,AI104,IF(AK110=AR74,AI112,IF(AK112=AR74,AI112,IF(AK88=AR74,AI90,IF(AK90=AR74,AI90,IF(AK96=AR74,AI98,IF(AK98=AR74,AI98,IF(AK118=AR74,AI120,IF(AK120=AR74,AI120,IF(AK126=AR74,AI128,IF(AK128=AR74,AI128)))))))))))))))))))))))))))))))),"")</f>
        <v>MURILO SILVA GOMES</v>
      </c>
      <c r="AS90" s="33" t="str">
        <f>IFERROR(IF(AR90="","",VLOOKUP(AR90,LISTAS!$F$5:$G$1004,2,0)),"0")</f>
        <v>COLEGIO PETROPOLIS</v>
      </c>
      <c r="AT90" s="33">
        <v>102</v>
      </c>
      <c r="AU90" s="33" t="str">
        <f t="shared" si="9"/>
        <v/>
      </c>
    </row>
    <row r="91" spans="2:47" ht="18" customHeight="1" thickBot="1" x14ac:dyDescent="0.3">
      <c r="B91" s="133"/>
      <c r="C91" s="170" t="str">
        <f>IFERROR(IF(C90="","",VLOOKUP(C90,LISTAS!$F$5:$G$1004,2,0)),"0")</f>
        <v>ESCOLA INTERAÇÃO</v>
      </c>
      <c r="D91" s="267"/>
      <c r="E91" s="148"/>
      <c r="F91" s="101"/>
      <c r="G91" s="190"/>
      <c r="H91" s="101"/>
      <c r="I91" s="138"/>
      <c r="J91" s="101"/>
      <c r="K91" s="190"/>
      <c r="L91" s="29"/>
      <c r="M91" s="35"/>
      <c r="N91" s="29"/>
      <c r="O91" s="188"/>
      <c r="P91" s="29"/>
      <c r="Q91" s="37"/>
      <c r="R91" s="198"/>
      <c r="S91" s="37"/>
      <c r="T91" s="37"/>
      <c r="U91" s="37"/>
      <c r="V91" s="198"/>
      <c r="W91" s="37"/>
      <c r="X91" s="86"/>
      <c r="Y91" s="198"/>
      <c r="Z91" s="94"/>
      <c r="AA91" s="37"/>
      <c r="AB91" s="29"/>
      <c r="AC91" s="198"/>
      <c r="AD91" s="100"/>
      <c r="AE91" s="144"/>
      <c r="AF91" s="100"/>
      <c r="AG91" s="197"/>
      <c r="AH91" s="100"/>
      <c r="AI91" s="142"/>
      <c r="AJ91" s="267"/>
      <c r="AK91" s="170" t="str">
        <f>IFERROR(IF(AK90="","",VLOOKUP(AK90,LISTAS!$F$5:$G$1004,2,0)),"0")</f>
        <v>COLÉGIO ARBOS - UNIDADE SANTO ANDRÉ</v>
      </c>
      <c r="AL91" s="29"/>
      <c r="AP91" s="31">
        <f>IF(AR91&lt;&gt;"",1+COUNTIF(AP72:AP90,"1")+COUNTIF(AP72:AP90,"2")+COUNTIF(AP72:AP90,"3")+COUNTIF(AP72:AP90,"4")+COUNTIF(AP72:AP90,"5")+COUNTIF(AP72:AP90,"6")+COUNTIF(AP72:AP90,"7")+COUNTIF(AP72:AP90,"8")+COUNTIF(AP72:AP90,"9")+COUNTIF(AP72:AP90,"10")+COUNTIF(AP72:AP90,"11")+COUNTIF(AP72:AP90,"12")+COUNTIF(AP72:AP90,"13")+COUNTIF(AP72:AP90,"14")+COUNTIF(AP72:AP90,"15")+COUNTIF(AP72:AP90,"16")+COUNTIF(AP72:AP90,"17")+COUNTIF(AP72:AP90,"18")+COUNTIF(AP72:AP90,"19"),"")</f>
        <v>20</v>
      </c>
      <c r="AQ91" s="32" t="str">
        <f t="shared" si="7"/>
        <v>LUGAR</v>
      </c>
      <c r="AR91" s="111" t="str">
        <f>IF(AR75&lt;&gt;"",IF(C72=AR75,G74,IF(C74=AR75,G74,IF(C80=AR75,G82,IF(C82=AR75,G82,IF(C102=AR75,G104,IF(C104=AR75,G104,IF(C110=AR75,G112,IF(C112=AR75,G112,IF(C88=AR75,G90,IF(C90=AR75,G90,IF(C96=AR75,G98,IF(C98=AR75,G98,IF(C118=AR75,G120,IF(C120=AR75,G120,IF(C126=AR75,G128,IF(C128=AR75,G128,IF(AK72=AR75,AI74,IF(AK74=AR75,AI74,IF(AK80=AR75,AI82,IF(AK82=AR75,AI82,IF(AK102=AR75,AI104,IF(AK104=AR75,AI104,IF(AK110=AR75,AI112,IF(AK112=AR75,AI112,IF(AK88=AR75,AI90,IF(AK90=AR75,AI90,IF(AK96=AR75,AI98,IF(AK98=AR75,AI98,IF(AK118=AR75,AI120,IF(AK120=AR75,AI120,IF(AK126=AR75,AI128,IF(AK128=AR75,AI128)))))))))))))))))))))))))))))))),"")</f>
        <v xml:space="preserve">JOÃO PEDRO GRAZIANO </v>
      </c>
      <c r="AS91" s="33" t="str">
        <f>IFERROR(IF(AR91="","",VLOOKUP(AR91,LISTAS!$F$5:$G$1004,2,0)),"0")</f>
        <v>ESCOLA STAGIUM</v>
      </c>
      <c r="AT91" s="33">
        <v>102</v>
      </c>
      <c r="AU91" s="33" t="str">
        <f t="shared" si="9"/>
        <v/>
      </c>
    </row>
    <row r="92" spans="2:47" ht="18" customHeight="1" x14ac:dyDescent="0.25">
      <c r="B92" s="133"/>
      <c r="C92" s="188"/>
      <c r="D92" s="29"/>
      <c r="E92" s="29"/>
      <c r="F92" s="34"/>
      <c r="G92" s="169" t="str">
        <f>IF(D88&lt;&gt;"",IF(D90&lt;&gt;"",IF(D88=D90,"",IF(D88&gt;D90,C88,C90)),""),"")</f>
        <v>GABRIEL LOURENÇO LESSA</v>
      </c>
      <c r="H92" s="266">
        <v>0</v>
      </c>
      <c r="I92" s="148">
        <f>IF(H92&lt;&gt;"",H92,"")</f>
        <v>0</v>
      </c>
      <c r="J92" s="101" t="str">
        <f>IF(H92&lt;&gt;"",IF(G92="","",G92),"")</f>
        <v>GABRIEL LOURENÇO LESSA</v>
      </c>
      <c r="K92" s="190">
        <f>IF(I92&lt;&gt;"",IF(I94&lt;&gt;"",SMALL(I92:J94,1),""),"")</f>
        <v>0</v>
      </c>
      <c r="L92" s="101"/>
      <c r="M92" s="138"/>
      <c r="N92" s="101"/>
      <c r="O92" s="190"/>
      <c r="P92" s="29"/>
      <c r="Q92" s="37"/>
      <c r="R92" s="198"/>
      <c r="S92" s="37"/>
      <c r="T92" s="37"/>
      <c r="U92" s="37"/>
      <c r="V92" s="198"/>
      <c r="W92" s="37"/>
      <c r="X92" s="86"/>
      <c r="Y92" s="198"/>
      <c r="Z92" s="94"/>
      <c r="AA92" s="37"/>
      <c r="AB92" s="29"/>
      <c r="AC92" s="198"/>
      <c r="AD92" s="37"/>
      <c r="AE92" s="34"/>
      <c r="AF92" s="266">
        <v>0</v>
      </c>
      <c r="AG92" s="169" t="str">
        <f>IF(AJ88&lt;&gt;"",IF(AJ90&lt;&gt;"",IF(AJ88=AJ90,"",IF(AJ88&gt;AJ90,AK88,AK90)),""),"")</f>
        <v>Benjamin Morgado Badanai</v>
      </c>
      <c r="AH92" s="94"/>
      <c r="AI92" s="37"/>
      <c r="AJ92" s="29"/>
      <c r="AK92" s="188"/>
      <c r="AL92" s="29"/>
      <c r="AN92" s="23"/>
      <c r="AO92" s="23"/>
      <c r="AP92" s="31">
        <f>IF(AR92&lt;&gt;"",1+COUNTIF(AP72:AP91,"1")+COUNTIF(AP72:AP91,"2")+COUNTIF(AP72:AP91,"3")+COUNTIF(AP72:AP91,"4")+COUNTIF(AP72:AP91,"5")+COUNTIF(AP72:AP91,"6")+COUNTIF(AP72:AP91,"7")+COUNTIF(AP72:AP91,"8")+COUNTIF(AP72:AP91,"9")+COUNTIF(AP72:AP91,"10")+COUNTIF(AP72:AP91,"11")+COUNTIF(AP72:AP91,"12")+COUNTIF(AP72:AP91,"13")+COUNTIF(AP72:AP91,"14")+COUNTIF(AP72:AP91,"15")+COUNTIF(AP72:AP91,"16")+COUNTIF(AP72:AP91,"17")+COUNTIF(AP72:AP91,"18")+COUNTIF(AP72:AP91,"19")+COUNTIF(AP72:AP91,"20"),"")</f>
        <v>21</v>
      </c>
      <c r="AQ92" s="32" t="str">
        <f t="shared" si="7"/>
        <v>LUGAR</v>
      </c>
      <c r="AR92" s="111" t="str">
        <f>IF(AR76&lt;&gt;"",IF(C72=AR76,G74,IF(C74=AR76,G74,IF(C80=AR76,G82,IF(C82=AR76,G82,IF(C102=AR76,G104,IF(C104=AR76,G104,IF(C110=AR76,G112,IF(C112=AR76,G112,IF(C88=AR76,G90,IF(C90=AR76,G90,IF(C96=AR76,G98,IF(C98=AR76,G98,IF(C118=AR76,G120,IF(C120=AR76,G120,IF(C126=AR76,G128,IF(C128=AR76,G128,IF(AK72=AR76,AI74,IF(AK74=AR76,AI74,IF(AK80=AR76,AI82,IF(AK82=AR76,AI82,IF(AK102=AR76,AI104,IF(AK104=AR76,AI104,IF(AK110=AR76,AI112,IF(AK112=AR76,AI112,IF(AK88=AR76,AI90,IF(AK90=AR76,AI90,IF(AK96=AR76,AI98,IF(AK98=AR76,AI98,IF(AK118=AR76,AI120,IF(AK120=AR76,AI120,IF(AK126=AR76,AI128,IF(AK128=AR76,AI128)))))))))))))))))))))))))))))))),"")</f>
        <v>RENZO CUNHA DI FRANCESCO CEPPO</v>
      </c>
      <c r="AS92" s="33" t="str">
        <f>IFERROR(IF(AR92="","",VLOOKUP(AR92,LISTAS!$F$5:$G$1004,2,0)),"0")</f>
        <v>LICEU JARDIM</v>
      </c>
      <c r="AT92" s="33">
        <v>102</v>
      </c>
      <c r="AU92" s="33" t="str">
        <f t="shared" si="9"/>
        <v/>
      </c>
    </row>
    <row r="93" spans="2:47" ht="18" customHeight="1" thickBot="1" x14ac:dyDescent="0.3">
      <c r="B93" s="133"/>
      <c r="C93" s="188"/>
      <c r="D93" s="29"/>
      <c r="E93" s="29"/>
      <c r="F93" s="34"/>
      <c r="G93" s="170" t="str">
        <f>IFERROR(IF(G92="","",VLOOKUP(G92,LISTAS!$F$5:$G$1004,2,0)),"0")</f>
        <v>CENTRO DE ESTUDOS JÚLIO VERNE</v>
      </c>
      <c r="H93" s="267"/>
      <c r="I93" s="105"/>
      <c r="J93" s="101"/>
      <c r="K93" s="190"/>
      <c r="L93" s="101"/>
      <c r="M93" s="138"/>
      <c r="N93" s="101"/>
      <c r="O93" s="190"/>
      <c r="P93" s="29"/>
      <c r="Q93" s="37"/>
      <c r="R93" s="198"/>
      <c r="S93" s="37"/>
      <c r="T93" s="37"/>
      <c r="U93" s="37"/>
      <c r="V93" s="198"/>
      <c r="W93" s="37"/>
      <c r="X93" s="86"/>
      <c r="Y93" s="198"/>
      <c r="Z93" s="94"/>
      <c r="AA93" s="37"/>
      <c r="AB93" s="29"/>
      <c r="AC93" s="198"/>
      <c r="AD93" s="37"/>
      <c r="AE93" s="140"/>
      <c r="AF93" s="267"/>
      <c r="AG93" s="170" t="str">
        <f>IFERROR(IF(AG92="","",VLOOKUP(AG92,LISTAS!$F$5:$G$1004,2,0)),"0")</f>
        <v>ESCOLA INTERAÇÃO</v>
      </c>
      <c r="AH93" s="94"/>
      <c r="AI93" s="37"/>
      <c r="AJ93" s="29"/>
      <c r="AK93" s="188"/>
      <c r="AL93" s="29"/>
      <c r="AM93" s="23"/>
      <c r="AN93" s="23"/>
      <c r="AO93" s="23"/>
      <c r="AP93" s="31">
        <f>IF(AR93&lt;&gt;"",1+COUNTIF(AP72:AP92,"1")+COUNTIF(AP72:AP92,"2")+COUNTIF(AP72:AP92,"3")+COUNTIF(AP72:AP92,"4")+COUNTIF(AP72:AP92,"5")+COUNTIF(AP72:AP92,"6")+COUNTIF(AP72:AP92,"7")+COUNTIF(AP72:AP92,"8")+COUNTIF(AP72:AP92,"9")+COUNTIF(AP72:AP92,"10")+COUNTIF(AP72:AP92,"11")+COUNTIF(AP72:AP92,"12")+COUNTIF(AP72:AP92,"13")+COUNTIF(AP72:AP92,"14")+COUNTIF(AP72:AP92,"15")+COUNTIF(AP72:AP92,"16")+COUNTIF(AP72:AP92,"17")+COUNTIF(AP72:AP92,"18")+COUNTIF(AP72:AP92,"19")+COUNTIF(AP72:AP92,"20")+COUNTIF(AP72:AP92,"21"),"")</f>
        <v>22</v>
      </c>
      <c r="AQ93" s="32" t="str">
        <f t="shared" si="7"/>
        <v>LUGAR</v>
      </c>
      <c r="AR93" s="111" t="str">
        <f>IF(AR77&lt;&gt;"",IF(C72=AR77,G74,IF(C74=AR77,G74,IF(C80=AR77,G82,IF(C82=AR77,G82,IF(C102=AR77,G104,IF(C104=AR77,G104,IF(C110=AR77,G112,IF(C112=AR77,G112,IF(C88=AR77,G90,IF(C90=AR77,G90,IF(C96=AR77,G98,IF(C98=AR77,G98,IF(C118=AR77,G120,IF(C120=AR77,G120,IF(C126=AR77,G128,IF(C128=AR77,G128,IF(AK72=AR77,AI74,IF(AK74=AR77,AI74,IF(AK80=AR77,AI82,IF(AK82=AR77,AI82,IF(AK102=AR77,AI104,IF(AK104=AR77,AI104,IF(AK110=AR77,AI112,IF(AK112=AR77,AI112,IF(AK88=AR77,AI90,IF(AK90=AR77,AI90,IF(AK96=AR77,AI98,IF(AK98=AR77,AI98,IF(AK118=AR77,AI120,IF(AK120=AR77,AI120,IF(AK126=AR77,AI128,IF(AK128=AR77,AI128)))))))))))))))))))))))))))))))),"")</f>
        <v>GABRIEL VASCONCELLOS STANGUINI</v>
      </c>
      <c r="AS93" s="33" t="str">
        <f>IFERROR(IF(AR93="","",VLOOKUP(AR93,LISTAS!$F$5:$G$1004,2,0)),"0")</f>
        <v>COLÉGIO ARBOS SÃO CAETANO DO SUL</v>
      </c>
      <c r="AT93" s="33">
        <v>102</v>
      </c>
      <c r="AU93" s="33" t="str">
        <f t="shared" si="9"/>
        <v/>
      </c>
    </row>
    <row r="94" spans="2:47" ht="18" customHeight="1" x14ac:dyDescent="0.25">
      <c r="B94" s="133"/>
      <c r="C94" s="188"/>
      <c r="D94" s="29"/>
      <c r="E94" s="35"/>
      <c r="F94" s="36"/>
      <c r="G94" s="169" t="str">
        <f>IF(D96&lt;&gt;"",IF(D98&lt;&gt;"",IF(D96=D98,"",IF(D96&gt;D98,C96,C98)),""),"")</f>
        <v>BRUNO PICHELLI ZUCHETTO</v>
      </c>
      <c r="H94" s="266">
        <v>1</v>
      </c>
      <c r="I94" s="106">
        <f>IF(H94&lt;&gt;"",H94,"")</f>
        <v>1</v>
      </c>
      <c r="J94" s="101" t="str">
        <f>IF(H94&lt;&gt;"",IF(G94="","",G94),"")</f>
        <v>BRUNO PICHELLI ZUCHETTO</v>
      </c>
      <c r="K94" s="190" t="str">
        <f>VLOOKUP(K92,I92:J94,2,0)</f>
        <v>GABRIEL LOURENÇO LESSA</v>
      </c>
      <c r="L94" s="101"/>
      <c r="M94" s="138"/>
      <c r="N94" s="101"/>
      <c r="O94" s="190"/>
      <c r="P94" s="29"/>
      <c r="Q94" s="37"/>
      <c r="R94" s="198"/>
      <c r="S94" s="37"/>
      <c r="T94" s="37"/>
      <c r="U94" s="37"/>
      <c r="V94" s="198"/>
      <c r="W94" s="37"/>
      <c r="X94" s="86"/>
      <c r="Y94" s="198"/>
      <c r="Z94" s="94"/>
      <c r="AA94" s="37"/>
      <c r="AB94" s="29"/>
      <c r="AC94" s="198"/>
      <c r="AD94" s="37"/>
      <c r="AE94" s="91"/>
      <c r="AF94" s="266">
        <v>1</v>
      </c>
      <c r="AG94" s="169" t="str">
        <f>IF(AJ96&lt;&gt;"",IF(AJ98&lt;&gt;"",IF(AJ96=AJ98,"",IF(AJ96&gt;AJ98,AK96,AK98)),""),"")</f>
        <v>MIGUEL FERREIRA DE JESUS</v>
      </c>
      <c r="AH94" s="98"/>
      <c r="AI94" s="37"/>
      <c r="AJ94" s="29"/>
      <c r="AK94" s="188"/>
      <c r="AL94" s="29"/>
      <c r="AM94" s="23"/>
      <c r="AP94" s="31">
        <f>IF(AR94&lt;&gt;"",1+COUNTIF(AP72:AP93,"1")+COUNTIF(AP72:AP93,"2")+COUNTIF(AP72:AP93,"3")+COUNTIF(AP72:AP93,"4")+COUNTIF(AP72:AP93,"5")+COUNTIF(AP72:AP93,"6")+COUNTIF(AP72:AP93,"7")+COUNTIF(AP72:AP93,"8")+COUNTIF(AP72:AP93,"9")+COUNTIF(AP72:AP93,"10")+COUNTIF(AP72:AP93,"11")+COUNTIF(AP72:AP93,"12")+COUNTIF(AP72:AP93,"13")+COUNTIF(AP72:AP93,"14")+COUNTIF(AP72:AP93,"15")+COUNTIF(AP72:AP93,"16")+COUNTIF(AP72:AP93,"17")+COUNTIF(AP72:AP93,"18")+COUNTIF(AP72:AP93,"19")+COUNTIF(AP72:AP93,"20")+COUNTIF(AP72:AP93,"21")+COUNTIF(AP72:AP93,"22"),"")</f>
        <v>23</v>
      </c>
      <c r="AQ94" s="32" t="str">
        <f t="shared" si="7"/>
        <v>LUGAR</v>
      </c>
      <c r="AR94" s="111" t="str">
        <f>IF(AR78&lt;&gt;"",IF(C72=AR78,G74,IF(C74=AR78,G74,IF(C80=AR78,G82,IF(C82=AR78,G82,IF(C102=AR78,G104,IF(C104=AR78,G104,IF(C110=AR78,G112,IF(C112=AR78,G112,IF(C88=AR78,G90,IF(C90=AR78,G90,IF(C96=AR78,G98,IF(C98=AR78,G98,IF(C118=AR78,G120,IF(C120=AR78,G120,IF(C126=AR78,G128,IF(C128=AR78,G128,IF(AK72=AR78,AI74,IF(AK74=AR78,AI74,IF(AK80=AR78,AI82,IF(AK82=AR78,AI82,IF(AK102=AR78,AI104,IF(AK104=AR78,AI104,IF(AK110=AR78,AI112,IF(AK112=AR78,AI112,IF(AK88=AR78,AI90,IF(AK90=AR78,AI90,IF(AK96=AR78,AI98,IF(AK98=AR78,AI98,IF(AK118=AR78,AI120,IF(AK120=AR78,AI120,IF(AK126=AR78,AI128,IF(AK128=AR78,AI128)))))))))))))))))))))))))))))))),"")</f>
        <v>LUCAS BATISTA PAVANELLO</v>
      </c>
      <c r="AS94" s="33" t="str">
        <f>IFERROR(IF(AR94="","",VLOOKUP(AR94,LISTAS!$F$5:$G$1004,2,0)),"0")</f>
        <v>CENTRO DE ESTUDOS JÚLIO VERNE</v>
      </c>
      <c r="AT94" s="33">
        <v>102</v>
      </c>
      <c r="AU94" s="33" t="str">
        <f t="shared" si="9"/>
        <v/>
      </c>
    </row>
    <row r="95" spans="2:47" ht="18" customHeight="1" thickBot="1" x14ac:dyDescent="0.3">
      <c r="B95" s="133"/>
      <c r="C95" s="188"/>
      <c r="D95" s="29"/>
      <c r="E95" s="35"/>
      <c r="F95" s="29"/>
      <c r="G95" s="170" t="str">
        <f>IFERROR(IF(G94="","",VLOOKUP(G94,LISTAS!$F$5:$G$1004,2,0)),"0")</f>
        <v>COLÉGIO SINGULAR SÃO CAETANO</v>
      </c>
      <c r="H95" s="267"/>
      <c r="I95" s="101"/>
      <c r="J95" s="101"/>
      <c r="K95" s="190"/>
      <c r="L95" s="101"/>
      <c r="M95" s="138"/>
      <c r="N95" s="101"/>
      <c r="O95" s="190"/>
      <c r="P95" s="29"/>
      <c r="Q95" s="37"/>
      <c r="R95" s="198"/>
      <c r="S95" s="37"/>
      <c r="T95" s="37"/>
      <c r="U95" s="37"/>
      <c r="V95" s="198"/>
      <c r="W95" s="37"/>
      <c r="X95" s="86"/>
      <c r="Y95" s="198"/>
      <c r="Z95" s="94"/>
      <c r="AA95" s="37"/>
      <c r="AB95" s="29"/>
      <c r="AC95" s="198"/>
      <c r="AD95" s="37"/>
      <c r="AE95" s="37"/>
      <c r="AF95" s="267"/>
      <c r="AG95" s="170" t="str">
        <f>IFERROR(IF(AG94="","",VLOOKUP(AG94,LISTAS!$F$5:$G$1004,2,0)),"0")</f>
        <v>CENTRO DE ESTUDOS JÚLIO VERNE</v>
      </c>
      <c r="AH95" s="37"/>
      <c r="AI95" s="89"/>
      <c r="AJ95" s="29"/>
      <c r="AK95" s="188"/>
      <c r="AL95" s="29"/>
      <c r="AP95" s="31">
        <f>IF(AR95&lt;&gt;"",1+COUNTIF(AP72:AP94,"1")+COUNTIF(AP72:AP94,"2")+COUNTIF(AP72:AP94,"3")+COUNTIF(AP72:AP94,"4")+COUNTIF(AP72:AP94,"5")+COUNTIF(AP72:AP94,"6")+COUNTIF(AP72:AP94,"7")+COUNTIF(AP72:AP94,"8")+COUNTIF(AP72:AP94,"9")+COUNTIF(AP72:AP94,"10")+COUNTIF(AP72:AP94,"11")+COUNTIF(AP72:AP94,"12")+COUNTIF(AP72:AP94,"13")+COUNTIF(AP72:AP94,"14")+COUNTIF(AP72:AP94,"15")+COUNTIF(AP72:AP94,"16")+COUNTIF(AP72:AP94,"17")+COUNTIF(AP72:AP94,"18")+COUNTIF(AP72:AP94,"19")+COUNTIF(AP72:AP94,"20")+COUNTIF(AP72:AP94,"21")+COUNTIF(AP72:AP94,"22")+COUNTIF(AP72:AP94,"23"),"")</f>
        <v>24</v>
      </c>
      <c r="AQ95" s="32" t="str">
        <f t="shared" si="7"/>
        <v>LUGAR</v>
      </c>
      <c r="AR95" s="111" t="str">
        <f>IF(AR79&lt;&gt;"",IF(C72=AR79,G74,IF(C74=AR79,G74,IF(C80=AR79,G82,IF(C82=AR79,G82,IF(C102=AR79,G104,IF(C104=AR79,G104,IF(C110=AR79,G112,IF(C112=AR79,G112,IF(C88=AR79,G90,IF(C90=AR79,G90,IF(C96=AR79,G98,IF(C98=AR79,G98,IF(C118=AR79,G120,IF(C120=AR79,G120,IF(C126=AR79,G128,IF(C128=AR79,G128,IF(AK72=AR79,AI74,IF(AK74=AR79,AI74,IF(AK80=AR79,AI82,IF(AK82=AR79,AI82,IF(AK102=AR79,AI104,IF(AK104=AR79,AI104,IF(AK110=AR79,AI112,IF(AK112=AR79,AI112,IF(AK88=AR79,AI90,IF(AK90=AR79,AI90,IF(AK96=AR79,AI98,IF(AK98=AR79,AI98,IF(AK118=AR79,AI120,IF(AK120=AR79,AI120,IF(AK126=AR79,AI128,IF(AK128=AR79,AI128)))))))))))))))))))))))))))))))),"")</f>
        <v>ARTHUR OLIVEIRA DA ROCHA</v>
      </c>
      <c r="AS95" s="33" t="str">
        <f>IFERROR(IF(AR95="","",VLOOKUP(AR95,LISTAS!$F$5:$G$1004,2,0)),"0")</f>
        <v>COLÉGIO ARBOS - UNIDADE SANTO ANDRÉ</v>
      </c>
      <c r="AT95" s="33">
        <v>102</v>
      </c>
      <c r="AU95" s="33" t="str">
        <f t="shared" si="9"/>
        <v/>
      </c>
    </row>
    <row r="96" spans="2:47" ht="18" customHeight="1" x14ac:dyDescent="0.25">
      <c r="B96" s="133">
        <v>25</v>
      </c>
      <c r="C96" s="169" t="str">
        <f>IF('13M GRP'!G5&gt;=3,'13M GRP'!J334,IF('13M GRP'!G5=2,"",IF('13M GRP'!G5=1,"","")))</f>
        <v>LUCAS BATISTA PAVANELLO</v>
      </c>
      <c r="D96" s="266">
        <v>0</v>
      </c>
      <c r="E96" s="148">
        <f>IF(D96&lt;&gt;"",D96,"")</f>
        <v>0</v>
      </c>
      <c r="F96" s="101" t="str">
        <f>IF(D96&lt;&gt;"",IF(C96="","",C96),"")</f>
        <v>LUCAS BATISTA PAVANELLO</v>
      </c>
      <c r="G96" s="190">
        <f>IF(E96&lt;&gt;"",IF(E98&lt;&gt;"",SMALL(E96:E98,1),""),"")</f>
        <v>0</v>
      </c>
      <c r="H96" s="101"/>
      <c r="I96" s="101"/>
      <c r="J96" s="101"/>
      <c r="K96" s="190"/>
      <c r="L96" s="101"/>
      <c r="M96" s="138"/>
      <c r="N96" s="101"/>
      <c r="O96" s="190"/>
      <c r="P96" s="29"/>
      <c r="Q96" s="37"/>
      <c r="R96" s="198"/>
      <c r="S96" s="37"/>
      <c r="T96" s="37"/>
      <c r="U96" s="37"/>
      <c r="V96" s="198"/>
      <c r="W96" s="37"/>
      <c r="X96" s="86"/>
      <c r="Y96" s="198"/>
      <c r="Z96" s="94"/>
      <c r="AA96" s="37"/>
      <c r="AB96" s="29"/>
      <c r="AC96" s="198"/>
      <c r="AD96" s="37"/>
      <c r="AE96" s="100"/>
      <c r="AF96" s="100"/>
      <c r="AG96" s="197">
        <f>IF(AJ96&lt;&gt;"",AJ96,"")</f>
        <v>1</v>
      </c>
      <c r="AH96" s="100" t="str">
        <f>IF(AJ96&lt;&gt;"",IF(AK96="","",AK96),"")</f>
        <v>MIGUEL FERREIRA DE JESUS</v>
      </c>
      <c r="AI96" s="137">
        <f>IF(AG96&lt;&gt;"",IF(AG98&lt;&gt;"",SMALL(AG96:AG98,1),""),"")</f>
        <v>0</v>
      </c>
      <c r="AJ96" s="266">
        <v>1</v>
      </c>
      <c r="AK96" s="169" t="str">
        <f>IF('13M GRP'!G5&gt;=3,'13M GRP'!J360,IF('13M GRP'!G5=2,"",IF('13M GRP'!G5=1,"","")))</f>
        <v>MIGUEL FERREIRA DE JESUS</v>
      </c>
      <c r="AL96" s="29">
        <v>27</v>
      </c>
      <c r="AP96" s="31">
        <f>IF(AR96&lt;&gt;"",1+COUNTIF(AP72:AP95,"1")+COUNTIF(AP72:AP95,"2")+COUNTIF(AP72:AP95,"3")+COUNTIF(AP72:AP95,"4")+COUNTIF(AP72:AP95,"5")+COUNTIF(AP72:AP95,"6")+COUNTIF(AP72:AP95,"7")+COUNTIF(AP72:AP95,"8")+COUNTIF(AP72:AP95,"9")+COUNTIF(AP72:AP95,"10")+COUNTIF(AP72:AP95,"11")+COUNTIF(AP72:AP95,"12")+COUNTIF(AP72:AP95,"13")+COUNTIF(AP72:AP95,"14")+COUNTIF(AP72:AP95,"15")+COUNTIF(AP72:AP95,"16")+COUNTIF(AP72:AP95,"17")+COUNTIF(AP72:AP95,"18")+COUNTIF(AP72:AP95,"19")+COUNTIF(AP72:AP95,"20")+COUNTIF(AP72:AP95,"21")+COUNTIF(AP72:AP95,"22")+COUNTIF(AP72:AP95,"23")+COUNTIF(AP72:AP95,"24"),"")</f>
        <v>25</v>
      </c>
      <c r="AQ96" s="32" t="str">
        <f t="shared" si="7"/>
        <v>LUGAR</v>
      </c>
      <c r="AR96" s="111" t="str">
        <f>IF(AR80&lt;&gt;"",IF(C72=AR80,G74,IF(C74=AR80,G74,IF(C80=AR80,G82,IF(C82=AR80,G82,IF(C102=AR80,G104,IF(C104=AR80,G104,IF(C110=AR80,G112,IF(C112=AR80,G112,IF(C88=AR80,G90,IF(C90=AR80,G90,IF(C96=AR80,G98,IF(C98=AR80,G98,IF(C118=AR80,G120,IF(C120=AR80,G120,IF(C126=AR80,G128,IF(C128=AR80,G128,IF(AK72=AR80,AI74,IF(AK74=AR80,AI74,IF(AK80=AR80,AI82,IF(AK82=AR80,AI82,IF(AK102=AR80,AI104,IF(AK104=AR80,AI104,IF(AK110=AR80,AI112,IF(AK112=AR80,AI112,IF(AK88=AR80,AI90,IF(AK90=AR80,AI90,IF(AK96=AR80,AI98,IF(AK98=AR80,AI98,IF(AK118=AR80,AI120,IF(AK120=AR80,AI120,IF(AK126=AR80,AI128,IF(AK128=AR80,AI128)))))))))))))))))))))))))))))))),"")</f>
        <v>LUCAS MAYER BONTEMPI</v>
      </c>
      <c r="AS96" s="33" t="str">
        <f>IFERROR(IF(AR96="","",VLOOKUP(AR96,LISTAS!$F$5:$G$1004,2,0)),"0")</f>
        <v>COLÉGIO ARBOS - UNIDADE SANTO ANDRÉ</v>
      </c>
      <c r="AT96" s="33">
        <v>102</v>
      </c>
      <c r="AU96" s="33" t="str">
        <f t="shared" si="9"/>
        <v/>
      </c>
    </row>
    <row r="97" spans="2:47" ht="18" customHeight="1" thickBot="1" x14ac:dyDescent="0.3">
      <c r="B97" s="133"/>
      <c r="C97" s="170" t="str">
        <f>IFERROR(IF(C96="","",VLOOKUP(C96,LISTAS!$F$5:$G$1004,2,0)),"0")</f>
        <v>CENTRO DE ESTUDOS JÚLIO VERNE</v>
      </c>
      <c r="D97" s="267"/>
      <c r="E97" s="105"/>
      <c r="F97" s="101"/>
      <c r="G97" s="190"/>
      <c r="H97" s="101"/>
      <c r="I97" s="101"/>
      <c r="J97" s="101"/>
      <c r="K97" s="190"/>
      <c r="L97" s="29"/>
      <c r="M97" s="35"/>
      <c r="N97" s="29"/>
      <c r="O97" s="188"/>
      <c r="P97" s="29"/>
      <c r="Q97" s="37"/>
      <c r="R97" s="198"/>
      <c r="S97" s="37"/>
      <c r="T97" s="37"/>
      <c r="U97" s="37"/>
      <c r="V97" s="198"/>
      <c r="W97" s="37"/>
      <c r="X97" s="86"/>
      <c r="Y97" s="198"/>
      <c r="Z97" s="94"/>
      <c r="AA97" s="37"/>
      <c r="AB97" s="29"/>
      <c r="AC97" s="198"/>
      <c r="AD97" s="37"/>
      <c r="AE97" s="100"/>
      <c r="AF97" s="100"/>
      <c r="AG97" s="197"/>
      <c r="AH97" s="100"/>
      <c r="AI97" s="143"/>
      <c r="AJ97" s="267"/>
      <c r="AK97" s="170" t="str">
        <f>IFERROR(IF(AK96="","",VLOOKUP(AK96,LISTAS!$F$5:$G$1004,2,0)),"0")</f>
        <v>CENTRO DE ESTUDOS JÚLIO VERNE</v>
      </c>
      <c r="AL97" s="29"/>
      <c r="AP97" s="31">
        <f>IF(AR97&lt;&gt;"",1+COUNTIF(AP72:AP96,"1")+COUNTIF(AP72:AP96,"2")+COUNTIF(AP72:AP96,"3")+COUNTIF(AP72:AP96,"4")+COUNTIF(AP72:AP96,"5")+COUNTIF(AP72:AP96,"6")+COUNTIF(AP72:AP96,"7")+COUNTIF(AP72:AP96,"8")+COUNTIF(AP72:AP96,"9")+COUNTIF(AP72:AP96,"10")+COUNTIF(AP72:AP96,"11")+COUNTIF(AP72:AP96,"12")+COUNTIF(AP72:AP96,"13")+COUNTIF(AP72:AP96,"14")+COUNTIF(AP72:AP96,"15")+COUNTIF(AP72:AP96,"16")+COUNTIF(AP72:AP96,"17")+COUNTIF(AP72:AP96,"18")+COUNTIF(AP72:AP96,"19")+COUNTIF(AP72:AP96,"20")+COUNTIF(AP72:AP96,"21")+COUNTIF(AP72:AP96,"22")+COUNTIF(AP72:AP96,"23")+COUNTIF(AP72:AP96,"24")+COUNTIF(AP72:AP96,"25"),"")</f>
        <v>26</v>
      </c>
      <c r="AQ97" s="32" t="str">
        <f t="shared" si="7"/>
        <v>LUGAR</v>
      </c>
      <c r="AR97" s="111" t="str">
        <f>IF(AR81&lt;&gt;"",IF(C72=AR81,G74,IF(C74=AR81,G74,IF(C80=AR81,G82,IF(C82=AR81,G82,IF(C102=AR81,G104,IF(C104=AR81,G104,IF(C110=AR81,G112,IF(C112=AR81,G112,IF(C88=AR81,G90,IF(C90=AR81,G90,IF(C96=AR81,G98,IF(C98=AR81,G98,IF(C118=AR81,G120,IF(C120=AR81,G120,IF(C126=AR81,G128,IF(C128=AR81,G128,IF(AK72=AR81,AI74,IF(AK74=AR81,AI74,IF(AK80=AR81,AI82,IF(AK82=AR81,AI82,IF(AK102=AR81,AI104,IF(AK104=AR81,AI104,IF(AK110=AR81,AI112,IF(AK112=AR81,AI112,IF(AK88=AR81,AI90,IF(AK90=AR81,AI90,IF(AK96=AR81,AI98,IF(AK98=AR81,AI98,IF(AK118=AR81,AI120,IF(AK120=AR81,AI120,IF(AK126=AR81,AI128,IF(AK128=AR81,AI128)))))))))))))))))))))))))))))))),"")</f>
        <v>Lucas Porto Ribeiro</v>
      </c>
      <c r="AS97" s="33" t="str">
        <f>IFERROR(IF(AR97="","",VLOOKUP(AR97,LISTAS!$F$5:$G$1004,2,0)),"0")</f>
        <v>ESCOLA INTERAÇÃO</v>
      </c>
      <c r="AT97" s="33">
        <v>102</v>
      </c>
      <c r="AU97" s="33" t="str">
        <f t="shared" si="9"/>
        <v/>
      </c>
    </row>
    <row r="98" spans="2:47" ht="18" customHeight="1" thickBot="1" x14ac:dyDescent="0.3">
      <c r="B98" s="133">
        <v>8</v>
      </c>
      <c r="C98" s="169" t="str">
        <f>IF('13M GRP'!G5&gt;=3,'13M GRP'!J113,IF('13M GRP'!G5=2,"",IF('13M GRP'!G5=1,"","")))</f>
        <v>BRUNO PICHELLI ZUCHETTO</v>
      </c>
      <c r="D98" s="266">
        <v>1</v>
      </c>
      <c r="E98" s="106">
        <f>IF(D98&lt;&gt;"",D98,"")</f>
        <v>1</v>
      </c>
      <c r="F98" s="101" t="str">
        <f>IF(D98&lt;&gt;"",IF(C98="","",C98),"")</f>
        <v>BRUNO PICHELLI ZUCHETTO</v>
      </c>
      <c r="G98" s="190" t="str">
        <f>VLOOKUP(G96,E96:F98,2,0)</f>
        <v>LUCAS BATISTA PAVANELLO</v>
      </c>
      <c r="H98" s="101"/>
      <c r="I98" s="101"/>
      <c r="J98" s="101"/>
      <c r="K98" s="190"/>
      <c r="L98" s="29"/>
      <c r="M98" s="35"/>
      <c r="N98" s="29"/>
      <c r="O98" s="188"/>
      <c r="P98" s="29"/>
      <c r="Q98" s="37"/>
      <c r="R98" s="268" t="s">
        <v>37</v>
      </c>
      <c r="S98" s="268"/>
      <c r="T98" s="268"/>
      <c r="U98" s="268"/>
      <c r="V98" s="268"/>
      <c r="W98" s="37"/>
      <c r="X98" s="86"/>
      <c r="Y98" s="198"/>
      <c r="Z98" s="94"/>
      <c r="AA98" s="37"/>
      <c r="AB98" s="29"/>
      <c r="AC98" s="198"/>
      <c r="AD98" s="37"/>
      <c r="AE98" s="100"/>
      <c r="AF98" s="100"/>
      <c r="AG98" s="197">
        <f>IF(AJ98&lt;&gt;"",AJ98,"")</f>
        <v>0</v>
      </c>
      <c r="AH98" s="100" t="str">
        <f>IF(AJ98&lt;&gt;"",IF(AK98="","",AK98),"")</f>
        <v>ARTHUR OLIVEIRA DA ROCHA</v>
      </c>
      <c r="AI98" s="145" t="str">
        <f>VLOOKUP(AI96,AG96:AH98,2,0)</f>
        <v>ARTHUR OLIVEIRA DA ROCHA</v>
      </c>
      <c r="AJ98" s="266">
        <v>0</v>
      </c>
      <c r="AK98" s="169" t="str">
        <f>IF('13M GRP'!G5&gt;=3,'13M GRP'!J87,IF('13M GRP'!G5=2,"",IF('13M GRP'!G5=1,"","")))</f>
        <v>ARTHUR OLIVEIRA DA ROCHA</v>
      </c>
      <c r="AL98" s="29">
        <v>6</v>
      </c>
      <c r="AN98" s="23"/>
      <c r="AO98" s="23"/>
      <c r="AP98" s="31">
        <f>IF(AR98&lt;&gt;"",1+COUNTIF(AP72:AP97,"1")+COUNTIF(AP72:AP97,"2")+COUNTIF(AP72:AP97,"3")+COUNTIF(AP72:AP97,"4")+COUNTIF(AP72:AP97,"5")+COUNTIF(AP72:AP97,"6")+COUNTIF(AP72:AP97,"7")+COUNTIF(AP72:AP97,"8")+COUNTIF(AP72:AP97,"9")+COUNTIF(AP72:AP97,"10")+COUNTIF(AP72:AP97,"11")+COUNTIF(AP72:AP97,"12")+COUNTIF(AP72:AP97,"13")+COUNTIF(AP72:AP97,"14")+COUNTIF(AP72:AP97,"15")+COUNTIF(AP72:AP97,"16")+COUNTIF(AP72:AP97,"17")+COUNTIF(AP72:AP97,"18")+COUNTIF(AP72:AP97,"19")+COUNTIF(AP72:AP97,"20")+COUNTIF(AP72:AP97,"21")+COUNTIF(AP72:AP97,"22")+COUNTIF(AP72:AP97,"23")+COUNTIF(AP72:AP97,"24")+COUNTIF(AP72:AP97,"25")+COUNTIF(AP72:AP97,"26"),"")</f>
        <v>27</v>
      </c>
      <c r="AQ98" s="32" t="str">
        <f t="shared" si="7"/>
        <v>LUGAR</v>
      </c>
      <c r="AR98" s="111" t="str">
        <f>IF(AR82&lt;&gt;"",IF(C72=AR82,G74,IF(C74=AR82,G74,IF(C80=AR82,G82,IF(C82=AR82,G82,IF(C102=AR82,G104,IF(C104=AR82,G104,IF(C110=AR82,G112,IF(C112=AR82,G112,IF(C88=AR82,G90,IF(C90=AR82,G90,IF(C96=AR82,G98,IF(C98=AR82,G98,IF(C118=AR82,G120,IF(C120=AR82,G120,IF(C126=AR82,G128,IF(C128=AR82,G128,IF(AK72=AR82,AI74,IF(AK74=AR82,AI74,IF(AK80=AR82,AI82,IF(AK82=AR82,AI82,IF(AK102=AR82,AI104,IF(AK104=AR82,AI104,IF(AK110=AR82,AI112,IF(AK112=AR82,AI112,IF(AK88=AR82,AI90,IF(AK90=AR82,AI90,IF(AK96=AR82,AI98,IF(AK98=AR82,AI98,IF(AK118=AR82,AI120,IF(AK120=AR82,AI120,IF(AK126=AR82,AI128,IF(AK128=AR82,AI128)))))))))))))))))))))))))))))))),"")</f>
        <v>EDUARDO PRADO TORRES</v>
      </c>
      <c r="AS98" s="33" t="str">
        <f>IFERROR(IF(AR98="","",VLOOKUP(AR98,LISTAS!$F$5:$G$1004,2,0)),"0")</f>
        <v>COLÉGIO ATENEU</v>
      </c>
      <c r="AT98" s="33">
        <v>102</v>
      </c>
      <c r="AU98" s="33" t="str">
        <f t="shared" si="9"/>
        <v/>
      </c>
    </row>
    <row r="99" spans="2:47" ht="18" customHeight="1" thickBot="1" x14ac:dyDescent="0.3">
      <c r="B99" s="133"/>
      <c r="C99" s="170" t="str">
        <f>IFERROR(IF(C98="","",VLOOKUP(C98,LISTAS!$F$5:$G$1004,2,0)),"0")</f>
        <v>COLÉGIO SINGULAR SÃO CAETANO</v>
      </c>
      <c r="D99" s="267"/>
      <c r="E99" s="101"/>
      <c r="F99" s="101"/>
      <c r="G99" s="190"/>
      <c r="H99" s="101"/>
      <c r="I99" s="101"/>
      <c r="J99" s="101"/>
      <c r="K99" s="190"/>
      <c r="L99" s="29"/>
      <c r="M99" s="35"/>
      <c r="N99" s="29"/>
      <c r="O99" s="169" t="str">
        <f>IF(L84&lt;&gt;"",IF(L86&lt;&gt;"",IF(L84=L86,"",IF(L84&gt;L86,K84,K86)),""),"")</f>
        <v>ARTHUR VIEIRA SICART</v>
      </c>
      <c r="P99" s="266">
        <v>0</v>
      </c>
      <c r="Q99" s="37"/>
      <c r="R99" s="189"/>
      <c r="S99" s="84"/>
      <c r="T99" s="84"/>
      <c r="U99" s="84"/>
      <c r="V99" s="189"/>
      <c r="W99" s="37"/>
      <c r="X99" s="266">
        <v>0</v>
      </c>
      <c r="Y99" s="169" t="str">
        <f>IF(AB84&lt;&gt;"",IF(AB86&lt;&gt;"",IF(AB84=AB86,"",IF(AB84&gt;AB86,AC84,AC86)),""),"")</f>
        <v xml:space="preserve">RAPHAEL FERNANDES </v>
      </c>
      <c r="Z99" s="94"/>
      <c r="AA99" s="37"/>
      <c r="AB99" s="29"/>
      <c r="AC99" s="198"/>
      <c r="AD99" s="37"/>
      <c r="AE99" s="100"/>
      <c r="AF99" s="100"/>
      <c r="AG99" s="197"/>
      <c r="AH99" s="100"/>
      <c r="AI99" s="101"/>
      <c r="AJ99" s="267"/>
      <c r="AK99" s="170" t="str">
        <f>IFERROR(IF(AK98="","",VLOOKUP(AK98,LISTAS!$F$5:$G$1004,2,0)),"0")</f>
        <v>COLÉGIO ARBOS - UNIDADE SANTO ANDRÉ</v>
      </c>
      <c r="AL99" s="29"/>
      <c r="AM99" s="23"/>
      <c r="AP99" s="31">
        <f>IF(AR99&lt;&gt;"",1+COUNTIF(AP72:AP98,"1")+COUNTIF(AP72:AP98,"2")+COUNTIF(AP72:AP98,"3")+COUNTIF(AP72:AP98,"4")+COUNTIF(AP72:AP98,"5")+COUNTIF(AP72:AP98,"6")+COUNTIF(AP72:AP98,"7")+COUNTIF(AP72:AP98,"8")+COUNTIF(AP72:AP98,"9")+COUNTIF(AP72:AP98,"10")+COUNTIF(AP72:AP98,"11")+COUNTIF(AP72:AP98,"12")+COUNTIF(AP72:AP98,"13")+COUNTIF(AP72:AP98,"14")+COUNTIF(AP72:AP98,"15")+COUNTIF(AP72:AP98,"16")+COUNTIF(AP72:AP98,"17")+COUNTIF(AP72:AP98,"18")+COUNTIF(AP72:AP98,"19")+COUNTIF(AP72:AP98,"20")+COUNTIF(AP72:AP98,"21")+COUNTIF(AP72:AP98,"22")+COUNTIF(AP72:AP98,"23")+COUNTIF(AP72:AP98,"24")+COUNTIF(AP72:AP98,"25")+COUNTIF(AP72:AP98,"26")+COUNTIF(AP72:AP98,"27"),"")</f>
        <v>28</v>
      </c>
      <c r="AQ99" s="32" t="str">
        <f t="shared" si="7"/>
        <v>LUGAR</v>
      </c>
      <c r="AR99" s="111" t="str">
        <f>IF(AR83&lt;&gt;"",IF(C72=AR83,G74,IF(C74=AR83,G74,IF(C80=AR83,G82,IF(C82=AR83,G82,IF(C102=AR83,G104,IF(C104=AR83,G104,IF(C110=AR83,G112,IF(C112=AR83,G112,IF(C88=AR83,G90,IF(C90=AR83,G90,IF(C96=AR83,G98,IF(C98=AR83,G98,IF(C118=AR83,G120,IF(C120=AR83,G120,IF(C126=AR83,G128,IF(C128=AR83,G128,IF(AK72=AR83,AI74,IF(AK74=AR83,AI74,IF(AK80=AR83,AI82,IF(AK82=AR83,AI82,IF(AK102=AR83,AI104,IF(AK104=AR83,AI104,IF(AK110=AR83,AI112,IF(AK112=AR83,AI112,IF(AK88=AR83,AI90,IF(AK90=AR83,AI90,IF(AK96=AR83,AI98,IF(AK98=AR83,AI98,IF(AK118=AR83,AI120,IF(AK120=AR83,AI120,IF(AK126=AR83,AI128,IF(AK128=AR83,AI128)))))))))))))))))))))))))))))))),"")</f>
        <v>RAFAEL GUIMARÃES FURTADO</v>
      </c>
      <c r="AS99" s="33" t="str">
        <f>IFERROR(IF(AR99="","",VLOOKUP(AR99,LISTAS!$F$5:$G$1004,2,0)),"0")</f>
        <v>PEN LIFE</v>
      </c>
      <c r="AT99" s="33">
        <v>102</v>
      </c>
      <c r="AU99" s="33" t="str">
        <f t="shared" si="9"/>
        <v/>
      </c>
    </row>
    <row r="100" spans="2:47" ht="18" customHeight="1" thickBot="1" x14ac:dyDescent="0.3">
      <c r="B100" s="133"/>
      <c r="C100" s="188"/>
      <c r="D100" s="29"/>
      <c r="E100" s="101"/>
      <c r="F100" s="101"/>
      <c r="G100" s="190"/>
      <c r="H100" s="101"/>
      <c r="I100" s="101"/>
      <c r="J100" s="101"/>
      <c r="K100" s="190"/>
      <c r="L100" s="29"/>
      <c r="M100" s="35"/>
      <c r="N100" s="29"/>
      <c r="O100" s="170" t="str">
        <f>IFERROR(IF(O99="","",VLOOKUP(O99,LISTAS!$F$5:$G$1004,2,0)),"0")</f>
        <v>COLEGIO PETROPOLIS</v>
      </c>
      <c r="P100" s="267"/>
      <c r="Q100" s="37"/>
      <c r="R100" s="169" t="str">
        <f>IF(P99&lt;&gt;"",IF(P101&lt;&gt;"",IF(P99=P101,"",IF(P99&gt;P101,O99,O101)),""),"")</f>
        <v>LUCAS CLAUDINO</v>
      </c>
      <c r="S100" s="266">
        <v>1</v>
      </c>
      <c r="T100" s="269" t="s">
        <v>38</v>
      </c>
      <c r="U100" s="266">
        <v>0</v>
      </c>
      <c r="V100" s="169" t="str">
        <f>IF(X99&lt;&gt;"",IF(X101&lt;&gt;"",IF(X99=X101,"",IF(X99&gt;X101,Y99,Y101)),""),"")</f>
        <v>BENTO MARCHETI UEDA</v>
      </c>
      <c r="W100" s="141"/>
      <c r="X100" s="267"/>
      <c r="Y100" s="170" t="str">
        <f>IFERROR(IF(Y99="","",VLOOKUP(Y99,LISTAS!$F$5:$G$1004,2,0)),"0")</f>
        <v>ESCOLA STAGIUM</v>
      </c>
      <c r="Z100" s="141"/>
      <c r="AA100" s="37"/>
      <c r="AB100" s="29"/>
      <c r="AC100" s="198"/>
      <c r="AD100" s="37"/>
      <c r="AE100" s="100"/>
      <c r="AF100" s="100"/>
      <c r="AG100" s="197"/>
      <c r="AH100" s="100"/>
      <c r="AI100" s="100"/>
      <c r="AJ100" s="29"/>
      <c r="AK100" s="188"/>
      <c r="AL100" s="29"/>
      <c r="AP100" s="31">
        <f>IF(AR100&lt;&gt;"",1+COUNTIF(AP72:AP99,"1")+COUNTIF(AP72:AP99,"2")+COUNTIF(AP72:AP99,"3")+COUNTIF(AP72:AP99,"4")+COUNTIF(AP72:AP99,"5")+COUNTIF(AP72:AP99,"6")+COUNTIF(AP72:AP99,"7")+COUNTIF(AP72:AP99,"8")+COUNTIF(AP72:AP99,"9")+COUNTIF(AP72:AP99,"10")+COUNTIF(AP72:AP99,"11")+COUNTIF(AP72:AP99,"12")+COUNTIF(AP72:AP99,"13")+COUNTIF(AP72:AP99,"14")+COUNTIF(AP72:AP99,"15")+COUNTIF(AP72:AP99,"16")+COUNTIF(AP72:AP99,"17")+COUNTIF(AP72:AP99,"18")+COUNTIF(AP72:AP99,"19")+COUNTIF(AP72:AP99,"20")+COUNTIF(AP72:AP99,"21")+COUNTIF(AP72:AP99,"22")+COUNTIF(AP72:AP99,"23")+COUNTIF(AP72:AP99,"24")+COUNTIF(AP72:AP99,"25")+COUNTIF(AP72:AP99,"26")+COUNTIF(AP72:AP99,"27")+COUNTIF(AP72:AP99,"28"),"")</f>
        <v>29</v>
      </c>
      <c r="AQ100" s="32" t="str">
        <f t="shared" si="7"/>
        <v>LUGAR</v>
      </c>
      <c r="AR100" s="111" t="str">
        <f>IF(AR84&lt;&gt;"",IF(C72=AR84,G74,IF(C74=AR84,G74,IF(C80=AR84,G82,IF(C82=AR84,G82,IF(C102=AR84,G104,IF(C104=AR84,G104,IF(C110=AR84,G112,IF(C112=AR84,G112,IF(C88=AR84,G90,IF(C90=AR84,G90,IF(C96=AR84,G98,IF(C98=AR84,G98,IF(C118=AR84,G120,IF(C120=AR84,G120,IF(C126=AR84,G128,IF(C128=AR84,G128,IF(AK72=AR84,AI74,IF(AK74=AR84,AI74,IF(AK80=AR84,AI82,IF(AK82=AR84,AI82,IF(AK102=AR84,AI104,IF(AK104=AR84,AI104,IF(AK110=AR84,AI112,IF(AK112=AR84,AI112,IF(AK88=AR84,AI90,IF(AK90=AR84,AI90,IF(AK96=AR84,AI98,IF(AK98=AR84,AI98,IF(AK118=AR84,AI120,IF(AK120=AR84,AI120,IF(AK126=AR84,AI128,IF(AK128=AR84,AI128)))))))))))))))))))))))))))))))),"")</f>
        <v>DAVI ESPERIDIÃO DE SOUZA SANTOS</v>
      </c>
      <c r="AS100" s="33" t="str">
        <f>IFERROR(IF(AR100="","",VLOOKUP(AR100,LISTAS!$F$5:$G$1004,2,0)),"0")</f>
        <v>ABACO IPIRANGA</v>
      </c>
      <c r="AT100" s="33">
        <v>102</v>
      </c>
      <c r="AU100" s="33" t="str">
        <f t="shared" si="9"/>
        <v/>
      </c>
    </row>
    <row r="101" spans="2:47" ht="18" customHeight="1" thickBot="1" x14ac:dyDescent="0.3">
      <c r="B101" s="133"/>
      <c r="C101" s="188"/>
      <c r="D101" s="29"/>
      <c r="E101" s="101"/>
      <c r="F101" s="101"/>
      <c r="G101" s="190"/>
      <c r="H101" s="101"/>
      <c r="I101" s="101"/>
      <c r="J101" s="101"/>
      <c r="K101" s="190"/>
      <c r="L101" s="29"/>
      <c r="M101" s="35"/>
      <c r="N101" s="36"/>
      <c r="O101" s="169" t="str">
        <f>IF(L114&lt;&gt;"",IF(L116&lt;&gt;"",IF(L114=L116,"",IF(L114&gt;L116,K114,K116)),""),"")</f>
        <v>LUCAS CLAUDINO</v>
      </c>
      <c r="P101" s="266">
        <v>1</v>
      </c>
      <c r="Q101" s="97"/>
      <c r="R101" s="170" t="str">
        <f>IFERROR(IF(R100="","",VLOOKUP(R100,LISTAS!$F$5:$G$1004,2,0)),"0")</f>
        <v>COLÉGIO MARCONI - GRU</v>
      </c>
      <c r="S101" s="267"/>
      <c r="T101" s="269"/>
      <c r="U101" s="267"/>
      <c r="V101" s="170" t="str">
        <f>IFERROR(IF(V100="","",VLOOKUP(V100,LISTAS!$F$5:$G$1004,2,0)),"0")</f>
        <v>ABACO IPIRANGA</v>
      </c>
      <c r="W101" s="98"/>
      <c r="X101" s="266">
        <v>1</v>
      </c>
      <c r="Y101" s="169" t="str">
        <f>IF(AB114&lt;&gt;"",IF(AB116&lt;&gt;"",IF(AB114=AB116,"",IF(AB114&gt;AB116,AC114,AC116)),""),"")</f>
        <v>BENTO MARCHETI UEDA</v>
      </c>
      <c r="Z101" s="98"/>
      <c r="AA101" s="37"/>
      <c r="AB101" s="29"/>
      <c r="AC101" s="198"/>
      <c r="AD101" s="37"/>
      <c r="AE101" s="100"/>
      <c r="AF101" s="100"/>
      <c r="AG101" s="197"/>
      <c r="AH101" s="100"/>
      <c r="AI101" s="100"/>
      <c r="AJ101" s="29"/>
      <c r="AK101" s="188"/>
      <c r="AL101" s="29"/>
      <c r="AP101" s="31" t="str">
        <f>IF(AR101&lt;&gt;"",1+COUNTIF(AP72:AP100,"1")+COUNTIF(AP72:AP100,"2")+COUNTIF(AP72:AP100,"3")+COUNTIF(AP72:AP100,"4")+COUNTIF(AP72:AP100,"5")+COUNTIF(AP72:AP100,"6")+COUNTIF(AP72:AP100,"7")+COUNTIF(AP72:AP100,"8")+COUNTIF(AP72:AP100,"9")+COUNTIF(AP72:AP100,"10")+COUNTIF(AP72:AP100,"11")+COUNTIF(AP72:AP100,"12")+COUNTIF(AP72:AP100,"13")+COUNTIF(AP72:AP100,"14")+COUNTIF(AP72:AP100,"15")+COUNTIF(AP72:AP100,"16")+COUNTIF(AP72:AP100,"17")+COUNTIF(AP72:AP100,"18")+COUNTIF(AP72:AP100,"19")+COUNTIF(AP72:AP100,"20")+COUNTIF(AP72:AP100,"21")+COUNTIF(AP72:AP100,"22")+COUNTIF(AP72:AP100,"23")+COUNTIF(AP72:AP100,"24")+COUNTIF(AP72:AP100,"25")+COUNTIF(AP72:AP100,"26")+COUNTIF(AP72:AP100,"27")+COUNTIF(AP72:AP100,"28")+COUNTIF(AP72:AP100,"29"),"")</f>
        <v/>
      </c>
      <c r="AQ101" s="32" t="str">
        <f t="shared" si="7"/>
        <v/>
      </c>
      <c r="AR101" s="111" t="str">
        <f>IF(AR85&lt;&gt;"",IF(C72=AR85,G74,IF(C74=AR85,G74,IF(C80=AR85,G82,IF(C82=AR85,G82,IF(C102=AR85,G104,IF(C104=AR85,G104,IF(C110=AR85,G112,IF(C112=AR85,G112,IF(C88=AR85,G90,IF(C90=AR85,G90,IF(C96=AR85,G98,IF(C98=AR85,G98,IF(C118=AR85,G120,IF(C120=AR85,G120,IF(C126=AR85,G128,IF(C128=AR85,G128,IF(AK72=AR85,AI74,IF(AK74=AR85,AI74,IF(AK80=AR85,AI82,IF(AK82=AR85,AI82,IF(AK102=AR85,AI104,IF(AK104=AR85,AI104,IF(AK110=AR85,AI112,IF(AK112=AR85,AI112,IF(AK88=AR85,AI90,IF(AK90=AR85,AI90,IF(AK96=AR85,AI98,IF(AK98=AR85,AI98,IF(AK118=AR85,AI120,IF(AK120=AR85,AI120,IF(AK126=AR85,AI128,IF(AK128=AR85,AI128)))))))))))))))))))))))))))))))),"")</f>
        <v/>
      </c>
      <c r="AS101" s="33" t="str">
        <f>IFERROR(IF(AR101="","",VLOOKUP(AR101,LISTAS!$F$5:$G$1004,2,0)),"0")</f>
        <v/>
      </c>
      <c r="AT101" s="33">
        <v>102</v>
      </c>
      <c r="AU101" s="33" t="str">
        <f t="shared" si="9"/>
        <v/>
      </c>
    </row>
    <row r="102" spans="2:47" ht="18" customHeight="1" thickBot="1" x14ac:dyDescent="0.3">
      <c r="B102" s="133">
        <v>5</v>
      </c>
      <c r="C102" s="169" t="str">
        <f>IF('13M GRP'!G5&gt;=3,'13M GRP'!J74,IF('13M GRP'!G5=2,"",IF('13M GRP'!G5=1,"","")))</f>
        <v>LUCAS CLAUDINO</v>
      </c>
      <c r="D102" s="266">
        <v>1</v>
      </c>
      <c r="E102" s="101">
        <f>IF(D102&lt;&gt;"",D102,"")</f>
        <v>1</v>
      </c>
      <c r="F102" s="101" t="str">
        <f>IF(D102&lt;&gt;"",IF(C102="","",C102),"")</f>
        <v>LUCAS CLAUDINO</v>
      </c>
      <c r="G102" s="190">
        <f>IF(E102&lt;&gt;"",IF(E104&lt;&gt;"",SMALL(E102:E104,1),""),"")</f>
        <v>0</v>
      </c>
      <c r="H102" s="101"/>
      <c r="I102" s="101"/>
      <c r="J102" s="101"/>
      <c r="K102" s="190"/>
      <c r="L102" s="101"/>
      <c r="M102" s="138"/>
      <c r="N102" s="100"/>
      <c r="O102" s="170" t="str">
        <f>IFERROR(IF(O101="","",VLOOKUP(O101,LISTAS!$F$5:$G$1004,2,0)),"0")</f>
        <v>COLÉGIO MARCONI - GRU</v>
      </c>
      <c r="P102" s="267"/>
      <c r="Q102" s="85"/>
      <c r="R102" s="198"/>
      <c r="S102" s="37"/>
      <c r="T102" s="37"/>
      <c r="U102" s="37"/>
      <c r="V102" s="198"/>
      <c r="W102" s="37"/>
      <c r="X102" s="267"/>
      <c r="Y102" s="170" t="str">
        <f>IFERROR(IF(Y101="","",VLOOKUP(Y101,LISTAS!$F$5:$G$1004,2,0)),"0")</f>
        <v>ABACO IPIRANGA</v>
      </c>
      <c r="Z102" s="94"/>
      <c r="AA102" s="37"/>
      <c r="AB102" s="29"/>
      <c r="AC102" s="198"/>
      <c r="AD102" s="37"/>
      <c r="AE102" s="100"/>
      <c r="AF102" s="100"/>
      <c r="AG102" s="197">
        <f>IF(AJ102&lt;&gt;"",AJ102,"")</f>
        <v>1</v>
      </c>
      <c r="AH102" s="100" t="str">
        <f>IF(AJ102&lt;&gt;"",IF(AK102="","",AK102),"")</f>
        <v>BENTO MARCHETI UEDA</v>
      </c>
      <c r="AI102" s="101">
        <f>IF(AG102&lt;&gt;"",IF(AG104&lt;&gt;"",SMALL(AG102:AG104,1),""),"")</f>
        <v>0</v>
      </c>
      <c r="AJ102" s="266">
        <v>1</v>
      </c>
      <c r="AK102" s="169" t="str">
        <f>IF('13M GRP'!G5&gt;=3,'13M GRP'!J100,IF('13M GRP'!G5=2,"",IF('13M GRP'!G5=1,"","")))</f>
        <v>BENTO MARCHETI UEDA</v>
      </c>
      <c r="AL102" s="29">
        <v>7</v>
      </c>
      <c r="AP102" s="31">
        <f>IF(AR102&lt;&gt;"",1+COUNTIF(AP72:AP101,"1")+COUNTIF(AP72:AP101,"2")+COUNTIF(AP72:AP101,"3")+COUNTIF(AP72:AP101,"4")+COUNTIF(AP72:AP101,"5")+COUNTIF(AP72:AP101,"6")+COUNTIF(AP72:AP101,"7")+COUNTIF(AP72:AP101,"8")+COUNTIF(AP72:AP101,"9")+COUNTIF(AP72:AP101,"10")+COUNTIF(AP72:AP101,"11")+COUNTIF(AP72:AP101,"12")+COUNTIF(AP72:AP101,"13")+COUNTIF(AP72:AP101,"14")+COUNTIF(AP72:AP101,"15")+COUNTIF(AP72:AP101,"16")+COUNTIF(AP72:AP101,"17")+COUNTIF(AP72:AP101,"18")+COUNTIF(AP72:AP101,"19")+COUNTIF(AP72:AP101,"20")+COUNTIF(AP72:AP101,"21")+COUNTIF(AP72:AP101,"22")+COUNTIF(AP72:AP101,"23")+COUNTIF(AP72:AP101,"24")+COUNTIF(AP72:AP101,"25")+COUNTIF(AP72:AP101,"26")+COUNTIF(AP72:AP101,"27")+COUNTIF(AP72:AP101,"28")+COUNTIF(AP72:AP101,"29")+COUNTIF(AP72:AP101,"30"),"")</f>
        <v>30</v>
      </c>
      <c r="AQ102" s="32" t="str">
        <f t="shared" si="7"/>
        <v>LUGAR</v>
      </c>
      <c r="AR102" s="111" t="str">
        <f>IF(AR86&lt;&gt;"",IF(C72=AR86,G74,IF(C74=AR86,G74,IF(C80=AR86,G82,IF(C82=AR86,G82,IF(C102=AR86,G104,IF(C104=AR86,G104,IF(C110=AR86,G112,IF(C112=AR86,G112,IF(C88=AR86,G90,IF(C90=AR86,G90,IF(C96=AR86,G98,IF(C98=AR86,G98,IF(C118=AR86,G120,IF(C120=AR86,G120,IF(C126=AR86,G128,IF(C128=AR86,G128,IF(AK72=AR86,AI74,IF(AK74=AR86,AI74,IF(AK80=AR86,AI82,IF(AK82=AR86,AI82,IF(AK102=AR86,AI104,IF(AK104=AR86,AI104,IF(AK110=AR86,AI112,IF(AK112=AR86,AI112,IF(AK88=AR86,AI90,IF(AK90=AR86,AI90,IF(AK96=AR86,AI98,IF(AK98=AR86,AI98,IF(AK118=AR86,AI120,IF(AK120=AR86,AI120,IF(AK126=AR86,AI128,IF(AK128=AR86,AI128)))))))))))))))))))))))))))))))),"")</f>
        <v>Pedro Rocha Antonangelo da Silva</v>
      </c>
      <c r="AS102" s="33" t="str">
        <f>IFERROR(IF(AR102="","",VLOOKUP(AR102,LISTAS!$F$5:$G$1004,2,0)),"0")</f>
        <v>ESCOLA INTERAÇÃO</v>
      </c>
      <c r="AT102" s="33">
        <v>102</v>
      </c>
      <c r="AU102" s="33" t="str">
        <f t="shared" si="9"/>
        <v/>
      </c>
    </row>
    <row r="103" spans="2:47" ht="18" customHeight="1" thickBot="1" x14ac:dyDescent="0.3">
      <c r="B103" s="133"/>
      <c r="C103" s="170" t="str">
        <f>IFERROR(IF(C102="","",VLOOKUP(C102,LISTAS!$F$5:$G$1004,2,0)),"0")</f>
        <v>COLÉGIO MARCONI - GRU</v>
      </c>
      <c r="D103" s="267"/>
      <c r="E103" s="101"/>
      <c r="F103" s="101"/>
      <c r="G103" s="190"/>
      <c r="H103" s="101"/>
      <c r="I103" s="101"/>
      <c r="J103" s="101"/>
      <c r="K103" s="190"/>
      <c r="L103" s="101"/>
      <c r="M103" s="138"/>
      <c r="N103" s="100"/>
      <c r="O103" s="197"/>
      <c r="P103" s="100"/>
      <c r="Q103" s="85"/>
      <c r="R103" s="198"/>
      <c r="S103" s="37"/>
      <c r="T103" s="37"/>
      <c r="U103" s="37"/>
      <c r="V103" s="198"/>
      <c r="W103" s="37"/>
      <c r="X103" s="86"/>
      <c r="Y103" s="198"/>
      <c r="Z103" s="94"/>
      <c r="AA103" s="37"/>
      <c r="AB103" s="29"/>
      <c r="AC103" s="198"/>
      <c r="AD103" s="37"/>
      <c r="AE103" s="100"/>
      <c r="AF103" s="100"/>
      <c r="AG103" s="197"/>
      <c r="AH103" s="100"/>
      <c r="AI103" s="101"/>
      <c r="AJ103" s="267"/>
      <c r="AK103" s="170" t="str">
        <f>IFERROR(IF(AK102="","",VLOOKUP(AK102,LISTAS!$F$5:$G$1004,2,0)),"0")</f>
        <v>ABACO IPIRANGA</v>
      </c>
      <c r="AL103" s="29"/>
      <c r="AP103" s="31">
        <f>IF(AR103&lt;&gt;"",1+COUNTIF(AP72:AP102,"1")+COUNTIF(AP72:AP102,"2")+COUNTIF(AP72:AP102,"3")+COUNTIF(AP72:AP102,"4")+COUNTIF(AP72:AP102,"5")+COUNTIF(AP72:AP102,"6")+COUNTIF(AP72:AP102,"7")+COUNTIF(AP72:AP102,"8")+COUNTIF(AP72:AP102,"9")+COUNTIF(AP72:AP102,"10")+COUNTIF(AP72:AP102,"11")+COUNTIF(AP72:AP102,"12")+COUNTIF(AP72:AP102,"13")+COUNTIF(AP72:AP102,"14")+COUNTIF(AP72:AP102,"15")+COUNTIF(AP72:AP102,"16")+COUNTIF(AP72:AP102,"17")+COUNTIF(AP72:AP102,"18")+COUNTIF(AP72:AP102,"19")+COUNTIF(AP72:AP102,"20")+COUNTIF(AP72:AP102,"21")+COUNTIF(AP72:AP102,"22")+COUNTIF(AP72:AP102,"23")+COUNTIF(AP72:AP102,"24")+COUNTIF(AP72:AP102,"25")+COUNTIF(AP72:AP102,"26")+COUNTIF(AP72:AP102,"27")+COUNTIF(AP72:AP102,"28")+COUNTIF(AP72:AP102,"29")+COUNTIF(AP72:AP102,"30")+COUNTIF(AP72:AP102,"31"),"")</f>
        <v>31</v>
      </c>
      <c r="AQ103" s="32" t="str">
        <f t="shared" si="7"/>
        <v>LUGAR</v>
      </c>
      <c r="AR103" s="111" t="str">
        <f>IF(AR87&lt;&gt;"",IF(C72=AR87,G74,IF(C74=AR87,G74,IF(C80=AR87,G82,IF(C82=AR87,G82,IF(C102=AR87,G104,IF(C104=AR87,G104,IF(C110=AR87,G112,IF(C112=AR87,G112,IF(C88=AR87,G90,IF(C90=AR87,G90,IF(C96=AR87,G98,IF(C98=AR87,G98,IF(C118=AR87,G120,IF(C120=AR87,G120,IF(C126=AR87,G128,IF(C128=AR87,G128,IF(AK72=AR87,AI74,IF(AK74=AR87,AI74,IF(AK80=AR87,AI82,IF(AK82=AR87,AI82,IF(AK102=AR87,AI104,IF(AK104=AR87,AI104,IF(AK110=AR87,AI112,IF(AK112=AR87,AI112,IF(AK88=AR87,AI90,IF(AK90=AR87,AI90,IF(AK96=AR87,AI98,IF(AK98=AR87,AI98,IF(AK118=AR87,AI120,IF(AK120=AR87,AI120,IF(AK126=AR87,AI128,IF(AK128=AR87,AI128)))))))))))))))))))))))))))))))),"")</f>
        <v>DANIEL MAYER BONTEMPI</v>
      </c>
      <c r="AS103" s="33" t="str">
        <f>IFERROR(IF(AR103="","",VLOOKUP(AR103,LISTAS!$F$5:$G$1004,2,0)),"0")</f>
        <v>COLÉGIO ARBOS - UNIDADE SANTO ANDRÉ</v>
      </c>
      <c r="AT103" s="33">
        <v>102</v>
      </c>
      <c r="AU103" s="33" t="str">
        <f>IF(AP103="","",IF($AS$5="NÃO","",IF(AP103=1,180,IF(AP103=2,170,IF(AP103=3,150,IF(AP103=4,140,IF(AP103=5,135,IF(AP103=6,130,IF(AP103=7,120,IF(AP103=8,110,IF(AP103=9,105,IF(AP103=10,105,IF(AP103=11,105,IF(AP103=12,105,IF(AP103=13,105,IF(AP103=14,105,IF(AP103=15,105,IF(AP103=16,105,IF(AP103&gt;16,"","")))))))))))))))))))</f>
        <v/>
      </c>
    </row>
    <row r="104" spans="2:47" ht="18" customHeight="1" x14ac:dyDescent="0.25">
      <c r="B104" s="133">
        <v>28</v>
      </c>
      <c r="C104" s="169" t="str">
        <f>IF('13M GRP'!G5&gt;=3,'13M GRP'!J373,IF('13M GRP'!G5=2,"",IF('13M GRP'!G5=1,"","")))</f>
        <v>JOÃO PAULO GIANNOTTI BATISTUCCI</v>
      </c>
      <c r="D104" s="266">
        <v>0</v>
      </c>
      <c r="E104" s="107">
        <f>IF(D104&lt;&gt;"",D104,"")</f>
        <v>0</v>
      </c>
      <c r="F104" s="101" t="str">
        <f>IF(D104&lt;&gt;"",IF(C104="","",C104),"")</f>
        <v>JOÃO PAULO GIANNOTTI BATISTUCCI</v>
      </c>
      <c r="G104" s="190" t="str">
        <f>VLOOKUP(G102,E102:F104,2,0)</f>
        <v>JOÃO PAULO GIANNOTTI BATISTUCCI</v>
      </c>
      <c r="H104" s="101"/>
      <c r="I104" s="101"/>
      <c r="J104" s="101"/>
      <c r="K104" s="190"/>
      <c r="L104" s="101"/>
      <c r="M104" s="138"/>
      <c r="N104" s="101">
        <f>IF(P99&lt;&gt;"",P99,"")</f>
        <v>0</v>
      </c>
      <c r="O104" s="190" t="str">
        <f>IF(P99&lt;&gt;"",O99,"")</f>
        <v>ARTHUR VIEIRA SICART</v>
      </c>
      <c r="P104" s="101">
        <f>IF(N104&lt;&gt;"",IF(N106&lt;&gt;"",LARGE(N104:N106,1),""),"")</f>
        <v>1</v>
      </c>
      <c r="Q104" s="88"/>
      <c r="R104" s="199"/>
      <c r="S104" s="37"/>
      <c r="T104" s="37"/>
      <c r="U104" s="37"/>
      <c r="V104" s="198"/>
      <c r="W104" s="37"/>
      <c r="X104" s="86"/>
      <c r="Y104" s="198"/>
      <c r="Z104" s="94"/>
      <c r="AA104" s="37"/>
      <c r="AB104" s="29"/>
      <c r="AC104" s="198"/>
      <c r="AD104" s="37"/>
      <c r="AE104" s="100"/>
      <c r="AF104" s="100"/>
      <c r="AG104" s="197">
        <f>IF(AJ104&lt;&gt;"",AJ104,"")</f>
        <v>0</v>
      </c>
      <c r="AH104" s="100" t="str">
        <f>IF(AJ104&lt;&gt;"",IF(AK104="","",AK104),"")</f>
        <v>Pedro Henrique Carvalho Moreira</v>
      </c>
      <c r="AI104" s="102" t="str">
        <f>VLOOKUP(AI102,AG102:AH104,2,0)</f>
        <v>Pedro Henrique Carvalho Moreira</v>
      </c>
      <c r="AJ104" s="266">
        <v>0</v>
      </c>
      <c r="AK104" s="169" t="str">
        <f>IF('13M GRP'!G5&gt;=3,'13M GRP'!J347,IF('13M GRP'!G5=2,"",IF('13M GRP'!G5=1,"","")))</f>
        <v>Pedro Henrique Carvalho Moreira</v>
      </c>
      <c r="AL104" s="29">
        <v>26</v>
      </c>
      <c r="AP104" s="31">
        <v>32</v>
      </c>
      <c r="AQ104" s="32" t="str">
        <f t="shared" ref="AQ104:AQ113" si="10">IF(AP104&lt;&gt;"","LUGAR","")</f>
        <v>LUGAR</v>
      </c>
      <c r="AR104" s="111" t="s">
        <v>752</v>
      </c>
      <c r="AS104" s="33" t="s">
        <v>120</v>
      </c>
      <c r="AT104" s="33">
        <v>102</v>
      </c>
      <c r="AU104" s="33" t="str">
        <f t="shared" ref="AU104:AU113" si="11">IF(AP104="","",IF($AS$5="NÃO","",IF(AP104=1,180,IF(AP104=2,170,IF(AP104=3,150,IF(AP104=4,140,IF(AP104=5,135,IF(AP104=6,130,IF(AP104=7,120,IF(AP104=8,110,IF(AP104=9,105,IF(AP104=10,105,IF(AP104=11,105,IF(AP104=12,105,IF(AP104=13,105,IF(AP104=14,105,IF(AP104=15,105,IF(AP104=16,105,IF(AP104&gt;16,"","")))))))))))))))))))</f>
        <v/>
      </c>
    </row>
    <row r="105" spans="2:47" ht="18" customHeight="1" thickBot="1" x14ac:dyDescent="0.3">
      <c r="B105" s="133"/>
      <c r="C105" s="170" t="str">
        <f>IFERROR(IF(C104="","",VLOOKUP(C104,LISTAS!$F$5:$G$1004,2,0)),"0")</f>
        <v>COLEGIO PETROPOLIS</v>
      </c>
      <c r="D105" s="267"/>
      <c r="E105" s="148"/>
      <c r="F105" s="101"/>
      <c r="G105" s="190"/>
      <c r="H105" s="101"/>
      <c r="I105" s="101"/>
      <c r="J105" s="101"/>
      <c r="K105" s="190"/>
      <c r="L105" s="101"/>
      <c r="M105" s="138"/>
      <c r="N105" s="101"/>
      <c r="O105" s="190"/>
      <c r="P105" s="101"/>
      <c r="Q105" s="88"/>
      <c r="R105" s="199"/>
      <c r="S105" s="37"/>
      <c r="T105" s="37"/>
      <c r="U105" s="37"/>
      <c r="V105" s="198"/>
      <c r="W105" s="37"/>
      <c r="X105" s="86"/>
      <c r="Y105" s="198"/>
      <c r="Z105" s="94"/>
      <c r="AA105" s="37"/>
      <c r="AB105" s="29"/>
      <c r="AC105" s="198"/>
      <c r="AD105" s="37"/>
      <c r="AE105" s="100"/>
      <c r="AF105" s="100"/>
      <c r="AG105" s="197"/>
      <c r="AH105" s="100"/>
      <c r="AI105" s="142"/>
      <c r="AJ105" s="267"/>
      <c r="AK105" s="170" t="str">
        <f>IFERROR(IF(AK104="","",VLOOKUP(AK104,LISTAS!$F$5:$G$1004,2,0)),"0")</f>
        <v>ESCOLA INTERAÇÃO</v>
      </c>
      <c r="AL105" s="29"/>
      <c r="AP105" s="31">
        <v>33</v>
      </c>
      <c r="AQ105" s="32" t="str">
        <f t="shared" si="10"/>
        <v>LUGAR</v>
      </c>
      <c r="AR105" s="111" t="s">
        <v>753</v>
      </c>
      <c r="AS105" s="33" t="s">
        <v>127</v>
      </c>
      <c r="AT105" s="33">
        <v>102</v>
      </c>
      <c r="AU105" s="33" t="str">
        <f t="shared" si="11"/>
        <v/>
      </c>
    </row>
    <row r="106" spans="2:47" ht="18" customHeight="1" x14ac:dyDescent="0.25">
      <c r="B106" s="133"/>
      <c r="C106" s="188"/>
      <c r="D106" s="29"/>
      <c r="E106" s="29"/>
      <c r="F106" s="34"/>
      <c r="G106" s="169" t="str">
        <f>IF(D102&lt;&gt;"",IF(D104&lt;&gt;"",IF(D102=D104,"",IF(D102&gt;D104,C102,C104)),""),"")</f>
        <v>LUCAS CLAUDINO</v>
      </c>
      <c r="H106" s="266">
        <v>1</v>
      </c>
      <c r="I106" s="101">
        <f>IF(H106&lt;&gt;"",H106,"")</f>
        <v>1</v>
      </c>
      <c r="J106" s="101" t="str">
        <f>IF(H106&lt;&gt;"",IF(G106="","",G106),"")</f>
        <v>LUCAS CLAUDINO</v>
      </c>
      <c r="K106" s="190">
        <f>IF(I106&lt;&gt;"",IF(I108&lt;&gt;"",SMALL(I106:J108,1),""),"")</f>
        <v>0</v>
      </c>
      <c r="L106" s="101"/>
      <c r="M106" s="138"/>
      <c r="N106" s="101">
        <f>IF(P101&lt;&gt;"",P101,"")</f>
        <v>1</v>
      </c>
      <c r="O106" s="190" t="str">
        <f>IF(P101&lt;&gt;"",O101,"")</f>
        <v>LUCAS CLAUDINO</v>
      </c>
      <c r="P106" s="101" t="str">
        <f>VLOOKUP(P104,N104:O106,2,0)</f>
        <v>LUCAS CLAUDINO</v>
      </c>
      <c r="Q106" s="100"/>
      <c r="R106" s="197"/>
      <c r="S106" s="37"/>
      <c r="T106" s="37"/>
      <c r="U106" s="37"/>
      <c r="V106" s="198"/>
      <c r="W106" s="37"/>
      <c r="X106" s="86"/>
      <c r="Y106" s="198"/>
      <c r="Z106" s="94"/>
      <c r="AA106" s="37"/>
      <c r="AB106" s="29"/>
      <c r="AC106" s="198"/>
      <c r="AD106" s="37"/>
      <c r="AE106" s="95"/>
      <c r="AF106" s="266">
        <v>1</v>
      </c>
      <c r="AG106" s="169" t="str">
        <f>IF(AJ102&lt;&gt;"",IF(AJ104&lt;&gt;"",IF(AJ102=AJ104,"",IF(AJ102&gt;AJ104,AK102,AK104)),""),"")</f>
        <v>BENTO MARCHETI UEDA</v>
      </c>
      <c r="AH106" s="94"/>
      <c r="AI106" s="37"/>
      <c r="AJ106" s="29"/>
      <c r="AK106" s="188"/>
      <c r="AL106" s="29"/>
      <c r="AP106" s="31">
        <v>34</v>
      </c>
      <c r="AQ106" s="32" t="str">
        <f t="shared" si="10"/>
        <v>LUGAR</v>
      </c>
      <c r="AR106" s="111" t="s">
        <v>754</v>
      </c>
      <c r="AS106" s="33" t="s">
        <v>755</v>
      </c>
      <c r="AT106" s="33">
        <v>102</v>
      </c>
      <c r="AU106" s="33" t="str">
        <f t="shared" si="11"/>
        <v/>
      </c>
    </row>
    <row r="107" spans="2:47" ht="18" customHeight="1" thickBot="1" x14ac:dyDescent="0.3">
      <c r="B107" s="133"/>
      <c r="C107" s="188"/>
      <c r="D107" s="29"/>
      <c r="E107" s="29"/>
      <c r="F107" s="34"/>
      <c r="G107" s="170" t="str">
        <f>IFERROR(IF(G106="","",VLOOKUP(G106,LISTAS!$F$5:$G$1004,2,0)),"0")</f>
        <v>COLÉGIO MARCONI - GRU</v>
      </c>
      <c r="H107" s="267"/>
      <c r="I107" s="101"/>
      <c r="J107" s="101"/>
      <c r="K107" s="190"/>
      <c r="L107" s="101"/>
      <c r="M107" s="138"/>
      <c r="N107" s="101"/>
      <c r="O107" s="190"/>
      <c r="P107" s="101"/>
      <c r="Q107" s="100"/>
      <c r="R107" s="197"/>
      <c r="S107" s="37"/>
      <c r="T107" s="37"/>
      <c r="U107" s="37"/>
      <c r="V107" s="198"/>
      <c r="W107" s="37"/>
      <c r="X107" s="86"/>
      <c r="Y107" s="198"/>
      <c r="Z107" s="94"/>
      <c r="AA107" s="37"/>
      <c r="AB107" s="29"/>
      <c r="AC107" s="198"/>
      <c r="AD107" s="37"/>
      <c r="AE107" s="95"/>
      <c r="AF107" s="267"/>
      <c r="AG107" s="170" t="str">
        <f>IFERROR(IF(AG106="","",VLOOKUP(AG106,LISTAS!$F$5:$G$1004,2,0)),"0")</f>
        <v>ABACO IPIRANGA</v>
      </c>
      <c r="AH107" s="94"/>
      <c r="AI107" s="37"/>
      <c r="AJ107" s="29"/>
      <c r="AK107" s="188"/>
      <c r="AL107" s="29"/>
      <c r="AP107" s="31">
        <v>35</v>
      </c>
      <c r="AQ107" s="32" t="str">
        <f t="shared" si="10"/>
        <v>LUGAR</v>
      </c>
      <c r="AR107" s="111" t="s">
        <v>756</v>
      </c>
      <c r="AS107" s="33" t="s">
        <v>621</v>
      </c>
      <c r="AT107" s="33">
        <v>102</v>
      </c>
      <c r="AU107" s="33" t="str">
        <f t="shared" si="11"/>
        <v/>
      </c>
    </row>
    <row r="108" spans="2:47" ht="18" customHeight="1" x14ac:dyDescent="0.25">
      <c r="B108" s="133"/>
      <c r="C108" s="188"/>
      <c r="D108" s="29"/>
      <c r="E108" s="35"/>
      <c r="F108" s="36"/>
      <c r="G108" s="169" t="str">
        <f>IF(D110&lt;&gt;"",IF(D112&lt;&gt;"",IF(D110=D112,"",IF(D110&gt;D112,C110,C112)),""),"")</f>
        <v>LUCCA LAW GUASTAPAGLIA</v>
      </c>
      <c r="H108" s="266">
        <v>0</v>
      </c>
      <c r="I108" s="107">
        <f>IF(H108&lt;&gt;"",H108,"")</f>
        <v>0</v>
      </c>
      <c r="J108" s="101" t="str">
        <f>IF(H108&lt;&gt;"",IF(G108="","",G108),"")</f>
        <v>LUCCA LAW GUASTAPAGLIA</v>
      </c>
      <c r="K108" s="190" t="str">
        <f>VLOOKUP(K106,I106:J108,2,0)</f>
        <v>LUCCA LAW GUASTAPAGLIA</v>
      </c>
      <c r="L108" s="101"/>
      <c r="M108" s="138"/>
      <c r="N108" s="101">
        <f>IF(P99&lt;&gt;"",P99,"")</f>
        <v>0</v>
      </c>
      <c r="O108" s="190" t="str">
        <f>IF(P99&lt;&gt;"",O99,"")</f>
        <v>ARTHUR VIEIRA SICART</v>
      </c>
      <c r="P108" s="101">
        <f>IF(N108&lt;&gt;"",IF(N110&lt;&gt;"",SMALL(N108:N110,1),""),"")</f>
        <v>0</v>
      </c>
      <c r="Q108" s="100"/>
      <c r="R108" s="197"/>
      <c r="S108" s="37"/>
      <c r="T108" s="37"/>
      <c r="U108" s="37"/>
      <c r="V108" s="198"/>
      <c r="W108" s="37"/>
      <c r="X108" s="86"/>
      <c r="Y108" s="198"/>
      <c r="Z108" s="94"/>
      <c r="AA108" s="37"/>
      <c r="AB108" s="29"/>
      <c r="AC108" s="198"/>
      <c r="AD108" s="94"/>
      <c r="AE108" s="96"/>
      <c r="AF108" s="266">
        <v>0</v>
      </c>
      <c r="AG108" s="169" t="str">
        <f>IF(AJ110&lt;&gt;"",IF(AJ112&lt;&gt;"",IF(AJ110=AJ112,"",IF(AJ110&gt;AJ112,AK110,AK112)),""),"")</f>
        <v>GUSTAVO NOGUEIRA FEITOSA</v>
      </c>
      <c r="AH108" s="98"/>
      <c r="AI108" s="37"/>
      <c r="AJ108" s="29"/>
      <c r="AK108" s="188"/>
      <c r="AL108" s="29"/>
      <c r="AP108" s="31">
        <v>36</v>
      </c>
      <c r="AQ108" s="32" t="str">
        <f t="shared" si="10"/>
        <v>LUGAR</v>
      </c>
      <c r="AR108" s="111" t="s">
        <v>675</v>
      </c>
      <c r="AS108" s="33" t="s">
        <v>127</v>
      </c>
      <c r="AT108" s="33">
        <v>102</v>
      </c>
      <c r="AU108" s="33" t="str">
        <f t="shared" si="11"/>
        <v/>
      </c>
    </row>
    <row r="109" spans="2:47" ht="18" customHeight="1" thickBot="1" x14ac:dyDescent="0.3">
      <c r="B109" s="133"/>
      <c r="C109" s="188"/>
      <c r="D109" s="29"/>
      <c r="E109" s="35"/>
      <c r="F109" s="29"/>
      <c r="G109" s="170" t="str">
        <f>IFERROR(IF(G108="","",VLOOKUP(G108,LISTAS!$F$5:$G$1004,2,0)),"0")</f>
        <v>ESCOLA VILLARE</v>
      </c>
      <c r="H109" s="267"/>
      <c r="I109" s="138"/>
      <c r="J109" s="101"/>
      <c r="K109" s="190"/>
      <c r="L109" s="101"/>
      <c r="M109" s="138"/>
      <c r="N109" s="101"/>
      <c r="O109" s="190"/>
      <c r="P109" s="101"/>
      <c r="Q109" s="100"/>
      <c r="R109" s="197"/>
      <c r="S109" s="37"/>
      <c r="T109" s="37"/>
      <c r="U109" s="37"/>
      <c r="V109" s="198"/>
      <c r="W109" s="37"/>
      <c r="X109" s="86"/>
      <c r="Y109" s="198"/>
      <c r="Z109" s="37"/>
      <c r="AA109" s="89"/>
      <c r="AB109" s="29"/>
      <c r="AC109" s="198"/>
      <c r="AD109" s="94"/>
      <c r="AE109" s="37"/>
      <c r="AF109" s="267"/>
      <c r="AG109" s="170" t="str">
        <f>IFERROR(IF(AG108="","",VLOOKUP(AG108,LISTAS!$F$5:$G$1004,2,0)),"0")</f>
        <v>CENTRO DE ESTUDOS JÚLIO VERNE</v>
      </c>
      <c r="AH109" s="37"/>
      <c r="AI109" s="89"/>
      <c r="AJ109" s="29"/>
      <c r="AK109" s="188"/>
      <c r="AL109" s="29"/>
      <c r="AP109" s="31" t="str">
        <f t="shared" ref="AP109:AP113" si="12">IF(AR109&lt;&gt;"",1+COUNTIF(AP78:AP108,"1")+COUNTIF(AP78:AP108,"2")+COUNTIF(AP78:AP108,"3")+COUNTIF(AP78:AP108,"4")+COUNTIF(AP78:AP108,"5")+COUNTIF(AP78:AP108,"6")+COUNTIF(AP78:AP108,"7")+COUNTIF(AP78:AP108,"8")+COUNTIF(AP78:AP108,"9")+COUNTIF(AP78:AP108,"10")+COUNTIF(AP78:AP108,"11")+COUNTIF(AP78:AP108,"12")+COUNTIF(AP78:AP108,"13")+COUNTIF(AP78:AP108,"14")+COUNTIF(AP78:AP108,"15")+COUNTIF(AP78:AP108,"16")+COUNTIF(AP78:AP108,"17")+COUNTIF(AP78:AP108,"18")+COUNTIF(AP78:AP108,"19")+COUNTIF(AP78:AP108,"20")+COUNTIF(AP78:AP108,"21")+COUNTIF(AP78:AP108,"22")+COUNTIF(AP78:AP108,"23")+COUNTIF(AP78:AP108,"24")+COUNTIF(AP78:AP108,"25")+COUNTIF(AP78:AP108,"26")+COUNTIF(AP78:AP108,"27")+COUNTIF(AP78:AP108,"28")+COUNTIF(AP78:AP108,"29")+COUNTIF(AP78:AP108,"30")+COUNTIF(AP78:AP108,"31"),"")</f>
        <v/>
      </c>
      <c r="AQ109" s="32" t="str">
        <f t="shared" si="10"/>
        <v/>
      </c>
      <c r="AR109" s="111"/>
      <c r="AS109" s="33"/>
      <c r="AT109" s="33" t="str">
        <f t="shared" ref="AT109:AT113" si="13">IF(AP109="","",IF(AP109=1,180,IF(AP109=2,170,IF(AP109=3,150,IF(AP109=4,140,IF(AP109=5,135,IF(AP109=6,130,IF(AP109=7,120,IF(AP109=8,110,IF(AP109=9,105,IF(AP109=10,105,IF(AP109=11,105,IF(AP109=12,105,IF(AP109=13,105,IF(AP109=14,105,IF(AP109=15,105,IF(AP109=16,105,IF(AP109&gt;16,"",""))))))))))))))))))</f>
        <v/>
      </c>
      <c r="AU109" s="33" t="str">
        <f t="shared" si="11"/>
        <v/>
      </c>
    </row>
    <row r="110" spans="2:47" ht="18" customHeight="1" x14ac:dyDescent="0.25">
      <c r="B110" s="133">
        <v>12</v>
      </c>
      <c r="C110" s="169" t="str">
        <f>IF('13M GRP'!G5&gt;=3,'13M GRP'!J165,IF('13M GRP'!G5=2,"",IF('13M GRP'!G5=1,"","")))</f>
        <v>LUCCA LAW GUASTAPAGLIA</v>
      </c>
      <c r="D110" s="266">
        <v>1</v>
      </c>
      <c r="E110" s="148">
        <f>IF(D110&lt;&gt;"",D110,"")</f>
        <v>1</v>
      </c>
      <c r="F110" s="101" t="str">
        <f>IF(D110&lt;&gt;"",IF(C110="","",C110),"")</f>
        <v>LUCCA LAW GUASTAPAGLIA</v>
      </c>
      <c r="G110" s="190">
        <f>IF(E110&lt;&gt;"",IF(E112&lt;&gt;"",SMALL(E110:E112,1),""),"")</f>
        <v>0</v>
      </c>
      <c r="H110" s="29"/>
      <c r="I110" s="138"/>
      <c r="J110" s="101"/>
      <c r="K110" s="190"/>
      <c r="L110" s="101"/>
      <c r="M110" s="138"/>
      <c r="N110" s="101">
        <f>IF(P101&lt;&gt;"",P101,"")</f>
        <v>1</v>
      </c>
      <c r="O110" s="190" t="str">
        <f>IF(P101&lt;&gt;"",O101,"")</f>
        <v>LUCAS CLAUDINO</v>
      </c>
      <c r="P110" s="101" t="str">
        <f>VLOOKUP(P108,N108:O110,2,0)</f>
        <v>ARTHUR VIEIRA SICART</v>
      </c>
      <c r="Q110" s="100"/>
      <c r="R110" s="197"/>
      <c r="S110" s="37"/>
      <c r="T110" s="37"/>
      <c r="U110" s="37"/>
      <c r="V110" s="198"/>
      <c r="W110" s="37"/>
      <c r="X110" s="86"/>
      <c r="Y110" s="198"/>
      <c r="Z110" s="37"/>
      <c r="AA110" s="89"/>
      <c r="AB110" s="29"/>
      <c r="AC110" s="198"/>
      <c r="AD110" s="94"/>
      <c r="AE110" s="100"/>
      <c r="AF110" s="100"/>
      <c r="AG110" s="197">
        <f>IF(AJ110&lt;&gt;"",AJ110,"")</f>
        <v>1</v>
      </c>
      <c r="AH110" s="100" t="str">
        <f>IF(AJ110&lt;&gt;"",IF(AK110="","",AK110),"")</f>
        <v>GUSTAVO NOGUEIRA FEITOSA</v>
      </c>
      <c r="AI110" s="137">
        <f>IF(AG110&lt;&gt;"",IF(AG112&lt;&gt;"",SMALL(AG110:AG112,1),""),"")</f>
        <v>0</v>
      </c>
      <c r="AJ110" s="266">
        <v>1</v>
      </c>
      <c r="AK110" s="169" t="str">
        <f>IF('13M GRP'!G5&gt;=3,'13M GRP'!J139,IF('13M GRP'!G5=2,"",IF('13M GRP'!G5=1,"","")))</f>
        <v>GUSTAVO NOGUEIRA FEITOSA</v>
      </c>
      <c r="AL110" s="29">
        <v>10</v>
      </c>
      <c r="AP110" s="31" t="str">
        <f t="shared" si="12"/>
        <v/>
      </c>
      <c r="AQ110" s="32" t="str">
        <f t="shared" si="10"/>
        <v/>
      </c>
      <c r="AR110" s="111"/>
      <c r="AS110" s="33"/>
      <c r="AT110" s="33" t="str">
        <f t="shared" si="13"/>
        <v/>
      </c>
      <c r="AU110" s="33" t="str">
        <f t="shared" si="11"/>
        <v/>
      </c>
    </row>
    <row r="111" spans="2:47" ht="18" customHeight="1" thickBot="1" x14ac:dyDescent="0.3">
      <c r="B111" s="133"/>
      <c r="C111" s="170" t="str">
        <f>IFERROR(IF(C110="","",VLOOKUP(C110,LISTAS!$F$5:$G$1004,2,0)),"0")</f>
        <v>ESCOLA VILLARE</v>
      </c>
      <c r="D111" s="267"/>
      <c r="E111" s="105"/>
      <c r="F111" s="101"/>
      <c r="G111" s="190"/>
      <c r="H111" s="29"/>
      <c r="I111" s="138"/>
      <c r="J111" s="101"/>
      <c r="K111" s="190"/>
      <c r="L111" s="101"/>
      <c r="M111" s="138"/>
      <c r="N111" s="101"/>
      <c r="O111" s="190"/>
      <c r="P111" s="101"/>
      <c r="Q111" s="100"/>
      <c r="R111" s="197"/>
      <c r="S111" s="37"/>
      <c r="T111" s="37"/>
      <c r="U111" s="37"/>
      <c r="V111" s="198"/>
      <c r="W111" s="37"/>
      <c r="X111" s="86"/>
      <c r="Y111" s="198"/>
      <c r="Z111" s="37"/>
      <c r="AA111" s="89"/>
      <c r="AB111" s="29"/>
      <c r="AC111" s="198"/>
      <c r="AD111" s="94"/>
      <c r="AE111" s="100"/>
      <c r="AF111" s="100"/>
      <c r="AG111" s="197"/>
      <c r="AH111" s="100"/>
      <c r="AI111" s="143"/>
      <c r="AJ111" s="267"/>
      <c r="AK111" s="170" t="str">
        <f>IFERROR(IF(AK110="","",VLOOKUP(AK110,LISTAS!$F$5:$G$1004,2,0)),"0")</f>
        <v>CENTRO DE ESTUDOS JÚLIO VERNE</v>
      </c>
      <c r="AL111" s="29"/>
      <c r="AP111" s="31" t="str">
        <f t="shared" si="12"/>
        <v/>
      </c>
      <c r="AQ111" s="32" t="str">
        <f t="shared" si="10"/>
        <v/>
      </c>
      <c r="AR111" s="111"/>
      <c r="AS111" s="33"/>
      <c r="AT111" s="33" t="str">
        <f t="shared" si="13"/>
        <v/>
      </c>
      <c r="AU111" s="33" t="str">
        <f t="shared" si="11"/>
        <v/>
      </c>
    </row>
    <row r="112" spans="2:47" ht="18" customHeight="1" x14ac:dyDescent="0.25">
      <c r="B112" s="133">
        <v>21</v>
      </c>
      <c r="C112" s="39" t="s">
        <v>440</v>
      </c>
      <c r="D112" s="266">
        <v>0</v>
      </c>
      <c r="E112" s="106">
        <f>IF(D112&lt;&gt;"",D112,"")</f>
        <v>0</v>
      </c>
      <c r="F112" s="101" t="str">
        <f>IF(D112&lt;&gt;"",IF(C112="","",C112),"")</f>
        <v>LUCAS MAYER BONTEMPI</v>
      </c>
      <c r="G112" s="190" t="str">
        <f>VLOOKUP(G110,E110:F112,2,0)</f>
        <v>LUCAS MAYER BONTEMPI</v>
      </c>
      <c r="H112" s="29"/>
      <c r="I112" s="138"/>
      <c r="J112" s="101"/>
      <c r="K112" s="190"/>
      <c r="L112" s="101"/>
      <c r="M112" s="138"/>
      <c r="N112" s="101"/>
      <c r="O112" s="190"/>
      <c r="P112" s="101"/>
      <c r="Q112" s="100"/>
      <c r="R112" s="197"/>
      <c r="S112" s="37"/>
      <c r="T112" s="37"/>
      <c r="U112" s="37"/>
      <c r="V112" s="198"/>
      <c r="W112" s="37"/>
      <c r="X112" s="86"/>
      <c r="Y112" s="198"/>
      <c r="Z112" s="37"/>
      <c r="AA112" s="89"/>
      <c r="AB112" s="29"/>
      <c r="AC112" s="198"/>
      <c r="AD112" s="94"/>
      <c r="AE112" s="100"/>
      <c r="AF112" s="100"/>
      <c r="AG112" s="197">
        <f>IF(AJ112&lt;&gt;"",AJ112,"")</f>
        <v>0</v>
      </c>
      <c r="AH112" s="100" t="str">
        <f>IF(AJ112&lt;&gt;"",IF(AK112="","",AK112),"")</f>
        <v>Lucas Porto Ribeiro</v>
      </c>
      <c r="AI112" s="145" t="str">
        <f>VLOOKUP(AI110,AG110:AH112,2,0)</f>
        <v>Lucas Porto Ribeiro</v>
      </c>
      <c r="AJ112" s="266">
        <v>0</v>
      </c>
      <c r="AK112" s="169" t="str">
        <f>IF('13M GRP'!G5&gt;=3,'13M GRP'!J308,IF('13M GRP'!G5=2,"",IF('13M GRP'!G5=1,"","")))</f>
        <v>Lucas Porto Ribeiro</v>
      </c>
      <c r="AL112" s="29">
        <v>23</v>
      </c>
      <c r="AP112" s="31" t="str">
        <f t="shared" si="12"/>
        <v/>
      </c>
      <c r="AQ112" s="32" t="str">
        <f t="shared" si="10"/>
        <v/>
      </c>
      <c r="AR112" s="111"/>
      <c r="AS112" s="33"/>
      <c r="AT112" s="33" t="str">
        <f t="shared" si="13"/>
        <v/>
      </c>
      <c r="AU112" s="33" t="str">
        <f t="shared" si="11"/>
        <v/>
      </c>
    </row>
    <row r="113" spans="2:47" ht="18" customHeight="1" thickBot="1" x14ac:dyDescent="0.3">
      <c r="B113" s="133"/>
      <c r="C113" s="170" t="str">
        <f>IFERROR(IF(C112="","",VLOOKUP(C112,LISTAS!$F$5:$G$1004,2,0)),"0")</f>
        <v>COLÉGIO ARBOS - UNIDADE SANTO ANDRÉ</v>
      </c>
      <c r="D113" s="267"/>
      <c r="E113" s="101"/>
      <c r="F113" s="101"/>
      <c r="G113" s="190"/>
      <c r="H113" s="29"/>
      <c r="I113" s="138"/>
      <c r="J113" s="101"/>
      <c r="K113" s="190"/>
      <c r="L113" s="101"/>
      <c r="M113" s="138"/>
      <c r="N113" s="101"/>
      <c r="O113" s="190"/>
      <c r="P113" s="101"/>
      <c r="Q113" s="100"/>
      <c r="R113" s="197"/>
      <c r="S113" s="37"/>
      <c r="T113" s="37"/>
      <c r="U113" s="37"/>
      <c r="V113" s="198"/>
      <c r="W113" s="37"/>
      <c r="X113" s="86"/>
      <c r="Y113" s="198"/>
      <c r="Z113" s="37"/>
      <c r="AA113" s="89"/>
      <c r="AB113" s="29"/>
      <c r="AC113" s="198"/>
      <c r="AD113" s="94"/>
      <c r="AE113" s="100"/>
      <c r="AF113" s="100"/>
      <c r="AG113" s="197"/>
      <c r="AH113" s="100"/>
      <c r="AI113" s="101"/>
      <c r="AJ113" s="267"/>
      <c r="AK113" s="170" t="str">
        <f>IFERROR(IF(AK112="","",VLOOKUP(AK112,LISTAS!$F$5:$G$1004,2,0)),"0")</f>
        <v>ESCOLA INTERAÇÃO</v>
      </c>
      <c r="AL113" s="29"/>
      <c r="AP113" s="31" t="str">
        <f t="shared" si="12"/>
        <v/>
      </c>
      <c r="AQ113" s="32" t="str">
        <f t="shared" si="10"/>
        <v/>
      </c>
      <c r="AR113" s="111"/>
      <c r="AS113" s="33"/>
      <c r="AT113" s="33" t="str">
        <f t="shared" si="13"/>
        <v/>
      </c>
      <c r="AU113" s="33" t="str">
        <f t="shared" si="11"/>
        <v/>
      </c>
    </row>
    <row r="114" spans="2:47" ht="18" customHeight="1" x14ac:dyDescent="0.25">
      <c r="B114" s="133"/>
      <c r="C114" s="188"/>
      <c r="D114" s="29"/>
      <c r="E114" s="101"/>
      <c r="F114" s="101"/>
      <c r="G114" s="190"/>
      <c r="H114" s="29"/>
      <c r="I114" s="35"/>
      <c r="J114" s="29"/>
      <c r="K114" s="169" t="str">
        <f>IF(H106&lt;&gt;"",IF(H108&lt;&gt;"",IF(H106=H108,"",IF(H106&gt;H108,G106,G108)),""),"")</f>
        <v>LUCAS CLAUDINO</v>
      </c>
      <c r="L114" s="266">
        <v>1</v>
      </c>
      <c r="M114" s="148">
        <f>IF(L114&lt;&gt;"",L114,"")</f>
        <v>1</v>
      </c>
      <c r="N114" s="101" t="str">
        <f>IF(L114&lt;&gt;"",IF(K114="","",K114),"")</f>
        <v>LUCAS CLAUDINO</v>
      </c>
      <c r="O114" s="190">
        <f>IF(M114&lt;&gt;"",IF(M116&lt;&gt;"",SMALL(M114:N116,1),""),"")</f>
        <v>0</v>
      </c>
      <c r="P114" s="101"/>
      <c r="Q114" s="37"/>
      <c r="R114" s="198"/>
      <c r="S114" s="37"/>
      <c r="T114" s="37"/>
      <c r="U114" s="37"/>
      <c r="V114" s="198"/>
      <c r="W114" s="37"/>
      <c r="X114" s="86"/>
      <c r="Y114" s="198"/>
      <c r="Z114" s="37"/>
      <c r="AA114" s="89"/>
      <c r="AB114" s="266">
        <v>1</v>
      </c>
      <c r="AC114" s="169" t="str">
        <f>IF(AF106&lt;&gt;"",IF(AF108&lt;&gt;"",IF(AF106=AF108,"",IF(AF106&gt;AF108,AG106,AG108)),""),"")</f>
        <v>BENTO MARCHETI UEDA</v>
      </c>
      <c r="AD114" s="141"/>
      <c r="AE114" s="37"/>
      <c r="AF114" s="88"/>
      <c r="AG114" s="199"/>
      <c r="AH114" s="88"/>
      <c r="AI114" s="88"/>
      <c r="AJ114" s="29"/>
      <c r="AK114" s="188"/>
      <c r="AL114" s="29"/>
    </row>
    <row r="115" spans="2:47" ht="18" customHeight="1" thickBot="1" x14ac:dyDescent="0.3">
      <c r="B115" s="133"/>
      <c r="C115" s="188"/>
      <c r="D115" s="29"/>
      <c r="E115" s="101"/>
      <c r="F115" s="101"/>
      <c r="G115" s="190"/>
      <c r="H115" s="29"/>
      <c r="I115" s="35"/>
      <c r="J115" s="29"/>
      <c r="K115" s="170" t="str">
        <f>IFERROR(IF(K114="","",VLOOKUP(K114,LISTAS!$F$5:$G$1004,2,0)),"0")</f>
        <v>COLÉGIO MARCONI - GRU</v>
      </c>
      <c r="L115" s="267"/>
      <c r="M115" s="105"/>
      <c r="N115" s="101"/>
      <c r="O115" s="190"/>
      <c r="P115" s="101"/>
      <c r="Q115" s="37"/>
      <c r="R115" s="198"/>
      <c r="S115" s="37"/>
      <c r="T115" s="37"/>
      <c r="U115" s="37"/>
      <c r="V115" s="198"/>
      <c r="W115" s="37"/>
      <c r="X115" s="86"/>
      <c r="Y115" s="198"/>
      <c r="Z115" s="37"/>
      <c r="AA115" s="139"/>
      <c r="AB115" s="267"/>
      <c r="AC115" s="170" t="str">
        <f>IFERROR(IF(AC114="","",VLOOKUP(AC114,LISTAS!$F$5:$G$1004,2,0)),"0")</f>
        <v>ABACO IPIRANGA</v>
      </c>
      <c r="AD115" s="37"/>
      <c r="AE115" s="89"/>
      <c r="AF115" s="88"/>
      <c r="AG115" s="199"/>
      <c r="AH115" s="88"/>
      <c r="AI115" s="88"/>
      <c r="AJ115" s="29"/>
      <c r="AK115" s="188"/>
      <c r="AL115" s="29"/>
    </row>
    <row r="116" spans="2:47" ht="18" customHeight="1" x14ac:dyDescent="0.25">
      <c r="B116" s="133"/>
      <c r="C116" s="188"/>
      <c r="D116" s="29"/>
      <c r="E116" s="29"/>
      <c r="F116" s="29"/>
      <c r="G116" s="188"/>
      <c r="H116" s="29"/>
      <c r="I116" s="35"/>
      <c r="J116" s="36"/>
      <c r="K116" s="169" t="str">
        <f>IF(H122&lt;&gt;"",IF(H124&lt;&gt;"",IF(H122=H124,"",IF(H122&gt;H124,G122,G124)),""),"")</f>
        <v>LEONARDO HERNANDES DE ASSIS</v>
      </c>
      <c r="L116" s="266">
        <v>0</v>
      </c>
      <c r="M116" s="106">
        <f>IF(L116&lt;&gt;"",L116,"")</f>
        <v>0</v>
      </c>
      <c r="N116" s="101" t="str">
        <f>IF(L116&lt;&gt;"",IF(K116="","",K116),"")</f>
        <v>LEONARDO HERNANDES DE ASSIS</v>
      </c>
      <c r="O116" s="190" t="str">
        <f>VLOOKUP(O114,M114:N116,2,0)</f>
        <v>LEONARDO HERNANDES DE ASSIS</v>
      </c>
      <c r="P116" s="101"/>
      <c r="Q116" s="37"/>
      <c r="R116" s="198"/>
      <c r="S116" s="37"/>
      <c r="T116" s="37"/>
      <c r="U116" s="37"/>
      <c r="V116" s="198"/>
      <c r="W116" s="37"/>
      <c r="X116" s="86"/>
      <c r="Y116" s="198"/>
      <c r="Z116" s="37"/>
      <c r="AA116" s="37"/>
      <c r="AB116" s="266">
        <v>0</v>
      </c>
      <c r="AC116" s="169" t="str">
        <f>IF(AF122&lt;&gt;"",IF(AF124&lt;&gt;"",IF(AF122=AF124,"",IF(AF122&gt;AF124,AG122,AG124)),""),"")</f>
        <v>GUILHERME HENRIQUE PORTELA NUNES</v>
      </c>
      <c r="AD116" s="37"/>
      <c r="AE116" s="89"/>
      <c r="AF116" s="88"/>
      <c r="AG116" s="199"/>
      <c r="AH116" s="88"/>
      <c r="AI116" s="88"/>
      <c r="AJ116" s="29"/>
      <c r="AK116" s="188"/>
      <c r="AL116" s="29"/>
    </row>
    <row r="117" spans="2:47" ht="18" customHeight="1" thickBot="1" x14ac:dyDescent="0.3">
      <c r="B117" s="133"/>
      <c r="C117" s="188"/>
      <c r="D117" s="29"/>
      <c r="E117" s="29"/>
      <c r="F117" s="29"/>
      <c r="G117" s="188"/>
      <c r="H117" s="29"/>
      <c r="I117" s="35"/>
      <c r="J117" s="29"/>
      <c r="K117" s="170" t="str">
        <f>IFERROR(IF(K116="","",VLOOKUP(K116,LISTAS!$F$5:$G$1004,2,0)),"0")</f>
        <v>COLEGIO PETROPOLIS</v>
      </c>
      <c r="L117" s="267"/>
      <c r="M117" s="101"/>
      <c r="N117" s="101"/>
      <c r="O117" s="190"/>
      <c r="P117" s="101"/>
      <c r="Q117" s="37"/>
      <c r="R117" s="198"/>
      <c r="S117" s="37"/>
      <c r="T117" s="37"/>
      <c r="U117" s="37"/>
      <c r="V117" s="198"/>
      <c r="W117" s="37"/>
      <c r="X117" s="86"/>
      <c r="Y117" s="198"/>
      <c r="Z117" s="37"/>
      <c r="AA117" s="37"/>
      <c r="AB117" s="267"/>
      <c r="AC117" s="170" t="str">
        <f>IFERROR(IF(AC116="","",VLOOKUP(AC116,LISTAS!$F$5:$G$1004,2,0)),"0")</f>
        <v>COLÉGIO ARBOS SÃO CAETANO DO SUL</v>
      </c>
      <c r="AD117" s="37"/>
      <c r="AE117" s="89"/>
      <c r="AF117" s="88"/>
      <c r="AG117" s="199"/>
      <c r="AH117" s="88"/>
      <c r="AI117" s="88"/>
      <c r="AJ117" s="29"/>
      <c r="AK117" s="188"/>
      <c r="AL117" s="29"/>
    </row>
    <row r="118" spans="2:47" ht="18" customHeight="1" x14ac:dyDescent="0.25">
      <c r="B118" s="133">
        <v>20</v>
      </c>
      <c r="C118" s="39" t="s">
        <v>438</v>
      </c>
      <c r="D118" s="266">
        <v>1</v>
      </c>
      <c r="E118" s="101">
        <f>IF(D118&lt;&gt;"",D118,"")</f>
        <v>1</v>
      </c>
      <c r="F118" s="101" t="str">
        <f>IF(D118&lt;&gt;"",IF(C118="","",C118),"")</f>
        <v>LUCAS F. CORREA</v>
      </c>
      <c r="G118" s="190">
        <f>IF(E118&lt;&gt;"",IF(E120&lt;&gt;"",SMALL(E118:E120,1),""),"")</f>
        <v>0</v>
      </c>
      <c r="H118" s="101"/>
      <c r="I118" s="138"/>
      <c r="J118" s="101"/>
      <c r="K118" s="190"/>
      <c r="L118" s="101"/>
      <c r="M118" s="101"/>
      <c r="N118" s="101"/>
      <c r="O118" s="190"/>
      <c r="P118" s="101"/>
      <c r="Q118" s="37"/>
      <c r="R118" s="198"/>
      <c r="S118" s="37"/>
      <c r="T118" s="37"/>
      <c r="U118" s="37"/>
      <c r="V118" s="198"/>
      <c r="W118" s="37"/>
      <c r="X118" s="86"/>
      <c r="Y118" s="198"/>
      <c r="Z118" s="37"/>
      <c r="AA118" s="37"/>
      <c r="AB118" s="29"/>
      <c r="AC118" s="197"/>
      <c r="AD118" s="100"/>
      <c r="AE118" s="144"/>
      <c r="AF118" s="100"/>
      <c r="AG118" s="197">
        <f>IF(AJ118&lt;&gt;"",AJ118,"")</f>
        <v>0</v>
      </c>
      <c r="AH118" s="100" t="str">
        <f>IF(AJ118&lt;&gt;"",IF(AK118="","",AK118),"")</f>
        <v>GABRIEL VASCONCELLOS STANGUINI</v>
      </c>
      <c r="AI118" s="101">
        <f>IF(AG118&lt;&gt;"",IF(AG120&lt;&gt;"",SMALL(AG118:AG120,1),""),"")</f>
        <v>0</v>
      </c>
      <c r="AJ118" s="266">
        <v>0</v>
      </c>
      <c r="AK118" s="169" t="str">
        <f>IF('13M GRP'!G5&gt;=3,'13M GRP'!J204,IF('13M GRP'!G5=2,"",IF('13M GRP'!G5=1,"","")))</f>
        <v>GABRIEL VASCONCELLOS STANGUINI</v>
      </c>
      <c r="AL118" s="29">
        <v>15</v>
      </c>
    </row>
    <row r="119" spans="2:47" ht="18" customHeight="1" thickBot="1" x14ac:dyDescent="0.3">
      <c r="B119" s="133"/>
      <c r="C119" s="170" t="str">
        <f>IFERROR(IF(C118="","",VLOOKUP(C118,LISTAS!$F$5:$G$1004,2,0)),"0")</f>
        <v>ABACO IPIRANGA</v>
      </c>
      <c r="D119" s="267"/>
      <c r="E119" s="101"/>
      <c r="F119" s="101"/>
      <c r="G119" s="190"/>
      <c r="H119" s="101"/>
      <c r="I119" s="138"/>
      <c r="J119" s="101"/>
      <c r="K119" s="190"/>
      <c r="L119" s="101"/>
      <c r="M119" s="101"/>
      <c r="N119" s="101"/>
      <c r="O119" s="190"/>
      <c r="P119" s="101"/>
      <c r="Q119" s="37"/>
      <c r="R119" s="198"/>
      <c r="S119" s="37"/>
      <c r="T119" s="37"/>
      <c r="U119" s="37"/>
      <c r="V119" s="198"/>
      <c r="W119" s="37"/>
      <c r="X119" s="86"/>
      <c r="Y119" s="198"/>
      <c r="Z119" s="37"/>
      <c r="AA119" s="37"/>
      <c r="AB119" s="29"/>
      <c r="AC119" s="197"/>
      <c r="AD119" s="100"/>
      <c r="AE119" s="144"/>
      <c r="AF119" s="100"/>
      <c r="AG119" s="197"/>
      <c r="AH119" s="100"/>
      <c r="AI119" s="101"/>
      <c r="AJ119" s="267"/>
      <c r="AK119" s="170" t="str">
        <f>IFERROR(IF(AK118="","",VLOOKUP(AK118,LISTAS!$F$5:$G$1004,2,0)),"0")</f>
        <v>COLÉGIO ARBOS SÃO CAETANO DO SUL</v>
      </c>
      <c r="AL119" s="29"/>
    </row>
    <row r="120" spans="2:47" ht="18" customHeight="1" x14ac:dyDescent="0.25">
      <c r="B120" s="133">
        <v>13</v>
      </c>
      <c r="C120" s="169" t="str">
        <f>IF('13M GRP'!G5&gt;=3,'13M GRP'!J178,IF('13M GRP'!G5=2,"",IF('13M GRP'!G5=1,"","")))</f>
        <v>DAVI ESPERIDIÃO DE SOUZA SANTOS</v>
      </c>
      <c r="D120" s="266">
        <v>0</v>
      </c>
      <c r="E120" s="107">
        <f>IF(D120&lt;&gt;"",D120,"")</f>
        <v>0</v>
      </c>
      <c r="F120" s="101" t="str">
        <f>IF(D120&lt;&gt;"",IF(C120="","",C120),"")</f>
        <v>DAVI ESPERIDIÃO DE SOUZA SANTOS</v>
      </c>
      <c r="G120" s="190" t="str">
        <f>VLOOKUP(G118,E118:F120,2,0)</f>
        <v>DAVI ESPERIDIÃO DE SOUZA SANTOS</v>
      </c>
      <c r="H120" s="101"/>
      <c r="I120" s="138"/>
      <c r="J120" s="101"/>
      <c r="K120" s="190"/>
      <c r="L120" s="101"/>
      <c r="M120" s="101"/>
      <c r="N120" s="101"/>
      <c r="O120" s="190"/>
      <c r="P120" s="101"/>
      <c r="Q120" s="37"/>
      <c r="R120" s="198"/>
      <c r="S120" s="37"/>
      <c r="T120" s="37"/>
      <c r="U120" s="37"/>
      <c r="V120" s="198"/>
      <c r="W120" s="37"/>
      <c r="X120" s="86"/>
      <c r="Y120" s="198"/>
      <c r="Z120" s="37"/>
      <c r="AA120" s="37"/>
      <c r="AB120" s="29"/>
      <c r="AC120" s="197"/>
      <c r="AD120" s="100"/>
      <c r="AE120" s="144"/>
      <c r="AF120" s="100"/>
      <c r="AG120" s="197">
        <f>IF(AJ120&lt;&gt;"",AJ120,"")</f>
        <v>1</v>
      </c>
      <c r="AH120" s="100" t="str">
        <f>IF(AJ120&lt;&gt;"",IF(AK120="","",AK120),"")</f>
        <v>GUILHERME HENRIQUE PORTELA NUNES</v>
      </c>
      <c r="AI120" s="102" t="str">
        <f>VLOOKUP(AI118,AG118:AH120,2,0)</f>
        <v>GABRIEL VASCONCELLOS STANGUINI</v>
      </c>
      <c r="AJ120" s="266">
        <v>1</v>
      </c>
      <c r="AK120" s="39" t="s">
        <v>414</v>
      </c>
      <c r="AL120" s="29">
        <v>18</v>
      </c>
    </row>
    <row r="121" spans="2:47" ht="18" customHeight="1" thickBot="1" x14ac:dyDescent="0.3">
      <c r="B121" s="133"/>
      <c r="C121" s="170" t="str">
        <f>IFERROR(IF(C120="","",VLOOKUP(C120,LISTAS!$F$5:$G$1004,2,0)),"0")</f>
        <v>ABACO IPIRANGA</v>
      </c>
      <c r="D121" s="267"/>
      <c r="E121" s="148"/>
      <c r="F121" s="101"/>
      <c r="G121" s="190"/>
      <c r="H121" s="101"/>
      <c r="I121" s="138"/>
      <c r="J121" s="101"/>
      <c r="K121" s="190"/>
      <c r="L121" s="101"/>
      <c r="M121" s="101"/>
      <c r="N121" s="101"/>
      <c r="O121" s="190"/>
      <c r="P121" s="101"/>
      <c r="Q121" s="37"/>
      <c r="R121" s="198"/>
      <c r="S121" s="37"/>
      <c r="T121" s="37"/>
      <c r="U121" s="37"/>
      <c r="V121" s="198"/>
      <c r="W121" s="37"/>
      <c r="X121" s="86"/>
      <c r="Y121" s="198"/>
      <c r="Z121" s="37"/>
      <c r="AA121" s="37"/>
      <c r="AB121" s="29"/>
      <c r="AC121" s="197"/>
      <c r="AD121" s="100"/>
      <c r="AE121" s="144"/>
      <c r="AF121" s="100"/>
      <c r="AG121" s="197"/>
      <c r="AH121" s="146"/>
      <c r="AI121" s="101"/>
      <c r="AJ121" s="267"/>
      <c r="AK121" s="170" t="str">
        <f>IFERROR(IF(AK120="","",VLOOKUP(AK120,LISTAS!$F$5:$G$1004,2,0)),"0")</f>
        <v>COLÉGIO ARBOS SÃO CAETANO DO SUL</v>
      </c>
      <c r="AL121" s="29"/>
    </row>
    <row r="122" spans="2:47" ht="18" customHeight="1" x14ac:dyDescent="0.25">
      <c r="B122" s="133"/>
      <c r="C122" s="188"/>
      <c r="D122" s="29"/>
      <c r="E122" s="29"/>
      <c r="F122" s="34"/>
      <c r="G122" s="169" t="str">
        <f>IF(D118&lt;&gt;"",IF(D120&lt;&gt;"",IF(D118=D120,"",IF(D118&gt;D120,C118,C120)),""),"")</f>
        <v>LUCAS F. CORREA</v>
      </c>
      <c r="H122" s="266">
        <v>0</v>
      </c>
      <c r="I122" s="148">
        <f>IF(H122&lt;&gt;"",H122,"")</f>
        <v>0</v>
      </c>
      <c r="J122" s="101" t="str">
        <f>IF(H122&lt;&gt;"",IF(G122="","",G122),"")</f>
        <v>LUCAS F. CORREA</v>
      </c>
      <c r="K122" s="190">
        <f>IF(I122&lt;&gt;"",IF(I124&lt;&gt;"",SMALL(I122:J124,1),""),"")</f>
        <v>0</v>
      </c>
      <c r="L122" s="29"/>
      <c r="M122" s="29"/>
      <c r="N122" s="29"/>
      <c r="O122" s="188"/>
      <c r="P122" s="29"/>
      <c r="Q122" s="37"/>
      <c r="R122" s="198"/>
      <c r="S122" s="37"/>
      <c r="T122" s="37"/>
      <c r="U122" s="37"/>
      <c r="V122" s="198"/>
      <c r="W122" s="37"/>
      <c r="X122" s="86"/>
      <c r="Y122" s="198"/>
      <c r="Z122" s="37"/>
      <c r="AA122" s="37"/>
      <c r="AB122" s="29"/>
      <c r="AC122" s="198"/>
      <c r="AD122" s="37"/>
      <c r="AE122" s="89"/>
      <c r="AF122" s="266">
        <v>1</v>
      </c>
      <c r="AG122" s="169" t="str">
        <f>IF(AJ118&lt;&gt;"",IF(AJ120&lt;&gt;"",IF(AJ118=AJ120,"",IF(AJ118&gt;AJ120,AK118,AK120)),""),"")</f>
        <v>GUILHERME HENRIQUE PORTELA NUNES</v>
      </c>
      <c r="AH122" s="94"/>
      <c r="AI122" s="37"/>
      <c r="AJ122" s="29"/>
      <c r="AK122" s="188"/>
      <c r="AL122" s="29"/>
    </row>
    <row r="123" spans="2:47" ht="18" customHeight="1" thickBot="1" x14ac:dyDescent="0.3">
      <c r="B123" s="133"/>
      <c r="C123" s="188"/>
      <c r="D123" s="29"/>
      <c r="E123" s="29"/>
      <c r="F123" s="34"/>
      <c r="G123" s="170" t="str">
        <f>IFERROR(IF(G122="","",VLOOKUP(G122,LISTAS!$F$5:$G$1004,2,0)),"0")</f>
        <v>ABACO IPIRANGA</v>
      </c>
      <c r="H123" s="267"/>
      <c r="I123" s="105"/>
      <c r="J123" s="101"/>
      <c r="K123" s="190"/>
      <c r="L123" s="29"/>
      <c r="M123" s="29"/>
      <c r="N123" s="29"/>
      <c r="O123" s="188"/>
      <c r="P123" s="29"/>
      <c r="Q123" s="37"/>
      <c r="R123" s="198"/>
      <c r="S123" s="37"/>
      <c r="T123" s="37"/>
      <c r="U123" s="37"/>
      <c r="V123" s="198"/>
      <c r="W123" s="37"/>
      <c r="X123" s="86"/>
      <c r="Y123" s="198"/>
      <c r="Z123" s="37"/>
      <c r="AA123" s="37"/>
      <c r="AB123" s="29"/>
      <c r="AC123" s="198"/>
      <c r="AD123" s="37"/>
      <c r="AE123" s="90"/>
      <c r="AF123" s="267"/>
      <c r="AG123" s="170" t="str">
        <f>IFERROR(IF(AG122="","",VLOOKUP(AG122,LISTAS!$F$5:$G$1004,2,0)),"0")</f>
        <v>COLÉGIO ARBOS SÃO CAETANO DO SUL</v>
      </c>
      <c r="AH123" s="94"/>
      <c r="AI123" s="37"/>
      <c r="AJ123" s="29"/>
      <c r="AK123" s="188"/>
      <c r="AL123" s="29"/>
    </row>
    <row r="124" spans="2:47" ht="18" customHeight="1" x14ac:dyDescent="0.25">
      <c r="B124" s="133"/>
      <c r="C124" s="188"/>
      <c r="D124" s="29"/>
      <c r="E124" s="35"/>
      <c r="F124" s="36"/>
      <c r="G124" s="169" t="str">
        <f>IF(D126&lt;&gt;"",IF(D128&lt;&gt;"",IF(D126=D128,"",IF(D126&gt;D128,C126,C128)),""),"")</f>
        <v>LEONARDO HERNANDES DE ASSIS</v>
      </c>
      <c r="H124" s="266">
        <v>1</v>
      </c>
      <c r="I124" s="106">
        <f>IF(H124&lt;&gt;"",H124,"")</f>
        <v>1</v>
      </c>
      <c r="J124" s="101" t="str">
        <f>IF(H124&lt;&gt;"",IF(G124="","",G124),"")</f>
        <v>LEONARDO HERNANDES DE ASSIS</v>
      </c>
      <c r="K124" s="190" t="str">
        <f>VLOOKUP(K122,I122:J124,2,0)</f>
        <v>LUCAS F. CORREA</v>
      </c>
      <c r="L124" s="29"/>
      <c r="M124" s="29"/>
      <c r="N124" s="29"/>
      <c r="O124" s="188"/>
      <c r="P124" s="29"/>
      <c r="Q124" s="37"/>
      <c r="R124" s="198"/>
      <c r="S124" s="37"/>
      <c r="T124" s="37"/>
      <c r="U124" s="37"/>
      <c r="V124" s="198"/>
      <c r="W124" s="37"/>
      <c r="X124" s="86"/>
      <c r="Y124" s="198"/>
      <c r="Z124" s="37"/>
      <c r="AA124" s="37"/>
      <c r="AB124" s="29"/>
      <c r="AC124" s="198"/>
      <c r="AD124" s="37"/>
      <c r="AE124" s="91"/>
      <c r="AF124" s="266">
        <v>0</v>
      </c>
      <c r="AG124" s="169" t="str">
        <f>IF(AJ126&lt;&gt;"",IF(AJ128&lt;&gt;"",IF(AJ126=AJ128,"",IF(AJ126&gt;AJ128,AK126,AK128)),""),"")</f>
        <v>CARLOS EDUARDO RODRIGUES RIBEIRO</v>
      </c>
      <c r="AH124" s="98"/>
      <c r="AI124" s="37"/>
      <c r="AJ124" s="29"/>
      <c r="AK124" s="188"/>
      <c r="AL124" s="29"/>
    </row>
    <row r="125" spans="2:47" ht="18" customHeight="1" thickBot="1" x14ac:dyDescent="0.3">
      <c r="B125" s="133"/>
      <c r="C125" s="188"/>
      <c r="D125" s="29"/>
      <c r="E125" s="35"/>
      <c r="F125" s="29"/>
      <c r="G125" s="170" t="str">
        <f>IFERROR(IF(G124="","",VLOOKUP(G124,LISTAS!$F$5:$G$1004,2,0)),"0")</f>
        <v>COLEGIO PETROPOLIS</v>
      </c>
      <c r="H125" s="267"/>
      <c r="I125" s="101"/>
      <c r="J125" s="101"/>
      <c r="K125" s="190"/>
      <c r="L125" s="29"/>
      <c r="M125" s="29"/>
      <c r="N125" s="29"/>
      <c r="O125" s="188"/>
      <c r="P125" s="29"/>
      <c r="Q125" s="37"/>
      <c r="R125" s="198"/>
      <c r="S125" s="37"/>
      <c r="T125" s="37"/>
      <c r="U125" s="37"/>
      <c r="V125" s="198"/>
      <c r="W125" s="37"/>
      <c r="X125" s="86"/>
      <c r="Y125" s="198"/>
      <c r="Z125" s="37"/>
      <c r="AA125" s="37"/>
      <c r="AB125" s="29"/>
      <c r="AC125" s="198"/>
      <c r="AD125" s="37"/>
      <c r="AE125" s="37"/>
      <c r="AF125" s="267"/>
      <c r="AG125" s="170" t="str">
        <f>IFERROR(IF(AG124="","",VLOOKUP(AG124,LISTAS!$F$5:$G$1004,2,0)),"0")</f>
        <v>CENTRO DE ESTUDOS JÚLIO VERNE</v>
      </c>
      <c r="AH125" s="37"/>
      <c r="AI125" s="89"/>
      <c r="AJ125" s="29"/>
      <c r="AK125" s="188"/>
      <c r="AL125" s="29"/>
    </row>
    <row r="126" spans="2:47" ht="18" customHeight="1" x14ac:dyDescent="0.25">
      <c r="B126" s="133">
        <v>29</v>
      </c>
      <c r="C126" s="169" t="str">
        <f>IF('13M GRP'!G5&gt;=3,'13M GRP'!J386,IF('13M GRP'!G5=2,"",IF('13M GRP'!G5=1,"","")))</f>
        <v>LEONARDO HERNANDES DE ASSIS</v>
      </c>
      <c r="D126" s="266">
        <v>1</v>
      </c>
      <c r="E126" s="148">
        <f>IF(D126&lt;&gt;"",D126,"")</f>
        <v>1</v>
      </c>
      <c r="F126" s="101" t="str">
        <f>IF(D126&lt;&gt;"",IF(C126="","",C126),"")</f>
        <v>LEONARDO HERNANDES DE ASSIS</v>
      </c>
      <c r="G126" s="190">
        <f>IF(E126&lt;&gt;"",IF(E128&lt;&gt;"",SMALL(E126:E128,1),""),"")</f>
        <v>0</v>
      </c>
      <c r="H126" s="87"/>
      <c r="I126" s="29"/>
      <c r="J126" s="29"/>
      <c r="K126" s="188"/>
      <c r="L126" s="29"/>
      <c r="M126" s="29"/>
      <c r="N126" s="29"/>
      <c r="O126" s="188"/>
      <c r="P126" s="29"/>
      <c r="Q126" s="37"/>
      <c r="R126" s="198"/>
      <c r="S126" s="37"/>
      <c r="T126" s="37"/>
      <c r="U126" s="37"/>
      <c r="V126" s="198"/>
      <c r="W126" s="37"/>
      <c r="X126" s="86"/>
      <c r="Y126" s="198"/>
      <c r="Z126" s="37"/>
      <c r="AA126" s="37"/>
      <c r="AB126" s="29"/>
      <c r="AC126" s="198"/>
      <c r="AD126" s="37"/>
      <c r="AE126" s="100"/>
      <c r="AF126" s="100"/>
      <c r="AG126" s="197">
        <f>IF(AJ126&lt;&gt;"",AJ126,"")</f>
        <v>1</v>
      </c>
      <c r="AH126" s="100" t="str">
        <f>IF(AJ126&lt;&gt;"",IF(AK126="","",AK126),"")</f>
        <v>CARLOS EDUARDO RODRIGUES RIBEIRO</v>
      </c>
      <c r="AI126" s="137">
        <f>IF(AG126&lt;&gt;"",IF(AG128&lt;&gt;"",SMALL(AG126:AG128,1),""),"")</f>
        <v>0</v>
      </c>
      <c r="AJ126" s="266">
        <v>1</v>
      </c>
      <c r="AK126" s="169" t="str">
        <f>IF('13M GRP'!G5&gt;=3,'13M GRP'!J412,IF('13M GRP'!G5=2,"",IF('13M GRP'!G5=1,"","")))</f>
        <v>CARLOS EDUARDO RODRIGUES RIBEIRO</v>
      </c>
      <c r="AL126" s="29">
        <v>31</v>
      </c>
    </row>
    <row r="127" spans="2:47" ht="18" customHeight="1" thickBot="1" x14ac:dyDescent="0.3">
      <c r="B127" s="133"/>
      <c r="C127" s="170" t="str">
        <f>IFERROR(IF(C126="","",VLOOKUP(C126,LISTAS!$F$5:$G$1004,2,0)),"0")</f>
        <v>COLEGIO PETROPOLIS</v>
      </c>
      <c r="D127" s="267"/>
      <c r="E127" s="105"/>
      <c r="F127" s="101"/>
      <c r="G127" s="190"/>
      <c r="H127" s="87"/>
      <c r="I127" s="29"/>
      <c r="J127" s="29"/>
      <c r="K127" s="188"/>
      <c r="L127" s="29"/>
      <c r="M127" s="29"/>
      <c r="N127" s="29"/>
      <c r="O127" s="188"/>
      <c r="P127" s="29"/>
      <c r="Q127" s="37"/>
      <c r="R127" s="198"/>
      <c r="S127" s="37"/>
      <c r="T127" s="37"/>
      <c r="U127" s="37"/>
      <c r="V127" s="198"/>
      <c r="W127" s="37"/>
      <c r="X127" s="86"/>
      <c r="Y127" s="198"/>
      <c r="Z127" s="37"/>
      <c r="AA127" s="37"/>
      <c r="AB127" s="29"/>
      <c r="AC127" s="198"/>
      <c r="AD127" s="37"/>
      <c r="AE127" s="100"/>
      <c r="AF127" s="100"/>
      <c r="AG127" s="197"/>
      <c r="AH127" s="100"/>
      <c r="AI127" s="103"/>
      <c r="AJ127" s="267"/>
      <c r="AK127" s="170" t="str">
        <f>IFERROR(IF(AK126="","",VLOOKUP(AK126,LISTAS!$F$5:$G$1004,2,0)),"0")</f>
        <v>CENTRO DE ESTUDOS JÚLIO VERNE</v>
      </c>
      <c r="AL127" s="29"/>
    </row>
    <row r="128" spans="2:47" ht="18" customHeight="1" x14ac:dyDescent="0.25">
      <c r="B128" s="133">
        <v>4</v>
      </c>
      <c r="C128" s="169" t="str">
        <f>IF('13M GRP'!G5&gt;=3,'13M GRP'!J61,IF('13M GRP'!G5=2,IF('13M GRP'!H8=3,"",'13M GRP'!J33),IF('13M GRP'!G5=1,"","")))</f>
        <v>RENZO CUNHA DI FRANCESCO CEPPO</v>
      </c>
      <c r="D128" s="266">
        <v>0</v>
      </c>
      <c r="E128" s="106">
        <f>IF(D128&lt;&gt;"",D128,"")</f>
        <v>0</v>
      </c>
      <c r="F128" s="101" t="str">
        <f>IF(D128&lt;&gt;"",IF(C128="","",C128),"")</f>
        <v>RENZO CUNHA DI FRANCESCO CEPPO</v>
      </c>
      <c r="G128" s="190" t="str">
        <f>VLOOKUP(G126,E126:F128,2,0)</f>
        <v>RENZO CUNHA DI FRANCESCO CEPPO</v>
      </c>
      <c r="H128" s="87"/>
      <c r="I128" s="29"/>
      <c r="J128" s="29"/>
      <c r="K128" s="188"/>
      <c r="L128" s="29"/>
      <c r="M128" s="29"/>
      <c r="N128" s="29"/>
      <c r="O128" s="188"/>
      <c r="P128" s="29"/>
      <c r="Q128" s="37"/>
      <c r="R128" s="198"/>
      <c r="S128" s="37"/>
      <c r="T128" s="37"/>
      <c r="U128" s="37"/>
      <c r="V128" s="198"/>
      <c r="W128" s="37"/>
      <c r="X128" s="86"/>
      <c r="Y128" s="198"/>
      <c r="Z128" s="37"/>
      <c r="AA128" s="37"/>
      <c r="AB128" s="29"/>
      <c r="AC128" s="198"/>
      <c r="AD128" s="37"/>
      <c r="AE128" s="100"/>
      <c r="AF128" s="100"/>
      <c r="AG128" s="197">
        <f>IF(AJ128&lt;&gt;"",AJ128,"")</f>
        <v>0</v>
      </c>
      <c r="AH128" s="100" t="str">
        <f>IF(AJ128&lt;&gt;"",IF(AK128="","",AK128),"")</f>
        <v/>
      </c>
      <c r="AI128" s="104" t="str">
        <f>VLOOKUP(AI126,AG126:AH128,2,0)</f>
        <v/>
      </c>
      <c r="AJ128" s="266">
        <v>0</v>
      </c>
      <c r="AK128" s="169"/>
      <c r="AL128" s="29">
        <v>2</v>
      </c>
    </row>
    <row r="129" spans="2:48" ht="18" customHeight="1" thickBot="1" x14ac:dyDescent="0.3">
      <c r="B129" s="133"/>
      <c r="C129" s="170" t="str">
        <f>IFERROR(IF(C128="","",VLOOKUP(C128,LISTAS!$F$5:$G$1004,2,0)),"0")</f>
        <v>LICEU JARDIM</v>
      </c>
      <c r="D129" s="267"/>
      <c r="E129" s="101"/>
      <c r="F129" s="101"/>
      <c r="G129" s="190"/>
      <c r="H129" s="87"/>
      <c r="I129" s="29"/>
      <c r="J129" s="29"/>
      <c r="K129" s="188"/>
      <c r="L129" s="29"/>
      <c r="M129" s="29"/>
      <c r="N129" s="29"/>
      <c r="O129" s="188"/>
      <c r="P129" s="29"/>
      <c r="Q129" s="37"/>
      <c r="R129" s="198"/>
      <c r="S129" s="37"/>
      <c r="T129" s="37"/>
      <c r="U129" s="37"/>
      <c r="V129" s="198"/>
      <c r="W129" s="37"/>
      <c r="X129" s="86"/>
      <c r="Y129" s="198"/>
      <c r="Z129" s="37"/>
      <c r="AA129" s="37"/>
      <c r="AB129" s="29"/>
      <c r="AC129" s="198"/>
      <c r="AD129" s="37"/>
      <c r="AE129" s="100"/>
      <c r="AF129" s="100"/>
      <c r="AG129" s="197"/>
      <c r="AH129" s="100"/>
      <c r="AI129" s="101"/>
      <c r="AJ129" s="267"/>
      <c r="AK129" s="170" t="str">
        <f>IFERROR(IF(AK128="","",VLOOKUP(AK128,LISTAS!$F$5:$G$1004,2,0)),"0")</f>
        <v/>
      </c>
      <c r="AL129" s="29"/>
    </row>
    <row r="130" spans="2:48" ht="18" customHeight="1" x14ac:dyDescent="0.25">
      <c r="B130" s="133"/>
      <c r="C130" s="189"/>
      <c r="D130" s="84"/>
      <c r="E130" s="134"/>
      <c r="F130" s="134"/>
      <c r="G130" s="193"/>
      <c r="H130" s="134"/>
      <c r="I130" s="84"/>
      <c r="J130" s="84"/>
      <c r="K130" s="189"/>
      <c r="L130" s="84"/>
      <c r="M130" s="84"/>
      <c r="N130" s="84"/>
      <c r="O130" s="189"/>
      <c r="P130" s="84"/>
      <c r="Q130" s="37"/>
      <c r="R130" s="198"/>
      <c r="S130" s="37"/>
      <c r="T130" s="37"/>
      <c r="U130" s="37"/>
      <c r="V130" s="198"/>
      <c r="W130" s="37"/>
      <c r="X130" s="86"/>
      <c r="Y130" s="198"/>
      <c r="Z130" s="37"/>
      <c r="AA130" s="37"/>
      <c r="AB130" s="29"/>
      <c r="AC130" s="198"/>
      <c r="AD130" s="37"/>
      <c r="AE130" s="100"/>
      <c r="AF130" s="100"/>
      <c r="AG130" s="197"/>
      <c r="AH130" s="100"/>
      <c r="AI130" s="100"/>
      <c r="AJ130" s="84"/>
      <c r="AK130" s="189"/>
      <c r="AL130" s="29"/>
    </row>
    <row r="131" spans="2:48" ht="18" customHeight="1" x14ac:dyDescent="0.25">
      <c r="B131" s="29"/>
      <c r="C131" s="189"/>
      <c r="D131" s="84"/>
      <c r="E131" s="84"/>
      <c r="F131" s="84"/>
      <c r="G131" s="189"/>
      <c r="H131" s="84"/>
      <c r="I131" s="84"/>
      <c r="J131" s="84"/>
      <c r="K131" s="189"/>
      <c r="L131" s="84"/>
      <c r="M131" s="84"/>
      <c r="N131" s="84"/>
      <c r="O131" s="189"/>
      <c r="P131" s="84"/>
      <c r="Q131" s="37"/>
      <c r="R131" s="198"/>
      <c r="S131" s="37"/>
      <c r="T131" s="37"/>
      <c r="U131" s="37"/>
      <c r="V131" s="198"/>
      <c r="W131" s="37"/>
      <c r="X131" s="86"/>
      <c r="Y131" s="198"/>
      <c r="Z131" s="37"/>
      <c r="AA131" s="37"/>
      <c r="AB131" s="29"/>
      <c r="AC131" s="198"/>
      <c r="AD131" s="37"/>
      <c r="AE131" s="37"/>
      <c r="AF131" s="37"/>
      <c r="AG131" s="199"/>
      <c r="AH131" s="88"/>
      <c r="AI131" s="88"/>
      <c r="AJ131" s="84"/>
      <c r="AK131" s="189"/>
      <c r="AL131" s="29"/>
    </row>
    <row r="132" spans="2:48" ht="18" customHeight="1" x14ac:dyDescent="0.25">
      <c r="B132" s="22"/>
      <c r="C132" s="168"/>
      <c r="D132" s="22"/>
      <c r="E132" s="22"/>
      <c r="F132" s="22"/>
      <c r="G132" s="168"/>
      <c r="H132" s="22"/>
      <c r="I132" s="22"/>
      <c r="J132" s="22"/>
      <c r="K132" s="168"/>
      <c r="L132" s="22"/>
      <c r="M132" s="22"/>
      <c r="N132" s="22"/>
      <c r="O132" s="168"/>
      <c r="P132" s="22"/>
      <c r="W132" s="22"/>
      <c r="X132" s="22"/>
      <c r="Y132" s="168"/>
      <c r="Z132" s="22"/>
      <c r="AA132" s="22"/>
      <c r="AB132" s="22"/>
      <c r="AC132" s="168"/>
      <c r="AD132" s="22"/>
      <c r="AE132" s="22"/>
      <c r="AF132" s="22"/>
      <c r="AG132" s="168"/>
      <c r="AH132" s="22"/>
      <c r="AI132" s="22"/>
      <c r="AJ132" s="22"/>
      <c r="AK132" s="168"/>
    </row>
    <row r="133" spans="2:48" ht="18" customHeight="1" x14ac:dyDescent="0.25">
      <c r="B133" s="22"/>
      <c r="C133" s="168"/>
      <c r="D133" s="22"/>
      <c r="E133" s="22"/>
      <c r="F133" s="22"/>
      <c r="G133" s="168"/>
      <c r="H133" s="22"/>
      <c r="I133" s="22"/>
      <c r="J133" s="22"/>
      <c r="K133" s="168"/>
      <c r="L133" s="22"/>
      <c r="M133" s="22"/>
      <c r="N133" s="22"/>
      <c r="O133" s="168"/>
      <c r="P133" s="22"/>
      <c r="W133" s="22"/>
      <c r="X133" s="22"/>
      <c r="Y133" s="168"/>
      <c r="Z133" s="22"/>
      <c r="AA133" s="22"/>
      <c r="AB133" s="22"/>
      <c r="AC133" s="168"/>
      <c r="AD133" s="22"/>
      <c r="AE133" s="22"/>
      <c r="AF133" s="22"/>
      <c r="AG133" s="168"/>
      <c r="AH133" s="22"/>
      <c r="AI133" s="22"/>
      <c r="AJ133" s="22"/>
      <c r="AK133" s="168"/>
    </row>
    <row r="134" spans="2:48" ht="30" customHeight="1" x14ac:dyDescent="0.25">
      <c r="B134" s="251" t="s">
        <v>22</v>
      </c>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52"/>
      <c r="AE134" s="252"/>
      <c r="AF134" s="252"/>
      <c r="AG134" s="252"/>
      <c r="AH134" s="252"/>
      <c r="AI134" s="252"/>
      <c r="AJ134" s="252"/>
      <c r="AK134" s="252"/>
      <c r="AL134" s="252"/>
      <c r="AP134" s="241" t="s">
        <v>23</v>
      </c>
      <c r="AQ134" s="241"/>
      <c r="AR134" s="241"/>
      <c r="AS134" s="241"/>
      <c r="AT134" s="241"/>
      <c r="AU134" s="241"/>
    </row>
    <row r="135" spans="2:48" ht="18" customHeight="1" thickBot="1" x14ac:dyDescent="0.3">
      <c r="B135" s="135"/>
      <c r="C135" s="187"/>
      <c r="D135" s="27"/>
      <c r="E135" s="27"/>
      <c r="F135" s="27"/>
      <c r="G135" s="191"/>
      <c r="H135" s="27"/>
      <c r="I135" s="27"/>
      <c r="J135" s="27"/>
      <c r="K135" s="195"/>
      <c r="L135" s="27"/>
      <c r="M135" s="27"/>
      <c r="N135" s="27"/>
      <c r="O135" s="195"/>
      <c r="P135" s="27"/>
      <c r="Q135" s="27"/>
      <c r="R135" s="195"/>
      <c r="S135" s="27"/>
      <c r="T135" s="27"/>
      <c r="U135" s="27"/>
      <c r="V135" s="195"/>
      <c r="W135" s="27"/>
      <c r="X135" s="26"/>
      <c r="Y135" s="195"/>
      <c r="Z135" s="27"/>
      <c r="AA135" s="27"/>
      <c r="AB135" s="92"/>
      <c r="AC135" s="195"/>
      <c r="AD135" s="27"/>
      <c r="AE135" s="27"/>
      <c r="AF135" s="27"/>
      <c r="AG135" s="195"/>
      <c r="AH135" s="27"/>
      <c r="AI135" s="27"/>
      <c r="AJ135" s="27"/>
      <c r="AK135" s="195"/>
      <c r="AL135" s="27"/>
      <c r="AP135" s="258" t="s">
        <v>3</v>
      </c>
      <c r="AQ135" s="260"/>
      <c r="AR135" s="132" t="s">
        <v>15</v>
      </c>
      <c r="AS135" s="132" t="s">
        <v>0</v>
      </c>
      <c r="AT135" s="132" t="s">
        <v>16</v>
      </c>
      <c r="AU135" s="132" t="s">
        <v>17</v>
      </c>
    </row>
    <row r="136" spans="2:48" ht="18" customHeight="1" x14ac:dyDescent="0.25">
      <c r="B136" s="136">
        <v>1</v>
      </c>
      <c r="C136" s="171" t="str">
        <f>IF('13M GRP'!G5&gt;=3,'13M GRP'!J10,IF('13M GRP'!G5=2,IF('13M GRP'!H8=3,'13M GRP'!J10,""),IF('13M GRP'!G5=1,"","")))</f>
        <v>Leonardo Cassitas Souza</v>
      </c>
      <c r="D136" s="266">
        <v>1</v>
      </c>
      <c r="E136" s="101">
        <f>IF(D136&lt;&gt;"",D136,"")</f>
        <v>1</v>
      </c>
      <c r="F136" s="101" t="str">
        <f>IF(D136&lt;&gt;"",IF(C136="","",C136),"")</f>
        <v>Leonardo Cassitas Souza</v>
      </c>
      <c r="G136" s="190">
        <f>IF(E136&lt;&gt;"",IF(E138&lt;&gt;"",SMALL(E136:E138,1),""),"")</f>
        <v>0</v>
      </c>
      <c r="H136" s="101"/>
      <c r="I136" s="101"/>
      <c r="J136" s="101"/>
      <c r="K136" s="190"/>
      <c r="L136" s="29"/>
      <c r="M136" s="30"/>
      <c r="N136" s="30"/>
      <c r="O136" s="196"/>
      <c r="P136" s="30"/>
      <c r="Q136" s="37"/>
      <c r="R136" s="198"/>
      <c r="S136" s="37"/>
      <c r="T136" s="37"/>
      <c r="U136" s="37"/>
      <c r="V136" s="198"/>
      <c r="W136" s="37"/>
      <c r="X136" s="86"/>
      <c r="Y136" s="198"/>
      <c r="Z136" s="37"/>
      <c r="AA136" s="37"/>
      <c r="AB136" s="29"/>
      <c r="AC136" s="198"/>
      <c r="AD136" s="37"/>
      <c r="AE136" s="37"/>
      <c r="AF136" s="37"/>
      <c r="AG136" s="197">
        <f>IF(AJ136&lt;&gt;"",AJ136,"")</f>
        <v>0</v>
      </c>
      <c r="AH136" s="100" t="str">
        <f>IF(AJ136&lt;&gt;"",IF(AK136="","",AK136),"")</f>
        <v>JOÃO LUCA CEOLDO RUBIRA</v>
      </c>
      <c r="AI136" s="101">
        <f>IF(AG136&lt;&gt;"",IF(AG138&lt;&gt;"",SMALL(AG136:AG138,1),""),"")</f>
        <v>0</v>
      </c>
      <c r="AJ136" s="266">
        <v>0</v>
      </c>
      <c r="AK136" s="171" t="str">
        <f>IF('13M GRP'!G5&gt;=3,'13M GRP'!J49,IF('13M GRP'!G5=2,"",IF('13M GRP'!G5=1,"","")))</f>
        <v>JOÃO LUCA CEOLDO RUBIRA</v>
      </c>
      <c r="AL136" s="99">
        <v>3</v>
      </c>
      <c r="AP136" s="31">
        <f>IF(AR136&lt;&gt;"",1,"")</f>
        <v>1</v>
      </c>
      <c r="AQ136" s="32" t="str">
        <f>IF(AP136&lt;&gt;"","LUGAR","")</f>
        <v>LUGAR</v>
      </c>
      <c r="AR136" s="33" t="str">
        <f>IF(S164&lt;&gt;"",IF(U164&lt;&gt;"",IF(S164=U164,"",IF(S164&gt;U164,R164,V164)),""),"")</f>
        <v>ARTHUR GIACOMASSI PITA</v>
      </c>
      <c r="AS136" s="33" t="str">
        <f>IFERROR(IF(AR136="","",VLOOKUP(AR136,LISTAS!$F$5:$G$1004,2,0)),"0")</f>
        <v>COLÉGIO ARBOS - UNIDADE SANTO ANDRÉ</v>
      </c>
      <c r="AT136" s="33">
        <f>IF(AP136="","",IF(AP136=1,100,IF(AP136=2,80,IF(AP136=3,70,IF(AP136=4,50,IF(AP136=5,45,IF(AP136=6,40,IF(AP136=7,35,IF(AP136=8,30,IF(AP136=9,28,IF(AP136=10,28,IF(AP136=11,28,IF(AP136=12,28,IF(AP136=13,28,IF(AP136=14,28,IF(AP136=15,28,IF(AP136=16,28,IF(AP136&gt;16,"",""))))))))))))))))))</f>
        <v>100</v>
      </c>
      <c r="AU136" s="33">
        <f>IF(AP136="","",IF($AS$5="NÃO","",IF(AP136=1,100,IF(AP136=2,80,IF(AP136=3,70,IF(AP136=4,50,IF(AP136=5,45,IF(AP136=6,40,IF(AP136=7,35,IF(AP136=8,30,IF(AP136=9,28,IF(AP136=10,28,IF(AP136=11,28,IF(AP136=12,28,IF(AP136=13,28,IF(AP136=14,28,IF(AP136=15,28,IF(AP136=16,28,IF(AP136&gt;16,"","")))))))))))))))))))</f>
        <v>100</v>
      </c>
    </row>
    <row r="137" spans="2:48" ht="18" customHeight="1" thickBot="1" x14ac:dyDescent="0.3">
      <c r="B137" s="136"/>
      <c r="C137" s="172" t="str">
        <f>IFERROR(IF(C136="","",VLOOKUP(C136,LISTAS!$F$5:$G$1004,2,0)),"0")</f>
        <v>ESCOLA INTERAÇÃO</v>
      </c>
      <c r="D137" s="267"/>
      <c r="E137" s="101"/>
      <c r="F137" s="101"/>
      <c r="G137" s="190"/>
      <c r="H137" s="101"/>
      <c r="I137" s="101"/>
      <c r="J137" s="101"/>
      <c r="K137" s="190"/>
      <c r="L137" s="29"/>
      <c r="M137" s="30"/>
      <c r="N137" s="30"/>
      <c r="O137" s="196"/>
      <c r="P137" s="30"/>
      <c r="Q137" s="37"/>
      <c r="R137" s="198"/>
      <c r="S137" s="37"/>
      <c r="T137" s="37"/>
      <c r="U137" s="37"/>
      <c r="V137" s="198"/>
      <c r="W137" s="37"/>
      <c r="X137" s="86"/>
      <c r="Y137" s="198"/>
      <c r="Z137" s="37"/>
      <c r="AA137" s="37"/>
      <c r="AB137" s="29"/>
      <c r="AC137" s="198"/>
      <c r="AD137" s="37"/>
      <c r="AE137" s="37"/>
      <c r="AF137" s="37"/>
      <c r="AG137" s="197"/>
      <c r="AH137" s="100"/>
      <c r="AI137" s="101"/>
      <c r="AJ137" s="267"/>
      <c r="AK137" s="172" t="str">
        <f>IFERROR(IF(AK136="","",VLOOKUP(AK136,LISTAS!$F$5:$G$1004,2,0)),"0")</f>
        <v>LICEU JARDIM</v>
      </c>
      <c r="AL137" s="99"/>
      <c r="AP137" s="31">
        <f>IF(AR137&lt;&gt;"",1+COUNTIF(AP136,"1"),"")</f>
        <v>2</v>
      </c>
      <c r="AQ137" s="32" t="str">
        <f t="shared" ref="AQ137:AQ167" si="14">IF(AP137&lt;&gt;"","LUGAR","")</f>
        <v>LUGAR</v>
      </c>
      <c r="AR137" s="33" t="str">
        <f>IF(S164&lt;&gt;"",IF(U164&lt;&gt;"",IF(S164=U164,"",IF(S164&lt;U164,R164,V164)),""),"")</f>
        <v>JOÃO PEDRO FERREIRA SILVA</v>
      </c>
      <c r="AS137" s="33" t="str">
        <f>IFERROR(IF(AR137="","",VLOOKUP(AR137,LISTAS!$F$5:$G$1004,2,0)),"0")</f>
        <v>CENTRO DE ESTUDOS JÚLIO VERNE</v>
      </c>
      <c r="AT137" s="33">
        <f t="shared" ref="AT137:AT152" si="15">IF(AP137="","",IF(AP137=1,100,IF(AP137=2,80,IF(AP137=3,70,IF(AP137=4,50,IF(AP137=5,45,IF(AP137=6,40,IF(AP137=7,35,IF(AP137=8,30,IF(AP137=9,28,IF(AP137=10,28,IF(AP137=11,28,IF(AP137=12,28,IF(AP137=13,28,IF(AP137=14,28,IF(AP137=15,28,IF(AP137=16,28,IF(AP137&gt;16,"",""))))))))))))))))))</f>
        <v>80</v>
      </c>
      <c r="AU137" s="33">
        <f t="shared" ref="AU137:AU166" si="16">IF(AP137="","",IF($AS$5="NÃO","",IF(AP137=1,100,IF(AP137=2,80,IF(AP137=3,70,IF(AP137=4,50,IF(AP137=5,45,IF(AP137=6,40,IF(AP137=7,35,IF(AP137=8,30,IF(AP137=9,28,IF(AP137=10,28,IF(AP137=11,28,IF(AP137=12,28,IF(AP137=13,28,IF(AP137=14,28,IF(AP137=15,28,IF(AP137=16,28,IF(AP137&gt;16,"","")))))))))))))))))))</f>
        <v>80</v>
      </c>
    </row>
    <row r="138" spans="2:48" ht="18" customHeight="1" x14ac:dyDescent="0.25">
      <c r="B138" s="133">
        <v>32</v>
      </c>
      <c r="C138" s="171"/>
      <c r="D138" s="266">
        <v>0</v>
      </c>
      <c r="E138" s="107">
        <f>IF(D138&lt;&gt;"",D138,"")</f>
        <v>0</v>
      </c>
      <c r="F138" s="101" t="str">
        <f>IF(D138&lt;&gt;"",IF(C138="","",C138),"")</f>
        <v/>
      </c>
      <c r="G138" s="190" t="str">
        <f>VLOOKUP(G136,E136:F138,2,0)</f>
        <v/>
      </c>
      <c r="H138" s="101"/>
      <c r="I138" s="101"/>
      <c r="J138" s="101"/>
      <c r="K138" s="190"/>
      <c r="L138" s="29"/>
      <c r="M138" s="30"/>
      <c r="N138" s="30"/>
      <c r="O138" s="196"/>
      <c r="P138" s="30"/>
      <c r="Q138" s="37"/>
      <c r="R138" s="198"/>
      <c r="S138" s="37"/>
      <c r="T138" s="37"/>
      <c r="U138" s="37"/>
      <c r="V138" s="198"/>
      <c r="W138" s="37"/>
      <c r="X138" s="86"/>
      <c r="Y138" s="198"/>
      <c r="Z138" s="37"/>
      <c r="AA138" s="37"/>
      <c r="AB138" s="29"/>
      <c r="AC138" s="198"/>
      <c r="AD138" s="37"/>
      <c r="AE138" s="37"/>
      <c r="AF138" s="37"/>
      <c r="AG138" s="197">
        <f>IF(AJ138&lt;&gt;"",AJ138,"")</f>
        <v>1</v>
      </c>
      <c r="AH138" s="100" t="str">
        <f>IF(AJ138&lt;&gt;"",IF(AK138="","",AK138),"")</f>
        <v>PEDRO LAFANI RODRIGUES MOSCHELLA CARMONA</v>
      </c>
      <c r="AI138" s="102" t="str">
        <f>VLOOKUP(AI136,AG136:AH138,2,0)</f>
        <v>JOÃO LUCA CEOLDO RUBIRA</v>
      </c>
      <c r="AJ138" s="266">
        <v>1</v>
      </c>
      <c r="AK138" s="171" t="str">
        <f>IF('13M GRP'!G5&gt;=3,'13M GRP'!J400,IF('13M GRP'!G5=2,"",IF('13M GRP'!G5=1,"","")))</f>
        <v>PEDRO LAFANI RODRIGUES MOSCHELLA CARMONA</v>
      </c>
      <c r="AL138" s="29">
        <v>30</v>
      </c>
      <c r="AP138" s="31">
        <f>IF(AR138&lt;&gt;"",1+COUNTIF(AP136:AP137,"1")+COUNTIF(AP136:AP137,"2"),"")</f>
        <v>3</v>
      </c>
      <c r="AQ138" s="32" t="str">
        <f t="shared" si="14"/>
        <v>LUGAR</v>
      </c>
      <c r="AR138" s="111" t="str">
        <f>IF(AR136&lt;&gt;"",IF(O163=AR136,O165,IF(O165=AR136,O163,IF(Y163=AR136,Y165,IF(Y165=AR136,Y163)))),"")</f>
        <v>RENATO BARROS DE COSTA GARCIA</v>
      </c>
      <c r="AS138" s="33" t="str">
        <f>IFERROR(IF(AR138="","",VLOOKUP(AR138,LISTAS!$F$5:$G$1004,2,0)),"0")</f>
        <v>ESCOLA VILLARE</v>
      </c>
      <c r="AT138" s="33">
        <f t="shared" si="15"/>
        <v>70</v>
      </c>
      <c r="AU138" s="33">
        <f t="shared" si="16"/>
        <v>70</v>
      </c>
    </row>
    <row r="139" spans="2:48" ht="18" customHeight="1" thickBot="1" x14ac:dyDescent="0.3">
      <c r="B139" s="133"/>
      <c r="C139" s="172" t="str">
        <f>IFERROR(IF(C138="","",VLOOKUP(C138,LISTAS!$F$5:$G$1004,2,0)),"0")</f>
        <v/>
      </c>
      <c r="D139" s="267"/>
      <c r="E139" s="148"/>
      <c r="F139" s="101"/>
      <c r="G139" s="190"/>
      <c r="H139" s="101"/>
      <c r="I139" s="101"/>
      <c r="J139" s="101"/>
      <c r="K139" s="190"/>
      <c r="L139" s="29"/>
      <c r="M139" s="30"/>
      <c r="N139" s="30"/>
      <c r="O139" s="196"/>
      <c r="P139" s="30"/>
      <c r="Q139" s="37"/>
      <c r="R139" s="198"/>
      <c r="S139" s="37"/>
      <c r="T139" s="37"/>
      <c r="U139" s="37"/>
      <c r="V139" s="198"/>
      <c r="W139" s="37"/>
      <c r="X139" s="86"/>
      <c r="Y139" s="198"/>
      <c r="Z139" s="37"/>
      <c r="AA139" s="37"/>
      <c r="AB139" s="29"/>
      <c r="AC139" s="198"/>
      <c r="AD139" s="37"/>
      <c r="AE139" s="37"/>
      <c r="AF139" s="37"/>
      <c r="AG139" s="197"/>
      <c r="AH139" s="100"/>
      <c r="AI139" s="142"/>
      <c r="AJ139" s="267"/>
      <c r="AK139" s="172" t="str">
        <f>IFERROR(IF(AK138="","",VLOOKUP(AK138,LISTAS!$F$5:$G$1004,2,0)),"0")</f>
        <v>ABACO IPIRANGA</v>
      </c>
      <c r="AL139" s="29"/>
      <c r="AP139" s="31">
        <f>IF(AR139&lt;&gt;"",1+COUNTIF(AP136:AP138,"1")+COUNTIF(AP136:AP138,"2")+COUNTIF(AP136:AP138,"3"),"")</f>
        <v>4</v>
      </c>
      <c r="AQ139" s="32" t="str">
        <f t="shared" si="14"/>
        <v>LUGAR</v>
      </c>
      <c r="AR139" s="111" t="str">
        <f>IF(AR137&lt;&gt;"",IF(O163=AR137,O165,IF(O165=AR137,O163,IF(Y163=AR137,Y165,IF(Y165=AR137,Y163)))),"")</f>
        <v>Dante de Oliveira</v>
      </c>
      <c r="AS139" s="33" t="str">
        <f>IFERROR(IF(AR139="","",VLOOKUP(AR139,LISTAS!$F$5:$G$1004,2,0)),"0")</f>
        <v>ESCOLA INTERAÇÃO</v>
      </c>
      <c r="AT139" s="33">
        <f t="shared" si="15"/>
        <v>50</v>
      </c>
      <c r="AU139" s="33">
        <f t="shared" si="16"/>
        <v>50</v>
      </c>
    </row>
    <row r="140" spans="2:48" ht="18" customHeight="1" x14ac:dyDescent="0.25">
      <c r="B140" s="133"/>
      <c r="C140" s="188"/>
      <c r="D140" s="29"/>
      <c r="E140" s="29"/>
      <c r="F140" s="34"/>
      <c r="G140" s="171" t="str">
        <f>IF(D136&lt;&gt;"",IF(D138&lt;&gt;"",IF(D136=D138,"",IF(D136&gt;D138,C136,C138)),""),"")</f>
        <v>Leonardo Cassitas Souza</v>
      </c>
      <c r="H140" s="266">
        <v>0</v>
      </c>
      <c r="I140" s="101">
        <f>IF(H140&lt;&gt;"",H140,"")</f>
        <v>0</v>
      </c>
      <c r="J140" s="101" t="str">
        <f>IF(H140&lt;&gt;"",IF(G140="","",G140),"")</f>
        <v>Leonardo Cassitas Souza</v>
      </c>
      <c r="K140" s="190">
        <f>IF(I140&lt;&gt;"",IF(I142&lt;&gt;"",SMALL(I140:J142,1),""),"")</f>
        <v>0</v>
      </c>
      <c r="L140" s="101"/>
      <c r="M140" s="101"/>
      <c r="N140" s="101"/>
      <c r="O140" s="188"/>
      <c r="P140" s="29"/>
      <c r="Q140" s="37"/>
      <c r="R140" s="198"/>
      <c r="S140" s="37"/>
      <c r="T140" s="37"/>
      <c r="U140" s="37"/>
      <c r="V140" s="198"/>
      <c r="W140" s="37"/>
      <c r="X140" s="86"/>
      <c r="Y140" s="198"/>
      <c r="Z140" s="37"/>
      <c r="AA140" s="37"/>
      <c r="AB140" s="29"/>
      <c r="AC140" s="198"/>
      <c r="AD140" s="37"/>
      <c r="AE140" s="95"/>
      <c r="AF140" s="266">
        <v>0</v>
      </c>
      <c r="AG140" s="171" t="str">
        <f>IF(AJ136&lt;&gt;"",IF(AJ138&lt;&gt;"",IF(AJ136=AJ138,"",IF(AJ136&gt;AJ138,AK136,AK138)),""),"")</f>
        <v>PEDRO LAFANI RODRIGUES MOSCHELLA CARMONA</v>
      </c>
      <c r="AH140" s="94"/>
      <c r="AI140" s="37"/>
      <c r="AJ140" s="29"/>
      <c r="AK140" s="188"/>
      <c r="AL140" s="29"/>
      <c r="AP140" s="31">
        <f>IF(AR140&lt;&gt;"",1+COUNTIF(AP136:AP139,"1")+COUNTIF(AP136:AP139,"2")+COUNTIF(AP136:AP139,"3")+COUNTIF(AP136:AP139,"4"),"")</f>
        <v>5</v>
      </c>
      <c r="AQ140" s="32" t="str">
        <f t="shared" si="14"/>
        <v>LUGAR</v>
      </c>
      <c r="AR140" s="111" t="str">
        <f>IF(AR136&lt;&gt;"",IF(K148=AR136,K150,IF(K150=AR136,K148,IF(K178=AR136,K180,IF(K180=AR136,K178,IF(AC148=AR136,AC150,IF(AC150=AR136,AC148,IF(AC178=AR136,AC180,IF(AC180=AR136,AC178)))))))),"")</f>
        <v>KEVIN KENJI SAKUDA</v>
      </c>
      <c r="AS140" s="33" t="str">
        <f>IFERROR(IF(AR140="","",VLOOKUP(AR140,LISTAS!$F$5:$G$1004,2,0)),"0")</f>
        <v>CENTRO DE ESTUDOS JÚLIO VERNE</v>
      </c>
      <c r="AT140" s="33">
        <f t="shared" si="15"/>
        <v>45</v>
      </c>
      <c r="AU140" s="33">
        <f t="shared" si="16"/>
        <v>45</v>
      </c>
    </row>
    <row r="141" spans="2:48" ht="18" customHeight="1" thickBot="1" x14ac:dyDescent="0.3">
      <c r="B141" s="133"/>
      <c r="C141" s="188"/>
      <c r="D141" s="29"/>
      <c r="E141" s="29"/>
      <c r="F141" s="34"/>
      <c r="G141" s="172" t="str">
        <f>IFERROR(IF(G140="","",VLOOKUP(G140,LISTAS!$F$5:$G$1004,2,0)),"0")</f>
        <v>ESCOLA INTERAÇÃO</v>
      </c>
      <c r="H141" s="267"/>
      <c r="I141" s="101"/>
      <c r="J141" s="101"/>
      <c r="K141" s="190"/>
      <c r="L141" s="101"/>
      <c r="M141" s="101"/>
      <c r="N141" s="101"/>
      <c r="O141" s="188"/>
      <c r="P141" s="29"/>
      <c r="Q141" s="37"/>
      <c r="R141" s="198"/>
      <c r="S141" s="37"/>
      <c r="T141" s="37"/>
      <c r="U141" s="37"/>
      <c r="V141" s="198"/>
      <c r="W141" s="37"/>
      <c r="X141" s="86"/>
      <c r="Y141" s="198"/>
      <c r="Z141" s="37"/>
      <c r="AA141" s="37"/>
      <c r="AB141" s="29"/>
      <c r="AC141" s="198"/>
      <c r="AD141" s="37"/>
      <c r="AE141" s="95"/>
      <c r="AF141" s="267"/>
      <c r="AG141" s="172" t="str">
        <f>IFERROR(IF(AG140="","",VLOOKUP(AG140,LISTAS!$F$5:$G$1004,2,0)),"0")</f>
        <v>ABACO IPIRANGA</v>
      </c>
      <c r="AH141" s="94"/>
      <c r="AI141" s="37"/>
      <c r="AJ141" s="29"/>
      <c r="AK141" s="188"/>
      <c r="AL141" s="29"/>
      <c r="AP141" s="31">
        <f>IF(AR141&lt;&gt;"",1+COUNTIF(AP136:AP140,"1")+COUNTIF(AP136:AP140,"2")+COUNTIF(AP136:AP140,"3")+COUNTIF(AP136:AP140,"4")+COUNTIF(AP136:AP140,"5"),"")</f>
        <v>6</v>
      </c>
      <c r="AQ141" s="32" t="str">
        <f t="shared" si="14"/>
        <v>LUGAR</v>
      </c>
      <c r="AR141" s="111" t="str">
        <f>IF(AR137&lt;&gt;"",IF(K148=AR137,K150,IF(K150=AR137,K148,IF(K178=AR137,K180,IF(K180=AR137,K178,IF(AC148=AR137,AC150,IF(AC150=AR137,AC148,IF(AC178=AR137,AC180,IF(AC180=AR137,AC178)))))))),"")</f>
        <v>HEITOR BONAZZI COMAR</v>
      </c>
      <c r="AS141" s="33" t="str">
        <f>IFERROR(IF(AR141="","",VLOOKUP(AR141,LISTAS!$F$5:$G$1004,2,0)),"0")</f>
        <v>COLÉGIO ATENEU</v>
      </c>
      <c r="AT141" s="33">
        <f t="shared" si="15"/>
        <v>40</v>
      </c>
      <c r="AU141" s="33">
        <f t="shared" si="16"/>
        <v>40</v>
      </c>
    </row>
    <row r="142" spans="2:48" ht="18" customHeight="1" x14ac:dyDescent="0.25">
      <c r="B142" s="133"/>
      <c r="C142" s="188"/>
      <c r="D142" s="29"/>
      <c r="E142" s="35"/>
      <c r="F142" s="36"/>
      <c r="G142" s="171" t="str">
        <f>IF(D144&lt;&gt;"",IF(D146&lt;&gt;"",IF(D144=D146,"",IF(D144&gt;D146,C144,C146)),""),"")</f>
        <v>RENATO BARROS DE COSTA GARCIA</v>
      </c>
      <c r="H142" s="266">
        <v>1</v>
      </c>
      <c r="I142" s="107">
        <f>IF(H142&lt;&gt;"",H142,"")</f>
        <v>1</v>
      </c>
      <c r="J142" s="101" t="str">
        <f>IF(H142&lt;&gt;"",IF(G142="","",G142),"")</f>
        <v>RENATO BARROS DE COSTA GARCIA</v>
      </c>
      <c r="K142" s="190" t="str">
        <f>VLOOKUP(K140,I140:J142,2,0)</f>
        <v>Leonardo Cassitas Souza</v>
      </c>
      <c r="L142" s="101"/>
      <c r="M142" s="101"/>
      <c r="N142" s="101"/>
      <c r="O142" s="188"/>
      <c r="P142" s="29"/>
      <c r="Q142" s="37"/>
      <c r="R142" s="198"/>
      <c r="S142" s="37"/>
      <c r="T142" s="37"/>
      <c r="U142" s="37"/>
      <c r="V142" s="198"/>
      <c r="W142" s="37"/>
      <c r="X142" s="86"/>
      <c r="Y142" s="198"/>
      <c r="Z142" s="37"/>
      <c r="AA142" s="37"/>
      <c r="AB142" s="29"/>
      <c r="AC142" s="198"/>
      <c r="AD142" s="94"/>
      <c r="AE142" s="96"/>
      <c r="AF142" s="266">
        <v>1</v>
      </c>
      <c r="AG142" s="171" t="str">
        <f>IF(AJ144&lt;&gt;"",IF(AJ146&lt;&gt;"",IF(AJ144=AJ146,"",IF(AJ144&gt;AJ146,AK144,AK146)),""),"")</f>
        <v>HEITOR BONAZZI COMAR</v>
      </c>
      <c r="AH142" s="98"/>
      <c r="AI142" s="37"/>
      <c r="AJ142" s="29"/>
      <c r="AK142" s="188"/>
      <c r="AL142" s="29"/>
      <c r="AN142" s="2"/>
      <c r="AO142" s="2"/>
      <c r="AP142" s="31">
        <f>IF(AR142&lt;&gt;"",1+COUNTIF(AP136:AP141,"1")+COUNTIF(AP136:AP141,"2")+COUNTIF(AP136:AP141,"3")+COUNTIF(AP136:AP141,"4")+COUNTIF(AP136:AP141,"5")+COUNTIF(AP136:AP141,"6"),"")</f>
        <v>7</v>
      </c>
      <c r="AQ142" s="32" t="str">
        <f t="shared" si="14"/>
        <v>LUGAR</v>
      </c>
      <c r="AR142" s="111" t="str">
        <f>IF(AR138&lt;&gt;"",IF(K148=AR138,K150,IF(K150=AR138,K148,IF(K178=AR138,K180,IF(K180=AR138,K178,IF(AC148=AR138,AC150,IF(AC150=AR138,AC148,IF(AC178=AR138,AC180,IF(AC180=AR138,AC178)))))))),"")</f>
        <v>BENJAMIN OLIVEIRA AMORIM</v>
      </c>
      <c r="AS142" s="33" t="str">
        <f>IFERROR(IF(AR142="","",VLOOKUP(AR142,LISTAS!$F$5:$G$1004,2,0)),"0")</f>
        <v>COLÉGIO SÃO MAURO</v>
      </c>
      <c r="AT142" s="33">
        <f t="shared" si="15"/>
        <v>35</v>
      </c>
      <c r="AU142" s="33">
        <f t="shared" si="16"/>
        <v>35</v>
      </c>
      <c r="AV142" s="2"/>
    </row>
    <row r="143" spans="2:48" ht="18" customHeight="1" thickBot="1" x14ac:dyDescent="0.3">
      <c r="B143" s="133"/>
      <c r="C143" s="188"/>
      <c r="D143" s="29"/>
      <c r="E143" s="35"/>
      <c r="F143" s="29"/>
      <c r="G143" s="172" t="str">
        <f>IFERROR(IF(G142="","",VLOOKUP(G142,LISTAS!$F$5:$G$1004,2,0)),"0")</f>
        <v>ESCOLA VILLARE</v>
      </c>
      <c r="H143" s="267"/>
      <c r="I143" s="138"/>
      <c r="J143" s="101"/>
      <c r="K143" s="190"/>
      <c r="L143" s="101"/>
      <c r="M143" s="101"/>
      <c r="N143" s="101"/>
      <c r="O143" s="188"/>
      <c r="P143" s="29"/>
      <c r="Q143" s="37"/>
      <c r="R143" s="198"/>
      <c r="S143" s="37"/>
      <c r="T143" s="37"/>
      <c r="U143" s="37"/>
      <c r="V143" s="198"/>
      <c r="W143" s="37"/>
      <c r="X143" s="86"/>
      <c r="Y143" s="198"/>
      <c r="Z143" s="37"/>
      <c r="AA143" s="37"/>
      <c r="AB143" s="29"/>
      <c r="AC143" s="198"/>
      <c r="AD143" s="94"/>
      <c r="AE143" s="37"/>
      <c r="AF143" s="267"/>
      <c r="AG143" s="172" t="str">
        <f>IFERROR(IF(AG142="","",VLOOKUP(AG142,LISTAS!$F$5:$G$1004,2,0)),"0")</f>
        <v>COLÉGIO ATENEU</v>
      </c>
      <c r="AH143" s="37"/>
      <c r="AI143" s="89"/>
      <c r="AJ143" s="29"/>
      <c r="AK143" s="188"/>
      <c r="AL143" s="29"/>
      <c r="AM143" s="2"/>
      <c r="AN143" s="2"/>
      <c r="AO143" s="2"/>
      <c r="AP143" s="31">
        <f>IF(AR143&lt;&gt;"",1+COUNTIF(AP136:AP142,"1")+COUNTIF(AP136:AP142,"2")+COUNTIF(AP136:AP142,"3")+COUNTIF(AP136:AP142,"4")+COUNTIF(AP136:AP142,"5")+COUNTIF(AP136:AP142,"6")+COUNTIF(AP136:AP142,"7"),"")</f>
        <v>8</v>
      </c>
      <c r="AQ143" s="32" t="str">
        <f t="shared" si="14"/>
        <v>LUGAR</v>
      </c>
      <c r="AR143" s="111" t="str">
        <f>IF(AR139&lt;&gt;"",IF(K148=AR139,K150,IF(K150=AR139,K148,IF(K178=AR139,K180,IF(K180=AR139,K178,IF(AC148=AR139,AC150,IF(AC150=AR139,AC148,IF(AC178=AR139,AC180,IF(AC180=AR139,AC178)))))))),"")</f>
        <v>HEITOR BONAZZI COMAR</v>
      </c>
      <c r="AS143" s="33" t="str">
        <f>IFERROR(IF(AR143="","",VLOOKUP(AR143,LISTAS!$F$5:$G$1004,2,0)),"0")</f>
        <v>COLÉGIO ATENEU</v>
      </c>
      <c r="AT143" s="33">
        <f t="shared" si="15"/>
        <v>30</v>
      </c>
      <c r="AU143" s="33">
        <f t="shared" si="16"/>
        <v>30</v>
      </c>
      <c r="AV143" s="2"/>
    </row>
    <row r="144" spans="2:48" ht="18" customHeight="1" x14ac:dyDescent="0.25">
      <c r="B144" s="133">
        <v>17</v>
      </c>
      <c r="C144" s="39" t="s">
        <v>473</v>
      </c>
      <c r="D144" s="266">
        <v>1</v>
      </c>
      <c r="E144" s="148">
        <f>IF(D144&lt;&gt;"",D144,"")</f>
        <v>1</v>
      </c>
      <c r="F144" s="101" t="str">
        <f>IF(D144&lt;&gt;"",IF(C144="","",C144),"")</f>
        <v>RENATO BARROS DE COSTA GARCIA</v>
      </c>
      <c r="G144" s="190">
        <f>IF(E144&lt;&gt;"",IF(E146&lt;&gt;"",SMALL(E144:E146,1),""),"")</f>
        <v>0</v>
      </c>
      <c r="H144" s="101"/>
      <c r="I144" s="138"/>
      <c r="J144" s="29"/>
      <c r="K144" s="188"/>
      <c r="L144" s="29"/>
      <c r="M144" s="29"/>
      <c r="N144" s="29"/>
      <c r="O144" s="188"/>
      <c r="P144" s="29"/>
      <c r="Q144" s="37"/>
      <c r="R144" s="198"/>
      <c r="S144" s="37"/>
      <c r="T144" s="37"/>
      <c r="U144" s="37"/>
      <c r="V144" s="198"/>
      <c r="W144" s="37"/>
      <c r="X144" s="86"/>
      <c r="Y144" s="198"/>
      <c r="Z144" s="37"/>
      <c r="AA144" s="37"/>
      <c r="AB144" s="29"/>
      <c r="AC144" s="198"/>
      <c r="AD144" s="94"/>
      <c r="AE144" s="100"/>
      <c r="AF144" s="100"/>
      <c r="AG144" s="197">
        <f>IF(AJ144&lt;&gt;"",AJ144,"")</f>
        <v>0</v>
      </c>
      <c r="AH144" s="100" t="str">
        <f>IF(AJ144&lt;&gt;"",IF(AK144="","",AK144),"")</f>
        <v>DIEGO SANTOS SPINELLI</v>
      </c>
      <c r="AI144" s="137">
        <f>IF(AG144&lt;&gt;"",IF(AG146&lt;&gt;"",SMALL(AG144:AG146,1),""),"")</f>
        <v>0</v>
      </c>
      <c r="AJ144" s="266">
        <v>0</v>
      </c>
      <c r="AK144" s="171" t="str">
        <f>IF('13M GRP'!G5&gt;=3,'13M GRP'!J192,IF('13M GRP'!G5=2,"",IF('13M GRP'!G5=1,"","")))</f>
        <v>DIEGO SANTOS SPINELLI</v>
      </c>
      <c r="AL144" s="29">
        <v>14</v>
      </c>
      <c r="AM144" s="2"/>
      <c r="AP144" s="31">
        <f>IF(AR144&lt;&gt;"",1+COUNTIF(AP136:AP143,"1")+COUNTIF(AP136:AP143,"2")+COUNTIF(AP136:AP143,"3")+COUNTIF(AP136:AP143,"4")+COUNTIF(AP136:AP143,"5")+COUNTIF(AP136:AP143,"6")+COUNTIF(AP136:AP143,"7")+COUNTIF(AP136:AP143,"8"),"")</f>
        <v>9</v>
      </c>
      <c r="AQ144" s="32" t="str">
        <f t="shared" si="14"/>
        <v>LUGAR</v>
      </c>
      <c r="AR144" s="111" t="str">
        <f>IF(AR136&lt;&gt;"",IF(G140=AR136,G142,IF(G142=AR136,G140,IF(G156=AR136,G158,IF(G158=AR136,G156,IF(AG140=AR136,AG142,IF(AG142=AR136,AG140,IF(AG156=AR136,AG158,IF(AG158=AR136,AG156,IF(G170=AR136,G172,IF(G172=AR136,G170,IF(G186=AR136,G188,IF(G188=AR136,G186,IF(AG170=AR136,AG172,IF(AG172=AR136,AG170,IF(AG186=AR136,AG188,IF(AG188=AR136,AG186)))))))))))))))),"")</f>
        <v>Lorenzo Mazzini Anitelli</v>
      </c>
      <c r="AS144" s="33" t="str">
        <f>IFERROR(IF(AR144="","",VLOOKUP(AR144,LISTAS!$F$5:$G$1004,2,0)),"0")</f>
        <v>ESCOLA INTERAÇÃO</v>
      </c>
      <c r="AT144" s="33">
        <f t="shared" si="15"/>
        <v>28</v>
      </c>
      <c r="AU144" s="33">
        <f t="shared" si="16"/>
        <v>28</v>
      </c>
    </row>
    <row r="145" spans="2:47" ht="18" customHeight="1" thickBot="1" x14ac:dyDescent="0.3">
      <c r="B145" s="133"/>
      <c r="C145" s="172" t="str">
        <f>IFERROR(IF(C144="","",VLOOKUP(C144,LISTAS!$F$5:$G$1004,2,0)),"0")</f>
        <v>ESCOLA VILLARE</v>
      </c>
      <c r="D145" s="267"/>
      <c r="E145" s="105"/>
      <c r="F145" s="101"/>
      <c r="G145" s="190"/>
      <c r="H145" s="101"/>
      <c r="I145" s="138"/>
      <c r="J145" s="29"/>
      <c r="K145" s="188"/>
      <c r="L145" s="29"/>
      <c r="M145" s="29"/>
      <c r="N145" s="29"/>
      <c r="O145" s="188"/>
      <c r="P145" s="29"/>
      <c r="Q145" s="37"/>
      <c r="R145" s="198"/>
      <c r="S145" s="37"/>
      <c r="T145" s="37"/>
      <c r="U145" s="37"/>
      <c r="V145" s="198"/>
      <c r="W145" s="37"/>
      <c r="X145" s="86"/>
      <c r="Y145" s="198"/>
      <c r="Z145" s="37"/>
      <c r="AA145" s="37"/>
      <c r="AB145" s="29"/>
      <c r="AC145" s="198"/>
      <c r="AD145" s="94"/>
      <c r="AE145" s="100"/>
      <c r="AF145" s="100"/>
      <c r="AG145" s="197"/>
      <c r="AH145" s="100"/>
      <c r="AI145" s="143"/>
      <c r="AJ145" s="267"/>
      <c r="AK145" s="172" t="str">
        <f>IFERROR(IF(AK144="","",VLOOKUP(AK144,LISTAS!$F$5:$G$1004,2,0)),"0")</f>
        <v>ABACO IPIRANGA</v>
      </c>
      <c r="AL145" s="29"/>
      <c r="AP145" s="31">
        <f>IF(AR145&lt;&gt;"",1+COUNTIF(AP136:AP144,"1")+COUNTIF(AP136:AP144,"2")+COUNTIF(AP136:AP144,"3")+COUNTIF(AP136:AP144,"4")+COUNTIF(AP136:AP144,"5")+COUNTIF(AP136:AP144,"6")+COUNTIF(AP136:AP144,"7")+COUNTIF(AP136:AP144,"8")+COUNTIF(AP136:AP144,"9"),"")</f>
        <v>10</v>
      </c>
      <c r="AQ145" s="32" t="str">
        <f t="shared" si="14"/>
        <v>LUGAR</v>
      </c>
      <c r="AR145" s="111" t="str">
        <f>IF(AR137&lt;&gt;"",IF(G140=AR137,G142,IF(G142=AR137,G140,IF(G156=AR137,G158,IF(G158=AR137,G156,IF(AG140=AR137,AG142,IF(AG142=AR137,AG140,IF(AG156=AR137,AG158,IF(AG158=AR137,AG156,IF(G170=AR137,G172,IF(G172=AR137,G170,IF(G186=AR137,G188,IF(G188=AR137,G186,IF(AG170=AR137,AG172,IF(AG172=AR137,AG170,IF(AG186=AR137,AG188,IF(AG188=AR137,AG186)))))))))))))))),"")</f>
        <v>Giovanni Dias Rinco de Oliveira</v>
      </c>
      <c r="AS145" s="33" t="str">
        <f>IFERROR(IF(AR145="","",VLOOKUP(AR145,LISTAS!$F$5:$G$1004,2,0)),"0")</f>
        <v>ESCOLA INTERAÇÃO</v>
      </c>
      <c r="AT145" s="33">
        <f t="shared" si="15"/>
        <v>28</v>
      </c>
      <c r="AU145" s="33">
        <f t="shared" si="16"/>
        <v>28</v>
      </c>
    </row>
    <row r="146" spans="2:47" ht="18" customHeight="1" x14ac:dyDescent="0.25">
      <c r="B146" s="133">
        <v>16</v>
      </c>
      <c r="C146" s="171" t="str">
        <f>IF('13M GRP'!G5&gt;=3,'13M GRP'!J218,IF('13M GRP'!G5=2,"",IF('13M GRP'!G5=1,"","")))</f>
        <v>ENZO TOMIO</v>
      </c>
      <c r="D146" s="266">
        <v>0</v>
      </c>
      <c r="E146" s="106">
        <f>IF(D146&lt;&gt;"",D146,"")</f>
        <v>0</v>
      </c>
      <c r="F146" s="101" t="str">
        <f>IF(D146&lt;&gt;"",IF(C146="","",C146),"")</f>
        <v>ENZO TOMIO</v>
      </c>
      <c r="G146" s="190" t="str">
        <f>VLOOKUP(G144,E144:F146,2,0)</f>
        <v>ENZO TOMIO</v>
      </c>
      <c r="H146" s="101"/>
      <c r="I146" s="138"/>
      <c r="J146" s="29"/>
      <c r="K146" s="188"/>
      <c r="L146" s="29"/>
      <c r="M146" s="29"/>
      <c r="N146" s="29"/>
      <c r="O146" s="188"/>
      <c r="P146" s="29"/>
      <c r="Q146" s="37"/>
      <c r="R146" s="198"/>
      <c r="S146" s="37"/>
      <c r="T146" s="37"/>
      <c r="U146" s="37"/>
      <c r="V146" s="198"/>
      <c r="W146" s="37"/>
      <c r="X146" s="86"/>
      <c r="Y146" s="198"/>
      <c r="Z146" s="37"/>
      <c r="AA146" s="37"/>
      <c r="AB146" s="29"/>
      <c r="AC146" s="198"/>
      <c r="AD146" s="94"/>
      <c r="AE146" s="100"/>
      <c r="AF146" s="100"/>
      <c r="AG146" s="197">
        <f>IF(AJ146&lt;&gt;"",AJ146,"")</f>
        <v>1</v>
      </c>
      <c r="AH146" s="100" t="str">
        <f>IF(AJ146&lt;&gt;"",IF(AK146="","",AK146),"")</f>
        <v>HEITOR BONAZZI COMAR</v>
      </c>
      <c r="AI146" s="104" t="str">
        <f>VLOOKUP(AI144,AG144:AH146,2,0)</f>
        <v>DIEGO SANTOS SPINELLI</v>
      </c>
      <c r="AJ146" s="266">
        <v>1</v>
      </c>
      <c r="AK146" s="39" t="s">
        <v>417</v>
      </c>
      <c r="AL146" s="29">
        <v>19</v>
      </c>
      <c r="AP146" s="31">
        <f>IF(AR146&lt;&gt;"",1+COUNTIF(AP136:AP145,"1")+COUNTIF(AP136:AP145,"2")+COUNTIF(AP136:AP145,"3")+COUNTIF(AP136:AP145,"4")+COUNTIF(AP136:AP145,"5")+COUNTIF(AP136:AP145,"6")+COUNTIF(AP136:AP145,"7")+COUNTIF(AP136:AP145,"8")+COUNTIF(AP136:AP145,"9")+COUNTIF(AP136:AP145,"10"),"")</f>
        <v>11</v>
      </c>
      <c r="AQ146" s="32" t="str">
        <f t="shared" si="14"/>
        <v>LUGAR</v>
      </c>
      <c r="AR146" s="111" t="str">
        <f>IF(AR138&lt;&gt;"",IF(G140=AR138,G142,IF(G142=AR138,G140,IF(G156=AR138,G158,IF(G158=AR138,G156,IF(AG140=AR138,AG142,IF(AG142=AR138,AG140,IF(AG156=AR138,AG158,IF(AG158=AR138,AG156,IF(G170=AR138,G172,IF(G172=AR138,G170,IF(G186=AR138,G188,IF(G188=AR138,G186,IF(AG170=AR138,AG172,IF(AG172=AR138,AG170,IF(AG186=AR138,AG188,IF(AG188=AR138,AG186)))))))))))))))),"")</f>
        <v>Leonardo Cassitas Souza</v>
      </c>
      <c r="AS146" s="33" t="str">
        <f>IFERROR(IF(AR146="","",VLOOKUP(AR146,LISTAS!$F$5:$G$1004,2,0)),"0")</f>
        <v>ESCOLA INTERAÇÃO</v>
      </c>
      <c r="AT146" s="33">
        <f t="shared" si="15"/>
        <v>28</v>
      </c>
      <c r="AU146" s="33">
        <f t="shared" si="16"/>
        <v>28</v>
      </c>
    </row>
    <row r="147" spans="2:47" ht="18" customHeight="1" thickBot="1" x14ac:dyDescent="0.3">
      <c r="B147" s="133"/>
      <c r="C147" s="172" t="str">
        <f>IFERROR(IF(C146="","",VLOOKUP(C146,LISTAS!$F$5:$G$1004,2,0)),"0")</f>
        <v>COLEGIO PETROPOLIS</v>
      </c>
      <c r="D147" s="267"/>
      <c r="E147" s="101"/>
      <c r="F147" s="101"/>
      <c r="G147" s="190"/>
      <c r="H147" s="101"/>
      <c r="I147" s="138"/>
      <c r="J147" s="29"/>
      <c r="K147" s="188"/>
      <c r="L147" s="29"/>
      <c r="M147" s="87"/>
      <c r="N147" s="87"/>
      <c r="O147" s="192"/>
      <c r="P147" s="29"/>
      <c r="Q147" s="37"/>
      <c r="R147" s="198"/>
      <c r="S147" s="37"/>
      <c r="T147" s="37"/>
      <c r="U147" s="37"/>
      <c r="V147" s="198"/>
      <c r="W147" s="37"/>
      <c r="X147" s="86"/>
      <c r="Y147" s="198"/>
      <c r="Z147" s="37"/>
      <c r="AA147" s="37"/>
      <c r="AB147" s="29"/>
      <c r="AC147" s="198"/>
      <c r="AD147" s="94"/>
      <c r="AE147" s="100"/>
      <c r="AF147" s="100"/>
      <c r="AG147" s="197"/>
      <c r="AH147" s="100"/>
      <c r="AI147" s="101"/>
      <c r="AJ147" s="267"/>
      <c r="AK147" s="172" t="str">
        <f>IFERROR(IF(AK146="","",VLOOKUP(AK146,LISTAS!$F$5:$G$1004,2,0)),"0")</f>
        <v>COLÉGIO ATENEU</v>
      </c>
      <c r="AL147" s="29"/>
      <c r="AP147" s="31" t="str">
        <f>IF(AR147&lt;&gt;"",1+COUNTIF(AP136:AP146,"1")+COUNTIF(AP136:AP146,"2")+COUNTIF(AP136:AP146,"3")+COUNTIF(AP136:AP146,"4")+COUNTIF(AP136:AP146,"5")+COUNTIF(AP136:AP146,"6")+COUNTIF(AP136:AP146,"7")+COUNTIF(AP136:AP146,"8")+COUNTIF(AP136:AP146,"9")+COUNTIF(AP136:AP146,"10")+COUNTIF(AP136:AP146,"11"),"")</f>
        <v/>
      </c>
      <c r="AQ147" s="32" t="str">
        <f t="shared" si="14"/>
        <v/>
      </c>
      <c r="AR147" s="111" t="str">
        <f>IF(AR139&lt;&gt;"",IF(G140=AR139,G142,IF(G142=AR139,G140,IF(G156=AR139,G158,IF(G158=AR139,G156,IF(AG140=AR139,AG142,IF(AG142=AR139,AG140,IF(AG156=AR139,AG158,IF(AG158=AR139,AG156,IF(G170=AR139,G172,IF(G172=AR139,G170,IF(G186=AR139,G188,IF(G188=AR139,G186,IF(AG170=AR139,AG172,IF(AG172=AR139,AG170,IF(AG186=AR139,AG188,IF(AG188=AR139,AG186)))))))))))))))),"")</f>
        <v/>
      </c>
      <c r="AS147" s="33" t="str">
        <f>IFERROR(IF(AR147="","",VLOOKUP(AR147,LISTAS!$F$5:$G$1004,2,0)),"0")</f>
        <v/>
      </c>
      <c r="AT147" s="33" t="str">
        <f t="shared" si="15"/>
        <v/>
      </c>
      <c r="AU147" s="33" t="str">
        <f t="shared" si="16"/>
        <v/>
      </c>
    </row>
    <row r="148" spans="2:47" ht="18" customHeight="1" x14ac:dyDescent="0.25">
      <c r="B148" s="133"/>
      <c r="C148" s="188"/>
      <c r="D148" s="29"/>
      <c r="E148" s="101"/>
      <c r="F148" s="101"/>
      <c r="G148" s="190"/>
      <c r="H148" s="101"/>
      <c r="I148" s="138"/>
      <c r="J148" s="29"/>
      <c r="K148" s="171" t="str">
        <f>IF(H140&lt;&gt;"",IF(H142&lt;&gt;"",IF(H140=H142,"",IF(H140&gt;H142,G140,G142)),""),"")</f>
        <v>RENATO BARROS DE COSTA GARCIA</v>
      </c>
      <c r="L148" s="266">
        <v>1</v>
      </c>
      <c r="M148" s="101">
        <f>IF(L148&lt;&gt;"",L148,"")</f>
        <v>1</v>
      </c>
      <c r="N148" s="101" t="str">
        <f>IF(L148&lt;&gt;"",IF(K148="","",K148),"")</f>
        <v>RENATO BARROS DE COSTA GARCIA</v>
      </c>
      <c r="O148" s="190">
        <f>IF(M148&lt;&gt;"",IF(M150&lt;&gt;"",SMALL(M148:N150,1),""),"")</f>
        <v>0</v>
      </c>
      <c r="P148" s="29"/>
      <c r="Q148" s="37"/>
      <c r="R148" s="272" t="s">
        <v>89</v>
      </c>
      <c r="S148" s="273"/>
      <c r="T148" s="273"/>
      <c r="U148" s="273"/>
      <c r="V148" s="273"/>
      <c r="W148" s="37"/>
      <c r="X148" s="86"/>
      <c r="Y148" s="198"/>
      <c r="Z148" s="37"/>
      <c r="AA148" s="37"/>
      <c r="AB148" s="266">
        <v>0</v>
      </c>
      <c r="AC148" s="171" t="str">
        <f>IF(AF140&lt;&gt;"",IF(AF142&lt;&gt;"",IF(AF140=AF142,"",IF(AF140&gt;AF142,AG140,AG142)),""),"")</f>
        <v>HEITOR BONAZZI COMAR</v>
      </c>
      <c r="AD148" s="141"/>
      <c r="AE148" s="100"/>
      <c r="AF148" s="100"/>
      <c r="AG148" s="197"/>
      <c r="AH148" s="100"/>
      <c r="AI148" s="100"/>
      <c r="AJ148" s="29"/>
      <c r="AK148" s="188"/>
      <c r="AL148" s="29"/>
      <c r="AP148" s="31">
        <f>IF(AR148&lt;&gt;"",1+COUNTIF(AP136:AP147,"1")+COUNTIF(AP136:AP147,"2")+COUNTIF(AP136:AP147,"3")+COUNTIF(AP136:AP147,"4")+COUNTIF(AP136:AP147,"5")+COUNTIF(AP136:AP147,"6")+COUNTIF(AP136:AP147,"7")+COUNTIF(AP136:AP147,"8")+COUNTIF(AP136:AP147,"9")+COUNTIF(AP136:AP147,"10")+COUNTIF(AP136:AP147,"11")+COUNTIF(AP136:AP147,"12"),"")</f>
        <v>12</v>
      </c>
      <c r="AQ148" s="32" t="str">
        <f t="shared" si="14"/>
        <v>LUGAR</v>
      </c>
      <c r="AR148" s="111" t="str">
        <f>IF(AR140&lt;&gt;"",IF(G140=AR140,G142,IF(G142=AR140,G140,IF(G156=AR140,G158,IF(G158=AR140,G156,IF(AG140=AR140,AG142,IF(AG142=AR140,AG140,IF(AG156=AR140,AG158,IF(AG158=AR140,AG156,IF(G170=AR140,G172,IF(G172=AR140,G170,IF(G186=AR140,G188,IF(G188=AR140,G186,IF(AG170=AR140,AG172,IF(AG172=AR140,AG170,IF(AG186=AR140,AG188,IF(AG188=AR140,AG186)))))))))))))))),"")</f>
        <v>Pedro Araujo Rodrigues</v>
      </c>
      <c r="AS148" s="33" t="str">
        <f>IFERROR(IF(AR148="","",VLOOKUP(AR148,LISTAS!$F$5:$G$1004,2,0)),"0")</f>
        <v>ESCOLA INTERAÇÃO</v>
      </c>
      <c r="AT148" s="33">
        <f t="shared" si="15"/>
        <v>28</v>
      </c>
      <c r="AU148" s="33">
        <f t="shared" si="16"/>
        <v>28</v>
      </c>
    </row>
    <row r="149" spans="2:47" ht="18" customHeight="1" thickBot="1" x14ac:dyDescent="0.3">
      <c r="B149" s="133"/>
      <c r="C149" s="188"/>
      <c r="D149" s="29"/>
      <c r="E149" s="101"/>
      <c r="F149" s="101"/>
      <c r="G149" s="190"/>
      <c r="H149" s="101"/>
      <c r="I149" s="138"/>
      <c r="J149" s="29"/>
      <c r="K149" s="172" t="str">
        <f>IFERROR(IF(K148="","",VLOOKUP(K148,LISTAS!$F$5:$G$1004,2,0)),"0")</f>
        <v>ESCOLA VILLARE</v>
      </c>
      <c r="L149" s="267"/>
      <c r="M149" s="101"/>
      <c r="N149" s="101"/>
      <c r="O149" s="190"/>
      <c r="P149" s="29"/>
      <c r="Q149" s="37"/>
      <c r="R149" s="272" t="s">
        <v>30</v>
      </c>
      <c r="S149" s="273"/>
      <c r="T149" s="273"/>
      <c r="U149" s="273"/>
      <c r="V149" s="273"/>
      <c r="W149" s="37"/>
      <c r="X149" s="86"/>
      <c r="Y149" s="198"/>
      <c r="Z149" s="37"/>
      <c r="AA149" s="37"/>
      <c r="AB149" s="267"/>
      <c r="AC149" s="172" t="str">
        <f>IFERROR(IF(AC148="","",VLOOKUP(AC148,LISTAS!$F$5:$G$1004,2,0)),"0")</f>
        <v>COLÉGIO ATENEU</v>
      </c>
      <c r="AD149" s="37"/>
      <c r="AE149" s="144"/>
      <c r="AF149" s="100"/>
      <c r="AG149" s="197"/>
      <c r="AH149" s="100"/>
      <c r="AI149" s="100"/>
      <c r="AJ149" s="29"/>
      <c r="AK149" s="188"/>
      <c r="AL149" s="29"/>
      <c r="AP149" s="31">
        <f>IF(AR149&lt;&gt;"",1+COUNTIF(AP136:AP148,"1")+COUNTIF(AP136:AP148,"2")+COUNTIF(AP136:AP148,"3")+COUNTIF(AP136:AP148,"4")+COUNTIF(AP136:AP148,"5")+COUNTIF(AP136:AP148,"6")+COUNTIF(AP136:AP148,"7")+COUNTIF(AP136:AP148,"8")+COUNTIF(AP136:AP148,"9")+COUNTIF(AP136:AP148,"10")+COUNTIF(AP136:AP148,"11")+COUNTIF(AP136:AP148,"12")+COUNTIF(AP136:AP148,"13"),"")</f>
        <v>13</v>
      </c>
      <c r="AQ149" s="32" t="str">
        <f t="shared" si="14"/>
        <v>LUGAR</v>
      </c>
      <c r="AR149" s="111" t="str">
        <f>IF(AR141&lt;&gt;"",IF(G140=AR141,G142,IF(G142=AR141,G140,IF(G156=AR141,G158,IF(G158=AR141,G156,IF(AG140=AR141,AG142,IF(AG142=AR141,AG140,IF(AG156=AR141,AG158,IF(AG158=AR141,AG156,IF(G170=AR141,G172,IF(G172=AR141,G170,IF(G186=AR141,G188,IF(G188=AR141,G186,IF(AG170=AR141,AG172,IF(AG172=AR141,AG170,IF(AG186=AR141,AG188,IF(AG188=AR141,AG186)))))))))))))))),"")</f>
        <v>PEDRO LAFANI RODRIGUES MOSCHELLA CARMONA</v>
      </c>
      <c r="AS149" s="33" t="str">
        <f>IFERROR(IF(AR149="","",VLOOKUP(AR149,LISTAS!$F$5:$G$1004,2,0)),"0")</f>
        <v>ABACO IPIRANGA</v>
      </c>
      <c r="AT149" s="33">
        <f t="shared" si="15"/>
        <v>28</v>
      </c>
      <c r="AU149" s="33">
        <f t="shared" si="16"/>
        <v>28</v>
      </c>
    </row>
    <row r="150" spans="2:47" ht="18" customHeight="1" x14ac:dyDescent="0.25">
      <c r="B150" s="133"/>
      <c r="C150" s="188"/>
      <c r="D150" s="29"/>
      <c r="E150" s="29"/>
      <c r="F150" s="29"/>
      <c r="G150" s="188"/>
      <c r="H150" s="29"/>
      <c r="I150" s="35"/>
      <c r="J150" s="36"/>
      <c r="K150" s="171" t="str">
        <f>IF(H156&lt;&gt;"",IF(H158&lt;&gt;"",IF(H156=H158,"",IF(H156&gt;H158,G156,G158)),""),"")</f>
        <v>BENJAMIN OLIVEIRA AMORIM</v>
      </c>
      <c r="L150" s="266">
        <v>0</v>
      </c>
      <c r="M150" s="107">
        <f>IF(L150&lt;&gt;"",L150,"")</f>
        <v>0</v>
      </c>
      <c r="N150" s="101" t="str">
        <f>IF(L150&lt;&gt;"",IF(K150="","",K150),"")</f>
        <v>BENJAMIN OLIVEIRA AMORIM</v>
      </c>
      <c r="O150" s="190" t="str">
        <f>VLOOKUP(O148,M148:N150,2,0)</f>
        <v>BENJAMIN OLIVEIRA AMORIM</v>
      </c>
      <c r="P150" s="29"/>
      <c r="Q150" s="37"/>
      <c r="R150" s="198"/>
      <c r="S150" s="37"/>
      <c r="T150" s="37"/>
      <c r="U150" s="37"/>
      <c r="V150" s="198"/>
      <c r="W150" s="37"/>
      <c r="X150" s="86"/>
      <c r="Y150" s="198"/>
      <c r="Z150" s="94"/>
      <c r="AA150" s="96"/>
      <c r="AB150" s="266">
        <v>1</v>
      </c>
      <c r="AC150" s="171" t="str">
        <f>IF(AF156&lt;&gt;"",IF(AF158&lt;&gt;"",IF(AF156=AF158,"",IF(AF156&gt;AF158,AG156,AG158)),""),"")</f>
        <v>Dante de Oliveira</v>
      </c>
      <c r="AD150" s="37"/>
      <c r="AE150" s="144"/>
      <c r="AF150" s="100"/>
      <c r="AG150" s="197"/>
      <c r="AH150" s="100"/>
      <c r="AI150" s="100"/>
      <c r="AJ150" s="29"/>
      <c r="AK150" s="188"/>
      <c r="AL150" s="29"/>
      <c r="AP150" s="31">
        <f>IF(AR150&lt;&gt;"",1+COUNTIF(AP136:AP149,"1")+COUNTIF(AP136:AP149,"2")+COUNTIF(AP136:AP149,"3")+COUNTIF(AP136:AP149,"4")+COUNTIF(AP136:AP149,"5")+COUNTIF(AP136:AP149,"6")+COUNTIF(AP136:AP149,"7")+COUNTIF(AP136:AP149,"8")+COUNTIF(AP136:AP149,"9")+COUNTIF(AP136:AP149,"10")+COUNTIF(AP136:AP149,"11")+COUNTIF(AP136:AP149,"12")+COUNTIF(AP136:AP149,"13")+COUNTIF(AP136:AP149,"14"),"")</f>
        <v>14</v>
      </c>
      <c r="AQ150" s="32" t="str">
        <f t="shared" si="14"/>
        <v>LUGAR</v>
      </c>
      <c r="AR150" s="111" t="str">
        <f>IF(AR142&lt;&gt;"",IF(G140=AR142,G142,IF(G142=AR142,G140,IF(G156=AR142,G158,IF(G158=AR142,G156,IF(AG140=AR142,AG142,IF(AG142=AR142,AG140,IF(AG156=AR142,AG158,IF(AG158=AR142,AG156,IF(G170=AR142,G172,IF(G172=AR142,G170,IF(G186=AR142,G188,IF(G188=AR142,G186,IF(AG170=AR142,AG172,IF(AG172=AR142,AG170,IF(AG186=AR142,AG188,IF(AG188=AR142,AG186)))))))))))))))),"")</f>
        <v>MIGUEL G. DE OLIVEIRA CORONATE</v>
      </c>
      <c r="AS150" s="33" t="str">
        <f>IFERROR(IF(AR150="","",VLOOKUP(AR150,LISTAS!$F$5:$G$1004,2,0)),"0")</f>
        <v>ABACO IPIRANGA</v>
      </c>
      <c r="AT150" s="33">
        <f t="shared" si="15"/>
        <v>28</v>
      </c>
      <c r="AU150" s="33">
        <f t="shared" si="16"/>
        <v>28</v>
      </c>
    </row>
    <row r="151" spans="2:47" ht="18" customHeight="1" thickBot="1" x14ac:dyDescent="0.3">
      <c r="B151" s="133"/>
      <c r="C151" s="188"/>
      <c r="D151" s="29"/>
      <c r="E151" s="29"/>
      <c r="F151" s="29"/>
      <c r="G151" s="188"/>
      <c r="H151" s="29"/>
      <c r="I151" s="35"/>
      <c r="J151" s="29"/>
      <c r="K151" s="172" t="str">
        <f>IFERROR(IF(K150="","",VLOOKUP(K150,LISTAS!$F$5:$G$1004,2,0)),"0")</f>
        <v>COLÉGIO SÃO MAURO</v>
      </c>
      <c r="L151" s="267"/>
      <c r="M151" s="138"/>
      <c r="N151" s="101"/>
      <c r="O151" s="190"/>
      <c r="P151" s="29"/>
      <c r="Q151" s="37"/>
      <c r="R151" s="198"/>
      <c r="S151" s="37"/>
      <c r="T151" s="37"/>
      <c r="U151" s="37"/>
      <c r="V151" s="198"/>
      <c r="W151" s="37"/>
      <c r="X151" s="86"/>
      <c r="Y151" s="198"/>
      <c r="Z151" s="94"/>
      <c r="AA151" s="37"/>
      <c r="AB151" s="267"/>
      <c r="AC151" s="172" t="str">
        <f>IFERROR(IF(AC150="","",VLOOKUP(AC150,LISTAS!$F$5:$G$1004,2,0)),"0")</f>
        <v>ESCOLA INTERAÇÃO</v>
      </c>
      <c r="AD151" s="37"/>
      <c r="AE151" s="144"/>
      <c r="AF151" s="100"/>
      <c r="AG151" s="197"/>
      <c r="AH151" s="100"/>
      <c r="AI151" s="100"/>
      <c r="AJ151" s="29"/>
      <c r="AK151" s="188"/>
      <c r="AL151" s="29"/>
      <c r="AP151" s="31">
        <f>IF(AR151&lt;&gt;"",1+COUNTIF(AP136:AP150,"1")+COUNTIF(AP136:AP150,"2")+COUNTIF(AP136:AP150,"3")+COUNTIF(AP136:AP150,"4")+COUNTIF(AP136:AP150,"5")+COUNTIF(AP136:AP150,"6")+COUNTIF(AP136:AP150,"7")+COUNTIF(AP136:AP150,"8")+COUNTIF(AP136:AP150,"9")+COUNTIF(AP136:AP150,"10")+COUNTIF(AP136:AP150,"11")+COUNTIF(AP136:AP150,"12")+COUNTIF(AP136:AP150,"13")+COUNTIF(AP136:AP150,"14")+COUNTIF(AP136:AP150,"15"),"")</f>
        <v>15</v>
      </c>
      <c r="AQ151" s="32" t="str">
        <f t="shared" si="14"/>
        <v>LUGAR</v>
      </c>
      <c r="AR151" s="111" t="str">
        <f>IF(AR143&lt;&gt;"",IF(G140=AR143,G142,IF(G142=AR143,G140,IF(G156=AR143,G158,IF(G158=AR143,G156,IF(AG140=AR143,AG142,IF(AG142=AR143,AG140,IF(AG156=AR143,AG158,IF(AG158=AR143,AG156,IF(G170=AR143,G172,IF(G172=AR143,G170,IF(G186=AR143,G188,IF(G188=AR143,G186,IF(AG170=AR143,AG172,IF(AG172=AR143,AG170,IF(AG186=AR143,AG188,IF(AG188=AR143,AG186)))))))))))))))),"")</f>
        <v>PEDRO LAFANI RODRIGUES MOSCHELLA CARMONA</v>
      </c>
      <c r="AS151" s="33" t="str">
        <f>IFERROR(IF(AR151="","",VLOOKUP(AR151,LISTAS!$F$5:$G$1004,2,0)),"0")</f>
        <v>ABACO IPIRANGA</v>
      </c>
      <c r="AT151" s="33">
        <f t="shared" si="15"/>
        <v>28</v>
      </c>
      <c r="AU151" s="33">
        <f t="shared" si="16"/>
        <v>28</v>
      </c>
    </row>
    <row r="152" spans="2:47" ht="18" customHeight="1" x14ac:dyDescent="0.25">
      <c r="B152" s="133">
        <v>9</v>
      </c>
      <c r="C152" s="171" t="str">
        <f>IF('13M GRP'!G5&gt;=3,'13M GRP'!J127,IF('13M GRP'!G5=2,"",IF('13M GRP'!G5=1,"","")))</f>
        <v>BENJAMIN OLIVEIRA AMORIM</v>
      </c>
      <c r="D152" s="266">
        <v>1</v>
      </c>
      <c r="E152" s="101">
        <f>IF(D152&lt;&gt;"",D152,"")</f>
        <v>1</v>
      </c>
      <c r="F152" s="101" t="str">
        <f>IF(D152&lt;&gt;"",IF(C152="","",C152),"")</f>
        <v>BENJAMIN OLIVEIRA AMORIM</v>
      </c>
      <c r="G152" s="190">
        <f>IF(E152&lt;&gt;"",IF(E154&lt;&gt;"",SMALL(E152:E154,1),""),"")</f>
        <v>0</v>
      </c>
      <c r="H152" s="101"/>
      <c r="I152" s="138"/>
      <c r="J152" s="29"/>
      <c r="K152" s="188"/>
      <c r="L152" s="29"/>
      <c r="M152" s="138"/>
      <c r="N152" s="101"/>
      <c r="O152" s="190"/>
      <c r="P152" s="29"/>
      <c r="Q152" s="37"/>
      <c r="R152" s="198"/>
      <c r="S152" s="37"/>
      <c r="T152" s="37"/>
      <c r="U152" s="37"/>
      <c r="V152" s="198"/>
      <c r="W152" s="37"/>
      <c r="X152" s="86"/>
      <c r="Y152" s="198"/>
      <c r="Z152" s="94"/>
      <c r="AA152" s="37"/>
      <c r="AB152" s="29"/>
      <c r="AC152" s="198"/>
      <c r="AD152" s="37"/>
      <c r="AE152" s="144"/>
      <c r="AF152" s="100"/>
      <c r="AG152" s="197">
        <f>IF(AJ152&lt;&gt;"",AJ152,"")</f>
        <v>0</v>
      </c>
      <c r="AH152" s="100" t="str">
        <f>IF(AJ152&lt;&gt;"",IF(AK152="","",AK152),"")</f>
        <v/>
      </c>
      <c r="AI152" s="101">
        <f>IF(AG152&lt;&gt;"",IF(AG154&lt;&gt;"",SMALL(AG152:AG154,1),""),"")</f>
        <v>0</v>
      </c>
      <c r="AJ152" s="266">
        <v>0</v>
      </c>
      <c r="AK152" s="171"/>
      <c r="AL152" s="29">
        <v>22</v>
      </c>
      <c r="AP152" s="31">
        <f>IF(AR152&lt;&gt;"",1+COUNTIF(AP136:AP151,"1")+COUNTIF(AP136:AP151,"2")+COUNTIF(AP136:AP151,"3")+COUNTIF(AP136:AP151,"4")+COUNTIF(AP136:AP151,"5")+COUNTIF(AP136:AP151,"6")+COUNTIF(AP136:AP151,"7")+COUNTIF(AP136:AP151,"8")+COUNTIF(AP136:AP151,"9")+COUNTIF(AP136:AP151,"10")+COUNTIF(AP136:AP151,"11")+COUNTIF(AP136:AP151,"12")+COUNTIF(AP136:AP151,"13")+COUNTIF(AP136:AP151,"14")+COUNTIF(AP136:AP151,"15")+COUNTIF(AP136:AP151,"16"),"")</f>
        <v>16</v>
      </c>
      <c r="AQ152" s="32" t="str">
        <f t="shared" si="14"/>
        <v>LUGAR</v>
      </c>
      <c r="AR152" s="111" t="str">
        <f>IF(AR136&lt;&gt;"",IF(C136=AR136,G138,IF(C138=AR136,G138,IF(C144=AR136,G146,IF(C146=AR136,G146,IF(C166=AR136,G168,IF(C168=AR136,G168,IF(C174=AR136,G176,IF(C176=AR136,G176,IF(C152=AR136,G154,IF(C154=AR136,G154,IF(C160=AR136,G162,IF(C162=AR136,G162,IF(C182=AR136,G184,IF(C184=AR136,G184,IF(C190=AR136,G192,IF(C192=AR136,G192,IF(AK136=AR136,AI138,IF(AK138=AR136,AI138,IF(AK144=AR136,AI146,IF(AK146=AR136,AI146,IF(AK166=AR136,AI168,IF(AK168=AR136,AI168,IF(AK174=AR136,AI176,IF(AK176=AR136,AI176,IF(AK152=AR136,AI154,IF(AK154=AR136,AI154,IF(AK160=AR136,AI162,IF(AK162=AR136,AI162,IF(AK182=AR136,AI184,IF(AK184=AR136,AI184,IF(AK190=AR136,AI192,IF(AK192=AR136,AI192)))))))))))))))))))))))))))))))),"")</f>
        <v>MURILLO MOSCHELLA BERNACCI SOLANO</v>
      </c>
      <c r="AS152" s="33" t="str">
        <f>IFERROR(IF(AR152="","",VLOOKUP(AR152,LISTAS!$F$5:$G$1004,2,0)),"0")</f>
        <v>ABACO IPIRANGA</v>
      </c>
      <c r="AT152" s="33">
        <f t="shared" si="15"/>
        <v>28</v>
      </c>
      <c r="AU152" s="33">
        <f t="shared" si="16"/>
        <v>28</v>
      </c>
    </row>
    <row r="153" spans="2:47" ht="18" customHeight="1" thickBot="1" x14ac:dyDescent="0.3">
      <c r="B153" s="133"/>
      <c r="C153" s="172" t="str">
        <f>IFERROR(IF(C152="","",VLOOKUP(C152,LISTAS!$F$5:$G$1004,2,0)),"0")</f>
        <v>COLÉGIO SÃO MAURO</v>
      </c>
      <c r="D153" s="267"/>
      <c r="E153" s="101"/>
      <c r="F153" s="101"/>
      <c r="G153" s="190"/>
      <c r="H153" s="101"/>
      <c r="I153" s="138"/>
      <c r="J153" s="29"/>
      <c r="K153" s="188"/>
      <c r="L153" s="29"/>
      <c r="M153" s="138"/>
      <c r="N153" s="101"/>
      <c r="O153" s="190"/>
      <c r="P153" s="29"/>
      <c r="Q153" s="37"/>
      <c r="R153" s="198"/>
      <c r="S153" s="37"/>
      <c r="T153" s="37"/>
      <c r="U153" s="37"/>
      <c r="V153" s="198"/>
      <c r="W153" s="37"/>
      <c r="X153" s="86"/>
      <c r="Y153" s="198"/>
      <c r="Z153" s="94"/>
      <c r="AA153" s="37"/>
      <c r="AB153" s="29"/>
      <c r="AC153" s="198"/>
      <c r="AD153" s="37"/>
      <c r="AE153" s="144"/>
      <c r="AF153" s="100"/>
      <c r="AG153" s="197"/>
      <c r="AH153" s="100"/>
      <c r="AI153" s="101"/>
      <c r="AJ153" s="267"/>
      <c r="AK153" s="172" t="str">
        <f>IFERROR(IF(AK152="","",VLOOKUP(AK152,LISTAS!$F$5:$G$1004,2,0)),"0")</f>
        <v/>
      </c>
      <c r="AL153" s="29"/>
      <c r="AP153" s="31">
        <f>IF(AR153&lt;&gt;"",1+COUNTIF(AP136:AP152,"1")+COUNTIF(AP136:AP152,"2")+COUNTIF(AP136:AP152,"3")+COUNTIF(AP136:AP152,"4")+COUNTIF(AP136:AP152,"5")+COUNTIF(AP136:AP152,"6")+COUNTIF(AP136:AP152,"7")+COUNTIF(AP136:AP152,"8")+COUNTIF(AP136:AP152,"9")+COUNTIF(AP136:AP152,"10")+COUNTIF(AP136:AP152,"11")+COUNTIF(AP136:AP152,"12")+COUNTIF(AP136:AP152,"13")+COUNTIF(AP136:AP152,"14")+COUNTIF(AP136:AP152,"15")+COUNTIF(AP136:AP152,"16")+COUNTIF(AP136:AP152,"17"),"")</f>
        <v>17</v>
      </c>
      <c r="AQ153" s="32" t="str">
        <f t="shared" si="14"/>
        <v>LUGAR</v>
      </c>
      <c r="AR153" s="111" t="str">
        <f>IF(AR137&lt;&gt;"",IF(C136=AR137,G138,IF(C138=AR137,G138,IF(C144=AR137,G146,IF(C146=AR137,G146,IF(C166=AR137,G168,IF(C168=AR137,G168,IF(C174=AR137,G176,IF(C176=AR137,G176,IF(C152=AR137,G154,IF(C154=AR137,G154,IF(C160=AR137,G162,IF(C162=AR137,G162,IF(C182=AR137,G184,IF(C184=AR137,G184,IF(C190=AR137,G192,IF(C192=AR137,G192,IF(AK136=AR137,AI138,IF(AK138=AR137,AI138,IF(AK144=AR137,AI146,IF(AK146=AR137,AI146,IF(AK166=AR137,AI168,IF(AK168=AR137,AI168,IF(AK174=AR137,AI176,IF(AK176=AR137,AI176,IF(AK152=AR137,AI154,IF(AK154=AR137,AI154,IF(AK160=AR137,AI162,IF(AK162=AR137,AI162,IF(AK182=AR137,AI184,IF(AK184=AR137,AI184,IF(AK190=AR137,AI192,IF(AK192=AR137,AI192)))))))))))))))))))))))))))))))),"")</f>
        <v>GABRIEL PIOVESAN ZAMPOLLO</v>
      </c>
      <c r="AS153" s="33" t="str">
        <f>IFERROR(IF(AR153="","",VLOOKUP(AR153,LISTAS!$F$5:$G$1004,2,0)),"0")</f>
        <v>LICEU JARDIM</v>
      </c>
      <c r="AT153" s="33">
        <v>25</v>
      </c>
      <c r="AU153" s="33" t="str">
        <f t="shared" si="16"/>
        <v/>
      </c>
    </row>
    <row r="154" spans="2:47" ht="18" customHeight="1" x14ac:dyDescent="0.25">
      <c r="B154" s="133">
        <v>24</v>
      </c>
      <c r="C154" s="171" t="str">
        <f>IF('13M GRP'!G5&gt;=3,'13M GRP'!J322,IF('13M GRP'!G5=2,"",IF('13M GRP'!G5=1,"","")))</f>
        <v>MARCO ANTÔNIO DE BARROS HAYAKAWA</v>
      </c>
      <c r="D154" s="266">
        <v>0</v>
      </c>
      <c r="E154" s="107">
        <f>IF(D154&lt;&gt;"",D154,"")</f>
        <v>0</v>
      </c>
      <c r="F154" s="101" t="str">
        <f>IF(D154&lt;&gt;"",IF(C154="","",C154),"")</f>
        <v>MARCO ANTÔNIO DE BARROS HAYAKAWA</v>
      </c>
      <c r="G154" s="190" t="str">
        <f>VLOOKUP(G152,E152:F154,2,0)</f>
        <v>MARCO ANTÔNIO DE BARROS HAYAKAWA</v>
      </c>
      <c r="H154" s="101"/>
      <c r="I154" s="138"/>
      <c r="J154" s="29"/>
      <c r="K154" s="188"/>
      <c r="L154" s="29"/>
      <c r="M154" s="35"/>
      <c r="N154" s="29"/>
      <c r="O154" s="188"/>
      <c r="P154" s="29"/>
      <c r="Q154" s="37"/>
      <c r="R154" s="198"/>
      <c r="S154" s="37"/>
      <c r="T154" s="37"/>
      <c r="U154" s="37"/>
      <c r="V154" s="198"/>
      <c r="W154" s="37"/>
      <c r="X154" s="86"/>
      <c r="Y154" s="198"/>
      <c r="Z154" s="94"/>
      <c r="AA154" s="37"/>
      <c r="AB154" s="29"/>
      <c r="AC154" s="198"/>
      <c r="AD154" s="37"/>
      <c r="AE154" s="144"/>
      <c r="AF154" s="100"/>
      <c r="AG154" s="197">
        <f>IF(AJ154&lt;&gt;"",AJ154,"")</f>
        <v>0</v>
      </c>
      <c r="AH154" s="100" t="str">
        <f>IF(AJ154&lt;&gt;"",IF(AK154="","",AK154),"")</f>
        <v/>
      </c>
      <c r="AI154" s="102" t="str">
        <f>VLOOKUP(AI152,AG152:AH154,2,0)</f>
        <v/>
      </c>
      <c r="AJ154" s="266">
        <v>0</v>
      </c>
      <c r="AK154" s="171"/>
      <c r="AL154" s="29">
        <v>11</v>
      </c>
      <c r="AP154" s="31">
        <f>IF(AR154&lt;&gt;"",1+COUNTIF(AP136:AP153,"1")+COUNTIF(AP136:AP153,"2")+COUNTIF(AP136:AP153,"3")+COUNTIF(AP136:AP153,"4")+COUNTIF(AP136:AP153,"5")+COUNTIF(AP136:AP153,"6")+COUNTIF(AP136:AP153,"7")+COUNTIF(AP136:AP153,"8")+COUNTIF(AP136:AP153,"9")+COUNTIF(AP136:AP153,"10")+COUNTIF(AP136:AP153,"11")+COUNTIF(AP136:AP153,"12")+COUNTIF(AP136:AP153,"13")+COUNTIF(AP136:AP153,"14")+COUNTIF(AP136:AP153,"15")+COUNTIF(AP136:AP153,"16")+COUNTIF(AP136:AP153,"17")+COUNTIF(AP136:AP153,"18"),"")</f>
        <v>18</v>
      </c>
      <c r="AQ154" s="32" t="str">
        <f t="shared" si="14"/>
        <v>LUGAR</v>
      </c>
      <c r="AR154" s="111" t="str">
        <f>IF(AR138&lt;&gt;"",IF(C136=AR138,G138,IF(C138=AR138,G138,IF(C144=AR138,G146,IF(C146=AR138,G146,IF(C166=AR138,G168,IF(C168=AR138,G168,IF(C174=AR138,G176,IF(C176=AR138,G176,IF(C152=AR138,G154,IF(C154=AR138,G154,IF(C160=AR138,G162,IF(C162=AR138,G162,IF(C182=AR138,G184,IF(C184=AR138,G184,IF(C190=AR138,G192,IF(C192=AR138,G192,IF(AK136=AR138,AI138,IF(AK138=AR138,AI138,IF(AK144=AR138,AI146,IF(AK146=AR138,AI146,IF(AK166=AR138,AI168,IF(AK168=AR138,AI168,IF(AK174=AR138,AI176,IF(AK176=AR138,AI176,IF(AK152=AR138,AI154,IF(AK154=AR138,AI154,IF(AK160=AR138,AI162,IF(AK162=AR138,AI162,IF(AK182=AR138,AI184,IF(AK184=AR138,AI184,IF(AK190=AR138,AI192,IF(AK192=AR138,AI192)))))))))))))))))))))))))))))))),"")</f>
        <v>ENZO TOMIO</v>
      </c>
      <c r="AS154" s="33" t="str">
        <f>IFERROR(IF(AR154="","",VLOOKUP(AR154,LISTAS!$F$5:$G$1004,2,0)),"0")</f>
        <v>COLEGIO PETROPOLIS</v>
      </c>
      <c r="AT154" s="33">
        <v>25</v>
      </c>
      <c r="AU154" s="33" t="str">
        <f t="shared" si="16"/>
        <v/>
      </c>
    </row>
    <row r="155" spans="2:47" ht="18" customHeight="1" thickBot="1" x14ac:dyDescent="0.3">
      <c r="B155" s="133"/>
      <c r="C155" s="172" t="str">
        <f>IFERROR(IF(C154="","",VLOOKUP(C154,LISTAS!$F$5:$G$1004,2,0)),"0")</f>
        <v>ABACO IPIRANGA</v>
      </c>
      <c r="D155" s="267"/>
      <c r="E155" s="148"/>
      <c r="F155" s="101"/>
      <c r="G155" s="190"/>
      <c r="H155" s="101"/>
      <c r="I155" s="138"/>
      <c r="J155" s="87"/>
      <c r="K155" s="192"/>
      <c r="L155" s="87"/>
      <c r="M155" s="93"/>
      <c r="N155" s="29"/>
      <c r="O155" s="188"/>
      <c r="P155" s="29"/>
      <c r="Q155" s="37"/>
      <c r="R155" s="198"/>
      <c r="S155" s="37"/>
      <c r="T155" s="37"/>
      <c r="U155" s="37"/>
      <c r="V155" s="198"/>
      <c r="W155" s="37"/>
      <c r="X155" s="86"/>
      <c r="Y155" s="198"/>
      <c r="Z155" s="94"/>
      <c r="AA155" s="37"/>
      <c r="AB155" s="29"/>
      <c r="AC155" s="198"/>
      <c r="AD155" s="37"/>
      <c r="AE155" s="144"/>
      <c r="AF155" s="100"/>
      <c r="AG155" s="197"/>
      <c r="AH155" s="100"/>
      <c r="AI155" s="142"/>
      <c r="AJ155" s="267"/>
      <c r="AK155" s="172" t="str">
        <f>IFERROR(IF(AK154="","",VLOOKUP(AK154,LISTAS!$F$5:$G$1004,2,0)),"0")</f>
        <v/>
      </c>
      <c r="AL155" s="29"/>
      <c r="AP155" s="31">
        <f>IF(AR155&lt;&gt;"",1+COUNTIF(AP136:AP154,"1")+COUNTIF(AP136:AP154,"2")+COUNTIF(AP136:AP154,"3")+COUNTIF(AP136:AP154,"4")+COUNTIF(AP136:AP154,"5")+COUNTIF(AP136:AP154,"6")+COUNTIF(AP136:AP154,"7")+COUNTIF(AP136:AP154,"8")+COUNTIF(AP136:AP154,"9")+COUNTIF(AP136:AP154,"10")+COUNTIF(AP136:AP154,"11")+COUNTIF(AP136:AP154,"12")+COUNTIF(AP136:AP154,"13")+COUNTIF(AP136:AP154,"14")+COUNTIF(AP136:AP154,"15")+COUNTIF(AP136:AP154,"16")+COUNTIF(AP136:AP154,"17")+COUNTIF(AP136:AP154,"18")+COUNTIF(AP136:AP154,"19"),"")</f>
        <v>19</v>
      </c>
      <c r="AQ155" s="32" t="str">
        <f t="shared" si="14"/>
        <v>LUGAR</v>
      </c>
      <c r="AR155" s="111" t="str">
        <f>IF(AR139&lt;&gt;"",IF(C136=AR139,G138,IF(C138=AR139,G138,IF(C144=AR139,G146,IF(C146=AR139,G146,IF(C166=AR139,G168,IF(C168=AR139,G168,IF(C174=AR139,G176,IF(C176=AR139,G176,IF(C152=AR139,G154,IF(C154=AR139,G154,IF(C160=AR139,G162,IF(C162=AR139,G162,IF(C182=AR139,G184,IF(C184=AR139,G184,IF(C190=AR139,G192,IF(C192=AR139,G192,IF(AK136=AR139,AI138,IF(AK138=AR139,AI138,IF(AK144=AR139,AI146,IF(AK146=AR139,AI146,IF(AK166=AR139,AI168,IF(AK168=AR139,AI168,IF(AK174=AR139,AI176,IF(AK176=AR139,AI176,IF(AK152=AR139,AI154,IF(AK154=AR139,AI154,IF(AK160=AR139,AI162,IF(AK162=AR139,AI162,IF(AK182=AR139,AI184,IF(AK184=AR139,AI184,IF(AK190=AR139,AI192,IF(AK192=AR139,AI192)))))))))))))))))))))))))))))))),"")</f>
        <v>ARTHUR REIS</v>
      </c>
      <c r="AS155" s="33" t="str">
        <f>IFERROR(IF(AR155="","",VLOOKUP(AR155,LISTAS!$F$5:$G$1004,2,0)),"0")</f>
        <v>ESCOLA STAGIUM</v>
      </c>
      <c r="AT155" s="33">
        <v>25</v>
      </c>
      <c r="AU155" s="33" t="str">
        <f t="shared" si="16"/>
        <v/>
      </c>
    </row>
    <row r="156" spans="2:47" ht="18" customHeight="1" x14ac:dyDescent="0.25">
      <c r="B156" s="133"/>
      <c r="C156" s="188"/>
      <c r="D156" s="29"/>
      <c r="E156" s="29"/>
      <c r="F156" s="34"/>
      <c r="G156" s="171" t="str">
        <f>IF(D152&lt;&gt;"",IF(D154&lt;&gt;"",IF(D152=D154,"",IF(D152&gt;D154,C152,C154)),""),"")</f>
        <v>BENJAMIN OLIVEIRA AMORIM</v>
      </c>
      <c r="H156" s="266">
        <v>1</v>
      </c>
      <c r="I156" s="148">
        <f>IF(H156&lt;&gt;"",H156,"")</f>
        <v>1</v>
      </c>
      <c r="J156" s="101" t="str">
        <f>IF(H156&lt;&gt;"",IF(G156="","",G156),"")</f>
        <v>BENJAMIN OLIVEIRA AMORIM</v>
      </c>
      <c r="K156" s="190">
        <f>IF(I156&lt;&gt;"",IF(I158&lt;&gt;"",SMALL(I156:J158,1),""),"")</f>
        <v>0</v>
      </c>
      <c r="L156" s="101"/>
      <c r="M156" s="93"/>
      <c r="N156" s="29"/>
      <c r="O156" s="188"/>
      <c r="P156" s="29"/>
      <c r="Q156" s="37"/>
      <c r="R156" s="198"/>
      <c r="S156" s="37"/>
      <c r="T156" s="37"/>
      <c r="U156" s="37"/>
      <c r="V156" s="198"/>
      <c r="W156" s="37"/>
      <c r="X156" s="86"/>
      <c r="Y156" s="198"/>
      <c r="Z156" s="94"/>
      <c r="AA156" s="37"/>
      <c r="AB156" s="29"/>
      <c r="AC156" s="198"/>
      <c r="AD156" s="37"/>
      <c r="AE156" s="34"/>
      <c r="AF156" s="266">
        <v>0</v>
      </c>
      <c r="AG156" s="171" t="str">
        <f>IF(AJ152&lt;&gt;"",IF(AJ154&lt;&gt;"",IF(AJ152=AJ154,"",IF(AJ152&gt;AJ154,AK152,AK154)),""),"")</f>
        <v/>
      </c>
      <c r="AH156" s="94"/>
      <c r="AI156" s="37"/>
      <c r="AJ156" s="29"/>
      <c r="AK156" s="188"/>
      <c r="AL156" s="29"/>
      <c r="AP156" s="31" t="str">
        <f>IF(AR156&lt;&gt;"",1+COUNTIF(AP136:AP155,"1")+COUNTIF(AP136:AP155,"2")+COUNTIF(AP136:AP155,"3")+COUNTIF(AP136:AP155,"4")+COUNTIF(AP136:AP155,"5")+COUNTIF(AP136:AP155,"6")+COUNTIF(AP136:AP155,"7")+COUNTIF(AP136:AP155,"8")+COUNTIF(AP136:AP155,"9")+COUNTIF(AP136:AP155,"10")+COUNTIF(AP136:AP155,"11")+COUNTIF(AP136:AP155,"12")+COUNTIF(AP136:AP155,"13")+COUNTIF(AP136:AP155,"14")+COUNTIF(AP136:AP155,"15")+COUNTIF(AP136:AP155,"16")+COUNTIF(AP136:AP155,"17")+COUNTIF(AP136:AP155,"18")+COUNTIF(AP136:AP155,"19")+COUNTIF(AP136:AP155,"20"),"")</f>
        <v/>
      </c>
      <c r="AQ156" s="32" t="str">
        <f t="shared" si="14"/>
        <v/>
      </c>
      <c r="AR156" s="111" t="str">
        <f>IF(AR140&lt;&gt;"",IF(C136=AR140,G138,IF(C138=AR140,G138,IF(C144=AR140,G146,IF(C146=AR140,G146,IF(C166=AR140,G168,IF(C168=AR140,G168,IF(C174=AR140,G176,IF(C176=AR140,G176,IF(C152=AR140,G154,IF(C154=AR140,G154,IF(C160=AR140,G162,IF(C162=AR140,G162,IF(C182=AR140,G184,IF(C184=AR140,G184,IF(C190=AR140,G192,IF(C192=AR140,G192,IF(AK136=AR140,AI138,IF(AK138=AR140,AI138,IF(AK144=AR140,AI146,IF(AK146=AR140,AI146,IF(AK166=AR140,AI168,IF(AK168=AR140,AI168,IF(AK174=AR140,AI176,IF(AK176=AR140,AI176,IF(AK152=AR140,AI154,IF(AK154=AR140,AI154,IF(AK160=AR140,AI162,IF(AK162=AR140,AI162,IF(AK182=AR140,AI184,IF(AK184=AR140,AI184,IF(AK190=AR140,AI192,IF(AK192=AR140,AI192)))))))))))))))))))))))))))))))),"")</f>
        <v/>
      </c>
      <c r="AS156" s="33" t="str">
        <f>IFERROR(IF(AR156="","",VLOOKUP(AR156,LISTAS!$F$5:$G$1004,2,0)),"0")</f>
        <v/>
      </c>
      <c r="AT156" s="33">
        <v>25</v>
      </c>
      <c r="AU156" s="33" t="str">
        <f t="shared" si="16"/>
        <v/>
      </c>
    </row>
    <row r="157" spans="2:47" ht="18" customHeight="1" thickBot="1" x14ac:dyDescent="0.3">
      <c r="B157" s="133"/>
      <c r="C157" s="188"/>
      <c r="D157" s="29"/>
      <c r="E157" s="29"/>
      <c r="F157" s="34"/>
      <c r="G157" s="172" t="str">
        <f>IFERROR(IF(G156="","",VLOOKUP(G156,LISTAS!$F$5:$G$1004,2,0)),"0")</f>
        <v>COLÉGIO SÃO MAURO</v>
      </c>
      <c r="H157" s="267"/>
      <c r="I157" s="105"/>
      <c r="J157" s="101"/>
      <c r="K157" s="190"/>
      <c r="L157" s="101"/>
      <c r="M157" s="93"/>
      <c r="N157" s="29"/>
      <c r="O157" s="188"/>
      <c r="P157" s="29"/>
      <c r="Q157" s="37"/>
      <c r="R157" s="198"/>
      <c r="S157" s="37"/>
      <c r="T157" s="37"/>
      <c r="U157" s="37"/>
      <c r="V157" s="198"/>
      <c r="W157" s="37"/>
      <c r="X157" s="86"/>
      <c r="Y157" s="198"/>
      <c r="Z157" s="94"/>
      <c r="AA157" s="37"/>
      <c r="AB157" s="29"/>
      <c r="AC157" s="198"/>
      <c r="AD157" s="37"/>
      <c r="AE157" s="140"/>
      <c r="AF157" s="267"/>
      <c r="AG157" s="172" t="str">
        <f>IFERROR(IF(AG156="","",VLOOKUP(AG156,LISTAS!$F$5:$G$1004,2,0)),"0")</f>
        <v/>
      </c>
      <c r="AH157" s="94"/>
      <c r="AI157" s="37"/>
      <c r="AJ157" s="29"/>
      <c r="AK157" s="188"/>
      <c r="AL157" s="29"/>
      <c r="AP157" s="31">
        <f>IF(AR157&lt;&gt;"",1+COUNTIF(AP136:AP156,"1")+COUNTIF(AP136:AP156,"2")+COUNTIF(AP136:AP156,"3")+COUNTIF(AP136:AP156,"4")+COUNTIF(AP136:AP156,"5")+COUNTIF(AP136:AP156,"6")+COUNTIF(AP136:AP156,"7")+COUNTIF(AP136:AP156,"8")+COUNTIF(AP136:AP156,"9")+COUNTIF(AP136:AP156,"10")+COUNTIF(AP136:AP156,"11")+COUNTIF(AP136:AP156,"12")+COUNTIF(AP136:AP156,"13")+COUNTIF(AP136:AP156,"14")+COUNTIF(AP136:AP156,"15")+COUNTIF(AP136:AP156,"16")+COUNTIF(AP136:AP156,"17")+COUNTIF(AP136:AP156,"18")+COUNTIF(AP136:AP156,"19")+COUNTIF(AP136:AP156,"20")+COUNTIF(AP136:AP156,"21"),"")</f>
        <v>20</v>
      </c>
      <c r="AQ157" s="32" t="str">
        <f t="shared" si="14"/>
        <v>LUGAR</v>
      </c>
      <c r="AR157" s="111" t="str">
        <f>IF(AR141&lt;&gt;"",IF(C136=AR141,G138,IF(C138=AR141,G138,IF(C144=AR141,G146,IF(C146=AR141,G146,IF(C166=AR141,G168,IF(C168=AR141,G168,IF(C174=AR141,G176,IF(C176=AR141,G176,IF(C152=AR141,G154,IF(C154=AR141,G154,IF(C160=AR141,G162,IF(C162=AR141,G162,IF(C182=AR141,G184,IF(C184=AR141,G184,IF(C190=AR141,G192,IF(C192=AR141,G192,IF(AK136=AR141,AI138,IF(AK138=AR141,AI138,IF(AK144=AR141,AI146,IF(AK146=AR141,AI146,IF(AK166=AR141,AI168,IF(AK168=AR141,AI168,IF(AK174=AR141,AI176,IF(AK176=AR141,AI176,IF(AK152=AR141,AI154,IF(AK154=AR141,AI154,IF(AK160=AR141,AI162,IF(AK162=AR141,AI162,IF(AK182=AR141,AI184,IF(AK184=AR141,AI184,IF(AK190=AR141,AI192,IF(AK192=AR141,AI192)))))))))))))))))))))))))))))))),"")</f>
        <v>DIEGO SANTOS SPINELLI</v>
      </c>
      <c r="AS157" s="33" t="str">
        <f>IFERROR(IF(AR157="","",VLOOKUP(AR157,LISTAS!$F$5:$G$1004,2,0)),"0")</f>
        <v>ABACO IPIRANGA</v>
      </c>
      <c r="AT157" s="33">
        <v>25</v>
      </c>
      <c r="AU157" s="33" t="str">
        <f t="shared" si="16"/>
        <v/>
      </c>
    </row>
    <row r="158" spans="2:47" ht="18" customHeight="1" x14ac:dyDescent="0.25">
      <c r="B158" s="133"/>
      <c r="C158" s="188"/>
      <c r="D158" s="29"/>
      <c r="E158" s="35"/>
      <c r="F158" s="36"/>
      <c r="G158" s="171" t="str">
        <f>IF(D160&lt;&gt;"",IF(D162&lt;&gt;"",IF(D160=D162,"",IF(D160&gt;D162,C160,C162)),""),"")</f>
        <v>MIGUEL G. DE OLIVEIRA CORONATE</v>
      </c>
      <c r="H158" s="266">
        <v>0</v>
      </c>
      <c r="I158" s="106">
        <f>IF(H158&lt;&gt;"",H158,"")</f>
        <v>0</v>
      </c>
      <c r="J158" s="101" t="str">
        <f>IF(H158&lt;&gt;"",IF(G158="","",G158),"")</f>
        <v>MIGUEL G. DE OLIVEIRA CORONATE</v>
      </c>
      <c r="K158" s="190" t="str">
        <f>VLOOKUP(K156,I156:J158,2,0)</f>
        <v>MIGUEL G. DE OLIVEIRA CORONATE</v>
      </c>
      <c r="L158" s="101"/>
      <c r="M158" s="93"/>
      <c r="N158" s="29"/>
      <c r="O158" s="188"/>
      <c r="P158" s="29"/>
      <c r="Q158" s="37"/>
      <c r="R158" s="198"/>
      <c r="S158" s="37"/>
      <c r="T158" s="37"/>
      <c r="U158" s="37"/>
      <c r="V158" s="198"/>
      <c r="W158" s="37"/>
      <c r="X158" s="86"/>
      <c r="Y158" s="198"/>
      <c r="Z158" s="94"/>
      <c r="AA158" s="37"/>
      <c r="AB158" s="29"/>
      <c r="AC158" s="198"/>
      <c r="AD158" s="37"/>
      <c r="AE158" s="91"/>
      <c r="AF158" s="266">
        <v>1</v>
      </c>
      <c r="AG158" s="171" t="str">
        <f>IF(AJ160&lt;&gt;"",IF(AJ162&lt;&gt;"",IF(AJ160=AJ162,"",IF(AJ160&gt;AJ162,AK160,AK162)),""),"")</f>
        <v>Dante de Oliveira</v>
      </c>
      <c r="AH158" s="98"/>
      <c r="AI158" s="37"/>
      <c r="AJ158" s="29"/>
      <c r="AK158" s="188"/>
      <c r="AL158" s="29"/>
      <c r="AP158" s="31">
        <f>IF(AR158&lt;&gt;"",1+COUNTIF(AP136:AP157,"1")+COUNTIF(AP136:AP157,"2")+COUNTIF(AP136:AP157,"3")+COUNTIF(AP136:AP157,"4")+COUNTIF(AP136:AP157,"5")+COUNTIF(AP136:AP157,"6")+COUNTIF(AP136:AP157,"7")+COUNTIF(AP136:AP157,"8")+COUNTIF(AP136:AP157,"9")+COUNTIF(AP136:AP157,"10")+COUNTIF(AP136:AP157,"11")+COUNTIF(AP136:AP157,"12")+COUNTIF(AP136:AP157,"13")+COUNTIF(AP136:AP157,"14")+COUNTIF(AP136:AP157,"15")+COUNTIF(AP136:AP157,"16")+COUNTIF(AP136:AP157,"17")+COUNTIF(AP136:AP157,"18")+COUNTIF(AP136:AP157,"19")+COUNTIF(AP136:AP157,"20")+COUNTIF(AP136:AP157,"21")+COUNTIF(AP136:AP157,"22"),"")</f>
        <v>21</v>
      </c>
      <c r="AQ158" s="32" t="str">
        <f t="shared" si="14"/>
        <v>LUGAR</v>
      </c>
      <c r="AR158" s="111" t="str">
        <f>IF(AR142&lt;&gt;"",IF(C136=AR142,G138,IF(C138=AR142,G138,IF(C144=AR142,G146,IF(C146=AR142,G146,IF(C166=AR142,G168,IF(C168=AR142,G168,IF(C174=AR142,G176,IF(C176=AR142,G176,IF(C152=AR142,G154,IF(C154=AR142,G154,IF(C160=AR142,G162,IF(C162=AR142,G162,IF(C182=AR142,G184,IF(C184=AR142,G184,IF(C190=AR142,G192,IF(C192=AR142,G192,IF(AK136=AR142,AI138,IF(AK138=AR142,AI138,IF(AK144=AR142,AI146,IF(AK146=AR142,AI146,IF(AK166=AR142,AI168,IF(AK168=AR142,AI168,IF(AK174=AR142,AI176,IF(AK176=AR142,AI176,IF(AK152=AR142,AI154,IF(AK154=AR142,AI154,IF(AK160=AR142,AI162,IF(AK162=AR142,AI162,IF(AK182=AR142,AI184,IF(AK184=AR142,AI184,IF(AK190=AR142,AI192,IF(AK192=AR142,AI192)))))))))))))))))))))))))))))))),"")</f>
        <v>MARCO ANTÔNIO DE BARROS HAYAKAWA</v>
      </c>
      <c r="AS158" s="33" t="str">
        <f>IFERROR(IF(AR158="","",VLOOKUP(AR158,LISTAS!$F$5:$G$1004,2,0)),"0")</f>
        <v>ABACO IPIRANGA</v>
      </c>
      <c r="AT158" s="33">
        <v>25</v>
      </c>
      <c r="AU158" s="33" t="str">
        <f t="shared" si="16"/>
        <v/>
      </c>
    </row>
    <row r="159" spans="2:47" ht="18" customHeight="1" thickBot="1" x14ac:dyDescent="0.3">
      <c r="B159" s="133"/>
      <c r="C159" s="188"/>
      <c r="D159" s="29"/>
      <c r="E159" s="35"/>
      <c r="F159" s="29"/>
      <c r="G159" s="172" t="str">
        <f>IFERROR(IF(G158="","",VLOOKUP(G158,LISTAS!$F$5:$G$1004,2,0)),"0")</f>
        <v>ABACO IPIRANGA</v>
      </c>
      <c r="H159" s="267"/>
      <c r="I159" s="101"/>
      <c r="J159" s="101"/>
      <c r="K159" s="190"/>
      <c r="L159" s="101"/>
      <c r="M159" s="93"/>
      <c r="N159" s="29"/>
      <c r="O159" s="188"/>
      <c r="P159" s="29"/>
      <c r="Q159" s="37"/>
      <c r="R159" s="198"/>
      <c r="S159" s="37"/>
      <c r="T159" s="37"/>
      <c r="U159" s="37"/>
      <c r="V159" s="198"/>
      <c r="W159" s="37"/>
      <c r="X159" s="86"/>
      <c r="Y159" s="198"/>
      <c r="Z159" s="94"/>
      <c r="AA159" s="37"/>
      <c r="AB159" s="29"/>
      <c r="AC159" s="198"/>
      <c r="AD159" s="37"/>
      <c r="AE159" s="37"/>
      <c r="AF159" s="267"/>
      <c r="AG159" s="172" t="str">
        <f>IFERROR(IF(AG158="","",VLOOKUP(AG158,LISTAS!$F$5:$G$1004,2,0)),"0")</f>
        <v>ESCOLA INTERAÇÃO</v>
      </c>
      <c r="AH159" s="37"/>
      <c r="AI159" s="89"/>
      <c r="AJ159" s="29"/>
      <c r="AK159" s="188"/>
      <c r="AL159" s="29"/>
      <c r="AP159" s="31">
        <f>IF(AR159&lt;&gt;"",1+COUNTIF(AP136:AP158,"1")+COUNTIF(AP136:AP158,"2")+COUNTIF(AP136:AP158,"3")+COUNTIF(AP136:AP158,"4")+COUNTIF(AP136:AP158,"5")+COUNTIF(AP136:AP158,"6")+COUNTIF(AP136:AP158,"7")+COUNTIF(AP136:AP158,"8")+COUNTIF(AP136:AP158,"9")+COUNTIF(AP136:AP158,"10")+COUNTIF(AP136:AP158,"11")+COUNTIF(AP136:AP158,"12")+COUNTIF(AP136:AP158,"13")+COUNTIF(AP136:AP158,"14")+COUNTIF(AP136:AP158,"15")+COUNTIF(AP136:AP158,"16")+COUNTIF(AP136:AP158,"17")+COUNTIF(AP136:AP158,"18")+COUNTIF(AP136:AP158,"19")+COUNTIF(AP136:AP158,"20")+COUNTIF(AP136:AP158,"21")+COUNTIF(AP136:AP158,"22")+COUNTIF(AP136:AP158,"23"),"")</f>
        <v>22</v>
      </c>
      <c r="AQ159" s="32" t="str">
        <f t="shared" si="14"/>
        <v>LUGAR</v>
      </c>
      <c r="AR159" s="111" t="str">
        <f>IF(AR143&lt;&gt;"",IF(C136=AR143,G138,IF(C138=AR143,G138,IF(C144=AR143,G146,IF(C146=AR143,G146,IF(C166=AR143,G168,IF(C168=AR143,G168,IF(C174=AR143,G176,IF(C176=AR143,G176,IF(C152=AR143,G154,IF(C154=AR143,G154,IF(C160=AR143,G162,IF(C162=AR143,G162,IF(C182=AR143,G184,IF(C184=AR143,G184,IF(C190=AR143,G192,IF(C192=AR143,G192,IF(AK136=AR143,AI138,IF(AK138=AR143,AI138,IF(AK144=AR143,AI146,IF(AK146=AR143,AI146,IF(AK166=AR143,AI168,IF(AK168=AR143,AI168,IF(AK174=AR143,AI176,IF(AK176=AR143,AI176,IF(AK152=AR143,AI154,IF(AK154=AR143,AI154,IF(AK160=AR143,AI162,IF(AK162=AR143,AI162,IF(AK182=AR143,AI184,IF(AK184=AR143,AI184,IF(AK190=AR143,AI192,IF(AK192=AR143,AI192)))))))))))))))))))))))))))))))),"")</f>
        <v>DIEGO SANTOS SPINELLI</v>
      </c>
      <c r="AS159" s="33" t="str">
        <f>IFERROR(IF(AR159="","",VLOOKUP(AR159,LISTAS!$F$5:$G$1004,2,0)),"0")</f>
        <v>ABACO IPIRANGA</v>
      </c>
      <c r="AT159" s="33">
        <v>25</v>
      </c>
      <c r="AU159" s="33" t="str">
        <f t="shared" si="16"/>
        <v/>
      </c>
    </row>
    <row r="160" spans="2:47" ht="18" customHeight="1" x14ac:dyDescent="0.25">
      <c r="B160" s="133">
        <v>25</v>
      </c>
      <c r="C160" s="171" t="str">
        <f>IF('13M GRP'!G5&gt;=3,'13M GRP'!J335,IF('13M GRP'!G5=2,"",IF('13M GRP'!G5=1,"","")))</f>
        <v>MIGUEL G. DE OLIVEIRA CORONATE</v>
      </c>
      <c r="D160" s="266">
        <v>1</v>
      </c>
      <c r="E160" s="148">
        <f>IF(D160&lt;&gt;"",D160,"")</f>
        <v>1</v>
      </c>
      <c r="F160" s="101" t="str">
        <f>IF(D160&lt;&gt;"",IF(C160="","",C160),"")</f>
        <v>MIGUEL G. DE OLIVEIRA CORONATE</v>
      </c>
      <c r="G160" s="190">
        <f>IF(E160&lt;&gt;"",IF(E162&lt;&gt;"",SMALL(E160:E162,1),""),"")</f>
        <v>0</v>
      </c>
      <c r="H160" s="101"/>
      <c r="I160" s="101"/>
      <c r="J160" s="101"/>
      <c r="K160" s="190"/>
      <c r="L160" s="101"/>
      <c r="M160" s="93"/>
      <c r="N160" s="29"/>
      <c r="O160" s="188"/>
      <c r="P160" s="29"/>
      <c r="Q160" s="37"/>
      <c r="R160" s="198"/>
      <c r="S160" s="37"/>
      <c r="T160" s="37"/>
      <c r="U160" s="37"/>
      <c r="V160" s="198"/>
      <c r="W160" s="37"/>
      <c r="X160" s="86"/>
      <c r="Y160" s="198"/>
      <c r="Z160" s="94"/>
      <c r="AA160" s="37"/>
      <c r="AB160" s="29"/>
      <c r="AC160" s="198"/>
      <c r="AD160" s="37"/>
      <c r="AE160" s="100"/>
      <c r="AF160" s="100"/>
      <c r="AG160" s="197">
        <f>IF(AJ160&lt;&gt;"",AJ160,"")</f>
        <v>1</v>
      </c>
      <c r="AH160" s="100" t="str">
        <f>IF(AJ160&lt;&gt;"",IF(AK160="","",AK160),"")</f>
        <v>Dante de Oliveira</v>
      </c>
      <c r="AI160" s="137">
        <f>IF(AG160&lt;&gt;"",IF(AG162&lt;&gt;"",SMALL(AG160:AG162,1),""),"")</f>
        <v>0</v>
      </c>
      <c r="AJ160" s="270">
        <v>1</v>
      </c>
      <c r="AK160" s="201" t="str">
        <f>IF('13M GRP'!G5&gt;=3,'13M GRP'!J361,IF('13M GRP'!G5=2,"",IF('13M GRP'!G5=1,"","")))</f>
        <v>Dante de Oliveira</v>
      </c>
      <c r="AL160" s="29">
        <v>27</v>
      </c>
      <c r="AP160" s="31">
        <f>IF(AR160&lt;&gt;"",1+COUNTIF(AP136:AP159,"1")+COUNTIF(AP136:AP159,"2")+COUNTIF(AP136:AP159,"3")+COUNTIF(AP136:AP159,"4")+COUNTIF(AP136:AP159,"5")+COUNTIF(AP136:AP159,"6")+COUNTIF(AP136:AP159,"7")+COUNTIF(AP136:AP159,"8")+COUNTIF(AP136:AP159,"9")+COUNTIF(AP136:AP159,"10")+COUNTIF(AP136:AP159,"11")+COUNTIF(AP136:AP159,"12")+COUNTIF(AP136:AP159,"13")+COUNTIF(AP136:AP159,"14")+COUNTIF(AP136:AP159,"15")+COUNTIF(AP136:AP159,"16")+COUNTIF(AP136:AP159,"17")+COUNTIF(AP136:AP159,"18")+COUNTIF(AP136:AP159,"19")+COUNTIF(AP136:AP159,"20")+COUNTIF(AP136:AP159,"21")+COUNTIF(AP136:AP159,"22")+COUNTIF(AP136:AP159,"23")+COUNTIF(AP136:AP159,"24"),"")</f>
        <v>23</v>
      </c>
      <c r="AQ160" s="32" t="str">
        <f t="shared" si="14"/>
        <v>LUGAR</v>
      </c>
      <c r="AR160" s="111" t="str">
        <f>IF(AR144&lt;&gt;"",IF(C136=AR144,G138,IF(C138=AR144,G138,IF(C144=AR144,G146,IF(C146=AR144,G146,IF(C166=AR144,G168,IF(C168=AR144,G168,IF(C174=AR144,G176,IF(C176=AR144,G176,IF(C152=AR144,G154,IF(C154=AR144,G154,IF(C160=AR144,G162,IF(C162=AR144,G162,IF(C182=AR144,G184,IF(C184=AR144,G184,IF(C190=AR144,G192,IF(C192=AR144,G192,IF(AK136=AR144,AI138,IF(AK138=AR144,AI138,IF(AK144=AR144,AI146,IF(AK146=AR144,AI146,IF(AK166=AR144,AI168,IF(AK168=AR144,AI168,IF(AK174=AR144,AI176,IF(AK176=AR144,AI176,IF(AK152=AR144,AI154,IF(AK154=AR144,AI154,IF(AK160=AR144,AI162,IF(AK162=AR144,AI162,IF(AK182=AR144,AI184,IF(AK184=AR144,AI184,IF(AK190=AR144,AI192,IF(AK192=AR144,AI192)))))))))))))))))))))))))))))))),"")</f>
        <v>DIOGO VIEIRA CHAVES</v>
      </c>
      <c r="AS160" s="33" t="str">
        <f>IFERROR(IF(AR160="","",VLOOKUP(AR160,LISTAS!$F$5:$G$1004,2,0)),"0")</f>
        <v>COLEGIO PETROPOLIS</v>
      </c>
      <c r="AT160" s="33">
        <v>25</v>
      </c>
      <c r="AU160" s="33" t="str">
        <f t="shared" si="16"/>
        <v/>
      </c>
    </row>
    <row r="161" spans="2:47" ht="18" customHeight="1" thickBot="1" x14ac:dyDescent="0.3">
      <c r="B161" s="133"/>
      <c r="C161" s="172" t="str">
        <f>IFERROR(IF(C160="","",VLOOKUP(C160,LISTAS!$F$5:$G$1004,2,0)),"0")</f>
        <v>ABACO IPIRANGA</v>
      </c>
      <c r="D161" s="267"/>
      <c r="E161" s="105"/>
      <c r="F161" s="101"/>
      <c r="G161" s="190"/>
      <c r="H161" s="101"/>
      <c r="I161" s="101"/>
      <c r="J161" s="101"/>
      <c r="K161" s="190"/>
      <c r="L161" s="101"/>
      <c r="M161" s="35"/>
      <c r="N161" s="29"/>
      <c r="O161" s="188"/>
      <c r="P161" s="29"/>
      <c r="Q161" s="37"/>
      <c r="R161" s="198"/>
      <c r="S161" s="37"/>
      <c r="T161" s="37"/>
      <c r="U161" s="37"/>
      <c r="V161" s="198"/>
      <c r="W161" s="37"/>
      <c r="X161" s="86"/>
      <c r="Y161" s="198"/>
      <c r="Z161" s="94"/>
      <c r="AA161" s="37"/>
      <c r="AB161" s="29"/>
      <c r="AC161" s="198"/>
      <c r="AD161" s="37"/>
      <c r="AE161" s="100"/>
      <c r="AF161" s="100"/>
      <c r="AG161" s="197"/>
      <c r="AH161" s="100"/>
      <c r="AI161" s="143"/>
      <c r="AJ161" s="271"/>
      <c r="AK161" s="172" t="str">
        <f>IFERROR(IF(AK160="","",VLOOKUP(AK160,LISTAS!$F$5:$G$1004,2,0)),"0")</f>
        <v>ESCOLA INTERAÇÃO</v>
      </c>
      <c r="AL161" s="29"/>
      <c r="AP161" s="31" t="str">
        <f>IF(AR161&lt;&gt;"",1+COUNTIF(AP136:AP160,"1")+COUNTIF(AP136:AP160,"2")+COUNTIF(AP136:AP160,"3")+COUNTIF(AP136:AP160,"4")+COUNTIF(AP136:AP160,"5")+COUNTIF(AP136:AP160,"6")+COUNTIF(AP136:AP160,"7")+COUNTIF(AP136:AP160,"8")+COUNTIF(AP136:AP160,"9")+COUNTIF(AP136:AP160,"10")+COUNTIF(AP136:AP160,"11")+COUNTIF(AP136:AP160,"12")+COUNTIF(AP136:AP160,"13")+COUNTIF(AP136:AP160,"14")+COUNTIF(AP136:AP160,"15")+COUNTIF(AP136:AP160,"16")+COUNTIF(AP136:AP160,"17")+COUNTIF(AP136:AP160,"18")+COUNTIF(AP136:AP160,"19")+COUNTIF(AP136:AP160,"20")+COUNTIF(AP136:AP160,"21")+COUNTIF(AP136:AP160,"22")+COUNTIF(AP136:AP160,"23")+COUNTIF(AP136:AP160,"24")+COUNTIF(AP136:AP160,"25"),"")</f>
        <v/>
      </c>
      <c r="AQ161" s="32" t="str">
        <f t="shared" si="14"/>
        <v/>
      </c>
      <c r="AR161" s="111" t="str">
        <f>IF(AR145&lt;&gt;"",IF(C136=AR145,G138,IF(C138=AR145,G138,IF(C144=AR145,G146,IF(C146=AR145,G146,IF(C166=AR145,G168,IF(C168=AR145,G168,IF(C174=AR145,G176,IF(C176=AR145,G176,IF(C152=AR145,G154,IF(C154=AR145,G154,IF(C160=AR145,G162,IF(C162=AR145,G162,IF(C182=AR145,G184,IF(C184=AR145,G184,IF(C190=AR145,G192,IF(C192=AR145,G192,IF(AK136=AR145,AI138,IF(AK138=AR145,AI138,IF(AK144=AR145,AI146,IF(AK146=AR145,AI146,IF(AK166=AR145,AI168,IF(AK168=AR145,AI168,IF(AK174=AR145,AI176,IF(AK176=AR145,AI176,IF(AK152=AR145,AI154,IF(AK154=AR145,AI154,IF(AK160=AR145,AI162,IF(AK162=AR145,AI162,IF(AK182=AR145,AI184,IF(AK184=AR145,AI184,IF(AK190=AR145,AI192,IF(AK192=AR145,AI192)))))))))))))))))))))))))))))))),"")</f>
        <v/>
      </c>
      <c r="AS161" s="33" t="str">
        <f>IFERROR(IF(AR161="","",VLOOKUP(AR161,LISTAS!$F$5:$G$1004,2,0)),"0")</f>
        <v/>
      </c>
      <c r="AT161" s="33">
        <v>25</v>
      </c>
      <c r="AU161" s="33" t="str">
        <f t="shared" si="16"/>
        <v/>
      </c>
    </row>
    <row r="162" spans="2:47" ht="18" customHeight="1" thickBot="1" x14ac:dyDescent="0.3">
      <c r="B162" s="133">
        <v>8</v>
      </c>
      <c r="C162" s="171"/>
      <c r="D162" s="266">
        <v>0</v>
      </c>
      <c r="E162" s="106">
        <f>IF(D162&lt;&gt;"",D162,"")</f>
        <v>0</v>
      </c>
      <c r="F162" s="101" t="str">
        <f>IF(D162&lt;&gt;"",IF(C162="","",C162),"")</f>
        <v/>
      </c>
      <c r="G162" s="190" t="str">
        <f>VLOOKUP(G160,E160:F162,2,0)</f>
        <v/>
      </c>
      <c r="H162" s="101"/>
      <c r="I162" s="29"/>
      <c r="J162" s="29"/>
      <c r="K162" s="188"/>
      <c r="L162" s="29"/>
      <c r="M162" s="35"/>
      <c r="N162" s="29"/>
      <c r="O162" s="188"/>
      <c r="P162" s="29"/>
      <c r="Q162" s="37"/>
      <c r="R162" s="268" t="s">
        <v>37</v>
      </c>
      <c r="S162" s="268"/>
      <c r="T162" s="268"/>
      <c r="U162" s="268"/>
      <c r="V162" s="268"/>
      <c r="W162" s="37"/>
      <c r="X162" s="86"/>
      <c r="Y162" s="198"/>
      <c r="Z162" s="94"/>
      <c r="AA162" s="37"/>
      <c r="AB162" s="29"/>
      <c r="AC162" s="198"/>
      <c r="AD162" s="37"/>
      <c r="AE162" s="100"/>
      <c r="AF162" s="100"/>
      <c r="AG162" s="197">
        <f>IF(AJ162&lt;&gt;"",AJ162,"")</f>
        <v>0</v>
      </c>
      <c r="AH162" s="100" t="str">
        <f>IF(AJ162&lt;&gt;"",IF(AK162="","",AK162),"")</f>
        <v>ARTHUR REIS</v>
      </c>
      <c r="AI162" s="145" t="str">
        <f>VLOOKUP(AI160,AG160:AH162,2,0)</f>
        <v>ARTHUR REIS</v>
      </c>
      <c r="AJ162" s="266">
        <v>0</v>
      </c>
      <c r="AK162" s="171" t="str">
        <f>IF('13M GRP'!G5&gt;=3,'13M GRP'!J88,IF('13M GRP'!G5=2,"",IF('13M GRP'!G5=1,"","")))</f>
        <v>ARTHUR REIS</v>
      </c>
      <c r="AL162" s="29">
        <v>6</v>
      </c>
      <c r="AP162" s="31" t="str">
        <f>IF(AR162&lt;&gt;"",1+COUNTIF(AP136:AP161,"1")+COUNTIF(AP136:AP161,"2")+COUNTIF(AP136:AP161,"3")+COUNTIF(AP136:AP161,"4")+COUNTIF(AP136:AP161,"5")+COUNTIF(AP136:AP161,"6")+COUNTIF(AP136:AP161,"7")+COUNTIF(AP136:AP161,"8")+COUNTIF(AP136:AP161,"9")+COUNTIF(AP136:AP161,"10")+COUNTIF(AP136:AP161,"11")+COUNTIF(AP136:AP161,"12")+COUNTIF(AP136:AP161,"13")+COUNTIF(AP136:AP161,"14")+COUNTIF(AP136:AP161,"15")+COUNTIF(AP136:AP161,"16")+COUNTIF(AP136:AP161,"17")+COUNTIF(AP136:AP161,"18")+COUNTIF(AP136:AP161,"19")+COUNTIF(AP136:AP161,"20")+COUNTIF(AP136:AP161,"21")+COUNTIF(AP136:AP161,"22")+COUNTIF(AP136:AP161,"23")+COUNTIF(AP136:AP161,"24")+COUNTIF(AP136:AP161,"25")+COUNTIF(AP136:AP161,"26"),"")</f>
        <v/>
      </c>
      <c r="AQ162" s="32" t="str">
        <f t="shared" si="14"/>
        <v/>
      </c>
      <c r="AR162" s="111" t="str">
        <f>IF(AR146&lt;&gt;"",IF(C136=AR146,G138,IF(C138=AR146,G138,IF(C144=AR146,G146,IF(C146=AR146,G146,IF(C166=AR146,G168,IF(C168=AR146,G168,IF(C174=AR146,G176,IF(C176=AR146,G176,IF(C152=AR146,G154,IF(C154=AR146,G154,IF(C160=AR146,G162,IF(C162=AR146,G162,IF(C182=AR146,G184,IF(C184=AR146,G184,IF(C190=AR146,G192,IF(C192=AR146,G192,IF(AK136=AR146,AI138,IF(AK138=AR146,AI138,IF(AK144=AR146,AI146,IF(AK146=AR146,AI146,IF(AK166=AR146,AI168,IF(AK168=AR146,AI168,IF(AK174=AR146,AI176,IF(AK176=AR146,AI176,IF(AK152=AR146,AI154,IF(AK154=AR146,AI154,IF(AK160=AR146,AI162,IF(AK162=AR146,AI162,IF(AK182=AR146,AI184,IF(AK184=AR146,AI184,IF(AK190=AR146,AI192,IF(AK192=AR146,AI192)))))))))))))))))))))))))))))))),"")</f>
        <v/>
      </c>
      <c r="AS162" s="33" t="str">
        <f>IFERROR(IF(AR162="","",VLOOKUP(AR162,LISTAS!$F$5:$G$1004,2,0)),"0")</f>
        <v/>
      </c>
      <c r="AT162" s="33">
        <v>25</v>
      </c>
      <c r="AU162" s="33" t="str">
        <f t="shared" si="16"/>
        <v/>
      </c>
    </row>
    <row r="163" spans="2:47" ht="18" customHeight="1" thickBot="1" x14ac:dyDescent="0.3">
      <c r="B163" s="133"/>
      <c r="C163" s="172" t="str">
        <f>IFERROR(IF(C162="","",VLOOKUP(C162,LISTAS!$F$5:$G$1004,2,0)),"0")</f>
        <v/>
      </c>
      <c r="D163" s="267"/>
      <c r="E163" s="101"/>
      <c r="F163" s="101"/>
      <c r="G163" s="190"/>
      <c r="H163" s="101"/>
      <c r="I163" s="29"/>
      <c r="J163" s="29"/>
      <c r="K163" s="188"/>
      <c r="L163" s="29"/>
      <c r="M163" s="35"/>
      <c r="N163" s="29"/>
      <c r="O163" s="171" t="str">
        <f>IF(L148&lt;&gt;"",IF(L150&lt;&gt;"",IF(L148=L150,"",IF(L148&gt;L150,K148,K150)),""),"")</f>
        <v>RENATO BARROS DE COSTA GARCIA</v>
      </c>
      <c r="P163" s="266">
        <v>0</v>
      </c>
      <c r="Q163" s="37"/>
      <c r="R163" s="189"/>
      <c r="S163" s="84"/>
      <c r="T163" s="84"/>
      <c r="U163" s="84"/>
      <c r="V163" s="189"/>
      <c r="W163" s="37"/>
      <c r="X163" s="266">
        <v>0</v>
      </c>
      <c r="Y163" s="171" t="str">
        <f>IF(AB148&lt;&gt;"",IF(AB150&lt;&gt;"",IF(AB148=AB150,"",IF(AB148&gt;AB150,AC148,AC150)),""),"")</f>
        <v>Dante de Oliveira</v>
      </c>
      <c r="Z163" s="94"/>
      <c r="AA163" s="37"/>
      <c r="AB163" s="29"/>
      <c r="AC163" s="198"/>
      <c r="AD163" s="37"/>
      <c r="AE163" s="100"/>
      <c r="AF163" s="100"/>
      <c r="AG163" s="197"/>
      <c r="AH163" s="100"/>
      <c r="AI163" s="101"/>
      <c r="AJ163" s="267"/>
      <c r="AK163" s="172" t="str">
        <f>IFERROR(IF(AK162="","",VLOOKUP(AK162,LISTAS!$F$5:$G$1004,2,0)),"0")</f>
        <v>ESCOLA STAGIUM</v>
      </c>
      <c r="AL163" s="29"/>
      <c r="AP163" s="31" t="str">
        <f>IF(AR163&lt;&gt;"",1+COUNTIF(AP136:AP162,"1")+COUNTIF(AP136:AP162,"2")+COUNTIF(AP136:AP162,"3")+COUNTIF(AP136:AP162,"4")+COUNTIF(AP136:AP162,"5")+COUNTIF(AP136:AP162,"6")+COUNTIF(AP136:AP162,"7")+COUNTIF(AP136:AP162,"8")+COUNTIF(AP136:AP162,"9")+COUNTIF(AP136:AP162,"10")+COUNTIF(AP136:AP162,"11")+COUNTIF(AP136:AP162,"12")+COUNTIF(AP136:AP162,"13")+COUNTIF(AP136:AP162,"14")+COUNTIF(AP136:AP162,"15")+COUNTIF(AP136:AP162,"16")+COUNTIF(AP136:AP162,"17")+COUNTIF(AP136:AP162,"18")+COUNTIF(AP136:AP162,"19")+COUNTIF(AP136:AP162,"20")+COUNTIF(AP136:AP162,"21")+COUNTIF(AP136:AP162,"22")+COUNTIF(AP136:AP162,"23")+COUNTIF(AP136:AP162,"24")+COUNTIF(AP136:AP162,"25")+COUNTIF(AP136:AP162,"26")+COUNTIF(AP136:AP162,"27"),"")</f>
        <v/>
      </c>
      <c r="AQ163" s="32" t="str">
        <f t="shared" si="14"/>
        <v/>
      </c>
      <c r="AR163" s="111" t="str">
        <f>IF(AR147&lt;&gt;"",IF(C136=AR147,G138,IF(C138=AR147,G138,IF(C144=AR147,G146,IF(C146=AR147,G146,IF(C166=AR147,G168,IF(C168=AR147,G168,IF(C174=AR147,G176,IF(C176=AR147,G176,IF(C152=AR147,G154,IF(C154=AR147,G154,IF(C160=AR147,G162,IF(C162=AR147,G162,IF(C182=AR147,G184,IF(C184=AR147,G184,IF(C190=AR147,G192,IF(C192=AR147,G192,IF(AK136=AR147,AI138,IF(AK138=AR147,AI138,IF(AK144=AR147,AI146,IF(AK146=AR147,AI146,IF(AK166=AR147,AI168,IF(AK168=AR147,AI168,IF(AK174=AR147,AI176,IF(AK176=AR147,AI176,IF(AK152=AR147,AI154,IF(AK154=AR147,AI154,IF(AK160=AR147,AI162,IF(AK162=AR147,AI162,IF(AK182=AR147,AI184,IF(AK184=AR147,AI184,IF(AK190=AR147,AI192,IF(AK192=AR147,AI192)))))))))))))))))))))))))))))))),"")</f>
        <v/>
      </c>
      <c r="AS163" s="33" t="str">
        <f>IFERROR(IF(AR163="","",VLOOKUP(AR163,LISTAS!$F$5:$G$1004,2,0)),"0")</f>
        <v/>
      </c>
      <c r="AT163" s="33">
        <v>25</v>
      </c>
      <c r="AU163" s="33" t="str">
        <f t="shared" si="16"/>
        <v/>
      </c>
    </row>
    <row r="164" spans="2:47" ht="18" customHeight="1" thickBot="1" x14ac:dyDescent="0.3">
      <c r="B164" s="133"/>
      <c r="C164" s="188"/>
      <c r="D164" s="29"/>
      <c r="E164" s="29"/>
      <c r="F164" s="29"/>
      <c r="G164" s="188"/>
      <c r="H164" s="29"/>
      <c r="I164" s="29"/>
      <c r="J164" s="29"/>
      <c r="K164" s="188"/>
      <c r="L164" s="29"/>
      <c r="M164" s="35"/>
      <c r="N164" s="29"/>
      <c r="O164" s="172" t="str">
        <f>IFERROR(IF(O163="","",VLOOKUP(O163,LISTAS!$F$5:$G$1004,2,0)),"0")</f>
        <v>ESCOLA VILLARE</v>
      </c>
      <c r="P164" s="267"/>
      <c r="Q164" s="37"/>
      <c r="R164" s="171" t="str">
        <f>IF(P163&lt;&gt;"",IF(P165&lt;&gt;"",IF(P163=P165,"",IF(P163&gt;P165,O163,O165)),""),"")</f>
        <v>ARTHUR GIACOMASSI PITA</v>
      </c>
      <c r="S164" s="266">
        <v>1</v>
      </c>
      <c r="T164" s="269" t="s">
        <v>38</v>
      </c>
      <c r="U164" s="266">
        <v>0</v>
      </c>
      <c r="V164" s="171" t="str">
        <f>IF(X163&lt;&gt;"",IF(X165&lt;&gt;"",IF(X163=X165,"",IF(X163&gt;X165,Y163,Y165)),""),"")</f>
        <v>JOÃO PEDRO FERREIRA SILVA</v>
      </c>
      <c r="W164" s="141"/>
      <c r="X164" s="267"/>
      <c r="Y164" s="172" t="str">
        <f>IFERROR(IF(Y163="","",VLOOKUP(Y163,LISTAS!$F$5:$G$1004,2,0)),"0")</f>
        <v>ESCOLA INTERAÇÃO</v>
      </c>
      <c r="Z164" s="141"/>
      <c r="AA164" s="37"/>
      <c r="AB164" s="29"/>
      <c r="AC164" s="198"/>
      <c r="AD164" s="37"/>
      <c r="AE164" s="100"/>
      <c r="AF164" s="100"/>
      <c r="AG164" s="197"/>
      <c r="AH164" s="100"/>
      <c r="AI164" s="100"/>
      <c r="AJ164" s="29"/>
      <c r="AK164" s="188"/>
      <c r="AL164" s="29"/>
      <c r="AP164" s="31" t="str">
        <f>IF(AR164&lt;&gt;"",1+COUNTIF(AP136:AP163,"1")+COUNTIF(AP136:AP163,"2")+COUNTIF(AP136:AP163,"3")+COUNTIF(AP136:AP163,"4")+COUNTIF(AP136:AP163,"5")+COUNTIF(AP136:AP163,"6")+COUNTIF(AP136:AP163,"7")+COUNTIF(AP136:AP163,"8")+COUNTIF(AP136:AP163,"9")+COUNTIF(AP136:AP163,"10")+COUNTIF(AP136:AP163,"11")+COUNTIF(AP136:AP163,"12")+COUNTIF(AP136:AP163,"13")+COUNTIF(AP136:AP163,"14")+COUNTIF(AP136:AP163,"15")+COUNTIF(AP136:AP163,"16")+COUNTIF(AP136:AP163,"17")+COUNTIF(AP136:AP163,"18")+COUNTIF(AP136:AP163,"19")+COUNTIF(AP136:AP163,"20")+COUNTIF(AP136:AP163,"21")+COUNTIF(AP136:AP163,"22")+COUNTIF(AP136:AP163,"23")+COUNTIF(AP136:AP163,"24")+COUNTIF(AP136:AP163,"25")+COUNTIF(AP136:AP163,"26")+COUNTIF(AP136:AP163,"27")+COUNTIF(AP136:AP163,"28"),"")</f>
        <v/>
      </c>
      <c r="AQ164" s="32" t="str">
        <f t="shared" si="14"/>
        <v/>
      </c>
      <c r="AR164" s="111" t="str">
        <f>IF(AR148&lt;&gt;"",IF(C136=AR148,G138,IF(C138=AR148,G138,IF(C144=AR148,G146,IF(C146=AR148,G146,IF(C166=AR148,G168,IF(C168=AR148,G168,IF(C174=AR148,G176,IF(C176=AR148,G176,IF(C152=AR148,G154,IF(C154=AR148,G154,IF(C160=AR148,G162,IF(C162=AR148,G162,IF(C182=AR148,G184,IF(C184=AR148,G184,IF(C190=AR148,G192,IF(C192=AR148,G192,IF(AK136=AR148,AI138,IF(AK138=AR148,AI138,IF(AK144=AR148,AI146,IF(AK146=AR148,AI146,IF(AK166=AR148,AI168,IF(AK168=AR148,AI168,IF(AK174=AR148,AI176,IF(AK176=AR148,AI176,IF(AK152=AR148,AI154,IF(AK154=AR148,AI154,IF(AK160=AR148,AI162,IF(AK162=AR148,AI162,IF(AK182=AR148,AI184,IF(AK184=AR148,AI184,IF(AK190=AR148,AI192,IF(AK192=AR148,AI192)))))))))))))))))))))))))))))))),"")</f>
        <v/>
      </c>
      <c r="AS164" s="33" t="str">
        <f>IFERROR(IF(AR164="","",VLOOKUP(AR164,LISTAS!$F$5:$G$1004,2,0)),"0")</f>
        <v/>
      </c>
      <c r="AT164" s="33">
        <v>25</v>
      </c>
      <c r="AU164" s="33" t="str">
        <f t="shared" si="16"/>
        <v/>
      </c>
    </row>
    <row r="165" spans="2:47" ht="18" customHeight="1" thickBot="1" x14ac:dyDescent="0.3">
      <c r="B165" s="133"/>
      <c r="C165" s="188"/>
      <c r="D165" s="29"/>
      <c r="E165" s="29"/>
      <c r="F165" s="29"/>
      <c r="G165" s="188"/>
      <c r="H165" s="29"/>
      <c r="I165" s="29"/>
      <c r="J165" s="29"/>
      <c r="K165" s="188"/>
      <c r="L165" s="29"/>
      <c r="M165" s="35"/>
      <c r="N165" s="36"/>
      <c r="O165" s="171" t="str">
        <f>IF(L178&lt;&gt;"",IF(L180&lt;&gt;"",IF(L178=L180,"",IF(L178&gt;L180,K178,K180)),""),"")</f>
        <v>ARTHUR GIACOMASSI PITA</v>
      </c>
      <c r="P165" s="266">
        <v>1</v>
      </c>
      <c r="Q165" s="97"/>
      <c r="R165" s="172" t="str">
        <f>IFERROR(IF(R164="","",VLOOKUP(R164,LISTAS!$F$5:$G$1004,2,0)),"0")</f>
        <v>COLÉGIO ARBOS - UNIDADE SANTO ANDRÉ</v>
      </c>
      <c r="S165" s="267"/>
      <c r="T165" s="269"/>
      <c r="U165" s="267"/>
      <c r="V165" s="172" t="str">
        <f>IFERROR(IF(V164="","",VLOOKUP(V164,LISTAS!$F$5:$G$1004,2,0)),"0")</f>
        <v>CENTRO DE ESTUDOS JÚLIO VERNE</v>
      </c>
      <c r="W165" s="98"/>
      <c r="X165" s="266">
        <v>1</v>
      </c>
      <c r="Y165" s="171" t="str">
        <f>IF(AB178&lt;&gt;"",IF(AB180&lt;&gt;"",IF(AB178=AB180,"",IF(AB178&gt;AB180,AC178,AC180)),""),"")</f>
        <v>JOÃO PEDRO FERREIRA SILVA</v>
      </c>
      <c r="Z165" s="98"/>
      <c r="AA165" s="37"/>
      <c r="AB165" s="29"/>
      <c r="AC165" s="198"/>
      <c r="AD165" s="37"/>
      <c r="AE165" s="100"/>
      <c r="AF165" s="100"/>
      <c r="AG165" s="197"/>
      <c r="AH165" s="100"/>
      <c r="AI165" s="100"/>
      <c r="AJ165" s="29"/>
      <c r="AK165" s="188"/>
      <c r="AL165" s="29"/>
      <c r="AP165" s="31">
        <f>IF(AR165&lt;&gt;"",1+COUNTIF(AP136:AP164,"1")+COUNTIF(AP136:AP164,"2")+COUNTIF(AP136:AP164,"3")+COUNTIF(AP136:AP164,"4")+COUNTIF(AP136:AP164,"5")+COUNTIF(AP136:AP164,"6")+COUNTIF(AP136:AP164,"7")+COUNTIF(AP136:AP164,"8")+COUNTIF(AP136:AP164,"9")+COUNTIF(AP136:AP164,"10")+COUNTIF(AP136:AP164,"11")+COUNTIF(AP136:AP164,"12")+COUNTIF(AP136:AP164,"13")+COUNTIF(AP136:AP164,"14")+COUNTIF(AP136:AP164,"15")+COUNTIF(AP136:AP164,"16")+COUNTIF(AP136:AP164,"17")+COUNTIF(AP136:AP164,"18")+COUNTIF(AP136:AP164,"19")+COUNTIF(AP136:AP164,"20")+COUNTIF(AP136:AP164,"21")+COUNTIF(AP136:AP164,"22")+COUNTIF(AP136:AP164,"23")+COUNTIF(AP136:AP164,"24")+COUNTIF(AP136:AP164,"25")+COUNTIF(AP136:AP164,"26")+COUNTIF(AP136:AP164,"27")+COUNTIF(AP136:AP164,"28")+COUNTIF(AP136:AP164,"29"),"")</f>
        <v>24</v>
      </c>
      <c r="AQ165" s="32" t="str">
        <f t="shared" si="14"/>
        <v>LUGAR</v>
      </c>
      <c r="AR165" s="111" t="str">
        <f>IF(AR149&lt;&gt;"",IF(C136=AR149,G138,IF(C138=AR149,G138,IF(C144=AR149,G146,IF(C146=AR149,G146,IF(C166=AR149,G168,IF(C168=AR149,G168,IF(C174=AR149,G176,IF(C176=AR149,G176,IF(C152=AR149,G154,IF(C154=AR149,G154,IF(C160=AR149,G162,IF(C162=AR149,G162,IF(C182=AR149,G184,IF(C184=AR149,G184,IF(C190=AR149,G192,IF(C192=AR149,G192,IF(AK136=AR149,AI138,IF(AK138=AR149,AI138,IF(AK144=AR149,AI146,IF(AK146=AR149,AI146,IF(AK166=AR149,AI168,IF(AK168=AR149,AI168,IF(AK174=AR149,AI176,IF(AK176=AR149,AI176,IF(AK152=AR149,AI154,IF(AK154=AR149,AI154,IF(AK160=AR149,AI162,IF(AK162=AR149,AI162,IF(AK182=AR149,AI184,IF(AK184=AR149,AI184,IF(AK190=AR149,AI192,IF(AK192=AR149,AI192)))))))))))))))))))))))))))))))),"")</f>
        <v>JOÃO LUCA CEOLDO RUBIRA</v>
      </c>
      <c r="AS165" s="33" t="str">
        <f>IFERROR(IF(AR165="","",VLOOKUP(AR165,LISTAS!$F$5:$G$1004,2,0)),"0")</f>
        <v>LICEU JARDIM</v>
      </c>
      <c r="AT165" s="33">
        <v>25</v>
      </c>
      <c r="AU165" s="33" t="str">
        <f t="shared" si="16"/>
        <v/>
      </c>
    </row>
    <row r="166" spans="2:47" ht="18" customHeight="1" thickBot="1" x14ac:dyDescent="0.3">
      <c r="B166" s="133">
        <v>5</v>
      </c>
      <c r="C166" s="171" t="str">
        <f>IF('13M GRP'!G5&gt;=3,'13M GRP'!J75,IF('13M GRP'!G5=2,"",IF('13M GRP'!G5=1,"","")))</f>
        <v>ARTHUR GIACOMASSI PITA</v>
      </c>
      <c r="D166" s="266">
        <v>1</v>
      </c>
      <c r="E166" s="101">
        <f>IF(D166&lt;&gt;"",D166,"")</f>
        <v>1</v>
      </c>
      <c r="F166" s="101" t="str">
        <f>IF(D166&lt;&gt;"",IF(C166="","",C166),"")</f>
        <v>ARTHUR GIACOMASSI PITA</v>
      </c>
      <c r="G166" s="190">
        <f>IF(E166&lt;&gt;"",IF(E168&lt;&gt;"",SMALL(E166:E168,1),""),"")</f>
        <v>0</v>
      </c>
      <c r="H166" s="101"/>
      <c r="I166" s="101"/>
      <c r="J166" s="101"/>
      <c r="K166" s="190"/>
      <c r="L166" s="29"/>
      <c r="M166" s="35"/>
      <c r="N166" s="37"/>
      <c r="O166" s="172" t="str">
        <f>IFERROR(IF(O165="","",VLOOKUP(O165,LISTAS!$F$5:$G$1004,2,0)),"0")</f>
        <v>COLÉGIO ARBOS - UNIDADE SANTO ANDRÉ</v>
      </c>
      <c r="P166" s="267"/>
      <c r="Q166" s="85"/>
      <c r="R166" s="198"/>
      <c r="S166" s="37"/>
      <c r="T166" s="37"/>
      <c r="U166" s="37"/>
      <c r="V166" s="198"/>
      <c r="W166" s="37"/>
      <c r="X166" s="267"/>
      <c r="Y166" s="172" t="str">
        <f>IFERROR(IF(Y165="","",VLOOKUP(Y165,LISTAS!$F$5:$G$1004,2,0)),"0")</f>
        <v>CENTRO DE ESTUDOS JÚLIO VERNE</v>
      </c>
      <c r="Z166" s="94"/>
      <c r="AA166" s="37"/>
      <c r="AB166" s="29"/>
      <c r="AC166" s="198"/>
      <c r="AD166" s="37"/>
      <c r="AE166" s="100"/>
      <c r="AF166" s="100"/>
      <c r="AG166" s="197">
        <f>IF(AJ166&lt;&gt;"",AJ166,"")</f>
        <v>0</v>
      </c>
      <c r="AH166" s="100" t="str">
        <f>IF(AJ166&lt;&gt;"",IF(AK166="","",AK166),"")</f>
        <v>BENÍCIO COELHO FORTES</v>
      </c>
      <c r="AI166" s="101">
        <f>IF(AG166&lt;&gt;"",IF(AG168&lt;&gt;"",SMALL(AG166:AG168,1),""),"")</f>
        <v>0</v>
      </c>
      <c r="AJ166" s="266">
        <v>0</v>
      </c>
      <c r="AK166" s="171" t="str">
        <f>IF('13M GRP'!G5&gt;=3,'13M GRP'!J101,IF('13M GRP'!G5=2,"",IF('13M GRP'!G5=1,"","")))</f>
        <v>BENÍCIO COELHO FORTES</v>
      </c>
      <c r="AL166" s="29">
        <v>7</v>
      </c>
      <c r="AP166" s="31" t="str">
        <f>IF(AR166&lt;&gt;"",1+COUNTIF(AP136:AP165,"1")+COUNTIF(AP136:AP165,"2")+COUNTIF(AP136:AP165,"3")+COUNTIF(AP136:AP165,"4")+COUNTIF(AP136:AP165,"5")+COUNTIF(AP136:AP165,"6")+COUNTIF(AP136:AP165,"7")+COUNTIF(AP136:AP165,"8")+COUNTIF(AP136:AP165,"9")+COUNTIF(AP136:AP165,"10")+COUNTIF(AP136:AP165,"11")+COUNTIF(AP136:AP165,"12")+COUNTIF(AP136:AP165,"13")+COUNTIF(AP136:AP165,"14")+COUNTIF(AP136:AP165,"15")+COUNTIF(AP136:AP165,"16")+COUNTIF(AP136:AP165,"17")+COUNTIF(AP136:AP165,"18")+COUNTIF(AP136:AP165,"19")+COUNTIF(AP136:AP165,"20")+COUNTIF(AP136:AP165,"21")+COUNTIF(AP136:AP165,"22")+COUNTIF(AP136:AP165,"23")+COUNTIF(AP136:AP165,"24")+COUNTIF(AP136:AP165,"25")+COUNTIF(AP136:AP165,"26")+COUNTIF(AP136:AP165,"27")+COUNTIF(AP136:AP165,"28")+COUNTIF(AP136:AP165,"29")+COUNTIF(AP136:AP165,"30"),"")</f>
        <v/>
      </c>
      <c r="AQ166" s="32" t="str">
        <f t="shared" si="14"/>
        <v/>
      </c>
      <c r="AR166" s="111" t="str">
        <f>IF(AR150&lt;&gt;"",IF(C136=AR150,G138,IF(C138=AR150,G138,IF(C144=AR150,G146,IF(C146=AR150,G146,IF(C166=AR150,G168,IF(C168=AR150,G168,IF(C174=AR150,G176,IF(C176=AR150,G176,IF(C152=AR150,G154,IF(C154=AR150,G154,IF(C160=AR150,G162,IF(C162=AR150,G162,IF(C182=AR150,G184,IF(C184=AR150,G184,IF(C190=AR150,G192,IF(C192=AR150,G192,IF(AK136=AR150,AI138,IF(AK138=AR150,AI138,IF(AK144=AR150,AI146,IF(AK146=AR150,AI146,IF(AK166=AR150,AI168,IF(AK168=AR150,AI168,IF(AK174=AR150,AI176,IF(AK176=AR150,AI176,IF(AK152=AR150,AI154,IF(AK154=AR150,AI154,IF(AK160=AR150,AI162,IF(AK162=AR150,AI162,IF(AK182=AR150,AI184,IF(AK184=AR150,AI184,IF(AK190=AR150,AI192,IF(AK192=AR150,AI192)))))))))))))))))))))))))))))))),"")</f>
        <v/>
      </c>
      <c r="AS166" s="33" t="str">
        <f>IFERROR(IF(AR166="","",VLOOKUP(AR166,LISTAS!$F$5:$G$1004,2,0)),"0")</f>
        <v/>
      </c>
      <c r="AT166" s="33">
        <v>25</v>
      </c>
      <c r="AU166" s="33" t="str">
        <f t="shared" si="16"/>
        <v/>
      </c>
    </row>
    <row r="167" spans="2:47" ht="18" customHeight="1" thickBot="1" x14ac:dyDescent="0.3">
      <c r="B167" s="133"/>
      <c r="C167" s="172" t="str">
        <f>IFERROR(IF(C166="","",VLOOKUP(C166,LISTAS!$F$5:$G$1004,2,0)),"0")</f>
        <v>COLÉGIO ARBOS - UNIDADE SANTO ANDRÉ</v>
      </c>
      <c r="D167" s="267"/>
      <c r="E167" s="101"/>
      <c r="F167" s="101"/>
      <c r="G167" s="190"/>
      <c r="H167" s="101"/>
      <c r="I167" s="101"/>
      <c r="J167" s="101"/>
      <c r="K167" s="190"/>
      <c r="L167" s="101"/>
      <c r="M167" s="138"/>
      <c r="N167" s="100"/>
      <c r="O167" s="197"/>
      <c r="P167" s="100"/>
      <c r="Q167" s="100"/>
      <c r="R167" s="197"/>
      <c r="S167" s="37"/>
      <c r="T167" s="37"/>
      <c r="U167" s="37"/>
      <c r="V167" s="198"/>
      <c r="W167" s="37"/>
      <c r="X167" s="86"/>
      <c r="Y167" s="198"/>
      <c r="Z167" s="94"/>
      <c r="AA167" s="37"/>
      <c r="AB167" s="29"/>
      <c r="AC167" s="198"/>
      <c r="AD167" s="37"/>
      <c r="AE167" s="100"/>
      <c r="AF167" s="100"/>
      <c r="AG167" s="197"/>
      <c r="AH167" s="100"/>
      <c r="AI167" s="101"/>
      <c r="AJ167" s="267"/>
      <c r="AK167" s="172" t="str">
        <f>IFERROR(IF(AK166="","",VLOOKUP(AK166,LISTAS!$F$5:$G$1004,2,0)),"0")</f>
        <v>COLÉGIO ARBOS - UNIDADE SANTO ANDRÉ</v>
      </c>
      <c r="AL167" s="29"/>
      <c r="AP167" s="31">
        <f>IF(AR167&lt;&gt;"",1+COUNTIF(AP136:AP166,"1")+COUNTIF(AP136:AP166,"2")+COUNTIF(AP136:AP166,"3")+COUNTIF(AP136:AP166,"4")+COUNTIF(AP136:AP166,"5")+COUNTIF(AP136:AP166,"6")+COUNTIF(AP136:AP166,"7")+COUNTIF(AP136:AP166,"8")+COUNTIF(AP136:AP166,"9")+COUNTIF(AP136:AP166,"10")+COUNTIF(AP136:AP166,"11")+COUNTIF(AP136:AP166,"12")+COUNTIF(AP136:AP166,"13")+COUNTIF(AP136:AP166,"14")+COUNTIF(AP136:AP166,"15")+COUNTIF(AP136:AP166,"16")+COUNTIF(AP136:AP166,"17")+COUNTIF(AP136:AP166,"18")+COUNTIF(AP136:AP166,"19")+COUNTIF(AP136:AP166,"20")+COUNTIF(AP136:AP166,"21")+COUNTIF(AP136:AP166,"22")+COUNTIF(AP136:AP166,"23")+COUNTIF(AP136:AP166,"24")+COUNTIF(AP136:AP166,"25")+COUNTIF(AP136:AP166,"26")+COUNTIF(AP136:AP166,"27")+COUNTIF(AP136:AP166,"28")+COUNTIF(AP136:AP166,"29")+COUNTIF(AP136:AP166,"30")+COUNTIF(AP136:AP166,"31"),"")</f>
        <v>25</v>
      </c>
      <c r="AQ167" s="32" t="str">
        <f t="shared" si="14"/>
        <v>LUGAR</v>
      </c>
      <c r="AR167" s="111" t="str">
        <f>IF(AR151&lt;&gt;"",IF(C136=AR151,G138,IF(C138=AR151,G138,IF(C144=AR151,G146,IF(C146=AR151,G146,IF(C166=AR151,G168,IF(C168=AR151,G168,IF(C174=AR151,G176,IF(C176=AR151,G176,IF(C152=AR151,G154,IF(C154=AR151,G154,IF(C160=AR151,G162,IF(C162=AR151,G162,IF(C182=AR151,G184,IF(C184=AR151,G184,IF(C190=AR151,G192,IF(C192=AR151,G192,IF(AK136=AR151,AI138,IF(AK138=AR151,AI138,IF(AK144=AR151,AI146,IF(AK146=AR151,AI146,IF(AK166=AR151,AI168,IF(AK168=AR151,AI168,IF(AK174=AR151,AI176,IF(AK176=AR151,AI176,IF(AK152=AR151,AI154,IF(AK154=AR151,AI154,IF(AK160=AR151,AI162,IF(AK162=AR151,AI162,IF(AK182=AR151,AI184,IF(AK184=AR151,AI184,IF(AK190=AR151,AI192,IF(AK192=AR151,AI192)))))))))))))))))))))))))))))))),"")</f>
        <v>JOÃO LUCA CEOLDO RUBIRA</v>
      </c>
      <c r="AS167" s="33" t="str">
        <f>IFERROR(IF(AR167="","",VLOOKUP(AR167,LISTAS!$F$5:$G$1004,2,0)),"0")</f>
        <v>LICEU JARDIM</v>
      </c>
      <c r="AT167" s="33">
        <v>25</v>
      </c>
      <c r="AU167" s="33" t="str">
        <f>IF(AP167="","",IF($AS$5="NÃO","",IF(AP167=1,100,IF(AP167=2,80,IF(AP167=3,70,IF(AP167=4,50,IF(AP167=5,45,IF(AP167=6,40,IF(AP167=7,35,IF(AP167=8,30,IF(AP167=9,28,IF(AP167=10,28,IF(AP167=11,28,IF(AP167=12,28,IF(AP167=13,28,IF(AP167=14,28,IF(AP167=15,28,IF(AP167=16,28,IF(AP167&gt;16,"","")))))))))))))))))))</f>
        <v/>
      </c>
    </row>
    <row r="168" spans="2:47" ht="18" customHeight="1" x14ac:dyDescent="0.25">
      <c r="B168" s="133">
        <v>28</v>
      </c>
      <c r="C168" s="171" t="str">
        <f>IF('13M GRP'!G5&gt;=3,'13M GRP'!J374,IF('13M GRP'!G5=2,"",IF('13M GRP'!G5=1,"","")))</f>
        <v>MURILLO MOSCHELLA BERNACCI SOLANO</v>
      </c>
      <c r="D168" s="266">
        <v>0</v>
      </c>
      <c r="E168" s="107">
        <f>IF(D168&lt;&gt;"",D168,"")</f>
        <v>0</v>
      </c>
      <c r="F168" s="101" t="str">
        <f>IF(D168&lt;&gt;"",IF(C168="","",C168),"")</f>
        <v>MURILLO MOSCHELLA BERNACCI SOLANO</v>
      </c>
      <c r="G168" s="190" t="str">
        <f>VLOOKUP(G166,E166:F168,2,0)</f>
        <v>MURILLO MOSCHELLA BERNACCI SOLANO</v>
      </c>
      <c r="H168" s="101"/>
      <c r="I168" s="101"/>
      <c r="J168" s="101"/>
      <c r="K168" s="190"/>
      <c r="L168" s="101"/>
      <c r="M168" s="138"/>
      <c r="N168" s="101">
        <f>IF(P163&lt;&gt;"",P163,"")</f>
        <v>0</v>
      </c>
      <c r="O168" s="190" t="str">
        <f>IF(P163&lt;&gt;"",O163,"")</f>
        <v>RENATO BARROS DE COSTA GARCIA</v>
      </c>
      <c r="P168" s="101">
        <f>IF(N168&lt;&gt;"",IF(N170&lt;&gt;"",LARGE(N168:N170,1),""),"")</f>
        <v>1</v>
      </c>
      <c r="Q168" s="100"/>
      <c r="R168" s="197"/>
      <c r="S168" s="37"/>
      <c r="T168" s="37"/>
      <c r="U168" s="37"/>
      <c r="V168" s="198"/>
      <c r="W168" s="37"/>
      <c r="X168" s="86"/>
      <c r="Y168" s="198"/>
      <c r="Z168" s="94"/>
      <c r="AA168" s="37"/>
      <c r="AB168" s="29"/>
      <c r="AC168" s="198"/>
      <c r="AD168" s="37"/>
      <c r="AE168" s="100"/>
      <c r="AF168" s="100"/>
      <c r="AG168" s="197">
        <f>IF(AJ168&lt;&gt;"",AJ168,"")</f>
        <v>1</v>
      </c>
      <c r="AH168" s="100" t="str">
        <f>IF(AJ168&lt;&gt;"",IF(AK168="","",AK168),"")</f>
        <v>HEITOR BONAZZI COMAR</v>
      </c>
      <c r="AI168" s="102" t="str">
        <f>VLOOKUP(AI166,AG166:AH168,2,0)</f>
        <v>BENÍCIO COELHO FORTES</v>
      </c>
      <c r="AJ168" s="266">
        <v>1</v>
      </c>
      <c r="AK168" s="171" t="str">
        <f>IF('13M GRP'!G5&gt;=3,'13M GRP'!J348,IF('13M GRP'!G5=2,"",IF('13M GRP'!G5=1,"","")))</f>
        <v>HEITOR BONAZZI COMAR</v>
      </c>
      <c r="AL168" s="29">
        <v>26</v>
      </c>
      <c r="AP168" s="31">
        <v>26</v>
      </c>
      <c r="AQ168" s="32" t="str">
        <f t="shared" ref="AQ168:AQ174" si="17">IF(AP168&lt;&gt;"","LUGAR","")</f>
        <v>LUGAR</v>
      </c>
      <c r="AR168" s="111" t="s">
        <v>757</v>
      </c>
      <c r="AS168" s="33" t="s">
        <v>733</v>
      </c>
      <c r="AT168" s="33">
        <v>25</v>
      </c>
      <c r="AU168" s="33" t="str">
        <f t="shared" ref="AU168:AU174" si="18">IF(AP168="","",IF($AS$5="NÃO","",IF(AP168=1,100,IF(AP168=2,80,IF(AP168=3,70,IF(AP168=4,50,IF(AP168=5,45,IF(AP168=6,40,IF(AP168=7,35,IF(AP168=8,30,IF(AP168=9,28,IF(AP168=10,28,IF(AP168=11,28,IF(AP168=12,28,IF(AP168=13,28,IF(AP168=14,28,IF(AP168=15,28,IF(AP168=16,28,IF(AP168&gt;16,"","")))))))))))))))))))</f>
        <v/>
      </c>
    </row>
    <row r="169" spans="2:47" ht="18" customHeight="1" thickBot="1" x14ac:dyDescent="0.3">
      <c r="B169" s="133"/>
      <c r="C169" s="172" t="str">
        <f>IFERROR(IF(C168="","",VLOOKUP(C168,LISTAS!$F$5:$G$1004,2,0)),"0")</f>
        <v>ABACO IPIRANGA</v>
      </c>
      <c r="D169" s="267"/>
      <c r="E169" s="148"/>
      <c r="F169" s="101"/>
      <c r="G169" s="190"/>
      <c r="H169" s="101"/>
      <c r="I169" s="101"/>
      <c r="J169" s="101"/>
      <c r="K169" s="190"/>
      <c r="L169" s="101"/>
      <c r="M169" s="138"/>
      <c r="N169" s="101"/>
      <c r="O169" s="190"/>
      <c r="P169" s="101"/>
      <c r="Q169" s="100"/>
      <c r="R169" s="197"/>
      <c r="S169" s="37"/>
      <c r="T169" s="37"/>
      <c r="U169" s="37"/>
      <c r="V169" s="198"/>
      <c r="W169" s="37"/>
      <c r="X169" s="86"/>
      <c r="Y169" s="198"/>
      <c r="Z169" s="94"/>
      <c r="AA169" s="37"/>
      <c r="AB169" s="29"/>
      <c r="AC169" s="198"/>
      <c r="AD169" s="37"/>
      <c r="AE169" s="100"/>
      <c r="AF169" s="100"/>
      <c r="AG169" s="197"/>
      <c r="AH169" s="100"/>
      <c r="AI169" s="142"/>
      <c r="AJ169" s="267"/>
      <c r="AK169" s="172" t="str">
        <f>IFERROR(IF(AK168="","",VLOOKUP(AK168,LISTAS!$F$5:$G$1004,2,0)),"0")</f>
        <v>COLÉGIO ATENEU</v>
      </c>
      <c r="AL169" s="29"/>
      <c r="AP169" s="31">
        <v>27</v>
      </c>
      <c r="AQ169" s="32" t="str">
        <f t="shared" si="17"/>
        <v>LUGAR</v>
      </c>
      <c r="AR169" s="111" t="s">
        <v>667</v>
      </c>
      <c r="AS169" s="33" t="s">
        <v>621</v>
      </c>
      <c r="AT169" s="33">
        <v>25</v>
      </c>
      <c r="AU169" s="33" t="str">
        <f t="shared" si="18"/>
        <v/>
      </c>
    </row>
    <row r="170" spans="2:47" ht="18" customHeight="1" x14ac:dyDescent="0.25">
      <c r="B170" s="133"/>
      <c r="C170" s="190"/>
      <c r="D170" s="101"/>
      <c r="E170" s="101"/>
      <c r="F170" s="137"/>
      <c r="G170" s="171" t="str">
        <f>IF(D166&lt;&gt;"",IF(D168&lt;&gt;"",IF(D166=D168,"",IF(D166&gt;D168,C166,C168)),""),"")</f>
        <v>ARTHUR GIACOMASSI PITA</v>
      </c>
      <c r="H170" s="266">
        <v>1</v>
      </c>
      <c r="I170" s="101">
        <f>IF(H170&lt;&gt;"",H170,"")</f>
        <v>1</v>
      </c>
      <c r="J170" s="101" t="str">
        <f>IF(H170&lt;&gt;"",IF(G170="","",G170),"")</f>
        <v>ARTHUR GIACOMASSI PITA</v>
      </c>
      <c r="K170" s="190">
        <f>IF(I170&lt;&gt;"",IF(I172&lt;&gt;"",SMALL(I170:J172,1),""),"")</f>
        <v>0</v>
      </c>
      <c r="L170" s="101"/>
      <c r="M170" s="138"/>
      <c r="N170" s="101">
        <f>IF(P165&lt;&gt;"",P165,"")</f>
        <v>1</v>
      </c>
      <c r="O170" s="190" t="str">
        <f>IF(P165&lt;&gt;"",O165,"")</f>
        <v>ARTHUR GIACOMASSI PITA</v>
      </c>
      <c r="P170" s="101" t="str">
        <f>VLOOKUP(P168,N168:O170,2,0)</f>
        <v>ARTHUR GIACOMASSI PITA</v>
      </c>
      <c r="Q170" s="100"/>
      <c r="R170" s="197"/>
      <c r="S170" s="37"/>
      <c r="T170" s="37"/>
      <c r="U170" s="37"/>
      <c r="V170" s="198"/>
      <c r="W170" s="37"/>
      <c r="X170" s="86"/>
      <c r="Y170" s="198"/>
      <c r="Z170" s="94"/>
      <c r="AA170" s="37"/>
      <c r="AB170" s="29"/>
      <c r="AC170" s="198"/>
      <c r="AD170" s="37"/>
      <c r="AE170" s="95"/>
      <c r="AF170" s="266">
        <v>1</v>
      </c>
      <c r="AG170" s="171" t="str">
        <f>IF(AJ166&lt;&gt;"",IF(AJ168&lt;&gt;"",IF(AJ166=AJ168,"",IF(AJ166&gt;AJ168,AK166,AK168)),""),"")</f>
        <v>HEITOR BONAZZI COMAR</v>
      </c>
      <c r="AH170" s="94"/>
      <c r="AI170" s="37"/>
      <c r="AJ170" s="29"/>
      <c r="AK170" s="188"/>
      <c r="AL170" s="29"/>
      <c r="AP170" s="31">
        <v>28</v>
      </c>
      <c r="AQ170" s="32" t="str">
        <f t="shared" si="17"/>
        <v>LUGAR</v>
      </c>
      <c r="AR170" s="111" t="s">
        <v>758</v>
      </c>
      <c r="AS170" s="33" t="s">
        <v>733</v>
      </c>
      <c r="AT170" s="33">
        <v>25</v>
      </c>
      <c r="AU170" s="33" t="str">
        <f t="shared" si="18"/>
        <v/>
      </c>
    </row>
    <row r="171" spans="2:47" ht="18" customHeight="1" thickBot="1" x14ac:dyDescent="0.3">
      <c r="B171" s="133"/>
      <c r="C171" s="190"/>
      <c r="D171" s="101"/>
      <c r="E171" s="101"/>
      <c r="F171" s="137"/>
      <c r="G171" s="172" t="str">
        <f>IFERROR(IF(G170="","",VLOOKUP(G170,LISTAS!$F$5:$G$1004,2,0)),"0")</f>
        <v>COLÉGIO ARBOS - UNIDADE SANTO ANDRÉ</v>
      </c>
      <c r="H171" s="267"/>
      <c r="I171" s="101"/>
      <c r="J171" s="101"/>
      <c r="K171" s="190"/>
      <c r="L171" s="101"/>
      <c r="M171" s="138"/>
      <c r="N171" s="101"/>
      <c r="O171" s="190"/>
      <c r="P171" s="101"/>
      <c r="Q171" s="100"/>
      <c r="R171" s="197"/>
      <c r="S171" s="37"/>
      <c r="T171" s="37"/>
      <c r="U171" s="37"/>
      <c r="V171" s="198"/>
      <c r="W171" s="37"/>
      <c r="X171" s="86"/>
      <c r="Y171" s="198"/>
      <c r="Z171" s="94"/>
      <c r="AA171" s="37"/>
      <c r="AB171" s="29"/>
      <c r="AC171" s="198"/>
      <c r="AD171" s="37"/>
      <c r="AE171" s="95"/>
      <c r="AF171" s="267"/>
      <c r="AG171" s="172" t="str">
        <f>IFERROR(IF(AG170="","",VLOOKUP(AG170,LISTAS!$F$5:$G$1004,2,0)),"0")</f>
        <v>COLÉGIO ATENEU</v>
      </c>
      <c r="AH171" s="94"/>
      <c r="AI171" s="37"/>
      <c r="AJ171" s="29"/>
      <c r="AK171" s="188"/>
      <c r="AL171" s="29"/>
      <c r="AP171" s="31">
        <v>29</v>
      </c>
      <c r="AQ171" s="32" t="str">
        <f t="shared" si="17"/>
        <v>LUGAR</v>
      </c>
      <c r="AR171" s="111" t="s">
        <v>759</v>
      </c>
      <c r="AS171" s="33" t="s">
        <v>376</v>
      </c>
      <c r="AT171" s="33">
        <v>25</v>
      </c>
      <c r="AU171" s="33" t="str">
        <f t="shared" si="18"/>
        <v/>
      </c>
    </row>
    <row r="172" spans="2:47" ht="18" customHeight="1" x14ac:dyDescent="0.25">
      <c r="B172" s="133"/>
      <c r="C172" s="190"/>
      <c r="D172" s="101"/>
      <c r="E172" s="138"/>
      <c r="F172" s="102"/>
      <c r="G172" s="171" t="str">
        <f>IF(D174&lt;&gt;"",IF(D176&lt;&gt;"",IF(D174=D176,"",IF(D174&gt;D176,C174,C176)),""),"")</f>
        <v>Lorenzo Mazzini Anitelli</v>
      </c>
      <c r="H172" s="266">
        <v>0</v>
      </c>
      <c r="I172" s="107">
        <f>IF(H172&lt;&gt;"",H172,"")</f>
        <v>0</v>
      </c>
      <c r="J172" s="101" t="str">
        <f>IF(H172&lt;&gt;"",IF(G172="","",G172),"")</f>
        <v>Lorenzo Mazzini Anitelli</v>
      </c>
      <c r="K172" s="190" t="str">
        <f>VLOOKUP(K170,I170:J172,2,0)</f>
        <v>Lorenzo Mazzini Anitelli</v>
      </c>
      <c r="L172" s="101"/>
      <c r="M172" s="138"/>
      <c r="N172" s="101">
        <f>IF(P163&lt;&gt;"",P163,"")</f>
        <v>0</v>
      </c>
      <c r="O172" s="190" t="str">
        <f>IF(P163&lt;&gt;"",O163,"")</f>
        <v>RENATO BARROS DE COSTA GARCIA</v>
      </c>
      <c r="P172" s="101">
        <f>IF(N172&lt;&gt;"",IF(N174&lt;&gt;"",SMALL(N172:N174,1),""),"")</f>
        <v>0</v>
      </c>
      <c r="Q172" s="100"/>
      <c r="R172" s="197"/>
      <c r="S172" s="37"/>
      <c r="T172" s="37"/>
      <c r="U172" s="37"/>
      <c r="V172" s="198"/>
      <c r="W172" s="37"/>
      <c r="X172" s="86"/>
      <c r="Y172" s="198"/>
      <c r="Z172" s="94"/>
      <c r="AA172" s="37"/>
      <c r="AB172" s="29"/>
      <c r="AC172" s="198"/>
      <c r="AD172" s="94"/>
      <c r="AE172" s="96"/>
      <c r="AF172" s="266">
        <v>0</v>
      </c>
      <c r="AG172" s="171" t="str">
        <f>IF(AJ174&lt;&gt;"",IF(AJ176&lt;&gt;"",IF(AJ174=AJ176,"",IF(AJ174&gt;AJ176,AK174,AK176)),""),"")</f>
        <v>PEDRO LEVI CAMPOS</v>
      </c>
      <c r="AH172" s="98"/>
      <c r="AI172" s="37"/>
      <c r="AJ172" s="29"/>
      <c r="AK172" s="188"/>
      <c r="AL172" s="29"/>
      <c r="AP172" s="31">
        <v>30</v>
      </c>
      <c r="AQ172" s="32" t="str">
        <f t="shared" si="17"/>
        <v>LUGAR</v>
      </c>
      <c r="AR172" s="111"/>
      <c r="AS172" s="33"/>
      <c r="AT172" s="33" t="str">
        <f t="shared" ref="AT172:AT174" si="19">IF(AP172="","",IF(AP172=1,100,IF(AP172=2,80,IF(AP172=3,70,IF(AP172=4,50,IF(AP172=5,45,IF(AP172=6,40,IF(AP172=7,35,IF(AP172=8,30,IF(AP172=9,28,IF(AP172=10,28,IF(AP172=11,28,IF(AP172=12,28,IF(AP172=13,28,IF(AP172=14,28,IF(AP172=15,28,IF(AP172=16,28,IF(AP172&gt;16,"",""))))))))))))))))))</f>
        <v/>
      </c>
      <c r="AU172" s="33" t="str">
        <f t="shared" si="18"/>
        <v/>
      </c>
    </row>
    <row r="173" spans="2:47" ht="18" customHeight="1" thickBot="1" x14ac:dyDescent="0.3">
      <c r="B173" s="133"/>
      <c r="C173" s="190"/>
      <c r="D173" s="101"/>
      <c r="E173" s="138"/>
      <c r="F173" s="101"/>
      <c r="G173" s="172" t="str">
        <f>IFERROR(IF(G172="","",VLOOKUP(G172,LISTAS!$F$5:$G$1004,2,0)),"0")</f>
        <v>ESCOLA INTERAÇÃO</v>
      </c>
      <c r="H173" s="267"/>
      <c r="I173" s="138"/>
      <c r="J173" s="101"/>
      <c r="K173" s="190"/>
      <c r="L173" s="101"/>
      <c r="M173" s="138"/>
      <c r="N173" s="101"/>
      <c r="O173" s="190"/>
      <c r="P173" s="101"/>
      <c r="Q173" s="100"/>
      <c r="R173" s="197"/>
      <c r="S173" s="37"/>
      <c r="T173" s="37"/>
      <c r="U173" s="37"/>
      <c r="V173" s="198"/>
      <c r="W173" s="37"/>
      <c r="X173" s="86"/>
      <c r="Y173" s="198"/>
      <c r="Z173" s="37"/>
      <c r="AA173" s="89"/>
      <c r="AB173" s="29"/>
      <c r="AC173" s="198"/>
      <c r="AD173" s="94"/>
      <c r="AE173" s="37"/>
      <c r="AF173" s="267"/>
      <c r="AG173" s="172" t="str">
        <f>IFERROR(IF(AG172="","",VLOOKUP(AG172,LISTAS!$F$5:$G$1004,2,0)),"0")</f>
        <v>ESCOLA IL SOLE</v>
      </c>
      <c r="AH173" s="37"/>
      <c r="AI173" s="89"/>
      <c r="AJ173" s="29"/>
      <c r="AK173" s="188"/>
      <c r="AL173" s="29"/>
      <c r="AP173" s="31">
        <v>31</v>
      </c>
      <c r="AQ173" s="32" t="str">
        <f t="shared" si="17"/>
        <v>LUGAR</v>
      </c>
      <c r="AR173" s="111"/>
      <c r="AS173" s="33"/>
      <c r="AT173" s="33" t="str">
        <f t="shared" si="19"/>
        <v/>
      </c>
      <c r="AU173" s="33" t="str">
        <f t="shared" si="18"/>
        <v/>
      </c>
    </row>
    <row r="174" spans="2:47" ht="18" customHeight="1" x14ac:dyDescent="0.25">
      <c r="B174" s="133">
        <v>12</v>
      </c>
      <c r="C174" s="171" t="str">
        <f>IF('13M GRP'!G5&gt;=3,'13M GRP'!J166,IF('13M GRP'!G5=2,"",IF('13M GRP'!G5=1,"","")))</f>
        <v>DIOGO VIEIRA CHAVES</v>
      </c>
      <c r="D174" s="266">
        <v>0</v>
      </c>
      <c r="E174" s="148">
        <f>IF(D174&lt;&gt;"",D174,"")</f>
        <v>0</v>
      </c>
      <c r="F174" s="101" t="str">
        <f>IF(D174&lt;&gt;"",IF(C174="","",C174),"")</f>
        <v>DIOGO VIEIRA CHAVES</v>
      </c>
      <c r="G174" s="190">
        <f>IF(E174&lt;&gt;"",IF(E176&lt;&gt;"",SMALL(E174:E176,1),""),"")</f>
        <v>0</v>
      </c>
      <c r="H174" s="101"/>
      <c r="I174" s="138"/>
      <c r="J174" s="101"/>
      <c r="K174" s="190"/>
      <c r="L174" s="101"/>
      <c r="M174" s="138"/>
      <c r="N174" s="101">
        <f>IF(P165&lt;&gt;"",P165,"")</f>
        <v>1</v>
      </c>
      <c r="O174" s="190" t="str">
        <f>IF(P165&lt;&gt;"",O165,"")</f>
        <v>ARTHUR GIACOMASSI PITA</v>
      </c>
      <c r="P174" s="101" t="str">
        <f>VLOOKUP(P172,N172:O174,2,0)</f>
        <v>RENATO BARROS DE COSTA GARCIA</v>
      </c>
      <c r="Q174" s="100"/>
      <c r="R174" s="197"/>
      <c r="S174" s="37"/>
      <c r="T174" s="37"/>
      <c r="U174" s="37"/>
      <c r="V174" s="198"/>
      <c r="W174" s="37"/>
      <c r="X174" s="86"/>
      <c r="Y174" s="198"/>
      <c r="Z174" s="37"/>
      <c r="AA174" s="89"/>
      <c r="AB174" s="29"/>
      <c r="AC174" s="198"/>
      <c r="AD174" s="146"/>
      <c r="AE174" s="100"/>
      <c r="AF174" s="100"/>
      <c r="AG174" s="197">
        <f>IF(AJ174&lt;&gt;"",AJ174,"")</f>
        <v>0</v>
      </c>
      <c r="AH174" s="100" t="str">
        <f>IF(AJ174&lt;&gt;"",IF(AK174="","",AK174),"")</f>
        <v>CALVIN DELAZERI</v>
      </c>
      <c r="AI174" s="137">
        <f>IF(AG174&lt;&gt;"",IF(AG176&lt;&gt;"",SMALL(AG174:AG176,1),""),"")</f>
        <v>0</v>
      </c>
      <c r="AJ174" s="266">
        <v>0</v>
      </c>
      <c r="AK174" s="171" t="str">
        <f>IF('13M GRP'!G5&gt;=3,'13M GRP'!J140,IF('13M GRP'!G5=2,"",IF('13M GRP'!G5=1,"","")))</f>
        <v>CALVIN DELAZERI</v>
      </c>
      <c r="AL174" s="29">
        <v>10</v>
      </c>
      <c r="AP174" s="31" t="str">
        <f t="shared" ref="AP174" si="20">IF(AR174&lt;&gt;"",1+COUNTIF(AP143:AP173,"1")+COUNTIF(AP143:AP173,"2")+COUNTIF(AP143:AP173,"3")+COUNTIF(AP143:AP173,"4")+COUNTIF(AP143:AP173,"5")+COUNTIF(AP143:AP173,"6")+COUNTIF(AP143:AP173,"7")+COUNTIF(AP143:AP173,"8")+COUNTIF(AP143:AP173,"9")+COUNTIF(AP143:AP173,"10")+COUNTIF(AP143:AP173,"11")+COUNTIF(AP143:AP173,"12")+COUNTIF(AP143:AP173,"13")+COUNTIF(AP143:AP173,"14")+COUNTIF(AP143:AP173,"15")+COUNTIF(AP143:AP173,"16")+COUNTIF(AP143:AP173,"17")+COUNTIF(AP143:AP173,"18")+COUNTIF(AP143:AP173,"19")+COUNTIF(AP143:AP173,"20")+COUNTIF(AP143:AP173,"21")+COUNTIF(AP143:AP173,"22")+COUNTIF(AP143:AP173,"23")+COUNTIF(AP143:AP173,"24")+COUNTIF(AP143:AP173,"25")+COUNTIF(AP143:AP173,"26")+COUNTIF(AP143:AP173,"27")+COUNTIF(AP143:AP173,"28")+COUNTIF(AP143:AP173,"29")+COUNTIF(AP143:AP173,"30")+COUNTIF(AP143:AP173,"31"),"")</f>
        <v/>
      </c>
      <c r="AQ174" s="32" t="str">
        <f t="shared" si="17"/>
        <v/>
      </c>
      <c r="AR174" s="111"/>
      <c r="AS174" s="33"/>
      <c r="AT174" s="33" t="str">
        <f t="shared" si="19"/>
        <v/>
      </c>
      <c r="AU174" s="33" t="str">
        <f t="shared" si="18"/>
        <v/>
      </c>
    </row>
    <row r="175" spans="2:47" ht="18" customHeight="1" thickBot="1" x14ac:dyDescent="0.3">
      <c r="B175" s="133"/>
      <c r="C175" s="172" t="str">
        <f>IFERROR(IF(C174="","",VLOOKUP(C174,LISTAS!$F$5:$G$1004,2,0)),"0")</f>
        <v>COLEGIO PETROPOLIS</v>
      </c>
      <c r="D175" s="267"/>
      <c r="E175" s="105"/>
      <c r="F175" s="101"/>
      <c r="G175" s="190"/>
      <c r="H175" s="101"/>
      <c r="I175" s="138"/>
      <c r="J175" s="101"/>
      <c r="K175" s="190"/>
      <c r="L175" s="101"/>
      <c r="M175" s="138"/>
      <c r="N175" s="101"/>
      <c r="O175" s="190"/>
      <c r="P175" s="101"/>
      <c r="Q175" s="100"/>
      <c r="R175" s="197"/>
      <c r="S175" s="37"/>
      <c r="T175" s="37"/>
      <c r="U175" s="37"/>
      <c r="V175" s="198"/>
      <c r="W175" s="37"/>
      <c r="X175" s="86"/>
      <c r="Y175" s="198"/>
      <c r="Z175" s="37"/>
      <c r="AA175" s="89"/>
      <c r="AB175" s="29"/>
      <c r="AC175" s="198"/>
      <c r="AD175" s="146"/>
      <c r="AE175" s="100"/>
      <c r="AF175" s="100"/>
      <c r="AG175" s="197"/>
      <c r="AH175" s="100"/>
      <c r="AI175" s="143"/>
      <c r="AJ175" s="267"/>
      <c r="AK175" s="172" t="str">
        <f>IFERROR(IF(AK174="","",VLOOKUP(AK174,LISTAS!$F$5:$G$1004,2,0)),"0")</f>
        <v>ABACO IPIRANGA</v>
      </c>
      <c r="AL175" s="29"/>
    </row>
    <row r="176" spans="2:47" ht="18" customHeight="1" x14ac:dyDescent="0.25">
      <c r="B176" s="133">
        <v>21</v>
      </c>
      <c r="C176" s="39" t="s">
        <v>644</v>
      </c>
      <c r="D176" s="266">
        <v>1</v>
      </c>
      <c r="E176" s="106">
        <f>IF(D176&lt;&gt;"",D176,"")</f>
        <v>1</v>
      </c>
      <c r="F176" s="101" t="str">
        <f>IF(D176&lt;&gt;"",IF(C176="","",C176),"")</f>
        <v>Lorenzo Mazzini Anitelli</v>
      </c>
      <c r="G176" s="190" t="str">
        <f>VLOOKUP(G174,E174:F176,2,0)</f>
        <v>DIOGO VIEIRA CHAVES</v>
      </c>
      <c r="H176" s="101"/>
      <c r="I176" s="138"/>
      <c r="J176" s="101"/>
      <c r="K176" s="190"/>
      <c r="L176" s="101"/>
      <c r="M176" s="138"/>
      <c r="N176" s="101"/>
      <c r="O176" s="190"/>
      <c r="P176" s="101"/>
      <c r="Q176" s="100"/>
      <c r="R176" s="197"/>
      <c r="S176" s="37"/>
      <c r="T176" s="37"/>
      <c r="U176" s="37"/>
      <c r="V176" s="198"/>
      <c r="W176" s="37"/>
      <c r="X176" s="86"/>
      <c r="Y176" s="198"/>
      <c r="Z176" s="37"/>
      <c r="AA176" s="89"/>
      <c r="AB176" s="29"/>
      <c r="AC176" s="198"/>
      <c r="AD176" s="146"/>
      <c r="AE176" s="100"/>
      <c r="AF176" s="100"/>
      <c r="AG176" s="197">
        <f>IF(AJ176&lt;&gt;"",AJ176,"")</f>
        <v>1</v>
      </c>
      <c r="AH176" s="100" t="str">
        <f>IF(AJ176&lt;&gt;"",IF(AK176="","",AK176),"")</f>
        <v>PEDRO LEVI CAMPOS</v>
      </c>
      <c r="AI176" s="145" t="str">
        <f>VLOOKUP(AI174,AG174:AH176,2,0)</f>
        <v>CALVIN DELAZERI</v>
      </c>
      <c r="AJ176" s="266">
        <v>1</v>
      </c>
      <c r="AK176" s="171" t="str">
        <f>IF('13M GRP'!G5&gt;=3,'13M GRP'!J309,IF('13M GRP'!G5=2,"",IF('13M GRP'!G5=1,"","")))</f>
        <v>PEDRO LEVI CAMPOS</v>
      </c>
      <c r="AL176" s="29">
        <v>23</v>
      </c>
    </row>
    <row r="177" spans="2:38" ht="18" customHeight="1" thickBot="1" x14ac:dyDescent="0.3">
      <c r="B177" s="133"/>
      <c r="C177" s="172" t="str">
        <f>IFERROR(IF(C176="","",VLOOKUP(C176,LISTAS!$F$5:$G$1004,2,0)),"0")</f>
        <v>ESCOLA INTERAÇÃO</v>
      </c>
      <c r="D177" s="267"/>
      <c r="E177" s="101"/>
      <c r="F177" s="101"/>
      <c r="G177" s="190"/>
      <c r="H177" s="101"/>
      <c r="I177" s="138"/>
      <c r="J177" s="101"/>
      <c r="K177" s="190"/>
      <c r="L177" s="101"/>
      <c r="M177" s="138"/>
      <c r="N177" s="101"/>
      <c r="O177" s="190"/>
      <c r="P177" s="101"/>
      <c r="Q177" s="100"/>
      <c r="R177" s="197"/>
      <c r="S177" s="37"/>
      <c r="T177" s="37"/>
      <c r="U177" s="37"/>
      <c r="V177" s="198"/>
      <c r="W177" s="37"/>
      <c r="X177" s="86"/>
      <c r="Y177" s="198"/>
      <c r="Z177" s="37"/>
      <c r="AA177" s="89"/>
      <c r="AB177" s="29"/>
      <c r="AC177" s="198"/>
      <c r="AD177" s="146"/>
      <c r="AE177" s="100"/>
      <c r="AF177" s="100"/>
      <c r="AG177" s="197"/>
      <c r="AH177" s="100"/>
      <c r="AI177" s="101"/>
      <c r="AJ177" s="267"/>
      <c r="AK177" s="172" t="str">
        <f>IFERROR(IF(AK176="","",VLOOKUP(AK176,LISTAS!$F$5:$G$1004,2,0)),"0")</f>
        <v>ESCOLA IL SOLE</v>
      </c>
      <c r="AL177" s="29"/>
    </row>
    <row r="178" spans="2:38" ht="18" customHeight="1" x14ac:dyDescent="0.25">
      <c r="B178" s="133"/>
      <c r="C178" s="188"/>
      <c r="D178" s="29"/>
      <c r="E178" s="29"/>
      <c r="F178" s="29"/>
      <c r="G178" s="188"/>
      <c r="H178" s="29"/>
      <c r="I178" s="35"/>
      <c r="J178" s="29"/>
      <c r="K178" s="171" t="str">
        <f>IF(H170&lt;&gt;"",IF(H172&lt;&gt;"",IF(H170=H172,"",IF(H170&gt;H172,G170,G172)),""),"")</f>
        <v>ARTHUR GIACOMASSI PITA</v>
      </c>
      <c r="L178" s="266">
        <v>1</v>
      </c>
      <c r="M178" s="148">
        <f>IF(L178&lt;&gt;"",L178,"")</f>
        <v>1</v>
      </c>
      <c r="N178" s="101" t="str">
        <f>IF(L178&lt;&gt;"",IF(K178="","",K178),"")</f>
        <v>ARTHUR GIACOMASSI PITA</v>
      </c>
      <c r="O178" s="190">
        <f>IF(M178&lt;&gt;"",IF(M180&lt;&gt;"",SMALL(M178:N180,1),""),"")</f>
        <v>0</v>
      </c>
      <c r="P178" s="101"/>
      <c r="Q178" s="100"/>
      <c r="R178" s="197"/>
      <c r="S178" s="37"/>
      <c r="T178" s="37"/>
      <c r="U178" s="37"/>
      <c r="V178" s="198"/>
      <c r="W178" s="37"/>
      <c r="X178" s="86"/>
      <c r="Y178" s="198"/>
      <c r="Z178" s="37"/>
      <c r="AA178" s="89"/>
      <c r="AB178" s="266">
        <v>0</v>
      </c>
      <c r="AC178" s="171" t="str">
        <f>IF(AF170&lt;&gt;"",IF(AF172&lt;&gt;"",IF(AF170=AF172,"",IF(AF170&gt;AF172,AG170,AG172)),""),"")</f>
        <v>HEITOR BONAZZI COMAR</v>
      </c>
      <c r="AD178" s="147"/>
      <c r="AE178" s="100"/>
      <c r="AF178" s="100"/>
      <c r="AG178" s="197"/>
      <c r="AH178" s="100"/>
      <c r="AI178" s="100"/>
      <c r="AJ178" s="29"/>
      <c r="AK178" s="188"/>
      <c r="AL178" s="29"/>
    </row>
    <row r="179" spans="2:38" ht="18" customHeight="1" thickBot="1" x14ac:dyDescent="0.3">
      <c r="B179" s="133"/>
      <c r="C179" s="188"/>
      <c r="D179" s="29"/>
      <c r="E179" s="29"/>
      <c r="F179" s="29"/>
      <c r="G179" s="188"/>
      <c r="H179" s="29"/>
      <c r="I179" s="35"/>
      <c r="J179" s="29"/>
      <c r="K179" s="172" t="str">
        <f>IFERROR(IF(K178="","",VLOOKUP(K178,LISTAS!$F$5:$G$1004,2,0)),"0")</f>
        <v>COLÉGIO ARBOS - UNIDADE SANTO ANDRÉ</v>
      </c>
      <c r="L179" s="267"/>
      <c r="M179" s="105"/>
      <c r="N179" s="101"/>
      <c r="O179" s="190"/>
      <c r="P179" s="101"/>
      <c r="Q179" s="100"/>
      <c r="R179" s="197"/>
      <c r="S179" s="37"/>
      <c r="T179" s="37"/>
      <c r="U179" s="37"/>
      <c r="V179" s="198"/>
      <c r="W179" s="37"/>
      <c r="X179" s="86"/>
      <c r="Y179" s="198"/>
      <c r="Z179" s="37"/>
      <c r="AA179" s="139"/>
      <c r="AB179" s="267"/>
      <c r="AC179" s="172" t="str">
        <f>IFERROR(IF(AC178="","",VLOOKUP(AC178,LISTAS!$F$5:$G$1004,2,0)),"0")</f>
        <v>COLÉGIO ATENEU</v>
      </c>
      <c r="AD179" s="37"/>
      <c r="AE179" s="89"/>
      <c r="AF179" s="37"/>
      <c r="AG179" s="198"/>
      <c r="AH179" s="37"/>
      <c r="AI179" s="37"/>
      <c r="AJ179" s="29"/>
      <c r="AK179" s="188"/>
      <c r="AL179" s="29"/>
    </row>
    <row r="180" spans="2:38" ht="18" customHeight="1" x14ac:dyDescent="0.25">
      <c r="B180" s="133"/>
      <c r="C180" s="188"/>
      <c r="D180" s="29"/>
      <c r="E180" s="29"/>
      <c r="F180" s="29"/>
      <c r="G180" s="188"/>
      <c r="H180" s="29"/>
      <c r="I180" s="35"/>
      <c r="J180" s="36"/>
      <c r="K180" s="171" t="str">
        <f>IF(H186&lt;&gt;"",IF(H188&lt;&gt;"",IF(H186=H188,"",IF(H186&gt;H188,G186,G188)),""),"")</f>
        <v>KEVIN KENJI SAKUDA</v>
      </c>
      <c r="L180" s="266">
        <v>0</v>
      </c>
      <c r="M180" s="106">
        <f>IF(L180&lt;&gt;"",L180,"")</f>
        <v>0</v>
      </c>
      <c r="N180" s="101" t="str">
        <f>IF(L180&lt;&gt;"",IF(K180="","",K180),"")</f>
        <v>KEVIN KENJI SAKUDA</v>
      </c>
      <c r="O180" s="190" t="str">
        <f>VLOOKUP(O178,M178:N180,2,0)</f>
        <v>KEVIN KENJI SAKUDA</v>
      </c>
      <c r="P180" s="101"/>
      <c r="Q180" s="100"/>
      <c r="R180" s="197"/>
      <c r="S180" s="37"/>
      <c r="T180" s="37"/>
      <c r="U180" s="37"/>
      <c r="V180" s="198"/>
      <c r="W180" s="37"/>
      <c r="X180" s="86"/>
      <c r="Y180" s="198"/>
      <c r="Z180" s="37"/>
      <c r="AA180" s="37"/>
      <c r="AB180" s="266">
        <v>1</v>
      </c>
      <c r="AC180" s="171" t="str">
        <f>IF(AF186&lt;&gt;"",IF(AF188&lt;&gt;"",IF(AF186=AF188,"",IF(AF186&gt;AF188,AG186,AG188)),""),"")</f>
        <v>JOÃO PEDRO FERREIRA SILVA</v>
      </c>
      <c r="AD180" s="37"/>
      <c r="AE180" s="89"/>
      <c r="AF180" s="37"/>
      <c r="AG180" s="198"/>
      <c r="AH180" s="37"/>
      <c r="AI180" s="37"/>
      <c r="AJ180" s="29"/>
      <c r="AK180" s="188"/>
      <c r="AL180" s="29"/>
    </row>
    <row r="181" spans="2:38" ht="18" customHeight="1" thickBot="1" x14ac:dyDescent="0.3">
      <c r="B181" s="133"/>
      <c r="C181" s="188"/>
      <c r="D181" s="29"/>
      <c r="E181" s="29"/>
      <c r="F181" s="29"/>
      <c r="G181" s="188"/>
      <c r="H181" s="29"/>
      <c r="I181" s="35"/>
      <c r="J181" s="29"/>
      <c r="K181" s="172" t="str">
        <f>IFERROR(IF(K180="","",VLOOKUP(K180,LISTAS!$F$5:$G$1004,2,0)),"0")</f>
        <v>CENTRO DE ESTUDOS JÚLIO VERNE</v>
      </c>
      <c r="L181" s="267"/>
      <c r="M181" s="101"/>
      <c r="N181" s="101"/>
      <c r="O181" s="190"/>
      <c r="P181" s="101"/>
      <c r="Q181" s="100"/>
      <c r="R181" s="197"/>
      <c r="S181" s="37"/>
      <c r="T181" s="37"/>
      <c r="U181" s="37"/>
      <c r="V181" s="198"/>
      <c r="W181" s="37"/>
      <c r="X181" s="86"/>
      <c r="Y181" s="198"/>
      <c r="Z181" s="37"/>
      <c r="AA181" s="37"/>
      <c r="AB181" s="267"/>
      <c r="AC181" s="172" t="str">
        <f>IFERROR(IF(AC180="","",VLOOKUP(AC180,LISTAS!$F$5:$G$1004,2,0)),"0")</f>
        <v>CENTRO DE ESTUDOS JÚLIO VERNE</v>
      </c>
      <c r="AD181" s="100"/>
      <c r="AE181" s="144"/>
      <c r="AF181" s="100"/>
      <c r="AG181" s="197"/>
      <c r="AH181" s="100"/>
      <c r="AI181" s="100"/>
      <c r="AJ181" s="29"/>
      <c r="AK181" s="188"/>
      <c r="AL181" s="29"/>
    </row>
    <row r="182" spans="2:38" ht="18" customHeight="1" x14ac:dyDescent="0.25">
      <c r="B182" s="133">
        <v>20</v>
      </c>
      <c r="C182" s="39" t="s">
        <v>429</v>
      </c>
      <c r="D182" s="266">
        <v>1</v>
      </c>
      <c r="E182" s="101">
        <f>IF(D182&lt;&gt;"",D182,"")</f>
        <v>1</v>
      </c>
      <c r="F182" s="101" t="str">
        <f>IF(D182&lt;&gt;"",IF(C182="","",C182),"")</f>
        <v>KEVIN KENJI SAKUDA</v>
      </c>
      <c r="G182" s="190">
        <f>IF(E182&lt;&gt;"",IF(E184&lt;&gt;"",SMALL(E182:E184,1),""),"")</f>
        <v>0</v>
      </c>
      <c r="H182" s="101"/>
      <c r="I182" s="35"/>
      <c r="J182" s="29"/>
      <c r="K182" s="188"/>
      <c r="L182" s="29"/>
      <c r="M182" s="101"/>
      <c r="N182" s="101"/>
      <c r="O182" s="190"/>
      <c r="P182" s="101"/>
      <c r="Q182" s="100"/>
      <c r="R182" s="197"/>
      <c r="S182" s="37"/>
      <c r="T182" s="37"/>
      <c r="U182" s="37"/>
      <c r="V182" s="198"/>
      <c r="W182" s="37"/>
      <c r="X182" s="86"/>
      <c r="Y182" s="198"/>
      <c r="Z182" s="37"/>
      <c r="AA182" s="37"/>
      <c r="AB182" s="29"/>
      <c r="AC182" s="198"/>
      <c r="AD182" s="100"/>
      <c r="AE182" s="144"/>
      <c r="AF182" s="100"/>
      <c r="AG182" s="197">
        <f>IF(AJ182&lt;&gt;"",AJ182,"")</f>
        <v>0</v>
      </c>
      <c r="AH182" s="100" t="str">
        <f>IF(AJ182&lt;&gt;"",IF(AK182="","",AK182),"")</f>
        <v>GABRIEL PIOVESAN ZAMPOLLO</v>
      </c>
      <c r="AI182" s="101">
        <f>IF(AG182&lt;&gt;"",IF(AG184&lt;&gt;"",SMALL(AG182:AG184,1),""),"")</f>
        <v>0</v>
      </c>
      <c r="AJ182" s="266">
        <v>0</v>
      </c>
      <c r="AK182" s="171" t="str">
        <f>IF('13M GRP'!G5&gt;=3,'13M GRP'!J205,IF('13M GRP'!G5=2,"",IF('13M GRP'!G5=1,"","")))</f>
        <v>GABRIEL PIOVESAN ZAMPOLLO</v>
      </c>
      <c r="AL182" s="29">
        <v>15</v>
      </c>
    </row>
    <row r="183" spans="2:38" ht="18" customHeight="1" thickBot="1" x14ac:dyDescent="0.3">
      <c r="B183" s="133"/>
      <c r="C183" s="172" t="str">
        <f>IFERROR(IF(C182="","",VLOOKUP(C182,LISTAS!$F$5:$G$1004,2,0)),"0")</f>
        <v>CENTRO DE ESTUDOS JÚLIO VERNE</v>
      </c>
      <c r="D183" s="267"/>
      <c r="E183" s="101"/>
      <c r="F183" s="101"/>
      <c r="G183" s="190"/>
      <c r="H183" s="101"/>
      <c r="I183" s="35"/>
      <c r="J183" s="29"/>
      <c r="K183" s="188"/>
      <c r="L183" s="29"/>
      <c r="M183" s="101"/>
      <c r="N183" s="101"/>
      <c r="O183" s="190"/>
      <c r="P183" s="101"/>
      <c r="Q183" s="100"/>
      <c r="R183" s="197"/>
      <c r="S183" s="37"/>
      <c r="T183" s="37"/>
      <c r="U183" s="37"/>
      <c r="V183" s="198"/>
      <c r="W183" s="37"/>
      <c r="X183" s="86"/>
      <c r="Y183" s="198"/>
      <c r="Z183" s="37"/>
      <c r="AA183" s="37"/>
      <c r="AB183" s="29"/>
      <c r="AC183" s="198"/>
      <c r="AD183" s="100"/>
      <c r="AE183" s="144"/>
      <c r="AF183" s="100"/>
      <c r="AG183" s="197"/>
      <c r="AH183" s="100"/>
      <c r="AI183" s="101"/>
      <c r="AJ183" s="267"/>
      <c r="AK183" s="172" t="str">
        <f>IFERROR(IF(AK182="","",VLOOKUP(AK182,LISTAS!$F$5:$G$1004,2,0)),"0")</f>
        <v>LICEU JARDIM</v>
      </c>
      <c r="AL183" s="29"/>
    </row>
    <row r="184" spans="2:38" ht="18" customHeight="1" x14ac:dyDescent="0.25">
      <c r="B184" s="133">
        <v>13</v>
      </c>
      <c r="C184" s="171"/>
      <c r="D184" s="266">
        <v>0</v>
      </c>
      <c r="E184" s="107">
        <f>IF(D184&lt;&gt;"",D184,"")</f>
        <v>0</v>
      </c>
      <c r="F184" s="101" t="str">
        <f>IF(D184&lt;&gt;"",IF(C184="","",C184),"")</f>
        <v/>
      </c>
      <c r="G184" s="190" t="str">
        <f>VLOOKUP(G182,E182:F184,2,0)</f>
        <v/>
      </c>
      <c r="H184" s="101"/>
      <c r="I184" s="35"/>
      <c r="J184" s="29"/>
      <c r="K184" s="188"/>
      <c r="L184" s="29"/>
      <c r="M184" s="101"/>
      <c r="N184" s="101"/>
      <c r="O184" s="190"/>
      <c r="P184" s="101"/>
      <c r="Q184" s="100"/>
      <c r="R184" s="197"/>
      <c r="S184" s="37"/>
      <c r="T184" s="37"/>
      <c r="U184" s="37"/>
      <c r="V184" s="198"/>
      <c r="W184" s="37"/>
      <c r="X184" s="86"/>
      <c r="Y184" s="198"/>
      <c r="Z184" s="37"/>
      <c r="AA184" s="37"/>
      <c r="AB184" s="29"/>
      <c r="AC184" s="198"/>
      <c r="AD184" s="100"/>
      <c r="AE184" s="144"/>
      <c r="AF184" s="100"/>
      <c r="AG184" s="197">
        <f>IF(AJ184&lt;&gt;"",AJ184,"")</f>
        <v>1</v>
      </c>
      <c r="AH184" s="100" t="str">
        <f>IF(AJ184&lt;&gt;"",IF(AK184="","",AK184),"")</f>
        <v>JOÃO PEDRO FERREIRA SILVA</v>
      </c>
      <c r="AI184" s="102" t="str">
        <f>VLOOKUP(AI182,AG182:AH184,2,0)</f>
        <v>GABRIEL PIOVESAN ZAMPOLLO</v>
      </c>
      <c r="AJ184" s="266">
        <v>1</v>
      </c>
      <c r="AK184" s="39" t="s">
        <v>425</v>
      </c>
      <c r="AL184" s="29">
        <v>18</v>
      </c>
    </row>
    <row r="185" spans="2:38" ht="18" customHeight="1" thickBot="1" x14ac:dyDescent="0.3">
      <c r="B185" s="133"/>
      <c r="C185" s="172" t="str">
        <f>IFERROR(IF(C184="","",VLOOKUP(C184,LISTAS!$F$5:$G$1004,2,0)),"0")</f>
        <v/>
      </c>
      <c r="D185" s="267"/>
      <c r="E185" s="148"/>
      <c r="F185" s="101"/>
      <c r="G185" s="190"/>
      <c r="H185" s="101"/>
      <c r="I185" s="35"/>
      <c r="J185" s="29"/>
      <c r="K185" s="188"/>
      <c r="L185" s="29"/>
      <c r="M185" s="29"/>
      <c r="N185" s="29"/>
      <c r="O185" s="188"/>
      <c r="P185" s="29"/>
      <c r="Q185" s="37"/>
      <c r="R185" s="198"/>
      <c r="S185" s="37"/>
      <c r="T185" s="37"/>
      <c r="U185" s="37"/>
      <c r="V185" s="198"/>
      <c r="W185" s="37"/>
      <c r="X185" s="86"/>
      <c r="Y185" s="198"/>
      <c r="Z185" s="37"/>
      <c r="AA185" s="37"/>
      <c r="AB185" s="29"/>
      <c r="AC185" s="198"/>
      <c r="AD185" s="100"/>
      <c r="AE185" s="144"/>
      <c r="AF185" s="100"/>
      <c r="AG185" s="197"/>
      <c r="AH185" s="146"/>
      <c r="AI185" s="101"/>
      <c r="AJ185" s="267"/>
      <c r="AK185" s="172" t="str">
        <f>IFERROR(IF(AK184="","",VLOOKUP(AK184,LISTAS!$F$5:$G$1004,2,0)),"0")</f>
        <v>CENTRO DE ESTUDOS JÚLIO VERNE</v>
      </c>
      <c r="AL185" s="29"/>
    </row>
    <row r="186" spans="2:38" ht="18" customHeight="1" x14ac:dyDescent="0.25">
      <c r="B186" s="133"/>
      <c r="C186" s="188"/>
      <c r="D186" s="29"/>
      <c r="E186" s="29"/>
      <c r="F186" s="34"/>
      <c r="G186" s="171" t="str">
        <f>IF(D182&lt;&gt;"",IF(D184&lt;&gt;"",IF(D182=D184,"",IF(D182&gt;D184,C182,C184)),""),"")</f>
        <v>KEVIN KENJI SAKUDA</v>
      </c>
      <c r="H186" s="266">
        <v>1</v>
      </c>
      <c r="I186" s="148">
        <f>IF(H186&lt;&gt;"",H186,"")</f>
        <v>1</v>
      </c>
      <c r="J186" s="101" t="str">
        <f>IF(H186&lt;&gt;"",IF(G186="","",G186),"")</f>
        <v>KEVIN KENJI SAKUDA</v>
      </c>
      <c r="K186" s="190">
        <f>IF(I186&lt;&gt;"",IF(I188&lt;&gt;"",SMALL(I186:J188,1),""),"")</f>
        <v>0</v>
      </c>
      <c r="L186" s="101"/>
      <c r="M186" s="29"/>
      <c r="N186" s="29"/>
      <c r="O186" s="188"/>
      <c r="P186" s="29"/>
      <c r="Q186" s="37"/>
      <c r="R186" s="198"/>
      <c r="S186" s="37"/>
      <c r="T186" s="37"/>
      <c r="U186" s="37"/>
      <c r="V186" s="198"/>
      <c r="W186" s="37"/>
      <c r="X186" s="86"/>
      <c r="Y186" s="198"/>
      <c r="Z186" s="37"/>
      <c r="AA186" s="37"/>
      <c r="AB186" s="29"/>
      <c r="AC186" s="198"/>
      <c r="AD186" s="37"/>
      <c r="AE186" s="89"/>
      <c r="AF186" s="266">
        <v>1</v>
      </c>
      <c r="AG186" s="171" t="str">
        <f>IF(AJ182&lt;&gt;"",IF(AJ184&lt;&gt;"",IF(AJ182=AJ184,"",IF(AJ182&gt;AJ184,AK182,AK184)),""),"")</f>
        <v>JOÃO PEDRO FERREIRA SILVA</v>
      </c>
      <c r="AH186" s="94"/>
      <c r="AI186" s="37"/>
      <c r="AJ186" s="29"/>
      <c r="AK186" s="188"/>
      <c r="AL186" s="29"/>
    </row>
    <row r="187" spans="2:38" ht="18" customHeight="1" thickBot="1" x14ac:dyDescent="0.3">
      <c r="B187" s="133"/>
      <c r="C187" s="188"/>
      <c r="D187" s="29"/>
      <c r="E187" s="29"/>
      <c r="F187" s="34"/>
      <c r="G187" s="172" t="str">
        <f>IFERROR(IF(G186="","",VLOOKUP(G186,LISTAS!$F$5:$G$1004,2,0)),"0")</f>
        <v>CENTRO DE ESTUDOS JÚLIO VERNE</v>
      </c>
      <c r="H187" s="267"/>
      <c r="I187" s="105"/>
      <c r="J187" s="101"/>
      <c r="K187" s="190"/>
      <c r="L187" s="101"/>
      <c r="M187" s="29"/>
      <c r="N187" s="29"/>
      <c r="O187" s="188"/>
      <c r="P187" s="29"/>
      <c r="Q187" s="37"/>
      <c r="R187" s="198"/>
      <c r="S187" s="37"/>
      <c r="T187" s="37"/>
      <c r="U187" s="37"/>
      <c r="V187" s="198"/>
      <c r="W187" s="37"/>
      <c r="X187" s="86"/>
      <c r="Y187" s="198"/>
      <c r="Z187" s="37"/>
      <c r="AA187" s="37"/>
      <c r="AB187" s="29"/>
      <c r="AC187" s="198"/>
      <c r="AD187" s="37"/>
      <c r="AE187" s="90"/>
      <c r="AF187" s="267"/>
      <c r="AG187" s="172" t="str">
        <f>IFERROR(IF(AG186="","",VLOOKUP(AG186,LISTAS!$F$5:$G$1004,2,0)),"0")</f>
        <v>CENTRO DE ESTUDOS JÚLIO VERNE</v>
      </c>
      <c r="AH187" s="94"/>
      <c r="AI187" s="37"/>
      <c r="AJ187" s="29"/>
      <c r="AK187" s="188"/>
      <c r="AL187" s="29"/>
    </row>
    <row r="188" spans="2:38" ht="18" customHeight="1" x14ac:dyDescent="0.25">
      <c r="B188" s="133"/>
      <c r="C188" s="188"/>
      <c r="D188" s="29"/>
      <c r="E188" s="35"/>
      <c r="F188" s="36"/>
      <c r="G188" s="171" t="str">
        <f>IF(D190&lt;&gt;"",IF(D192&lt;&gt;"",IF(D190=D192,"",IF(D190&gt;D192,C190,C192)),""),"")</f>
        <v>Pedro Araujo Rodrigues</v>
      </c>
      <c r="H188" s="266">
        <v>0</v>
      </c>
      <c r="I188" s="106">
        <f>IF(H188&lt;&gt;"",H188,"")</f>
        <v>0</v>
      </c>
      <c r="J188" s="101" t="str">
        <f>IF(H188&lt;&gt;"",IF(G188="","",G188),"")</f>
        <v>Pedro Araujo Rodrigues</v>
      </c>
      <c r="K188" s="190" t="str">
        <f>VLOOKUP(K186,I186:J188,2,0)</f>
        <v>Pedro Araujo Rodrigues</v>
      </c>
      <c r="L188" s="101"/>
      <c r="M188" s="29"/>
      <c r="N188" s="29"/>
      <c r="O188" s="188"/>
      <c r="P188" s="29"/>
      <c r="Q188" s="37"/>
      <c r="R188" s="198"/>
      <c r="S188" s="37"/>
      <c r="T188" s="37"/>
      <c r="U188" s="37"/>
      <c r="V188" s="198"/>
      <c r="W188" s="37"/>
      <c r="X188" s="86"/>
      <c r="Y188" s="198"/>
      <c r="Z188" s="37"/>
      <c r="AA188" s="37"/>
      <c r="AB188" s="29"/>
      <c r="AC188" s="198"/>
      <c r="AD188" s="37"/>
      <c r="AE188" s="91"/>
      <c r="AF188" s="266">
        <v>0</v>
      </c>
      <c r="AG188" s="171" t="str">
        <f>IF(AJ190&lt;&gt;"",IF(AJ192&lt;&gt;"",IF(AJ190=AJ192,"",IF(AJ190&gt;AJ192,AK190,AK192)),""),"")</f>
        <v>Giovanni Dias Rinco de Oliveira</v>
      </c>
      <c r="AH188" s="98"/>
      <c r="AI188" s="37"/>
      <c r="AJ188" s="29"/>
      <c r="AK188" s="188"/>
      <c r="AL188" s="29"/>
    </row>
    <row r="189" spans="2:38" ht="18" customHeight="1" thickBot="1" x14ac:dyDescent="0.3">
      <c r="B189" s="133"/>
      <c r="C189" s="188"/>
      <c r="D189" s="29"/>
      <c r="E189" s="35"/>
      <c r="F189" s="29"/>
      <c r="G189" s="172" t="str">
        <f>IFERROR(IF(G188="","",VLOOKUP(G188,LISTAS!$F$5:$G$1004,2,0)),"0")</f>
        <v>ESCOLA INTERAÇÃO</v>
      </c>
      <c r="H189" s="267"/>
      <c r="I189" s="101"/>
      <c r="J189" s="101"/>
      <c r="K189" s="190"/>
      <c r="L189" s="101"/>
      <c r="M189" s="29"/>
      <c r="N189" s="29"/>
      <c r="O189" s="188"/>
      <c r="P189" s="29"/>
      <c r="Q189" s="37"/>
      <c r="R189" s="198"/>
      <c r="S189" s="37"/>
      <c r="T189" s="37"/>
      <c r="U189" s="37"/>
      <c r="V189" s="198"/>
      <c r="W189" s="37"/>
      <c r="X189" s="86"/>
      <c r="Y189" s="198"/>
      <c r="Z189" s="37"/>
      <c r="AA189" s="37"/>
      <c r="AB189" s="29"/>
      <c r="AC189" s="198"/>
      <c r="AD189" s="37"/>
      <c r="AE189" s="37"/>
      <c r="AF189" s="267"/>
      <c r="AG189" s="172" t="str">
        <f>IFERROR(IF(AG188="","",VLOOKUP(AG188,LISTAS!$F$5:$G$1004,2,0)),"0")</f>
        <v>ESCOLA INTERAÇÃO</v>
      </c>
      <c r="AH189" s="37"/>
      <c r="AI189" s="89"/>
      <c r="AJ189" s="29"/>
      <c r="AK189" s="188"/>
      <c r="AL189" s="29"/>
    </row>
    <row r="190" spans="2:38" ht="18" customHeight="1" x14ac:dyDescent="0.25">
      <c r="B190" s="133">
        <v>29</v>
      </c>
      <c r="C190" s="171" t="str">
        <f>IF('13M GRP'!G5&gt;=3,'13M GRP'!J387,IF('13M GRP'!G5=2,"",IF('13M GRP'!G5=1,"","")))</f>
        <v>Pedro Araujo Rodrigues</v>
      </c>
      <c r="D190" s="266">
        <v>1</v>
      </c>
      <c r="E190" s="148">
        <f>IF(D190&lt;&gt;"",D190,"")</f>
        <v>1</v>
      </c>
      <c r="F190" s="101" t="str">
        <f>IF(D190&lt;&gt;"",IF(C190="","",C190),"")</f>
        <v>Pedro Araujo Rodrigues</v>
      </c>
      <c r="G190" s="190">
        <f>IF(E190&lt;&gt;"",IF(E192&lt;&gt;"",SMALL(E190:E192,1),""),"")</f>
        <v>0</v>
      </c>
      <c r="H190" s="101"/>
      <c r="I190" s="101"/>
      <c r="J190" s="101"/>
      <c r="K190" s="190"/>
      <c r="L190" s="101"/>
      <c r="M190" s="29"/>
      <c r="N190" s="29"/>
      <c r="O190" s="188"/>
      <c r="P190" s="29"/>
      <c r="Q190" s="37"/>
      <c r="R190" s="198"/>
      <c r="S190" s="37"/>
      <c r="T190" s="37"/>
      <c r="U190" s="37"/>
      <c r="V190" s="198"/>
      <c r="W190" s="37"/>
      <c r="X190" s="86"/>
      <c r="Y190" s="198"/>
      <c r="Z190" s="37"/>
      <c r="AA190" s="37"/>
      <c r="AB190" s="29"/>
      <c r="AC190" s="198"/>
      <c r="AD190" s="100"/>
      <c r="AE190" s="100"/>
      <c r="AF190" s="100"/>
      <c r="AG190" s="197">
        <f>IF(AJ190&lt;&gt;"",AJ190,"")</f>
        <v>1</v>
      </c>
      <c r="AH190" s="100" t="str">
        <f>IF(AJ190&lt;&gt;"",IF(AK190="","",AK190),"")</f>
        <v>Giovanni Dias Rinco de Oliveira</v>
      </c>
      <c r="AI190" s="137">
        <f>IF(AG190&lt;&gt;"",IF(AG192&lt;&gt;"",SMALL(AG190:AG192,1),""),"")</f>
        <v>0</v>
      </c>
      <c r="AJ190" s="266">
        <v>1</v>
      </c>
      <c r="AK190" s="171" t="str">
        <f>IF('13M GRP'!G5&gt;=3,'13M GRP'!J413,IF('13M GRP'!G5=2,"",IF('13M GRP'!G5=1,"","")))</f>
        <v>Giovanni Dias Rinco de Oliveira</v>
      </c>
      <c r="AL190" s="29">
        <v>31</v>
      </c>
    </row>
    <row r="191" spans="2:38" ht="18" customHeight="1" thickBot="1" x14ac:dyDescent="0.3">
      <c r="B191" s="133"/>
      <c r="C191" s="172" t="str">
        <f>IFERROR(IF(C190="","",VLOOKUP(C190,LISTAS!$F$5:$G$1004,2,0)),"0")</f>
        <v>ESCOLA INTERAÇÃO</v>
      </c>
      <c r="D191" s="267"/>
      <c r="E191" s="105"/>
      <c r="F191" s="101"/>
      <c r="G191" s="190"/>
      <c r="H191" s="101"/>
      <c r="I191" s="101"/>
      <c r="J191" s="101"/>
      <c r="K191" s="190"/>
      <c r="L191" s="101"/>
      <c r="M191" s="29"/>
      <c r="N191" s="29"/>
      <c r="O191" s="188"/>
      <c r="P191" s="29"/>
      <c r="Q191" s="37"/>
      <c r="R191" s="198"/>
      <c r="S191" s="37"/>
      <c r="T191" s="37"/>
      <c r="U191" s="37"/>
      <c r="V191" s="198"/>
      <c r="W191" s="37"/>
      <c r="X191" s="86"/>
      <c r="Y191" s="198"/>
      <c r="Z191" s="37"/>
      <c r="AA191" s="37"/>
      <c r="AB191" s="29"/>
      <c r="AC191" s="198"/>
      <c r="AD191" s="100"/>
      <c r="AE191" s="100"/>
      <c r="AF191" s="100"/>
      <c r="AG191" s="197"/>
      <c r="AH191" s="100"/>
      <c r="AI191" s="103"/>
      <c r="AJ191" s="267"/>
      <c r="AK191" s="172" t="str">
        <f>IFERROR(IF(AK190="","",VLOOKUP(AK190,LISTAS!$F$5:$G$1004,2,0)),"0")</f>
        <v>ESCOLA INTERAÇÃO</v>
      </c>
      <c r="AL191" s="29"/>
    </row>
    <row r="192" spans="2:38" x14ac:dyDescent="0.25">
      <c r="B192" s="133">
        <v>4</v>
      </c>
      <c r="C192" s="171"/>
      <c r="D192" s="266">
        <v>0</v>
      </c>
      <c r="E192" s="106">
        <f>IF(D192&lt;&gt;"",D192,"")</f>
        <v>0</v>
      </c>
      <c r="F192" s="101" t="str">
        <f>IF(D192&lt;&gt;"",IF(C192="","",C192),"")</f>
        <v/>
      </c>
      <c r="G192" s="190" t="str">
        <f>VLOOKUP(G190,E190:F192,2,0)</f>
        <v/>
      </c>
      <c r="H192" s="101"/>
      <c r="I192" s="101"/>
      <c r="J192" s="101"/>
      <c r="K192" s="190"/>
      <c r="L192" s="101"/>
      <c r="M192" s="29"/>
      <c r="N192" s="29"/>
      <c r="O192" s="188"/>
      <c r="P192" s="29"/>
      <c r="Q192" s="37"/>
      <c r="R192" s="198"/>
      <c r="S192" s="37"/>
      <c r="T192" s="37"/>
      <c r="U192" s="37"/>
      <c r="V192" s="198"/>
      <c r="W192" s="37"/>
      <c r="X192" s="86"/>
      <c r="Y192" s="198"/>
      <c r="Z192" s="37"/>
      <c r="AA192" s="37"/>
      <c r="AB192" s="29"/>
      <c r="AC192" s="198"/>
      <c r="AD192" s="100"/>
      <c r="AE192" s="100"/>
      <c r="AF192" s="100"/>
      <c r="AG192" s="197">
        <f>IF(AJ192&lt;&gt;"",AJ192,"")</f>
        <v>0</v>
      </c>
      <c r="AH192" s="100" t="str">
        <f>IF(AJ192&lt;&gt;"",IF(AK192="","",AK192),"")</f>
        <v/>
      </c>
      <c r="AI192" s="104" t="str">
        <f>VLOOKUP(AI190,AG190:AH192,2,0)</f>
        <v/>
      </c>
      <c r="AJ192" s="266">
        <v>0</v>
      </c>
      <c r="AK192" s="171"/>
      <c r="AL192" s="29">
        <v>2</v>
      </c>
    </row>
    <row r="193" spans="2:38" ht="17.25" thickBot="1" x14ac:dyDescent="0.3">
      <c r="B193" s="133"/>
      <c r="C193" s="172" t="str">
        <f>IFERROR(IF(C192="","",VLOOKUP(C192,LISTAS!$F$5:$G$1004,2,0)),"0")</f>
        <v/>
      </c>
      <c r="D193" s="267"/>
      <c r="E193" s="101"/>
      <c r="F193" s="101"/>
      <c r="G193" s="190"/>
      <c r="H193" s="101"/>
      <c r="I193" s="101"/>
      <c r="J193" s="101"/>
      <c r="K193" s="190"/>
      <c r="L193" s="101"/>
      <c r="M193" s="29"/>
      <c r="N193" s="29"/>
      <c r="O193" s="188"/>
      <c r="P193" s="29"/>
      <c r="Q193" s="37"/>
      <c r="R193" s="198"/>
      <c r="S193" s="37"/>
      <c r="T193" s="37"/>
      <c r="U193" s="37"/>
      <c r="V193" s="198"/>
      <c r="W193" s="37"/>
      <c r="X193" s="86"/>
      <c r="Y193" s="198"/>
      <c r="Z193" s="37"/>
      <c r="AA193" s="37"/>
      <c r="AB193" s="29"/>
      <c r="AC193" s="198"/>
      <c r="AD193" s="100"/>
      <c r="AE193" s="100"/>
      <c r="AF193" s="100"/>
      <c r="AG193" s="197"/>
      <c r="AH193" s="100"/>
      <c r="AI193" s="101"/>
      <c r="AJ193" s="267"/>
      <c r="AK193" s="172" t="str">
        <f>IFERROR(IF(AK192="","",VLOOKUP(AK192,LISTAS!$F$5:$G$1004,2,0)),"0")</f>
        <v/>
      </c>
      <c r="AL193" s="29"/>
    </row>
    <row r="194" spans="2:38" x14ac:dyDescent="0.25">
      <c r="B194" s="133"/>
      <c r="C194" s="189"/>
      <c r="D194" s="84"/>
      <c r="E194" s="149"/>
      <c r="F194" s="149"/>
      <c r="G194" s="194"/>
      <c r="H194" s="149"/>
      <c r="I194" s="149"/>
      <c r="J194" s="149"/>
      <c r="K194" s="194"/>
      <c r="L194" s="149"/>
      <c r="M194" s="84"/>
      <c r="N194" s="84"/>
      <c r="O194" s="189"/>
      <c r="P194" s="84"/>
      <c r="Q194" s="37"/>
      <c r="R194" s="198"/>
      <c r="S194" s="37"/>
      <c r="T194" s="37"/>
      <c r="U194" s="37"/>
      <c r="V194" s="198"/>
      <c r="W194" s="37"/>
      <c r="X194" s="86"/>
      <c r="Y194" s="198"/>
      <c r="Z194" s="37"/>
      <c r="AA194" s="37"/>
      <c r="AB194" s="29"/>
      <c r="AC194" s="198"/>
      <c r="AD194" s="100"/>
      <c r="AE194" s="100"/>
      <c r="AF194" s="100"/>
      <c r="AG194" s="197"/>
      <c r="AH194" s="100"/>
      <c r="AI194" s="100"/>
      <c r="AJ194" s="84"/>
      <c r="AK194" s="189"/>
      <c r="AL194" s="29"/>
    </row>
    <row r="195" spans="2:38" x14ac:dyDescent="0.25">
      <c r="B195" s="29"/>
      <c r="C195" s="189"/>
      <c r="D195" s="84"/>
      <c r="E195" s="84"/>
      <c r="F195" s="84"/>
      <c r="G195" s="189"/>
      <c r="H195" s="84"/>
      <c r="I195" s="84"/>
      <c r="J195" s="84"/>
      <c r="K195" s="189"/>
      <c r="L195" s="84"/>
      <c r="M195" s="84"/>
      <c r="N195" s="84"/>
      <c r="O195" s="189"/>
      <c r="P195" s="84"/>
      <c r="Q195" s="37"/>
      <c r="R195" s="198"/>
      <c r="S195" s="37"/>
      <c r="T195" s="37"/>
      <c r="U195" s="37"/>
      <c r="V195" s="198"/>
      <c r="W195" s="37"/>
      <c r="X195" s="86"/>
      <c r="Y195" s="198"/>
      <c r="Z195" s="37"/>
      <c r="AA195" s="37"/>
      <c r="AB195" s="29"/>
      <c r="AC195" s="198"/>
      <c r="AD195" s="37"/>
      <c r="AE195" s="37"/>
      <c r="AF195" s="37"/>
      <c r="AG195" s="198"/>
      <c r="AH195" s="37"/>
      <c r="AI195" s="37"/>
      <c r="AJ195" s="84"/>
      <c r="AK195" s="189"/>
      <c r="AL195" s="29"/>
    </row>
    <row r="196" spans="2:38" x14ac:dyDescent="0.25">
      <c r="B196" s="2"/>
      <c r="D196" s="2"/>
      <c r="E196" s="2"/>
      <c r="F196" s="2"/>
      <c r="G196" s="163"/>
      <c r="H196" s="2"/>
      <c r="I196" s="2"/>
      <c r="J196" s="2"/>
      <c r="K196" s="163"/>
      <c r="L196" s="2"/>
      <c r="M196" s="2"/>
      <c r="N196" s="2"/>
      <c r="O196" s="163"/>
      <c r="P196" s="2"/>
      <c r="W196" s="2"/>
      <c r="Y196" s="163"/>
      <c r="Z196" s="2"/>
      <c r="AA196" s="2"/>
      <c r="AB196" s="2"/>
      <c r="AC196" s="163"/>
      <c r="AD196" s="2"/>
      <c r="AE196" s="2"/>
      <c r="AF196" s="2"/>
      <c r="AG196" s="163"/>
      <c r="AH196" s="2"/>
      <c r="AI196" s="2"/>
      <c r="AJ196" s="2"/>
      <c r="AK196" s="163"/>
    </row>
    <row r="197" spans="2:38" x14ac:dyDescent="0.25">
      <c r="B197" s="2"/>
      <c r="D197" s="2"/>
      <c r="E197" s="2"/>
      <c r="F197" s="2"/>
      <c r="G197" s="163"/>
      <c r="H197" s="2"/>
      <c r="I197" s="2"/>
      <c r="J197" s="2"/>
      <c r="K197" s="163"/>
      <c r="L197" s="2"/>
      <c r="M197" s="2"/>
      <c r="N197" s="2"/>
      <c r="O197" s="163"/>
      <c r="P197" s="2"/>
      <c r="W197" s="2"/>
      <c r="Y197" s="163"/>
      <c r="Z197" s="2"/>
      <c r="AA197" s="2"/>
      <c r="AB197" s="2"/>
      <c r="AC197" s="163"/>
      <c r="AD197" s="2"/>
      <c r="AE197" s="2"/>
      <c r="AF197" s="2"/>
      <c r="AG197" s="163"/>
      <c r="AH197" s="2"/>
      <c r="AI197" s="2"/>
      <c r="AJ197" s="2"/>
      <c r="AK197" s="163"/>
    </row>
    <row r="198" spans="2:38" x14ac:dyDescent="0.25">
      <c r="B198" s="2"/>
      <c r="D198" s="2"/>
      <c r="E198" s="2"/>
      <c r="F198" s="2"/>
      <c r="G198" s="163"/>
      <c r="H198" s="2"/>
      <c r="I198" s="2"/>
      <c r="J198" s="2"/>
      <c r="K198" s="163"/>
      <c r="L198" s="2"/>
      <c r="M198" s="2"/>
      <c r="N198" s="2"/>
      <c r="O198" s="163"/>
      <c r="P198" s="2"/>
      <c r="W198" s="2"/>
      <c r="Y198" s="163"/>
      <c r="Z198" s="2"/>
      <c r="AA198" s="2"/>
      <c r="AB198" s="2"/>
      <c r="AC198" s="163"/>
      <c r="AD198" s="2"/>
      <c r="AE198" s="2"/>
      <c r="AF198" s="2"/>
      <c r="AG198" s="163"/>
      <c r="AH198" s="2"/>
      <c r="AI198" s="2"/>
      <c r="AJ198" s="2"/>
      <c r="AK198" s="163"/>
    </row>
    <row r="199" spans="2:38" x14ac:dyDescent="0.25">
      <c r="B199" s="2"/>
      <c r="D199" s="2"/>
      <c r="E199" s="2"/>
      <c r="F199" s="2"/>
      <c r="G199" s="163"/>
      <c r="H199" s="2"/>
      <c r="I199" s="2"/>
      <c r="J199" s="2"/>
      <c r="K199" s="163"/>
      <c r="L199" s="2"/>
      <c r="M199" s="2"/>
      <c r="N199" s="2"/>
      <c r="O199" s="163"/>
      <c r="P199" s="2"/>
      <c r="W199" s="2"/>
      <c r="Y199" s="163"/>
      <c r="Z199" s="2"/>
      <c r="AA199" s="2"/>
      <c r="AB199" s="2"/>
      <c r="AC199" s="163"/>
      <c r="AD199" s="2"/>
      <c r="AE199" s="2"/>
      <c r="AF199" s="2"/>
      <c r="AG199" s="163"/>
      <c r="AH199" s="2"/>
      <c r="AI199" s="2"/>
      <c r="AJ199" s="2"/>
      <c r="AK199" s="163"/>
    </row>
    <row r="200" spans="2:38" x14ac:dyDescent="0.25">
      <c r="B200" s="2"/>
      <c r="D200" s="2"/>
      <c r="E200" s="2"/>
      <c r="F200" s="2"/>
      <c r="G200" s="163"/>
      <c r="H200" s="2"/>
      <c r="I200" s="2"/>
      <c r="J200" s="2"/>
      <c r="K200" s="163"/>
      <c r="L200" s="2"/>
      <c r="M200" s="2"/>
      <c r="N200" s="2"/>
      <c r="O200" s="163"/>
      <c r="P200" s="2"/>
      <c r="W200" s="2"/>
      <c r="Y200" s="163"/>
      <c r="Z200" s="2"/>
      <c r="AA200" s="2"/>
      <c r="AB200" s="2"/>
      <c r="AC200" s="163"/>
      <c r="AD200" s="2"/>
      <c r="AE200" s="2"/>
      <c r="AF200" s="2"/>
      <c r="AG200" s="163"/>
      <c r="AH200" s="2"/>
      <c r="AI200" s="2"/>
      <c r="AJ200" s="2"/>
      <c r="AK200" s="163"/>
    </row>
  </sheetData>
  <mergeCells count="211">
    <mergeCell ref="B2:AL4"/>
    <mergeCell ref="B5:D5"/>
    <mergeCell ref="AP5:AQ5"/>
    <mergeCell ref="B6:AL6"/>
    <mergeCell ref="H14:H15"/>
    <mergeCell ref="AF14:AF15"/>
    <mergeCell ref="D16:D17"/>
    <mergeCell ref="AJ16:AJ17"/>
    <mergeCell ref="AP2:AU3"/>
    <mergeCell ref="AP6:AU6"/>
    <mergeCell ref="D18:D19"/>
    <mergeCell ref="AJ18:AJ19"/>
    <mergeCell ref="AP7:AQ7"/>
    <mergeCell ref="D8:D9"/>
    <mergeCell ref="AJ8:AJ9"/>
    <mergeCell ref="D10:D11"/>
    <mergeCell ref="AJ10:AJ11"/>
    <mergeCell ref="H12:H13"/>
    <mergeCell ref="AF12:AF13"/>
    <mergeCell ref="D26:D27"/>
    <mergeCell ref="AJ26:AJ27"/>
    <mergeCell ref="H28:H29"/>
    <mergeCell ref="AF28:AF29"/>
    <mergeCell ref="H30:H31"/>
    <mergeCell ref="AF30:AF31"/>
    <mergeCell ref="L20:L21"/>
    <mergeCell ref="AB20:AB21"/>
    <mergeCell ref="L22:L23"/>
    <mergeCell ref="AB22:AB23"/>
    <mergeCell ref="D24:D25"/>
    <mergeCell ref="AJ24:AJ25"/>
    <mergeCell ref="R20:V20"/>
    <mergeCell ref="R21:V21"/>
    <mergeCell ref="P37:P38"/>
    <mergeCell ref="X37:X38"/>
    <mergeCell ref="D38:D39"/>
    <mergeCell ref="AJ38:AJ39"/>
    <mergeCell ref="D40:D41"/>
    <mergeCell ref="AJ40:AJ41"/>
    <mergeCell ref="D32:D33"/>
    <mergeCell ref="AJ32:AJ33"/>
    <mergeCell ref="D34:D35"/>
    <mergeCell ref="R34:V34"/>
    <mergeCell ref="AJ34:AJ35"/>
    <mergeCell ref="P35:P36"/>
    <mergeCell ref="X35:X36"/>
    <mergeCell ref="S36:S37"/>
    <mergeCell ref="T36:T37"/>
    <mergeCell ref="U36:U37"/>
    <mergeCell ref="D48:D49"/>
    <mergeCell ref="AJ48:AJ49"/>
    <mergeCell ref="L50:L51"/>
    <mergeCell ref="AB50:AB51"/>
    <mergeCell ref="L52:L53"/>
    <mergeCell ref="AB52:AB53"/>
    <mergeCell ref="H42:H43"/>
    <mergeCell ref="AF42:AF43"/>
    <mergeCell ref="H44:H45"/>
    <mergeCell ref="AF44:AF45"/>
    <mergeCell ref="D46:D47"/>
    <mergeCell ref="AJ46:AJ47"/>
    <mergeCell ref="H60:H61"/>
    <mergeCell ref="AF60:AF61"/>
    <mergeCell ref="D62:D63"/>
    <mergeCell ref="AJ62:AJ63"/>
    <mergeCell ref="D64:D65"/>
    <mergeCell ref="AJ64:AJ65"/>
    <mergeCell ref="D54:D55"/>
    <mergeCell ref="AJ54:AJ55"/>
    <mergeCell ref="D56:D57"/>
    <mergeCell ref="AJ56:AJ57"/>
    <mergeCell ref="H58:H59"/>
    <mergeCell ref="AF58:AF59"/>
    <mergeCell ref="H76:H77"/>
    <mergeCell ref="AF76:AF77"/>
    <mergeCell ref="H78:H79"/>
    <mergeCell ref="AF78:AF79"/>
    <mergeCell ref="D80:D81"/>
    <mergeCell ref="AJ80:AJ81"/>
    <mergeCell ref="B70:AL70"/>
    <mergeCell ref="AP71:AQ71"/>
    <mergeCell ref="D72:D73"/>
    <mergeCell ref="AJ72:AJ73"/>
    <mergeCell ref="D74:D75"/>
    <mergeCell ref="AJ74:AJ75"/>
    <mergeCell ref="AP70:AU70"/>
    <mergeCell ref="D88:D89"/>
    <mergeCell ref="AJ88:AJ89"/>
    <mergeCell ref="D90:D91"/>
    <mergeCell ref="AJ90:AJ91"/>
    <mergeCell ref="H92:H93"/>
    <mergeCell ref="AF92:AF93"/>
    <mergeCell ref="D82:D83"/>
    <mergeCell ref="AJ82:AJ83"/>
    <mergeCell ref="L84:L85"/>
    <mergeCell ref="AB84:AB85"/>
    <mergeCell ref="L86:L87"/>
    <mergeCell ref="AB86:AB87"/>
    <mergeCell ref="R84:V84"/>
    <mergeCell ref="R85:V85"/>
    <mergeCell ref="H94:H95"/>
    <mergeCell ref="AF94:AF95"/>
    <mergeCell ref="D96:D97"/>
    <mergeCell ref="AJ96:AJ97"/>
    <mergeCell ref="D98:D99"/>
    <mergeCell ref="R98:V98"/>
    <mergeCell ref="AJ98:AJ99"/>
    <mergeCell ref="P99:P100"/>
    <mergeCell ref="X99:X100"/>
    <mergeCell ref="S100:S101"/>
    <mergeCell ref="D104:D105"/>
    <mergeCell ref="AJ104:AJ105"/>
    <mergeCell ref="H106:H107"/>
    <mergeCell ref="AF106:AF107"/>
    <mergeCell ref="H108:H109"/>
    <mergeCell ref="AF108:AF109"/>
    <mergeCell ref="T100:T101"/>
    <mergeCell ref="U100:U101"/>
    <mergeCell ref="P101:P102"/>
    <mergeCell ref="X101:X102"/>
    <mergeCell ref="D102:D103"/>
    <mergeCell ref="AJ102:AJ103"/>
    <mergeCell ref="L116:L117"/>
    <mergeCell ref="AB116:AB117"/>
    <mergeCell ref="D118:D119"/>
    <mergeCell ref="AJ118:AJ119"/>
    <mergeCell ref="D120:D121"/>
    <mergeCell ref="AJ120:AJ121"/>
    <mergeCell ref="D110:D111"/>
    <mergeCell ref="AJ110:AJ111"/>
    <mergeCell ref="D112:D113"/>
    <mergeCell ref="AJ112:AJ113"/>
    <mergeCell ref="L114:L115"/>
    <mergeCell ref="AB114:AB115"/>
    <mergeCell ref="D128:D129"/>
    <mergeCell ref="AJ128:AJ129"/>
    <mergeCell ref="B134:AL134"/>
    <mergeCell ref="AP135:AQ135"/>
    <mergeCell ref="D136:D137"/>
    <mergeCell ref="AJ136:AJ137"/>
    <mergeCell ref="H122:H123"/>
    <mergeCell ref="AF122:AF123"/>
    <mergeCell ref="H124:H125"/>
    <mergeCell ref="AF124:AF125"/>
    <mergeCell ref="D126:D127"/>
    <mergeCell ref="AJ126:AJ127"/>
    <mergeCell ref="AP134:AU134"/>
    <mergeCell ref="D144:D145"/>
    <mergeCell ref="AJ144:AJ145"/>
    <mergeCell ref="D146:D147"/>
    <mergeCell ref="AJ146:AJ147"/>
    <mergeCell ref="L148:L149"/>
    <mergeCell ref="AB148:AB149"/>
    <mergeCell ref="D138:D139"/>
    <mergeCell ref="AJ138:AJ139"/>
    <mergeCell ref="H140:H141"/>
    <mergeCell ref="AF140:AF141"/>
    <mergeCell ref="H142:H143"/>
    <mergeCell ref="AF142:AF143"/>
    <mergeCell ref="R148:V148"/>
    <mergeCell ref="R149:V149"/>
    <mergeCell ref="H156:H157"/>
    <mergeCell ref="AF156:AF157"/>
    <mergeCell ref="H158:H159"/>
    <mergeCell ref="AF158:AF159"/>
    <mergeCell ref="D160:D161"/>
    <mergeCell ref="AJ160:AJ161"/>
    <mergeCell ref="L150:L151"/>
    <mergeCell ref="AB150:AB151"/>
    <mergeCell ref="D152:D153"/>
    <mergeCell ref="AJ152:AJ153"/>
    <mergeCell ref="D154:D155"/>
    <mergeCell ref="AJ154:AJ155"/>
    <mergeCell ref="D166:D167"/>
    <mergeCell ref="AJ166:AJ167"/>
    <mergeCell ref="D168:D169"/>
    <mergeCell ref="AJ168:AJ169"/>
    <mergeCell ref="H170:H171"/>
    <mergeCell ref="AF170:AF171"/>
    <mergeCell ref="D162:D163"/>
    <mergeCell ref="R162:V162"/>
    <mergeCell ref="AJ162:AJ163"/>
    <mergeCell ref="P163:P164"/>
    <mergeCell ref="X163:X164"/>
    <mergeCell ref="S164:S165"/>
    <mergeCell ref="T164:T165"/>
    <mergeCell ref="U164:U165"/>
    <mergeCell ref="P165:P166"/>
    <mergeCell ref="X165:X166"/>
    <mergeCell ref="L178:L179"/>
    <mergeCell ref="AB178:AB179"/>
    <mergeCell ref="L180:L181"/>
    <mergeCell ref="AB180:AB181"/>
    <mergeCell ref="D182:D183"/>
    <mergeCell ref="AJ182:AJ183"/>
    <mergeCell ref="H172:H173"/>
    <mergeCell ref="AF172:AF173"/>
    <mergeCell ref="D174:D175"/>
    <mergeCell ref="AJ174:AJ175"/>
    <mergeCell ref="D176:D177"/>
    <mergeCell ref="AJ176:AJ177"/>
    <mergeCell ref="D190:D191"/>
    <mergeCell ref="AJ190:AJ191"/>
    <mergeCell ref="D192:D193"/>
    <mergeCell ref="AJ192:AJ193"/>
    <mergeCell ref="D184:D185"/>
    <mergeCell ref="AJ184:AJ185"/>
    <mergeCell ref="H186:H187"/>
    <mergeCell ref="AF186:AF187"/>
    <mergeCell ref="H188:H189"/>
    <mergeCell ref="AF188:AF189"/>
  </mergeCells>
  <printOptions horizontalCentered="1"/>
  <pageMargins left="0.23622047244094491" right="0.23622047244094491" top="0.74803149606299213" bottom="0.74803149606299213" header="0.31496062992125984" footer="0.31496062992125984"/>
  <pageSetup paperSize="9" scale="14" orientation="landscape"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B00-000000000000}">
          <x14:formula1>
            <xm:f>LISTAS!$D$5:$D$6</xm:f>
          </x14:formula1>
          <xm:sqref>AS5</xm:sqref>
        </x14:dataValidation>
        <x14:dataValidation type="list" allowBlank="1" showInputMessage="1" showErrorMessage="1" xr:uid="{00000000-0002-0000-0B00-000001000000}">
          <x14:formula1>
            <xm:f>LISTAS!$F$5:$F$1004</xm:f>
          </x14:formula1>
          <xm:sqref>C10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25">
    <tabColor rgb="FFFF66FF"/>
  </sheetPr>
  <dimension ref="B1:Q432"/>
  <sheetViews>
    <sheetView showGridLines="0" topLeftCell="A81" zoomScale="85" zoomScaleNormal="85" workbookViewId="0">
      <selection activeCell="H94" sqref="H94:I94"/>
    </sheetView>
  </sheetViews>
  <sheetFormatPr defaultColWidth="25.28515625" defaultRowHeight="16.5" x14ac:dyDescent="0.25"/>
  <cols>
    <col min="1" max="1" width="1.140625" style="1" customWidth="1"/>
    <col min="2" max="2" width="49.7109375" style="1" customWidth="1"/>
    <col min="3" max="3" width="41.140625" style="2" bestFit="1" customWidth="1"/>
    <col min="4" max="8" width="8" style="1" customWidth="1"/>
    <col min="9" max="9" width="8.140625" style="1" customWidth="1"/>
    <col min="10" max="10" width="49.85546875" style="1" customWidth="1"/>
    <col min="11" max="11" width="21.42578125" style="1" customWidth="1"/>
    <col min="12" max="12" width="14.42578125" style="1" customWidth="1"/>
    <col min="13" max="13" width="7" style="20" bestFit="1" customWidth="1"/>
    <col min="14" max="14" width="10.42578125" style="20" bestFit="1" customWidth="1"/>
    <col min="15" max="15" width="8.42578125" style="20" bestFit="1" customWidth="1"/>
    <col min="16" max="16" width="10.42578125" style="20" bestFit="1" customWidth="1"/>
    <col min="17" max="17" width="25.28515625" style="20"/>
    <col min="18" max="16384" width="25.28515625" style="1"/>
  </cols>
  <sheetData>
    <row r="1" spans="2:17" ht="6" customHeight="1" x14ac:dyDescent="0.25"/>
    <row r="2" spans="2:17" s="3" customFormat="1" ht="60.75" customHeight="1" x14ac:dyDescent="0.25">
      <c r="B2" s="233"/>
      <c r="C2" s="233"/>
      <c r="D2" s="233"/>
      <c r="E2" s="233"/>
      <c r="F2" s="233"/>
      <c r="G2" s="233"/>
      <c r="H2" s="233"/>
      <c r="I2" s="233"/>
      <c r="J2" s="233"/>
      <c r="K2" s="233"/>
      <c r="L2" s="233"/>
      <c r="M2" s="25"/>
      <c r="N2" s="25"/>
      <c r="O2" s="25"/>
      <c r="P2" s="25"/>
      <c r="Q2" s="25"/>
    </row>
    <row r="3" spans="2:17" s="3" customFormat="1" ht="60.75" customHeight="1" x14ac:dyDescent="0.25">
      <c r="B3" s="233"/>
      <c r="C3" s="233"/>
      <c r="D3" s="233"/>
      <c r="E3" s="233"/>
      <c r="F3" s="233"/>
      <c r="G3" s="233"/>
      <c r="H3" s="233"/>
      <c r="I3" s="233"/>
      <c r="J3" s="233"/>
      <c r="K3" s="233"/>
      <c r="L3" s="233"/>
      <c r="M3" s="25"/>
      <c r="N3" s="25"/>
      <c r="O3" s="25"/>
      <c r="P3" s="25"/>
      <c r="Q3" s="25"/>
    </row>
    <row r="4" spans="2:17" s="3" customFormat="1" ht="13.5" customHeight="1" x14ac:dyDescent="0.25">
      <c r="B4" s="233"/>
      <c r="C4" s="233"/>
      <c r="D4" s="233"/>
      <c r="E4" s="233"/>
      <c r="F4" s="233"/>
      <c r="G4" s="233"/>
      <c r="H4" s="233"/>
      <c r="I4" s="233"/>
      <c r="J4" s="233"/>
      <c r="K4" s="233"/>
      <c r="L4" s="233"/>
      <c r="M4" s="25"/>
      <c r="N4" s="25"/>
      <c r="O4" s="25"/>
      <c r="P4" s="25"/>
      <c r="Q4" s="25"/>
    </row>
    <row r="5" spans="2:17" s="3" customFormat="1" ht="30" customHeight="1" x14ac:dyDescent="0.25">
      <c r="B5" s="58" t="s">
        <v>31</v>
      </c>
      <c r="C5" s="221" t="s">
        <v>82</v>
      </c>
      <c r="D5" s="222"/>
      <c r="E5" s="222"/>
      <c r="F5" s="222"/>
      <c r="G5" s="120">
        <v>6</v>
      </c>
      <c r="H5" s="153"/>
      <c r="I5" s="4"/>
      <c r="J5" s="4"/>
      <c r="M5" s="25"/>
      <c r="N5" s="25"/>
      <c r="O5" s="25"/>
      <c r="P5" s="25"/>
      <c r="Q5" s="25"/>
    </row>
    <row r="6" spans="2:17" ht="30" customHeight="1" x14ac:dyDescent="0.25">
      <c r="B6" s="161" t="s">
        <v>39</v>
      </c>
      <c r="C6" s="79"/>
      <c r="D6" s="225" t="s">
        <v>42</v>
      </c>
      <c r="E6" s="226"/>
      <c r="F6" s="226"/>
      <c r="G6" s="227"/>
      <c r="H6" s="113"/>
      <c r="I6" s="225" t="s">
        <v>3</v>
      </c>
      <c r="J6" s="226"/>
      <c r="K6" s="226"/>
      <c r="L6" s="226"/>
    </row>
    <row r="7" spans="2:17" ht="18" customHeight="1" x14ac:dyDescent="0.25">
      <c r="B7" s="9" t="s">
        <v>15</v>
      </c>
      <c r="C7" s="9" t="s">
        <v>0</v>
      </c>
      <c r="D7" s="9" t="s">
        <v>43</v>
      </c>
      <c r="E7" s="9" t="s">
        <v>44</v>
      </c>
      <c r="F7" s="9" t="s">
        <v>77</v>
      </c>
      <c r="G7" s="9" t="s">
        <v>78</v>
      </c>
      <c r="H7" s="114"/>
      <c r="I7" s="9" t="s">
        <v>18</v>
      </c>
      <c r="J7" s="9" t="s">
        <v>15</v>
      </c>
      <c r="K7" s="9" t="s">
        <v>0</v>
      </c>
      <c r="L7" s="9" t="s">
        <v>45</v>
      </c>
    </row>
    <row r="8" spans="2:17" ht="18" customHeight="1" x14ac:dyDescent="0.25">
      <c r="B8" s="15" t="s">
        <v>496</v>
      </c>
      <c r="C8" s="15" t="str">
        <f>IFERROR(IF(B8="","",VLOOKUP(B8,LISTAS!$F$5:$G$1004,2,0)),"0")</f>
        <v>COLÉGIO ARBOS - UNIDADE SANTO ANDRÉ</v>
      </c>
      <c r="D8" s="15" t="str">
        <f>IF(H8&lt;3,"",IF(H8=3,IF(D16&lt;&gt;"",IF(H16&lt;&gt;"",IF(D16&lt;&gt;H16,IF(D16&gt;H16,"V","D"),""),""),""),IF(H8=4,IF(D16&lt;&gt;"",IF(H16&lt;&gt;"",IF(D16&lt;&gt;H16,IF(D16&gt;H16,"V","D"),""),""),""),IF(H8=5,IF(D16&lt;&gt;"",IF(H16&lt;&gt;"",IF(D16&lt;&gt;H16,IF(D16&gt;H16,"V","D"),""),""),"")))))</f>
        <v>D</v>
      </c>
      <c r="E8" s="15" t="str">
        <f>IF(H8&lt;3,"",IF(H8=3,IF(D18&lt;&gt;"",IF(H18&lt;&gt;"",IF(D18&lt;&gt;H18,IF(D18&gt;H18,"V","D"),""),""),""),IF(H8=4,IF(D18&lt;&gt;"",IF(H18&lt;&gt;"",IF(D18&lt;&gt;H18,IF(D18&gt;H18,"V","D"),""),""),""),IF(H8=5,IF(D20&lt;&gt;"",IF(H20&lt;&gt;"",IF(D20&lt;&gt;H20,IF(D18&gt;H18,"D","V"),""),""),"")))))</f>
        <v>V</v>
      </c>
      <c r="F8" s="15" t="str">
        <f>IF(H8&lt;4,"-",IF(H8=3,"",IF(H8=4,IF(D21&lt;&gt;"",IF(H21&lt;&gt;"",IF(D21&lt;&gt;H21,IF(D21&gt;H21,"V","D"),""),""),""),IF(H8=5,IF(D23&lt;&gt;"",IF(H23&lt;&gt;"",IF(D23&lt;&gt;H23,IF(D23&gt;H23,"D","V"),""),""),"")))))</f>
        <v>-</v>
      </c>
      <c r="G8" s="15" t="str">
        <f>IF(H8&lt;5,"-",IF(H8=3,"",IF(H8=4,"",IF(H8=5,IF(D25&lt;&gt;"",IF(H25&lt;&gt;"",IF(D25&lt;&gt;H25,IF(D25&gt;H25,"D","V"),""),""),"")))))</f>
        <v>-</v>
      </c>
      <c r="H8" s="117">
        <f>COUNTA(B8:B12)</f>
        <v>3</v>
      </c>
      <c r="I8" s="15">
        <f>IF(B8&lt;&gt;"",1,"")</f>
        <v>1</v>
      </c>
      <c r="J8" s="15" t="str">
        <f>IF(I8&lt;&gt;"",P8,"")</f>
        <v>MARIA LETÍCIA FURUKAVA MONTEIRO</v>
      </c>
      <c r="K8" s="15" t="str">
        <f>IFERROR(IF(J8="","",VLOOKUP(J8,LISTAS!$F$5:$G$1004,2,0)),"0")</f>
        <v>COLÉGIO SÃO MAURO</v>
      </c>
      <c r="L8" s="119" t="str">
        <f>IF(B8&lt;&gt;"",IF(G5=1,"OURO",IF(G5=2,IF(H8&lt;3,"",IF(H8&gt;4,"",IF(H8=3,"OURO",IF(H8=4,"OURO")))),IF(G5&gt;=3,"OURO",""))),"")</f>
        <v>OURO</v>
      </c>
      <c r="M8" s="20">
        <f>IF(B8&lt;&gt;"",COUNTIF(D8:G8,"V")+(SUMIF(B16:B25,B8,D16:E25)/1000)+(SUMIF(J16:J25,B8,H16:I25)/1000)-(SUMIF(B16:B25,B8,H16:I25)/1000)-(SUMIF(J16:J25,B8,D16:E25)/1000)+0.005,"")</f>
        <v>1.0049999999999999</v>
      </c>
      <c r="N8" s="20" t="str">
        <f>IF(B8="","",B8)</f>
        <v>GABRIELA NETTO CARDOSO</v>
      </c>
      <c r="O8" s="20">
        <f>IF(B8&lt;&gt;"",LARGE(M8:M12,1),"")</f>
        <v>2.0070000000000001</v>
      </c>
      <c r="P8" s="20" t="str">
        <f>VLOOKUP(O8,M8:N12,2,0)</f>
        <v>MARIA LETÍCIA FURUKAVA MONTEIRO</v>
      </c>
    </row>
    <row r="9" spans="2:17" ht="18" customHeight="1" x14ac:dyDescent="0.25">
      <c r="B9" s="15" t="s">
        <v>487</v>
      </c>
      <c r="C9" s="15" t="str">
        <f>IFERROR(IF(B9="","",VLOOKUP(B9,LISTAS!$F$5:$G$1004,2,0)),"0")</f>
        <v>COLÉGIO ATENEU</v>
      </c>
      <c r="D9" s="15" t="str">
        <f>IF(H8&lt;3,"",IF(H8=3,IF(D17&lt;&gt;"",IF(H17&lt;&gt;"",IF(D17&lt;&gt;H17,IF(D17&gt;H17,"V","D"),""),""),""),IF(H8=4,IF(D17&lt;&gt;"",IF(H17&lt;&gt;"",IF(D17&lt;&gt;H17,IF(D17&gt;H17,"V","D"),""),""),""),IF(H8=5,IF(D17&lt;&gt;"",IF(H17&lt;&gt;"",IF(D17&lt;&gt;H17,IF(D17&gt;H17,"V","D"),""),""),"")))))</f>
        <v>D</v>
      </c>
      <c r="E9" s="15" t="str">
        <f>IF(H8&lt;3,"",IF(H8=3,IF(D18&lt;&gt;"",IF(H18&lt;&gt;"",IF(D18&lt;&gt;H18,IF(D18&gt;H18,"D","V"),""),""),""),IF(H8=4,IF(D19&lt;&gt;"",IF(H19&lt;&gt;"",IF(D19&lt;&gt;H19,IF(D19&gt;H19,"V","D"),""),""),""),IF(H8=5,IF(D18&lt;&gt;"",IF(H18&lt;&gt;"",IF(D18&lt;&gt;H18,IF(D18&gt;H18,"V","D"),""),""),"")))))</f>
        <v>D</v>
      </c>
      <c r="F9" s="15" t="str">
        <f>IF(H8&lt;4,"-",IF(H8=3,"",IF(H8=4,IF(D21&lt;&gt;"",IF(H21&lt;&gt;"",IF(D21&lt;&gt;H21,IF(D21&gt;H21,"D","V"),""),""),""),IF(H8=5,IF(D22&lt;&gt;"",IF(H22&lt;&gt;"",IF(D22&lt;&gt;H22,IF(D22&gt;H22,"D","V"),""),""),"")))))</f>
        <v>-</v>
      </c>
      <c r="G9" s="15" t="str">
        <f>IF(H8&lt;5,"-",IF(H8=3,"",IF(H8=4,"",IF(H8=5,IF(D25&lt;&gt;"",IF(H25&lt;&gt;"",IF(D25&lt;&gt;H25,IF(D25&gt;H25,"V","D"),""),""),"")))))</f>
        <v>-</v>
      </c>
      <c r="H9" s="159"/>
      <c r="I9" s="15">
        <f>IF(B9&lt;&gt;"",2,"")</f>
        <v>2</v>
      </c>
      <c r="J9" s="15" t="str">
        <f>IF(I9&lt;&gt;"",P9,"")</f>
        <v>GABRIELA NETTO CARDOSO</v>
      </c>
      <c r="K9" s="15" t="str">
        <f>IFERROR(IF(J9="","",VLOOKUP(J9,LISTAS!$F$5:$G$1004,2,0)),"0")</f>
        <v>COLÉGIO ARBOS - UNIDADE SANTO ANDRÉ</v>
      </c>
      <c r="L9" s="119" t="str">
        <f>IF(B9&lt;&gt;"",IF(G5=1,"OURO",IF(G5=2,IF(H8&lt;3,"",IF(H8&gt;4,"",IF(H8=3,"PRATA",IF(H8=4,"OURO")))),IF(G5&gt;=3,"PRATA",""))),"")</f>
        <v>PRATA</v>
      </c>
      <c r="M9" s="118">
        <f>IF(B9&lt;&gt;"",COUNTIF(D9:G9,"V")+(SUMIF(B16:B25,B9,D16:E25)/1000)+(SUMIF(J16:J25,B9,H16:I25)/1000)-(SUMIF(B16:B25,B9,H16:I25)/1000)-(SUMIF(J16:J25,B9,D16:E25)/1000)+0.004,"")</f>
        <v>0</v>
      </c>
      <c r="N9" s="20" t="str">
        <f t="shared" ref="N9" si="0">IF(B9="","",B9)</f>
        <v>BRUNA FERNANDES LOPES</v>
      </c>
      <c r="O9" s="20">
        <f>IF(B9&lt;&gt;"",LARGE(M8:M12,2),"")</f>
        <v>1.0049999999999999</v>
      </c>
      <c r="P9" s="20" t="str">
        <f>VLOOKUP(O9,M8:N12,2,0)</f>
        <v>GABRIELA NETTO CARDOSO</v>
      </c>
    </row>
    <row r="10" spans="2:17" ht="18" customHeight="1" x14ac:dyDescent="0.25">
      <c r="B10" s="15" t="s">
        <v>518</v>
      </c>
      <c r="C10" s="15" t="str">
        <f>IFERROR(IF(B10="","",VLOOKUP(B10,LISTAS!$F$5:$G$1004,2,0)),"0")</f>
        <v>COLÉGIO SÃO MAURO</v>
      </c>
      <c r="D10" s="15" t="str">
        <f>IF(H8&lt;3,"",IF(H8=3,IF(D16&lt;&gt;"",IF(H16&lt;&gt;"",IF(D16&lt;&gt;H16,IF(D16&gt;H16,"D","V"),""),""),""),IF(H8=4,IF(D17&lt;&gt;"",IF(H17&lt;&gt;"",IF(D17&lt;&gt;H17,IF(D17&gt;H17,"D","V"),""),""),""),IF(H8=5,IF(D18&lt;&gt;"",IF(H18&lt;&gt;"",IF(D18&lt;&gt;H18,IF(D18&gt;H18,"D","V"),""),""),"")))))</f>
        <v>V</v>
      </c>
      <c r="E10" s="15" t="str">
        <f>IF(H8&lt;3,"",IF(H8=3,IF(D17&lt;&gt;"",IF(H17&lt;&gt;"",IF(D17&lt;&gt;H17,IF(D17&gt;H17,"D","V"),""),""),""),IF(H8=4,IF(D18&lt;&gt;"",IF(H18&lt;&gt;"",IF(D18&lt;&gt;H18,IF(D18&gt;H18,"D","V"),""),""),""),IF(H8=5,IF(D21&lt;&gt;"",IF(H21&lt;&gt;"",IF(D21&lt;&gt;H21,IF(D21&gt;H21,"D","V"),""),""),"")))))</f>
        <v>V</v>
      </c>
      <c r="F10" s="15" t="str">
        <f>IF(H8&lt;4,"-",IF(H8=3,"",IF(H8=4,IF(D20&lt;&gt;"",IF(H20&lt;&gt;"",IF(D20&lt;&gt;H20,IF(D20&gt;H20,"V","D"),""),""),""),IF(H8=5,IF(D23&lt;&gt;"",IF(H23&lt;&gt;"",IF(D23&lt;&gt;H23,IF(D23&gt;H23,"V","D"),""),""),"")))))</f>
        <v>-</v>
      </c>
      <c r="G10" s="15" t="str">
        <f>IF(H8&lt;5,"-",IF(H8=3,"",IF(H8=4,"",IF(H8=5,IF(D24&lt;&gt;"",IF(H24&lt;&gt;"",IF(D24&lt;&gt;H24,IF(D24&gt;H24,"V","D"),""),""),"")))))</f>
        <v>-</v>
      </c>
      <c r="H10" s="159"/>
      <c r="I10" s="15">
        <f>IF(B10&lt;&gt;"",3,"")</f>
        <v>3</v>
      </c>
      <c r="J10" s="15" t="str">
        <f>IF(I10&lt;&gt;"",P10,"")</f>
        <v>BRUNA FERNANDES LOPES</v>
      </c>
      <c r="K10" s="15" t="str">
        <f>IFERROR(IF(J10="","",VLOOKUP(J10,LISTAS!$F$5:$G$1004,2,0)),"0")</f>
        <v>COLÉGIO ATENEU</v>
      </c>
      <c r="L10" s="119" t="str">
        <f>IF(B10&lt;&gt;"",IF(G5=1,"OURO",IF(G5=2,IF(H8&lt;3,"",IF(H8&gt;4,"",IF(H8=3,"BRONZE",IF(H8=4,"PRATA")))),IF(G5&gt;=3,"BRONZE",""))),"")</f>
        <v>BRONZE</v>
      </c>
      <c r="M10" s="118">
        <f>IF(B10&lt;&gt;"",COUNTIF(D10:G10,"V")+(SUMIF(B16:B25,B10,D16:E25)/1000)+(SUMIF(J16:J25,B10,H16:I25)/1000)-(SUMIF(B16:B25,B10,H16:I25)/1000)-(SUMIF(J16:J25,B10,D16:E25)/1000)+0.003,"")</f>
        <v>2.0070000000000001</v>
      </c>
      <c r="N10" s="20" t="str">
        <f>IF(B10="","",B10)</f>
        <v>MARIA LETÍCIA FURUKAVA MONTEIRO</v>
      </c>
      <c r="O10" s="20">
        <f>IF(B10&lt;&gt;"",LARGE(M8:M12,3),"")</f>
        <v>0</v>
      </c>
      <c r="P10" s="20" t="str">
        <f>VLOOKUP(O10,M8:N12,2,0)</f>
        <v>BRUNA FERNANDES LOPES</v>
      </c>
    </row>
    <row r="11" spans="2:17" ht="18" customHeight="1" x14ac:dyDescent="0.25">
      <c r="B11" s="83"/>
      <c r="C11" s="15" t="str">
        <f>IFERROR(IF(B11="","",VLOOKUP(B11,LISTAS!$F$5:$G$1004,2,0)),"0")</f>
        <v/>
      </c>
      <c r="D11" s="15" t="str">
        <f>IF(H8&lt;3,"",IF(H8=3,"",IF(H8=4,IF(D16&lt;&gt;"",IF(H16&lt;&gt;"",IF(D16&lt;&gt;H16,IF(D16&gt;H16,"D","V"),""),""),""),IF(H8=5,IF(D17&lt;&gt;"",IF(H17&lt;&gt;"",IF(D17&lt;&gt;H17,IF(D17&gt;H17,"D","V"),""),""),"")))))</f>
        <v/>
      </c>
      <c r="E11" s="15" t="str">
        <f>IF(H8&lt;3,"",IF(H8=3,"",IF(H8=4,IF(D19&lt;&gt;"",IF(H19&lt;&gt;"",IF(D19&lt;&gt;H19,IF(D19&gt;H19,"D","V"),""),""),""),IF(H8=5,IF(D19&lt;&gt;"",IF(H19&lt;&gt;"",IF(D19&lt;&gt;H19,IF(D19&gt;H19,"V","D"),""),""),"")))))</f>
        <v/>
      </c>
      <c r="F11" s="15" t="str">
        <f>IF(H8&lt;4,"-",IF(H8=3,"",IF(H8=4,IF(D20&lt;&gt;"",IF(H20&lt;&gt;"",IF(D20&lt;&gt;H20,IF(D20&gt;H20,"D","V"),""),""),""),IF(H8=5,IF(D20&lt;&gt;"",IF(H20&lt;&gt;"",IF(D20&lt;&gt;H20,IF(D20&gt;H20,"V","D"),""),""),"")))))</f>
        <v>-</v>
      </c>
      <c r="G11" s="15" t="str">
        <f>IF(H8&lt;5,"-",IF(H8=3,"",IF(H8=4,"",IF(H8=5,IF(D24&lt;&gt;"",IF(H24&lt;&gt;"",IF(D24&lt;&gt;H24,IF(D24&gt;H24,"D","V"),""),""),"")))))</f>
        <v>-</v>
      </c>
      <c r="H11" s="159"/>
      <c r="I11" s="15" t="str">
        <f>IF(B11&lt;&gt;"",4,"")</f>
        <v/>
      </c>
      <c r="J11" s="15" t="str">
        <f>IF(I11&lt;&gt;"",P11,"")</f>
        <v/>
      </c>
      <c r="K11" s="15" t="str">
        <f>IFERROR(IF(J11="","",VLOOKUP(J11,LISTAS!$F$5:$G$1004,2,0)),"0")</f>
        <v/>
      </c>
      <c r="L11" s="119" t="str">
        <f>IF(B11&lt;&gt;"",IF(G5=1,"OURO",IF(G5=2,IF(H8&lt;3,"",IF(H8&gt;4,"",IF(H8=3,"",IF(H8=4,"PRATA")))),IF(G5&gt;=3,"",""))),"")</f>
        <v/>
      </c>
      <c r="M11" s="20" t="str">
        <f>IF(B11&lt;&gt;"",COUNTIF(D11:G11,"V")+(SUMIF(B16:B25,B11,D16:E25)/1000)+(SUMIF(J16:J25,B11,H16:I25)/1000)-(SUMIF(B16:B25,B11,H16:I25)/1000)-(SUMIF(J16:J25,B11,D16:E25)/1000)+0.002,"")</f>
        <v/>
      </c>
      <c r="N11" s="20" t="str">
        <f>IF(B11="","",B11)</f>
        <v/>
      </c>
      <c r="O11" s="20" t="str">
        <f>IF(B11&lt;&gt;"",LARGE(M8:M12,4),"")</f>
        <v/>
      </c>
      <c r="P11" s="20" t="str">
        <f>VLOOKUP(O11,M8:N12,2,0)</f>
        <v/>
      </c>
    </row>
    <row r="12" spans="2:17" ht="18" customHeight="1" x14ac:dyDescent="0.25">
      <c r="B12" s="83"/>
      <c r="C12" s="15" t="str">
        <f>IFERROR(IF(B12="","",VLOOKUP(B12,LISTAS!$F$5:$G$1004,2,0)),"0")</f>
        <v/>
      </c>
      <c r="D12" s="15" t="str">
        <f>IF(H8&lt;3,"",IF(H8=3,"",IF(H8=4,"",IF(H8=5,IF(D16&lt;&gt;"",IF(H16&lt;&gt;"",IF(D16&lt;&gt;H16,IF(D16&gt;H16,"D","V"),""),""),"")))))</f>
        <v/>
      </c>
      <c r="E12" s="15" t="str">
        <f>IF(H8&lt;3,"",IF(H8=3,"",IF(H8=4,"",IF(H8=5,IF(D19&lt;&gt;"",IF(H19&lt;&gt;"",IF(D19&lt;&gt;H19,IF(D19&gt;H19,"D","V"),""),""),"")))))</f>
        <v/>
      </c>
      <c r="F12" s="15" t="str">
        <f>IF(H8&lt;4,"-",IF(H8=3,"",IF(H8=4,"",IF(H8=5,IF(D21&lt;&gt;"",IF(H21&lt;&gt;"",IF(D21&lt;&gt;H21,IF(D21&gt;H21,"V","D"),""),""),"")))))</f>
        <v>-</v>
      </c>
      <c r="G12" s="15" t="str">
        <f>IF(H8&lt;5,"-",IF(H8=3,"",IF(H8=4,"",IF(H8=5,IF(D22&lt;&gt;"",IF(H22&lt;&gt;"",IF(D22&lt;&gt;H22,IF(D22&gt;H22,"V","D"),""),""),"")))))</f>
        <v>-</v>
      </c>
      <c r="H12" s="160"/>
      <c r="I12" s="15" t="str">
        <f>IF(B12&lt;&gt;"",5,"")</f>
        <v/>
      </c>
      <c r="J12" s="15" t="str">
        <f>IF(I12&lt;&gt;"",P12,"")</f>
        <v/>
      </c>
      <c r="K12" s="15" t="str">
        <f>IFERROR(IF(J12="","",VLOOKUP(J12,LISTAS!$F$5:$G$1004,2,0)),"0")</f>
        <v/>
      </c>
      <c r="L12" s="119" t="str">
        <f>IF(B12&lt;&gt;"",IF(G5=1,"OURO",IF(G5=2,IF(H8&lt;3,"",IF(H8&gt;4,"",IF(H8=3,"",IF(H8=4,"")))),IF(G5&gt;=3,"",""))),"")</f>
        <v/>
      </c>
      <c r="M12" s="20" t="str">
        <f>IF(B12&lt;&gt;"",COUNTIF(D12:G12,"V")+(SUMIF(B16:B25,B12,D16:E25)/1000)+(SUMIF(J16:J25,B12,H16:I25)/1000)-(SUMIF(B16:B25,B12,H16:I25)/1000)-(SUMIF(J16:J25,B12,D16:E25)/1000)+0.001,"")</f>
        <v/>
      </c>
      <c r="N12" s="20" t="str">
        <f>IF(B12="","",B12)</f>
        <v/>
      </c>
      <c r="O12" s="20" t="str">
        <f>IF(B12&lt;&gt;"",LARGE(M8:M12,5),"")</f>
        <v/>
      </c>
      <c r="P12" s="20" t="str">
        <f>VLOOKUP(O12,M8:N12,2,0)</f>
        <v/>
      </c>
    </row>
    <row r="13" spans="2:17" ht="18" customHeight="1" x14ac:dyDescent="0.25">
      <c r="B13" s="79"/>
      <c r="C13" s="79"/>
      <c r="D13" s="79"/>
      <c r="E13" s="79"/>
      <c r="F13" s="79"/>
      <c r="G13" s="79"/>
      <c r="H13" s="158"/>
      <c r="I13" s="80"/>
      <c r="J13" s="79"/>
      <c r="K13" s="81"/>
      <c r="L13" s="81"/>
    </row>
    <row r="14" spans="2:17" ht="23.25" customHeight="1" x14ac:dyDescent="0.25">
      <c r="B14" s="82" t="s">
        <v>40</v>
      </c>
      <c r="C14" s="79"/>
      <c r="D14" s="79"/>
      <c r="E14" s="79"/>
      <c r="F14" s="79"/>
      <c r="G14" s="79"/>
      <c r="H14" s="79"/>
      <c r="I14" s="79"/>
      <c r="J14" s="79"/>
      <c r="K14" s="79"/>
      <c r="L14" s="79"/>
    </row>
    <row r="15" spans="2:17" ht="18" customHeight="1" x14ac:dyDescent="0.25">
      <c r="B15" s="9" t="s">
        <v>15</v>
      </c>
      <c r="C15" s="9" t="s">
        <v>0</v>
      </c>
      <c r="D15" s="228" t="s">
        <v>41</v>
      </c>
      <c r="E15" s="229"/>
      <c r="F15" s="229"/>
      <c r="G15" s="229"/>
      <c r="H15" s="229"/>
      <c r="I15" s="230"/>
      <c r="J15" s="9" t="s">
        <v>15</v>
      </c>
      <c r="K15" s="9" t="s">
        <v>0</v>
      </c>
      <c r="L15" s="79"/>
    </row>
    <row r="16" spans="2:17" ht="18" customHeight="1" x14ac:dyDescent="0.25">
      <c r="B16" s="15" t="str">
        <f>IF(H8=3,B8,IF(H8=4,B8,IF(H8=5,B8,"")))</f>
        <v>GABRIELA NETTO CARDOSO</v>
      </c>
      <c r="C16" s="15" t="str">
        <f>IFERROR(IF(B16="","",VLOOKUP(B16,LISTAS!$F$5:$G$1004,2,0)),"0")</f>
        <v>COLÉGIO ARBOS - UNIDADE SANTO ANDRÉ</v>
      </c>
      <c r="D16" s="223">
        <v>0</v>
      </c>
      <c r="E16" s="224"/>
      <c r="F16" s="223" t="s">
        <v>38</v>
      </c>
      <c r="G16" s="224"/>
      <c r="H16" s="223">
        <v>2</v>
      </c>
      <c r="I16" s="224"/>
      <c r="J16" s="21" t="str">
        <f>IF(H8=3,B10,IF(H8=4,B11,IF(H8=5,B12,"")))</f>
        <v>MARIA LETÍCIA FURUKAVA MONTEIRO</v>
      </c>
      <c r="K16" s="15" t="str">
        <f>IFERROR(IF(J16="","",VLOOKUP(J16,LISTAS!$F$5:$G$1004,2,0)),"0")</f>
        <v>COLÉGIO SÃO MAURO</v>
      </c>
      <c r="L16" s="81"/>
    </row>
    <row r="17" spans="2:16" ht="18" customHeight="1" x14ac:dyDescent="0.25">
      <c r="B17" s="15" t="str">
        <f>IF(H8=3,B9,IF(H8=4,B9,IF(H8=5,B9,"")))</f>
        <v>BRUNA FERNANDES LOPES</v>
      </c>
      <c r="C17" s="15" t="str">
        <f>IFERROR(IF(B17="","",VLOOKUP(B17,LISTAS!$F$5:$G$1004,2,0)),"0")</f>
        <v>COLÉGIO ATENEU</v>
      </c>
      <c r="D17" s="223">
        <v>0</v>
      </c>
      <c r="E17" s="224"/>
      <c r="F17" s="223" t="s">
        <v>38</v>
      </c>
      <c r="G17" s="224"/>
      <c r="H17" s="223">
        <v>2</v>
      </c>
      <c r="I17" s="224"/>
      <c r="J17" s="21" t="str">
        <f>IF(H8=3,B10,IF(H8=4,B10,IF(H8=5,B11,"")))</f>
        <v>MARIA LETÍCIA FURUKAVA MONTEIRO</v>
      </c>
      <c r="K17" s="15" t="str">
        <f>IFERROR(IF(J17="","",VLOOKUP(J17,LISTAS!$F$5:$G$1004,2,0)),"0")</f>
        <v>COLÉGIO SÃO MAURO</v>
      </c>
      <c r="L17" s="79"/>
    </row>
    <row r="18" spans="2:16" ht="18" customHeight="1" x14ac:dyDescent="0.25">
      <c r="B18" s="15" t="str">
        <f>IF(H8=3,B8,IF(H8=4,B8,IF(H8=5,B9,"")))</f>
        <v>GABRIELA NETTO CARDOSO</v>
      </c>
      <c r="C18" s="15" t="str">
        <f>IFERROR(IF(B18="","",VLOOKUP(B18,LISTAS!$F$5:$G$1004,2,0)),"0")</f>
        <v>COLÉGIO ARBOS - UNIDADE SANTO ANDRÉ</v>
      </c>
      <c r="D18" s="223">
        <v>2</v>
      </c>
      <c r="E18" s="224"/>
      <c r="F18" s="223" t="s">
        <v>38</v>
      </c>
      <c r="G18" s="224"/>
      <c r="H18" s="223">
        <v>0</v>
      </c>
      <c r="I18" s="224"/>
      <c r="J18" s="21" t="str">
        <f>IF(H8=3,B9,IF(H8=4,B10,IF(H8=5,B10,"")))</f>
        <v>BRUNA FERNANDES LOPES</v>
      </c>
      <c r="K18" s="15" t="str">
        <f>IFERROR(IF(J18="","",VLOOKUP(J18,LISTAS!$F$5:$G$1004,2,0)),"0")</f>
        <v>COLÉGIO ATENEU</v>
      </c>
      <c r="L18" s="81"/>
    </row>
    <row r="19" spans="2:16" ht="18" customHeight="1" x14ac:dyDescent="0.25">
      <c r="B19" s="15" t="str">
        <f>IF(H8=3,"",IF(H8=4,B9,IF(H8=5,B11,"")))</f>
        <v/>
      </c>
      <c r="C19" s="15" t="str">
        <f>IFERROR(IF(B19="","",VLOOKUP(B19,LISTAS!$F$5:$G$1004,2,0)),"0")</f>
        <v/>
      </c>
      <c r="D19" s="223"/>
      <c r="E19" s="224"/>
      <c r="F19" s="223" t="s">
        <v>38</v>
      </c>
      <c r="G19" s="224"/>
      <c r="H19" s="223"/>
      <c r="I19" s="224"/>
      <c r="J19" s="21" t="str">
        <f>IF(H8=3,"",IF(H8=4,B11,IF(H8=5,B12,"")))</f>
        <v/>
      </c>
      <c r="K19" s="15" t="str">
        <f>IFERROR(IF(J19="","",VLOOKUP(J19,LISTAS!$F$5:$G$1004,2,0)),"0")</f>
        <v/>
      </c>
      <c r="L19" s="81"/>
    </row>
    <row r="20" spans="2:16" ht="18" customHeight="1" x14ac:dyDescent="0.25">
      <c r="B20" s="15" t="str">
        <f>IF(H8=3,"",IF(H8=4,B10,IF(H8=5,B11,"")))</f>
        <v/>
      </c>
      <c r="C20" s="15" t="str">
        <f>IFERROR(IF(B20="","",VLOOKUP(B20,LISTAS!$F$5:$G$1004,2,0)),"0")</f>
        <v/>
      </c>
      <c r="D20" s="223"/>
      <c r="E20" s="224"/>
      <c r="F20" s="223" t="s">
        <v>38</v>
      </c>
      <c r="G20" s="224"/>
      <c r="H20" s="223"/>
      <c r="I20" s="224"/>
      <c r="J20" s="21" t="str">
        <f>IF(H8=3,"",IF(H8=4,B11,IF(H8=5,B8,"")))</f>
        <v/>
      </c>
      <c r="K20" s="15" t="str">
        <f>IFERROR(IF(J20="","",VLOOKUP(J20,LISTAS!$F$5:$G$1004,2,0)),"0")</f>
        <v/>
      </c>
      <c r="L20" s="81"/>
    </row>
    <row r="21" spans="2:16" ht="18" customHeight="1" x14ac:dyDescent="0.25">
      <c r="B21" s="15" t="str">
        <f>IF(H8=3,"",IF(H8=4,B8,IF(H8=5,B12,"")))</f>
        <v/>
      </c>
      <c r="C21" s="15" t="str">
        <f>IFERROR(IF(B21="","",VLOOKUP(B21,LISTAS!$F$5:$G$1004,2,0)),"0")</f>
        <v/>
      </c>
      <c r="D21" s="223"/>
      <c r="E21" s="224"/>
      <c r="F21" s="223" t="s">
        <v>38</v>
      </c>
      <c r="G21" s="224"/>
      <c r="H21" s="223"/>
      <c r="I21" s="224"/>
      <c r="J21" s="21" t="str">
        <f>IF(H8=3,"",IF(H8=4,B9,IF(H8=5,B10,"")))</f>
        <v/>
      </c>
      <c r="K21" s="15" t="str">
        <f>IFERROR(IF(J21="","",VLOOKUP(J21,LISTAS!$F$5:$G$1004,2,0)),"0")</f>
        <v/>
      </c>
      <c r="L21" s="81"/>
    </row>
    <row r="22" spans="2:16" ht="18" customHeight="1" x14ac:dyDescent="0.25">
      <c r="B22" s="15" t="str">
        <f>IF(H8=3,"",IF(H8=4,"",IF(H8=5,B12,"")))</f>
        <v/>
      </c>
      <c r="C22" s="15" t="str">
        <f>IFERROR(IF(B22="","",VLOOKUP(B22,LISTAS!$F$5:$G$1004,2,0)),"0")</f>
        <v/>
      </c>
      <c r="D22" s="223"/>
      <c r="E22" s="224"/>
      <c r="F22" s="223" t="s">
        <v>38</v>
      </c>
      <c r="G22" s="224"/>
      <c r="H22" s="223"/>
      <c r="I22" s="224"/>
      <c r="J22" s="21" t="str">
        <f>IF(H8=3,"",IF(H8=4,"",IF(H8=5,B9,"")))</f>
        <v/>
      </c>
      <c r="K22" s="15" t="str">
        <f>IFERROR(IF(J22="","",VLOOKUP(J22,LISTAS!$F$5:$G$1004,2,0)),"0")</f>
        <v/>
      </c>
      <c r="L22" s="81"/>
    </row>
    <row r="23" spans="2:16" ht="18" customHeight="1" x14ac:dyDescent="0.25">
      <c r="B23" s="63" t="str">
        <f>IF(H8=3,"",IF(H8=4,"",IF(H8=5,B10,"")))</f>
        <v/>
      </c>
      <c r="C23" s="15" t="str">
        <f>IFERROR(IF(B23="","",VLOOKUP(B23,LISTAS!$F$5:$G$1004,2,0)),"0")</f>
        <v/>
      </c>
      <c r="D23" s="223"/>
      <c r="E23" s="224"/>
      <c r="F23" s="223" t="s">
        <v>38</v>
      </c>
      <c r="G23" s="224"/>
      <c r="H23" s="223"/>
      <c r="I23" s="224"/>
      <c r="J23" s="21" t="str">
        <f>IF(H8=3,"",IF(H8=4,"",IF(H8=5,B8,"")))</f>
        <v/>
      </c>
      <c r="K23" s="15" t="str">
        <f>IFERROR(IF(J23="","",VLOOKUP(J23,LISTAS!$F$5:$G$1004,2,0)),"0")</f>
        <v/>
      </c>
      <c r="L23" s="81"/>
    </row>
    <row r="24" spans="2:16" ht="18" customHeight="1" x14ac:dyDescent="0.25">
      <c r="B24" s="15" t="str">
        <f>IF(H8=3,"",IF(H8=4,"",IF(H8=5,B10,"")))</f>
        <v/>
      </c>
      <c r="C24" s="15" t="str">
        <f>IFERROR(IF(B24="","",VLOOKUP(B24,LISTAS!$F$5:$G$1004,2,0)),"0")</f>
        <v/>
      </c>
      <c r="D24" s="223"/>
      <c r="E24" s="224"/>
      <c r="F24" s="223" t="s">
        <v>38</v>
      </c>
      <c r="G24" s="224"/>
      <c r="H24" s="223"/>
      <c r="I24" s="224"/>
      <c r="J24" s="21" t="str">
        <f>IF(H8=3,"",IF(H8=4,"",IF(H8=5,B11,"")))</f>
        <v/>
      </c>
      <c r="K24" s="15" t="str">
        <f>IFERROR(IF(J24="","",VLOOKUP(J24,LISTAS!$F$5:$G$1004,2,0)),"0")</f>
        <v/>
      </c>
      <c r="L24" s="81"/>
    </row>
    <row r="25" spans="2:16" ht="18" customHeight="1" x14ac:dyDescent="0.25">
      <c r="B25" s="63" t="str">
        <f>IF(H8=3,"",IF(H8=4,"",IF(H8=5,B9,"")))</f>
        <v/>
      </c>
      <c r="C25" s="15" t="str">
        <f>IFERROR(IF(B25="","",VLOOKUP(B25,LISTAS!$F$5:$G$1004,2,0)),"0")</f>
        <v/>
      </c>
      <c r="D25" s="223"/>
      <c r="E25" s="224"/>
      <c r="F25" s="231" t="s">
        <v>38</v>
      </c>
      <c r="G25" s="232"/>
      <c r="H25" s="223"/>
      <c r="I25" s="224"/>
      <c r="J25" s="21" t="str">
        <f>IF(H8=3,"",IF(H8=4,"",IF(H8=5,B8,"")))</f>
        <v/>
      </c>
      <c r="K25" s="15" t="str">
        <f>IFERROR(IF(J25="","",VLOOKUP(J25,LISTAS!$F$5:$G$1004,2,0)),"0")</f>
        <v/>
      </c>
      <c r="L25" s="81"/>
    </row>
    <row r="28" spans="2:16" ht="30" customHeight="1" x14ac:dyDescent="0.25">
      <c r="B28" s="161" t="s">
        <v>46</v>
      </c>
      <c r="C28" s="79"/>
      <c r="D28" s="225" t="s">
        <v>42</v>
      </c>
      <c r="E28" s="226"/>
      <c r="F28" s="226"/>
      <c r="G28" s="227"/>
      <c r="H28" s="113"/>
      <c r="I28" s="225" t="s">
        <v>3</v>
      </c>
      <c r="J28" s="226"/>
      <c r="K28" s="226"/>
      <c r="L28" s="226"/>
    </row>
    <row r="29" spans="2:16" ht="18" customHeight="1" x14ac:dyDescent="0.25">
      <c r="B29" s="9" t="s">
        <v>15</v>
      </c>
      <c r="C29" s="9" t="s">
        <v>0</v>
      </c>
      <c r="D29" s="9" t="s">
        <v>43</v>
      </c>
      <c r="E29" s="9" t="s">
        <v>44</v>
      </c>
      <c r="F29" s="9" t="s">
        <v>77</v>
      </c>
      <c r="G29" s="9" t="s">
        <v>78</v>
      </c>
      <c r="H29" s="114"/>
      <c r="I29" s="9" t="s">
        <v>18</v>
      </c>
      <c r="J29" s="9" t="s">
        <v>15</v>
      </c>
      <c r="K29" s="9" t="s">
        <v>0</v>
      </c>
      <c r="L29" s="9" t="s">
        <v>45</v>
      </c>
    </row>
    <row r="30" spans="2:16" ht="18" customHeight="1" x14ac:dyDescent="0.25">
      <c r="B30" s="15" t="s">
        <v>512</v>
      </c>
      <c r="C30" s="15" t="str">
        <f>IFERROR(IF(B30="","",VLOOKUP(B30,LISTAS!$F$5:$G$1004,2,0)),"0")</f>
        <v>COLÉGIO ARBOS - UNIDADE SANTO ANDRÉ</v>
      </c>
      <c r="D30" s="15" t="str">
        <f>IF(H30&lt;3,"",IF(H30=3,IF(D37&lt;&gt;"",IF(H37&lt;&gt;"",IF(D37&lt;&gt;H37,IF(D37&gt;H37,"V","D"),""),""),""),IF(H30=4,IF(D37&lt;&gt;"",IF(H37&lt;&gt;"",IF(D37&lt;&gt;H37,IF(D37&gt;H37,"V","D"),""),""),""))))</f>
        <v>D</v>
      </c>
      <c r="E30" s="15" t="str">
        <f>IF(H30&lt;3,"",IF(H30=3,IF(D39&lt;&gt;"",IF(H39&lt;&gt;"",IF(D39&lt;&gt;H39,IF(D39&gt;H39,"V","D"),""),""),""),IF(H30=4,IF(D39&lt;&gt;"",IF(H39&lt;&gt;"",IF(D39&lt;&gt;H39,IF(D39&gt;H39,"V","D"),""),""),""))))</f>
        <v>D</v>
      </c>
      <c r="F30" s="15" t="str">
        <f>IF(H30&lt;4,"-",IF(H30=3,"",IF(H30=4,IF(D42&lt;&gt;"",IF(H42&lt;&gt;"",IF(D42&lt;&gt;H42,IF(D42&gt;H42,"V","D"),""),""),""))))</f>
        <v>-</v>
      </c>
      <c r="G30" s="15" t="s">
        <v>81</v>
      </c>
      <c r="H30" s="117">
        <f>COUNTA(B30:B33)</f>
        <v>3</v>
      </c>
      <c r="I30" s="15">
        <f>IF(B30&lt;&gt;"",1,"")</f>
        <v>1</v>
      </c>
      <c r="J30" s="15" t="str">
        <f>IF(I30&lt;&gt;"",P30,"")</f>
        <v>BEATRIZ OTERO</v>
      </c>
      <c r="K30" s="15" t="str">
        <f>IFERROR(IF(J30="","",VLOOKUP(J30,LISTAS!$F$5:$G$1004,2,0)),"0")</f>
        <v>COLÉGIO MARCONI - GRU</v>
      </c>
      <c r="L30" s="119" t="str">
        <f>IF(B30&lt;&gt;"",IF(G5=1,"OURO",IF(G5=2,IF(H8&lt;3,"",IF(H8=3,"OURO",IF(H8=4,"OURO"))),IF(G5&gt;=3,"OURO",""))),"")</f>
        <v>OURO</v>
      </c>
      <c r="M30" s="20">
        <f>IF(B30&lt;&gt;"",COUNTIF(D30:G30,"V")+(SUMIF(B37:B42,B30,D37:E42)/1000)+(SUMIF(J37:J42,B30,H37:I42)/1000)-(SUMIF(B37:B42,B30,H37:I42)/1000)-(SUMIF(J37:J42,B30,D37:E42)/1000)+0.005,"")</f>
        <v>1E-3</v>
      </c>
      <c r="N30" s="20" t="str">
        <f>IF(B30="","",B30)</f>
        <v>LORENA VALENTINUCI</v>
      </c>
      <c r="O30" s="20">
        <f>IF(B30&lt;&gt;"",LARGE(M30:M33,1),"")</f>
        <v>2.0070000000000001</v>
      </c>
      <c r="P30" s="20" t="str">
        <f>VLOOKUP(O30,M30:N33,2,0)</f>
        <v>BEATRIZ OTERO</v>
      </c>
    </row>
    <row r="31" spans="2:16" ht="18" customHeight="1" x14ac:dyDescent="0.25">
      <c r="B31" s="15" t="s">
        <v>505</v>
      </c>
      <c r="C31" s="15" t="str">
        <f>IFERROR(IF(B31="","",VLOOKUP(B31,LISTAS!$F$5:$G$1004,2,0)),"0")</f>
        <v>COLÉGIO ENGENHEIRO SALVADOR ARENA</v>
      </c>
      <c r="D31" s="15" t="str">
        <f>IF(H30&lt;3,"",IF(H30=3,IF(D38&lt;&gt;"",IF(H38&lt;&gt;"",IF(D38&lt;&gt;H38,IF(D38&gt;H38,"V","D"),""),""),""),IF(H30=4,IF(D38&lt;&gt;"",IF(H38&lt;&gt;"",IF(D38&lt;&gt;H38,IF(D38&gt;H38,"V","D"),""),""),""))))</f>
        <v>D</v>
      </c>
      <c r="E31" s="15" t="str">
        <f>IF(H30&lt;3,"",IF(H30=3,IF(D39&lt;&gt;"",IF(H39&lt;&gt;"",IF(D39&lt;&gt;H39,IF(D39&gt;H39,"D","V"),""),""),""),IF(H30=4,IF(D40&lt;&gt;"",IF(H40&lt;&gt;"",IF(D40&lt;&gt;H40,IF(D40&gt;H40,"V","D"),""),""),""))))</f>
        <v>V</v>
      </c>
      <c r="F31" s="15" t="str">
        <f>IF(H30&lt;4,"-",IF(H30=3,"",IF(H30=4,IF(D42&lt;&gt;"",IF(H42&lt;&gt;"",IF(D42&lt;&gt;H42,IF(D42&gt;H42,"D","V"),""),""),""))))</f>
        <v>-</v>
      </c>
      <c r="G31" s="15" t="s">
        <v>81</v>
      </c>
      <c r="H31" s="159"/>
      <c r="I31" s="15">
        <f>IF(B31&lt;&gt;"",2,"")</f>
        <v>2</v>
      </c>
      <c r="J31" s="15" t="str">
        <f>IF(I31&lt;&gt;"",P31,"")</f>
        <v>JÚLIA ADRIANI GOMES NICOLA</v>
      </c>
      <c r="K31" s="15" t="str">
        <f>IFERROR(IF(J31="","",VLOOKUP(J31,LISTAS!$F$5:$G$1004,2,0)),"0")</f>
        <v>COLÉGIO ENGENHEIRO SALVADOR ARENA</v>
      </c>
      <c r="L31" s="119" t="str">
        <f>IF(B31&lt;&gt;"",IF(G5=1,"OURO",IF(G5=2,IF(H8&lt;3,"",IF(H8=3,"PRATA",IF(H8=4,"OURO"))),IF(G5&gt;=3,"PRATA",""))),"")</f>
        <v>PRATA</v>
      </c>
      <c r="M31" s="118">
        <f>IF(B31&lt;&gt;"",COUNTIF(D31:G31,"V")+(SUMIF(B37:B42,B31,D37:E42)/1000)+(SUMIF(J37:J42,B31,H37:I42)/1000)-(SUMIF(B37:B42,B31,H37:I42)/1000)-(SUMIF(J37:J42,B31,D37:E42)/1000)+0.004,"")</f>
        <v>1.004</v>
      </c>
      <c r="N31" s="20" t="str">
        <f t="shared" ref="N31" si="1">IF(B31="","",B31)</f>
        <v>JÚLIA ADRIANI GOMES NICOLA</v>
      </c>
      <c r="O31" s="20">
        <f>IF(B31&lt;&gt;"",LARGE(M30:M33,2),"")</f>
        <v>1.004</v>
      </c>
      <c r="P31" s="20" t="str">
        <f>VLOOKUP(O31,M30:N33,2,0)</f>
        <v>JÚLIA ADRIANI GOMES NICOLA</v>
      </c>
    </row>
    <row r="32" spans="2:16" ht="18" customHeight="1" x14ac:dyDescent="0.25">
      <c r="B32" s="15" t="s">
        <v>485</v>
      </c>
      <c r="C32" s="15" t="str">
        <f>IFERROR(IF(B32="","",VLOOKUP(B32,LISTAS!$F$5:$G$1004,2,0)),"0")</f>
        <v>COLÉGIO MARCONI - GRU</v>
      </c>
      <c r="D32" s="15" t="str">
        <f>IF(H30&lt;3,"",IF(H30=3,IF(D37&lt;&gt;"",IF(H37&lt;&gt;"",IF(D37&lt;&gt;H37,IF(D37&gt;H37,"D","V"),""),""),""),IF(H30=4,IF(D38&lt;&gt;"",IF(H38&lt;&gt;"",IF(D38&lt;&gt;H38,IF(D38&gt;H38,"D","V"),""),""),""))))</f>
        <v>V</v>
      </c>
      <c r="E32" s="15" t="str">
        <f>IF(H30&lt;3,"",IF(H30=3,IF(D38&lt;&gt;"",IF(H38&lt;&gt;"",IF(D38&lt;&gt;H38,IF(D38&gt;H38,"D","V"),""),""),""),IF(H30=4,IF(D39&lt;&gt;"",IF(H39&lt;&gt;"",IF(D39&lt;&gt;H39,IF(D39&gt;H39,"D","V"),""),""),""))))</f>
        <v>V</v>
      </c>
      <c r="F32" s="15" t="str">
        <f>IF(H30&lt;4,"-",IF(H30=3,"-",IF(H30=4,IF(D41&lt;&gt;"",IF(H41&lt;&gt;"",IF(D41&lt;&gt;H41,IF(D41&gt;H41,"V","D"),""),""),""))))</f>
        <v>-</v>
      </c>
      <c r="G32" s="15" t="s">
        <v>81</v>
      </c>
      <c r="H32" s="159"/>
      <c r="I32" s="15">
        <f>IF(B32&lt;&gt;"",3,"")</f>
        <v>3</v>
      </c>
      <c r="J32" s="15" t="str">
        <f>IF(I32&lt;&gt;"",P32,"")</f>
        <v>LORENA VALENTINUCI</v>
      </c>
      <c r="K32" s="15" t="str">
        <f>IFERROR(IF(J32="","",VLOOKUP(J32,LISTAS!$F$5:$G$1004,2,0)),"0")</f>
        <v>COLÉGIO ARBOS - UNIDADE SANTO ANDRÉ</v>
      </c>
      <c r="L32" s="119" t="str">
        <f>IF(B32&lt;&gt;"",IF(G5=1,"OURO",IF(G5=2,IF(H8&lt;3,"",IF(H8=3,"BRONZE",IF(H8=4,"PRATA"))),IF(G5&gt;=3,"BRONZE",""))),"")</f>
        <v>BRONZE</v>
      </c>
      <c r="M32" s="118">
        <f>IF(B32&lt;&gt;"",COUNTIF(D32:G32,"V")+(SUMIF(B37:B42,B32,D37:E42)/1000)+(SUMIF(J37:J42,B32,H37:I42)/1000)-(SUMIF(B37:B42,B32,H37:I42)/1000)-(SUMIF(J37:J42,B32,D37:E42)/1000)+0.003,"")</f>
        <v>2.0070000000000001</v>
      </c>
      <c r="N32" s="20" t="str">
        <f>IF(B32="","",B32)</f>
        <v>BEATRIZ OTERO</v>
      </c>
      <c r="O32" s="20">
        <f>IF(B32&lt;&gt;"",LARGE(M30:M33,3),"")</f>
        <v>1E-3</v>
      </c>
      <c r="P32" s="20" t="str">
        <f>VLOOKUP(O32,M30:N33,2,0)</f>
        <v>LORENA VALENTINUCI</v>
      </c>
    </row>
    <row r="33" spans="2:16" ht="18" customHeight="1" x14ac:dyDescent="0.25">
      <c r="B33" s="83"/>
      <c r="C33" s="15" t="str">
        <f>IFERROR(IF(B33="","",VLOOKUP(B33,LISTAS!$F$5:$G$1004,2,0)),"0")</f>
        <v/>
      </c>
      <c r="D33" s="15" t="str">
        <f>IF(H30&lt;3,"",IF(H30=3,"",IF(H30=4,IF(D37&lt;&gt;"",IF(H37&lt;&gt;"",IF(D37&lt;&gt;H37,IF(D37&gt;H37,"D","V"),""),""),""))))</f>
        <v/>
      </c>
      <c r="E33" s="15" t="str">
        <f>IF(H30&lt;3,"",IF(H30=3,"",IF(H30=4,IF(D40&lt;&gt;"",IF(H40&lt;&gt;"",IF(D40&lt;&gt;H40,IF(D40&gt;H40,"D","V"),""),""),""))))</f>
        <v/>
      </c>
      <c r="F33" s="15" t="str">
        <f>IF(H30&lt;4,"-",IF(H30=3,"",IF(H30=4,IF(D41&lt;&gt;"",IF(H41&lt;&gt;"",IF(D41&lt;&gt;H41,IF(D41&gt;H41,"D","V"),""),""),""))))</f>
        <v>-</v>
      </c>
      <c r="G33" s="15" t="s">
        <v>81</v>
      </c>
      <c r="H33" s="159"/>
      <c r="I33" s="15" t="str">
        <f>IF(B33&lt;&gt;"",4,"")</f>
        <v/>
      </c>
      <c r="J33" s="15" t="str">
        <f>IF(I33&lt;&gt;"",P33,"")</f>
        <v/>
      </c>
      <c r="K33" s="15" t="str">
        <f>IFERROR(IF(J33="","",VLOOKUP(J33,LISTAS!$F$5:$G$1004,2,0)),"0")</f>
        <v/>
      </c>
      <c r="L33" s="119" t="str">
        <f>IF(B33&lt;&gt;"",IF(G5=1,"OURO",IF(G5=2,IF(H8&lt;3,"",IF(H8=3,"",IF(H8=4,"PRATA"))),IF(G5&gt;=3,"",""))),"")</f>
        <v/>
      </c>
      <c r="M33" s="20" t="str">
        <f>IF(B33&lt;&gt;"",COUNTIF(D33:G33,"V")+(SUMIF(B37:B42,B33,D37:E42)/1000)+(SUMIF(J37:J42,B33,H37:I42)/1000)-(SUMIF(B37:B42,B33,H37:I42)/1000)-(SUMIF(J37:J42,B33,D37:E42)/1000)+0.002,"")</f>
        <v/>
      </c>
      <c r="N33" s="20" t="str">
        <f>IF(B33="","",B33)</f>
        <v/>
      </c>
      <c r="O33" s="20" t="str">
        <f>IF(B33&lt;&gt;"",LARGE(M30:M33,4),"")</f>
        <v/>
      </c>
      <c r="P33" s="20" t="str">
        <f>VLOOKUP(O33,M30:N33,2,0)</f>
        <v/>
      </c>
    </row>
    <row r="34" spans="2:16" ht="18" customHeight="1" x14ac:dyDescent="0.25">
      <c r="B34" s="79"/>
      <c r="C34" s="79"/>
      <c r="D34" s="79"/>
      <c r="E34" s="79"/>
      <c r="F34" s="79"/>
      <c r="G34" s="79"/>
      <c r="I34" s="80"/>
      <c r="J34" s="79"/>
      <c r="K34" s="81"/>
      <c r="L34" s="81"/>
    </row>
    <row r="35" spans="2:16" ht="23.25" customHeight="1" x14ac:dyDescent="0.25">
      <c r="B35" s="82" t="s">
        <v>40</v>
      </c>
      <c r="C35" s="79"/>
      <c r="D35" s="79"/>
      <c r="E35" s="79"/>
      <c r="F35" s="79"/>
      <c r="G35" s="79"/>
      <c r="H35" s="79"/>
      <c r="I35" s="79"/>
      <c r="J35" s="79"/>
      <c r="K35" s="79"/>
      <c r="L35" s="79"/>
    </row>
    <row r="36" spans="2:16" ht="18" customHeight="1" x14ac:dyDescent="0.25">
      <c r="B36" s="9" t="s">
        <v>15</v>
      </c>
      <c r="C36" s="9" t="s">
        <v>0</v>
      </c>
      <c r="D36" s="228" t="s">
        <v>41</v>
      </c>
      <c r="E36" s="229"/>
      <c r="F36" s="229"/>
      <c r="G36" s="229"/>
      <c r="H36" s="229"/>
      <c r="I36" s="230"/>
      <c r="J36" s="9" t="s">
        <v>15</v>
      </c>
      <c r="K36" s="9" t="s">
        <v>0</v>
      </c>
      <c r="L36" s="79"/>
    </row>
    <row r="37" spans="2:16" ht="18" customHeight="1" x14ac:dyDescent="0.25">
      <c r="B37" s="15" t="str">
        <f>IF(H30=3,B30,IF(H30=4,B30,""))</f>
        <v>LORENA VALENTINUCI</v>
      </c>
      <c r="C37" s="15" t="str">
        <f>IFERROR(IF(B37="","",VLOOKUP(B37,LISTAS!$F$5:$G$1004,2,0)),"0")</f>
        <v>COLÉGIO ARBOS - UNIDADE SANTO ANDRÉ</v>
      </c>
      <c r="D37" s="223">
        <v>0</v>
      </c>
      <c r="E37" s="224"/>
      <c r="F37" s="223" t="s">
        <v>38</v>
      </c>
      <c r="G37" s="224"/>
      <c r="H37" s="223">
        <v>2</v>
      </c>
      <c r="I37" s="224"/>
      <c r="J37" s="21" t="str">
        <f>IF(H30=3,B32,IF(H30=4,B33,""))</f>
        <v>BEATRIZ OTERO</v>
      </c>
      <c r="K37" s="15" t="str">
        <f>IFERROR(IF(J37="","",VLOOKUP(J37,LISTAS!$F$5:$G$1004,2,0)),"0")</f>
        <v>COLÉGIO MARCONI - GRU</v>
      </c>
      <c r="L37" s="81"/>
    </row>
    <row r="38" spans="2:16" ht="18" customHeight="1" x14ac:dyDescent="0.25">
      <c r="B38" s="15" t="str">
        <f>IF(H30=3,B31,IF(H30=4,B31,""))</f>
        <v>JÚLIA ADRIANI GOMES NICOLA</v>
      </c>
      <c r="C38" s="15" t="str">
        <f>IFERROR(IF(B38="","",VLOOKUP(B38,LISTAS!$F$5:$G$1004,2,0)),"0")</f>
        <v>COLÉGIO ENGENHEIRO SALVADOR ARENA</v>
      </c>
      <c r="D38" s="223">
        <v>0</v>
      </c>
      <c r="E38" s="224"/>
      <c r="F38" s="223" t="s">
        <v>38</v>
      </c>
      <c r="G38" s="224"/>
      <c r="H38" s="223">
        <v>2</v>
      </c>
      <c r="I38" s="224"/>
      <c r="J38" s="21" t="str">
        <f>IF(H30=3,B32,IF(H30=4,B32,""))</f>
        <v>BEATRIZ OTERO</v>
      </c>
      <c r="K38" s="15" t="str">
        <f>IFERROR(IF(J38="","",VLOOKUP(J38,LISTAS!$F$5:$G$1004,2,0)),"0")</f>
        <v>COLÉGIO MARCONI - GRU</v>
      </c>
      <c r="L38" s="79"/>
    </row>
    <row r="39" spans="2:16" ht="18" customHeight="1" x14ac:dyDescent="0.25">
      <c r="B39" s="15" t="str">
        <f>IF(H30=3,B30,IF(H30=4,B30,""))</f>
        <v>LORENA VALENTINUCI</v>
      </c>
      <c r="C39" s="15" t="str">
        <f>IFERROR(IF(B39="","",VLOOKUP(B39,LISTAS!$F$5:$G$1004,2,0)),"0")</f>
        <v>COLÉGIO ARBOS - UNIDADE SANTO ANDRÉ</v>
      </c>
      <c r="D39" s="223">
        <v>0</v>
      </c>
      <c r="E39" s="224"/>
      <c r="F39" s="223" t="s">
        <v>38</v>
      </c>
      <c r="G39" s="224"/>
      <c r="H39" s="223">
        <v>2</v>
      </c>
      <c r="I39" s="224"/>
      <c r="J39" s="21" t="str">
        <f>IF(H30=3,B31,IF(H30=4,B32,""))</f>
        <v>JÚLIA ADRIANI GOMES NICOLA</v>
      </c>
      <c r="K39" s="15" t="str">
        <f>IFERROR(IF(J39="","",VLOOKUP(J39,LISTAS!$F$5:$G$1004,2,0)),"0")</f>
        <v>COLÉGIO ENGENHEIRO SALVADOR ARENA</v>
      </c>
      <c r="L39" s="81"/>
    </row>
    <row r="40" spans="2:16" ht="18" customHeight="1" x14ac:dyDescent="0.25">
      <c r="B40" s="15" t="str">
        <f>IF(H30=3,"",IF(H30=4,B31,""))</f>
        <v/>
      </c>
      <c r="C40" s="15" t="str">
        <f>IFERROR(IF(B40="","",VLOOKUP(B40,LISTAS!$F$5:$G$1004,2,0)),"0")</f>
        <v/>
      </c>
      <c r="D40" s="223"/>
      <c r="E40" s="224"/>
      <c r="F40" s="223" t="s">
        <v>38</v>
      </c>
      <c r="G40" s="224"/>
      <c r="H40" s="223"/>
      <c r="I40" s="224"/>
      <c r="J40" s="21" t="str">
        <f>IF(H30=3,"",IF(H30=4,B33,""))</f>
        <v/>
      </c>
      <c r="K40" s="15" t="str">
        <f>IFERROR(IF(J40="","",VLOOKUP(J40,LISTAS!$F$5:$G$1004,2,0)),"0")</f>
        <v/>
      </c>
      <c r="L40" s="81"/>
    </row>
    <row r="41" spans="2:16" ht="18" customHeight="1" x14ac:dyDescent="0.25">
      <c r="B41" s="15" t="str">
        <f>IF(H30=3,"",IF(H30=4,B32,""))</f>
        <v/>
      </c>
      <c r="C41" s="15" t="str">
        <f>IFERROR(IF(B41="","",VLOOKUP(B41,LISTAS!$F$5:$G$1004,2,0)),"0")</f>
        <v/>
      </c>
      <c r="D41" s="223"/>
      <c r="E41" s="224"/>
      <c r="F41" s="223" t="s">
        <v>38</v>
      </c>
      <c r="G41" s="224"/>
      <c r="H41" s="223"/>
      <c r="I41" s="224"/>
      <c r="J41" s="21" t="str">
        <f>IF(H30=3,"",IF(H30=4,B33,""))</f>
        <v/>
      </c>
      <c r="K41" s="15" t="str">
        <f>IFERROR(IF(J41="","",VLOOKUP(J41,LISTAS!$F$5:$G$1004,2,0)),"0")</f>
        <v/>
      </c>
      <c r="L41" s="81"/>
    </row>
    <row r="42" spans="2:16" ht="18" customHeight="1" x14ac:dyDescent="0.25">
      <c r="B42" s="15" t="str">
        <f>IF(H30=3,"",IF(H30=4,B30,""))</f>
        <v/>
      </c>
      <c r="C42" s="15" t="str">
        <f>IFERROR(IF(B42="","",VLOOKUP(B42,LISTAS!$F$5:$G$1004,2,0)),"0")</f>
        <v/>
      </c>
      <c r="D42" s="223"/>
      <c r="E42" s="224"/>
      <c r="F42" s="223" t="s">
        <v>38</v>
      </c>
      <c r="G42" s="224"/>
      <c r="H42" s="223"/>
      <c r="I42" s="224"/>
      <c r="J42" s="21" t="str">
        <f>IF(H30=3,"",IF(H30=4,B31,""))</f>
        <v/>
      </c>
      <c r="K42" s="15" t="str">
        <f>IFERROR(IF(J42="","",VLOOKUP(J42,LISTAS!$F$5:$G$1004,2,0)),"0")</f>
        <v/>
      </c>
      <c r="L42" s="81"/>
    </row>
    <row r="45" spans="2:16" ht="30" customHeight="1" x14ac:dyDescent="0.25">
      <c r="B45" s="161" t="s">
        <v>47</v>
      </c>
      <c r="C45" s="79"/>
      <c r="D45" s="225" t="s">
        <v>42</v>
      </c>
      <c r="E45" s="226"/>
      <c r="F45" s="226"/>
      <c r="G45" s="227"/>
      <c r="H45" s="113"/>
      <c r="I45" s="225" t="s">
        <v>3</v>
      </c>
      <c r="J45" s="226"/>
      <c r="K45" s="226"/>
      <c r="L45" s="226"/>
    </row>
    <row r="46" spans="2:16" ht="18" customHeight="1" x14ac:dyDescent="0.25">
      <c r="B46" s="9" t="s">
        <v>15</v>
      </c>
      <c r="C46" s="9" t="s">
        <v>0</v>
      </c>
      <c r="D46" s="9" t="s">
        <v>43</v>
      </c>
      <c r="E46" s="9" t="s">
        <v>44</v>
      </c>
      <c r="F46" s="9" t="s">
        <v>77</v>
      </c>
      <c r="G46" s="9" t="s">
        <v>78</v>
      </c>
      <c r="H46" s="114"/>
      <c r="I46" s="9" t="s">
        <v>18</v>
      </c>
      <c r="J46" s="9" t="s">
        <v>15</v>
      </c>
      <c r="K46" s="9" t="s">
        <v>0</v>
      </c>
      <c r="L46" s="9" t="s">
        <v>45</v>
      </c>
    </row>
    <row r="47" spans="2:16" ht="18" customHeight="1" x14ac:dyDescent="0.25">
      <c r="B47" s="15" t="s">
        <v>514</v>
      </c>
      <c r="C47" s="15" t="str">
        <f>IFERROR(IF(B47="","",VLOOKUP(B47,LISTAS!$F$5:$G$1004,2,0)),"0")</f>
        <v>ESCOLA PRÓ CONHECER</v>
      </c>
      <c r="D47" s="15" t="str">
        <f>IF(H47&lt;3,"",IF(H47=3,IF(D53&lt;&gt;"",IF(H53&lt;&gt;"",IF(D53&lt;&gt;H53,IF(D53&gt;H53,"V","D"),""),""),"")))</f>
        <v>D</v>
      </c>
      <c r="E47" s="15" t="str">
        <f>IF(H47&lt;3,"",IF(H47=3,IF(D55&lt;&gt;"",IF(H55&lt;&gt;"",IF(D55&lt;&gt;H55,IF(D55&gt;H55,"V","D"),""),""),"")))</f>
        <v>V</v>
      </c>
      <c r="F47" s="15" t="s">
        <v>81</v>
      </c>
      <c r="G47" s="15" t="s">
        <v>81</v>
      </c>
      <c r="H47" s="117">
        <f>COUNTA(B47:B49)</f>
        <v>3</v>
      </c>
      <c r="I47" s="15">
        <f>IF(B47&lt;&gt;"",1,"")</f>
        <v>1</v>
      </c>
      <c r="J47" s="15" t="str">
        <f>IF(I47&lt;&gt;"",P47,"")</f>
        <v>RAFAELA ADILEU</v>
      </c>
      <c r="K47" s="15" t="str">
        <f>IFERROR(IF(J47="","",VLOOKUP(J47,LISTAS!$F$5:$G$1004,2,0)),"0")</f>
        <v>COLÉGIO MARCONI - GRU</v>
      </c>
      <c r="L47" s="119" t="str">
        <f>IF(H47=3,"OURO",IF(H47=4,"OURO",IF(H47=5,"OURO","")))</f>
        <v>OURO</v>
      </c>
      <c r="M47" s="20">
        <f>IF(B47&lt;&gt;"",COUNTIF(D47:G47,"V")+(SUMIF(B53:B55,B47,D53:E55)/1000)+(SUMIF(J53:J55,B47,H53:I55)/1000)-(SUMIF(B53:B55,B47,H53:I55)/1000)-(SUMIF(J53:J55,B47,D53:E55)/1000)+0.003,"")</f>
        <v>1.0029999999999999</v>
      </c>
      <c r="N47" s="20" t="str">
        <f>IF(B47="","",B47)</f>
        <v>MAISA DE SÁ</v>
      </c>
      <c r="O47" s="20">
        <f>IF(B47&lt;&gt;"",LARGE(M47:M49,1),"")</f>
        <v>2.0049999999999999</v>
      </c>
      <c r="P47" s="20" t="str">
        <f>VLOOKUP(O47,M47:N49,2,0)</f>
        <v>RAFAELA ADILEU</v>
      </c>
    </row>
    <row r="48" spans="2:16" ht="18" customHeight="1" x14ac:dyDescent="0.25">
      <c r="B48" s="15" t="s">
        <v>516</v>
      </c>
      <c r="C48" s="15" t="str">
        <f>IFERROR(IF(B48="","",VLOOKUP(B48,LISTAS!$F$5:$G$1004,2,0)),"0")</f>
        <v>COLÉGIO ARBOS - UNIDADE SANTO ANDRÉ</v>
      </c>
      <c r="D48" s="15" t="str">
        <f>IF(H47&lt;3,"",IF(H47=3,IF(D54&lt;&gt;"",IF(H54&lt;&gt;"",IF(D54&lt;&gt;H54,IF(D54&gt;H54,"V","D"),""),""),"")))</f>
        <v>D</v>
      </c>
      <c r="E48" s="15" t="str">
        <f>IF(H47&lt;3,"",IF(H47=3,IF(D55&lt;&gt;"",IF(H55&lt;&gt;"",IF(D55&lt;&gt;H55,IF(D55&gt;H55,"D","V"),""),""),"")))</f>
        <v>D</v>
      </c>
      <c r="F48" s="15" t="s">
        <v>81</v>
      </c>
      <c r="G48" s="15" t="s">
        <v>81</v>
      </c>
      <c r="H48" s="115"/>
      <c r="I48" s="15">
        <f>IF(B48&lt;&gt;"",2,"")</f>
        <v>2</v>
      </c>
      <c r="J48" s="15" t="str">
        <f>IF(I48&lt;&gt;"",P48,"")</f>
        <v>MAISA DE SÁ</v>
      </c>
      <c r="K48" s="15" t="str">
        <f>IFERROR(IF(J48="","",VLOOKUP(J48,LISTAS!$F$5:$G$1004,2,0)),"0")</f>
        <v>ESCOLA PRÓ CONHECER</v>
      </c>
      <c r="L48" s="119" t="str">
        <f>IF(H47=3,"PRATA",IF(H47=4,"OURO",IF(H47=5,"OURO","")))</f>
        <v>PRATA</v>
      </c>
      <c r="M48" s="20">
        <f>IF(B48&lt;&gt;"",COUNTIF(D48:G48,"V")+(SUMIF(B53:B55,B48,D53:E55)/1000)+(SUMIF(J53:J55,B48,H53:I55)/1000)-(SUMIF(B53:B55,B48,H53:I55)/1000)-(SUMIF(J53:J55,B48,D53:E55)/1000)+0.002,"")</f>
        <v>-2E-3</v>
      </c>
      <c r="N48" s="20" t="str">
        <f t="shared" ref="N48" si="2">IF(B48="","",B48)</f>
        <v>MAITÊ ERMINIA DOS REIS CARVALHO</v>
      </c>
      <c r="O48" s="20">
        <f>IF(B48&lt;&gt;"",LARGE(M47:M49,2),"")</f>
        <v>1.0029999999999999</v>
      </c>
      <c r="P48" s="20" t="str">
        <f>VLOOKUP(O48,M47:N49,2,0)</f>
        <v>MAISA DE SÁ</v>
      </c>
    </row>
    <row r="49" spans="2:16" ht="18" customHeight="1" x14ac:dyDescent="0.25">
      <c r="B49" s="15" t="s">
        <v>538</v>
      </c>
      <c r="C49" s="15" t="str">
        <f>IFERROR(IF(B49="","",VLOOKUP(B49,LISTAS!$F$5:$G$1004,2,0)),"0")</f>
        <v>COLÉGIO MARCONI - GRU</v>
      </c>
      <c r="D49" s="15" t="str">
        <f>IF(H47&lt;3,"",IF(H47=3,IF(D53&lt;&gt;"",IF(H53&lt;&gt;"",IF(D53&lt;&gt;H53,IF(D53&gt;H53,"D","V"),""),""),"")))</f>
        <v>V</v>
      </c>
      <c r="E49" s="15" t="str">
        <f>IF(H47&lt;3,"",IF(H47=3,IF(D54&lt;&gt;"",IF(H54&lt;&gt;"",IF(D54&lt;&gt;H54,IF(D54&gt;H54,"D","V"),""),""),"")))</f>
        <v>V</v>
      </c>
      <c r="F49" s="15" t="s">
        <v>81</v>
      </c>
      <c r="G49" s="15" t="s">
        <v>81</v>
      </c>
      <c r="H49" s="115"/>
      <c r="I49" s="15">
        <f>IF(B49&lt;&gt;"",3,"")</f>
        <v>3</v>
      </c>
      <c r="J49" s="15" t="str">
        <f>IF(I49&lt;&gt;"",P49,"")</f>
        <v>MAITÊ ERMINIA DOS REIS CARVALHO</v>
      </c>
      <c r="K49" s="15" t="str">
        <f>IFERROR(IF(J49="","",VLOOKUP(J49,LISTAS!$F$5:$G$1004,2,0)),"0")</f>
        <v>COLÉGIO ARBOS - UNIDADE SANTO ANDRÉ</v>
      </c>
      <c r="L49" s="119" t="str">
        <f>IF(H47=3,"BRONZE",IF(H47=4,"PRATA",IF(H47=5,"OURO","")))</f>
        <v>BRONZE</v>
      </c>
      <c r="M49" s="20">
        <f>IF(B49&lt;&gt;"",COUNTIF(D49:G49,"V")+(SUMIF(B53:B55,B49,D53:E55)/1000)+(SUMIF(J53:J55,B49,H53:I55)/1000)-(SUMIF(B53:B55,B49,H53:I55)/1000)-(SUMIF(J53:J55,B49,D53:E55)/1000)+0.001,"")</f>
        <v>2.0049999999999999</v>
      </c>
      <c r="N49" s="20" t="str">
        <f>IF(B49="","",B49)</f>
        <v>RAFAELA ADILEU</v>
      </c>
      <c r="O49" s="20">
        <f>IF(B49&lt;&gt;"",LARGE(M47:M49,3),"")</f>
        <v>-2E-3</v>
      </c>
      <c r="P49" s="20" t="str">
        <f>VLOOKUP(O49,M47:N49,2,0)</f>
        <v>MAITÊ ERMINIA DOS REIS CARVALHO</v>
      </c>
    </row>
    <row r="50" spans="2:16" ht="18" customHeight="1" x14ac:dyDescent="0.25">
      <c r="B50" s="79"/>
      <c r="C50" s="79"/>
      <c r="D50" s="79"/>
      <c r="E50" s="79"/>
      <c r="F50" s="79"/>
      <c r="G50" s="79"/>
      <c r="I50" s="80"/>
      <c r="J50" s="79"/>
      <c r="K50" s="81"/>
      <c r="L50" s="81"/>
    </row>
    <row r="51" spans="2:16" ht="23.25" customHeight="1" x14ac:dyDescent="0.25">
      <c r="B51" s="82" t="s">
        <v>40</v>
      </c>
      <c r="C51" s="79"/>
      <c r="D51" s="79"/>
      <c r="E51" s="79"/>
      <c r="F51" s="79"/>
      <c r="G51" s="79"/>
      <c r="H51" s="79"/>
      <c r="I51" s="79"/>
      <c r="J51" s="79"/>
      <c r="K51" s="79"/>
      <c r="L51" s="79"/>
    </row>
    <row r="52" spans="2:16" ht="18" customHeight="1" x14ac:dyDescent="0.25">
      <c r="B52" s="9" t="s">
        <v>15</v>
      </c>
      <c r="C52" s="9" t="s">
        <v>0</v>
      </c>
      <c r="D52" s="228" t="s">
        <v>41</v>
      </c>
      <c r="E52" s="229"/>
      <c r="F52" s="229"/>
      <c r="G52" s="229"/>
      <c r="H52" s="229"/>
      <c r="I52" s="230"/>
      <c r="J52" s="9" t="s">
        <v>15</v>
      </c>
      <c r="K52" s="9" t="s">
        <v>0</v>
      </c>
      <c r="L52" s="79"/>
    </row>
    <row r="53" spans="2:16" ht="18" customHeight="1" x14ac:dyDescent="0.25">
      <c r="B53" s="15" t="str">
        <f>IF(H47=3,B47,"")</f>
        <v>MAISA DE SÁ</v>
      </c>
      <c r="C53" s="15" t="str">
        <f>IFERROR(IF(B53="","",VLOOKUP(B53,LISTAS!$F$5:$G$1004,2,0)),"0")</f>
        <v>ESCOLA PRÓ CONHECER</v>
      </c>
      <c r="D53" s="223">
        <v>0</v>
      </c>
      <c r="E53" s="224"/>
      <c r="F53" s="223" t="s">
        <v>38</v>
      </c>
      <c r="G53" s="224"/>
      <c r="H53" s="223">
        <v>2</v>
      </c>
      <c r="I53" s="224"/>
      <c r="J53" s="21" t="str">
        <f>IF(H47=3,B49,"")</f>
        <v>RAFAELA ADILEU</v>
      </c>
      <c r="K53" s="15" t="str">
        <f>IFERROR(IF(J53="","",VLOOKUP(J53,LISTAS!$F$5:$G$1004,2,0)),"0")</f>
        <v>COLÉGIO MARCONI - GRU</v>
      </c>
      <c r="L53" s="81"/>
    </row>
    <row r="54" spans="2:16" ht="18" customHeight="1" x14ac:dyDescent="0.25">
      <c r="B54" s="15" t="str">
        <f>IF(H47=3,B48,"")</f>
        <v>MAITÊ ERMINIA DOS REIS CARVALHO</v>
      </c>
      <c r="C54" s="15" t="str">
        <f>IFERROR(IF(B54="","",VLOOKUP(B54,LISTAS!$F$5:$G$1004,2,0)),"0")</f>
        <v>COLÉGIO ARBOS - UNIDADE SANTO ANDRÉ</v>
      </c>
      <c r="D54" s="223">
        <v>0</v>
      </c>
      <c r="E54" s="224"/>
      <c r="F54" s="223" t="s">
        <v>38</v>
      </c>
      <c r="G54" s="224"/>
      <c r="H54" s="223">
        <v>2</v>
      </c>
      <c r="I54" s="224"/>
      <c r="J54" s="21" t="str">
        <f>IF(H47=3,B49,"")</f>
        <v>RAFAELA ADILEU</v>
      </c>
      <c r="K54" s="15" t="str">
        <f>IFERROR(IF(J54="","",VLOOKUP(J54,LISTAS!$F$5:$G$1004,2,0)),"0")</f>
        <v>COLÉGIO MARCONI - GRU</v>
      </c>
      <c r="L54" s="79"/>
    </row>
    <row r="55" spans="2:16" ht="18" customHeight="1" x14ac:dyDescent="0.25">
      <c r="B55" s="15" t="str">
        <f>IF(H47=3,B47,"")</f>
        <v>MAISA DE SÁ</v>
      </c>
      <c r="C55" s="15" t="str">
        <f>IFERROR(IF(B55="","",VLOOKUP(B55,LISTAS!$F$5:$G$1004,2,0)),"0")</f>
        <v>ESCOLA PRÓ CONHECER</v>
      </c>
      <c r="D55" s="223">
        <v>2</v>
      </c>
      <c r="E55" s="224"/>
      <c r="F55" s="223" t="s">
        <v>38</v>
      </c>
      <c r="G55" s="224"/>
      <c r="H55" s="223">
        <v>0</v>
      </c>
      <c r="I55" s="224"/>
      <c r="J55" s="21" t="str">
        <f>IF(H47=3,B48,"")</f>
        <v>MAITÊ ERMINIA DOS REIS CARVALHO</v>
      </c>
      <c r="K55" s="15" t="str">
        <f>IFERROR(IF(J55="","",VLOOKUP(J55,LISTAS!$F$5:$G$1004,2,0)),"0")</f>
        <v>COLÉGIO ARBOS - UNIDADE SANTO ANDRÉ</v>
      </c>
      <c r="L55" s="81"/>
    </row>
    <row r="58" spans="2:16" ht="30" customHeight="1" x14ac:dyDescent="0.25">
      <c r="B58" s="161" t="s">
        <v>48</v>
      </c>
      <c r="C58" s="79"/>
      <c r="D58" s="225" t="s">
        <v>42</v>
      </c>
      <c r="E58" s="226"/>
      <c r="F58" s="226"/>
      <c r="G58" s="227"/>
      <c r="H58" s="113"/>
      <c r="I58" s="225" t="s">
        <v>3</v>
      </c>
      <c r="J58" s="226"/>
      <c r="K58" s="226"/>
      <c r="L58" s="226"/>
    </row>
    <row r="59" spans="2:16" ht="18" customHeight="1" x14ac:dyDescent="0.25">
      <c r="B59" s="9" t="s">
        <v>15</v>
      </c>
      <c r="C59" s="9" t="s">
        <v>0</v>
      </c>
      <c r="D59" s="9" t="s">
        <v>43</v>
      </c>
      <c r="E59" s="9" t="s">
        <v>44</v>
      </c>
      <c r="F59" s="9" t="s">
        <v>77</v>
      </c>
      <c r="G59" s="9" t="s">
        <v>78</v>
      </c>
      <c r="H59" s="114"/>
      <c r="I59" s="9" t="s">
        <v>18</v>
      </c>
      <c r="J59" s="9" t="s">
        <v>15</v>
      </c>
      <c r="K59" s="9" t="s">
        <v>0</v>
      </c>
      <c r="L59" s="9" t="s">
        <v>45</v>
      </c>
    </row>
    <row r="60" spans="2:16" ht="18" customHeight="1" x14ac:dyDescent="0.25">
      <c r="B60" s="15" t="s">
        <v>529</v>
      </c>
      <c r="C60" s="15" t="str">
        <f>IFERROR(IF(B60="","",VLOOKUP(B60,LISTAS!$F$5:$G$1004,2,0)),"0")</f>
        <v>COLÉGIO ARBOS - UNIDADE SANTO ANDRÉ</v>
      </c>
      <c r="D60" s="15" t="str">
        <f>IF(H60&lt;3,"",IF(H60=3,IF(D66&lt;&gt;"",IF(H66&lt;&gt;"",IF(D66&lt;&gt;H66,IF(D66&gt;H66,"V","D"),""),""),"")))</f>
        <v>D</v>
      </c>
      <c r="E60" s="15" t="str">
        <f>IF(H60&lt;3,"",IF(H60=3,IF(D68&lt;&gt;"",IF(H68&lt;&gt;"",IF(D68&lt;&gt;H68,IF(D68&gt;H68,"V","D"),""),""),"")))</f>
        <v>V</v>
      </c>
      <c r="F60" s="15" t="s">
        <v>81</v>
      </c>
      <c r="G60" s="15" t="s">
        <v>81</v>
      </c>
      <c r="H60" s="117">
        <f>COUNTA(B60:B62)</f>
        <v>3</v>
      </c>
      <c r="I60" s="15">
        <f>IF(B60&lt;&gt;"",1,"")</f>
        <v>1</v>
      </c>
      <c r="J60" s="15" t="str">
        <f>IF(I60&lt;&gt;"",P60,"")</f>
        <v>ANA CAROLINA A HASEGAWA</v>
      </c>
      <c r="K60" s="15" t="str">
        <f>IFERROR(IF(J60="","",VLOOKUP(J60,LISTAS!$F$5:$G$1004,2,0)),"0")</f>
        <v>ESCOLA VILLARE</v>
      </c>
      <c r="L60" s="119" t="str">
        <f>IF(H60=3,"OURO",IF(H60=4,"OURO",IF(H60=5,"OURO","")))</f>
        <v>OURO</v>
      </c>
      <c r="M60" s="20">
        <f>IF(B60&lt;&gt;"",COUNTIF(D60:G60,"V")+(SUMIF(B66:B68,B60,D66:E68)/1000)+(SUMIF(J66:J68,B60,H66:I68)/1000)-(SUMIF(B66:B68,B60,H66:I68)/1000)-(SUMIF(J66:J68,B60,D66:E68)/1000)+0.003,"")</f>
        <v>1.0029999999999999</v>
      </c>
      <c r="N60" s="20" t="str">
        <f>IF(B60="","",B60)</f>
        <v>MIRELA VIVANCO CARDOSO</v>
      </c>
      <c r="O60" s="20">
        <f>IF(B60&lt;&gt;"",LARGE(M60:M62,1),"")</f>
        <v>2.0049999999999999</v>
      </c>
      <c r="P60" s="20" t="str">
        <f>VLOOKUP(O60,M60:N62,2,0)</f>
        <v>ANA CAROLINA A HASEGAWA</v>
      </c>
    </row>
    <row r="61" spans="2:16" ht="18" customHeight="1" x14ac:dyDescent="0.25">
      <c r="B61" s="15" t="s">
        <v>601</v>
      </c>
      <c r="C61" s="15" t="str">
        <f>IFERROR(IF(B61="","",VLOOKUP(B61,LISTAS!$F$5:$G$1004,2,0)),"0")</f>
        <v>BYE</v>
      </c>
      <c r="D61" s="15" t="str">
        <f>IF(H60&lt;3,"",IF(H60=3,IF(D67&lt;&gt;"",IF(H67&lt;&gt;"",IF(D67&lt;&gt;H67,IF(D67&gt;H67,"V","D"),""),""),"")))</f>
        <v>D</v>
      </c>
      <c r="E61" s="15" t="str">
        <f>IF(H60&lt;3,"",IF(H60=3,IF(D68&lt;&gt;"",IF(H68&lt;&gt;"",IF(D68&lt;&gt;H68,IF(D68&gt;H68,"D","V"),""),""),"")))</f>
        <v>D</v>
      </c>
      <c r="F61" s="15" t="s">
        <v>81</v>
      </c>
      <c r="G61" s="15" t="s">
        <v>81</v>
      </c>
      <c r="H61" s="115"/>
      <c r="I61" s="15">
        <f>IF(B61&lt;&gt;"",2,"")</f>
        <v>2</v>
      </c>
      <c r="J61" s="15" t="str">
        <f>IF(I61&lt;&gt;"",P61,"")</f>
        <v>MIRELA VIVANCO CARDOSO</v>
      </c>
      <c r="K61" s="15" t="str">
        <f>IFERROR(IF(J61="","",VLOOKUP(J61,LISTAS!$F$5:$G$1004,2,0)),"0")</f>
        <v>COLÉGIO ARBOS - UNIDADE SANTO ANDRÉ</v>
      </c>
      <c r="L61" s="119" t="str">
        <f>IF(H60=3,"PRATA",IF(H60=4,"OURO",IF(H60=5,"OURO","")))</f>
        <v>PRATA</v>
      </c>
      <c r="M61" s="20">
        <f>IF(B61&lt;&gt;"",COUNTIF(D61:G61,"V")+(SUMIF(B66:B68,B61,D66:E68)/1000)+(SUMIF(J66:J68,B61,H66:I68)/1000)-(SUMIF(B66:B68,B61,H66:I68)/1000)-(SUMIF(J66:J68,B61,D66:E68)/1000)+0.002,"")</f>
        <v>-2E-3</v>
      </c>
      <c r="N61" s="20" t="str">
        <f t="shared" ref="N61" si="3">IF(B61="","",B61)</f>
        <v>BYE</v>
      </c>
      <c r="O61" s="20">
        <f>IF(B61&lt;&gt;"",LARGE(M60:M62,2),"")</f>
        <v>1.0029999999999999</v>
      </c>
      <c r="P61" s="20" t="str">
        <f>VLOOKUP(O61,M60:N62,2,0)</f>
        <v>MIRELA VIVANCO CARDOSO</v>
      </c>
    </row>
    <row r="62" spans="2:16" ht="18" customHeight="1" x14ac:dyDescent="0.25">
      <c r="B62" s="15" t="s">
        <v>481</v>
      </c>
      <c r="C62" s="15" t="str">
        <f>IFERROR(IF(B62="","",VLOOKUP(B62,LISTAS!$F$5:$G$1004,2,0)),"0")</f>
        <v>ESCOLA VILLARE</v>
      </c>
      <c r="D62" s="15" t="str">
        <f>IF(H60&lt;3,"",IF(H60=3,IF(D66&lt;&gt;"",IF(H66&lt;&gt;"",IF(D66&lt;&gt;H66,IF(D66&gt;H66,"D","V"),""),""),"")))</f>
        <v>V</v>
      </c>
      <c r="E62" s="15" t="str">
        <f>IF(H60&lt;3,"",IF(H60=3,IF(D67&lt;&gt;"",IF(H67&lt;&gt;"",IF(D67&lt;&gt;H67,IF(D67&gt;H67,"D","V"),""),""),"")))</f>
        <v>V</v>
      </c>
      <c r="F62" s="15" t="s">
        <v>81</v>
      </c>
      <c r="G62" s="15" t="s">
        <v>81</v>
      </c>
      <c r="H62" s="115"/>
      <c r="I62" s="15">
        <f>IF(B62&lt;&gt;"",3,"")</f>
        <v>3</v>
      </c>
      <c r="J62" s="15" t="str">
        <f>IF(I62&lt;&gt;"",P62,"")</f>
        <v>BYE</v>
      </c>
      <c r="K62" s="15" t="str">
        <f>IFERROR(IF(J62="","",VLOOKUP(J62,LISTAS!$F$5:$G$1004,2,0)),"0")</f>
        <v>BYE</v>
      </c>
      <c r="L62" s="119" t="str">
        <f>IF(H60=3,"BRONZE",IF(H60=4,"PRATA",IF(H60=5,"OURO","")))</f>
        <v>BRONZE</v>
      </c>
      <c r="M62" s="20">
        <f>IF(B62&lt;&gt;"",COUNTIF(D62:G62,"V")+(SUMIF(B66:B68,B62,D66:E68)/1000)+(SUMIF(J66:J68,B62,H66:I68)/1000)-(SUMIF(B66:B68,B62,H66:I68)/1000)-(SUMIF(J66:J68,B62,D66:E68)/1000)+0.001,"")</f>
        <v>2.0049999999999999</v>
      </c>
      <c r="N62" s="20" t="str">
        <f>IF(B62="","",B62)</f>
        <v>ANA CAROLINA A HASEGAWA</v>
      </c>
      <c r="O62" s="20">
        <f>IF(B62&lt;&gt;"",LARGE(M60:M62,3),"")</f>
        <v>-2E-3</v>
      </c>
      <c r="P62" s="20" t="str">
        <f>VLOOKUP(O62,M60:N62,2,0)</f>
        <v>BYE</v>
      </c>
    </row>
    <row r="63" spans="2:16" ht="18" customHeight="1" x14ac:dyDescent="0.25">
      <c r="B63" s="79"/>
      <c r="C63" s="79"/>
      <c r="D63" s="79"/>
      <c r="E63" s="79"/>
      <c r="F63" s="79"/>
      <c r="G63" s="79"/>
      <c r="I63" s="80"/>
      <c r="J63" s="79"/>
      <c r="K63" s="81"/>
      <c r="L63" s="81"/>
    </row>
    <row r="64" spans="2:16" ht="23.25" customHeight="1" x14ac:dyDescent="0.25">
      <c r="B64" s="82" t="s">
        <v>40</v>
      </c>
      <c r="C64" s="79"/>
      <c r="D64" s="79"/>
      <c r="E64" s="79"/>
      <c r="F64" s="79"/>
      <c r="G64" s="79"/>
      <c r="H64" s="79"/>
      <c r="I64" s="79"/>
      <c r="J64" s="79"/>
      <c r="K64" s="79"/>
      <c r="L64" s="79"/>
    </row>
    <row r="65" spans="2:16" ht="18" customHeight="1" x14ac:dyDescent="0.25">
      <c r="B65" s="9" t="s">
        <v>15</v>
      </c>
      <c r="C65" s="9" t="s">
        <v>0</v>
      </c>
      <c r="D65" s="228" t="s">
        <v>41</v>
      </c>
      <c r="E65" s="229"/>
      <c r="F65" s="229"/>
      <c r="G65" s="229"/>
      <c r="H65" s="229"/>
      <c r="I65" s="230"/>
      <c r="J65" s="9" t="s">
        <v>15</v>
      </c>
      <c r="K65" s="9" t="s">
        <v>0</v>
      </c>
      <c r="L65" s="79"/>
    </row>
    <row r="66" spans="2:16" ht="18" customHeight="1" x14ac:dyDescent="0.25">
      <c r="B66" s="15" t="str">
        <f>IF(H60=3,B60,"")</f>
        <v>MIRELA VIVANCO CARDOSO</v>
      </c>
      <c r="C66" s="15" t="str">
        <f>IFERROR(IF(B66="","",VLOOKUP(B66,LISTAS!$F$5:$G$1004,2,0)),"0")</f>
        <v>COLÉGIO ARBOS - UNIDADE SANTO ANDRÉ</v>
      </c>
      <c r="D66" s="223">
        <v>0</v>
      </c>
      <c r="E66" s="224"/>
      <c r="F66" s="223" t="s">
        <v>38</v>
      </c>
      <c r="G66" s="224"/>
      <c r="H66" s="223">
        <v>2</v>
      </c>
      <c r="I66" s="224"/>
      <c r="J66" s="21" t="str">
        <f>IF(H60=3,B62,"")</f>
        <v>ANA CAROLINA A HASEGAWA</v>
      </c>
      <c r="K66" s="15" t="str">
        <f>IFERROR(IF(J66="","",VLOOKUP(J66,LISTAS!$F$5:$G$1004,2,0)),"0")</f>
        <v>ESCOLA VILLARE</v>
      </c>
      <c r="L66" s="81"/>
    </row>
    <row r="67" spans="2:16" ht="18" customHeight="1" x14ac:dyDescent="0.25">
      <c r="B67" s="15" t="str">
        <f>IF(H60=3,B61,"")</f>
        <v>BYE</v>
      </c>
      <c r="C67" s="15" t="str">
        <f>IFERROR(IF(B67="","",VLOOKUP(B67,LISTAS!$F$5:$G$1004,2,0)),"0")</f>
        <v>BYE</v>
      </c>
      <c r="D67" s="223">
        <v>0</v>
      </c>
      <c r="E67" s="224"/>
      <c r="F67" s="223" t="s">
        <v>38</v>
      </c>
      <c r="G67" s="224"/>
      <c r="H67" s="223">
        <v>2</v>
      </c>
      <c r="I67" s="224"/>
      <c r="J67" s="21" t="str">
        <f>IF(H60=3,B62,"")</f>
        <v>ANA CAROLINA A HASEGAWA</v>
      </c>
      <c r="K67" s="15" t="str">
        <f>IFERROR(IF(J67="","",VLOOKUP(J67,LISTAS!$F$5:$G$1004,2,0)),"0")</f>
        <v>ESCOLA VILLARE</v>
      </c>
      <c r="L67" s="79"/>
    </row>
    <row r="68" spans="2:16" ht="18" customHeight="1" x14ac:dyDescent="0.25">
      <c r="B68" s="15" t="str">
        <f>IF(H60=3,B60,"")</f>
        <v>MIRELA VIVANCO CARDOSO</v>
      </c>
      <c r="C68" s="15" t="str">
        <f>IFERROR(IF(B68="","",VLOOKUP(B68,LISTAS!$F$5:$G$1004,2,0)),"0")</f>
        <v>COLÉGIO ARBOS - UNIDADE SANTO ANDRÉ</v>
      </c>
      <c r="D68" s="223">
        <v>2</v>
      </c>
      <c r="E68" s="224"/>
      <c r="F68" s="223" t="s">
        <v>38</v>
      </c>
      <c r="G68" s="224"/>
      <c r="H68" s="223">
        <v>0</v>
      </c>
      <c r="I68" s="224"/>
      <c r="J68" s="21" t="str">
        <f>IF(H60=3,B61,"")</f>
        <v>BYE</v>
      </c>
      <c r="K68" s="15" t="str">
        <f>IFERROR(IF(J68="","",VLOOKUP(J68,LISTAS!$F$5:$G$1004,2,0)),"0")</f>
        <v>BYE</v>
      </c>
      <c r="L68" s="81"/>
    </row>
    <row r="71" spans="2:16" ht="30" customHeight="1" x14ac:dyDescent="0.25">
      <c r="B71" s="161" t="s">
        <v>49</v>
      </c>
      <c r="C71" s="79"/>
      <c r="D71" s="225" t="s">
        <v>42</v>
      </c>
      <c r="E71" s="226"/>
      <c r="F71" s="226"/>
      <c r="G71" s="227"/>
      <c r="H71" s="113"/>
      <c r="I71" s="225" t="s">
        <v>3</v>
      </c>
      <c r="J71" s="226"/>
      <c r="K71" s="226"/>
      <c r="L71" s="226"/>
    </row>
    <row r="72" spans="2:16" ht="18" customHeight="1" x14ac:dyDescent="0.25">
      <c r="B72" s="9" t="s">
        <v>15</v>
      </c>
      <c r="C72" s="9" t="s">
        <v>0</v>
      </c>
      <c r="D72" s="9" t="s">
        <v>43</v>
      </c>
      <c r="E72" s="9" t="s">
        <v>44</v>
      </c>
      <c r="F72" s="9" t="s">
        <v>77</v>
      </c>
      <c r="G72" s="9" t="s">
        <v>78</v>
      </c>
      <c r="H72" s="114"/>
      <c r="I72" s="9" t="s">
        <v>18</v>
      </c>
      <c r="J72" s="9" t="s">
        <v>15</v>
      </c>
      <c r="K72" s="9" t="s">
        <v>0</v>
      </c>
      <c r="L72" s="9" t="s">
        <v>45</v>
      </c>
    </row>
    <row r="73" spans="2:16" ht="18" customHeight="1" x14ac:dyDescent="0.25">
      <c r="B73" s="15" t="s">
        <v>480</v>
      </c>
      <c r="C73" s="15" t="str">
        <f>IFERROR(IF(B73="","",VLOOKUP(B73,LISTAS!$F$5:$G$1004,2,0)),"0")</f>
        <v>COLÉGIO ARBOS SÃO CAETANO DO SUL</v>
      </c>
      <c r="D73" s="15" t="str">
        <f>IF(H73&lt;3,"",IF(H73=3,IF(D79&lt;&gt;"",IF(H79&lt;&gt;"",IF(D79&lt;&gt;H79,IF(D79&gt;H79,"V","D"),""),""),"")))</f>
        <v>V</v>
      </c>
      <c r="E73" s="15" t="str">
        <f>IF(H73&lt;3,"",IF(H73=3,IF(D81&lt;&gt;"",IF(H81&lt;&gt;"",IF(D81&lt;&gt;H81,IF(D81&gt;H81,"V","D"),""),""),"")))</f>
        <v>D</v>
      </c>
      <c r="F73" s="15" t="s">
        <v>81</v>
      </c>
      <c r="G73" s="15" t="s">
        <v>81</v>
      </c>
      <c r="H73" s="117">
        <f>COUNTA(B73:B75)</f>
        <v>3</v>
      </c>
      <c r="I73" s="15">
        <f>IF(B73&lt;&gt;"",1,"")</f>
        <v>1</v>
      </c>
      <c r="J73" s="15" t="str">
        <f>IF(I73&lt;&gt;"",P73,"")</f>
        <v>AGHATA LIKA IKEDA SHIMABUKU</v>
      </c>
      <c r="K73" s="15" t="str">
        <f>IFERROR(IF(J73="","",VLOOKUP(J73,LISTAS!$F$5:$G$1004,2,0)),"0")</f>
        <v>COLÉGIO ARBOS SÃO CAETANO DO SUL</v>
      </c>
      <c r="L73" s="119" t="str">
        <f>IF(H73=3,"OURO",IF(H73=4,"OURO",IF(H73=5,"OURO","")))</f>
        <v>OURO</v>
      </c>
      <c r="M73" s="20">
        <f>IF(B73&lt;&gt;"",COUNTIF(D73:G73,"V")+(SUMIF(B79:B81,B73,D79:E81)/1000)+(SUMIF(J79:J81,B73,H79:I81)/1000)-(SUMIF(B79:B81,B73,H79:I81)/1000)-(SUMIF(J79:J81,B73,D79:E81)/1000)+0.003,"")</f>
        <v>1.0039999999999998</v>
      </c>
      <c r="N73" s="20" t="str">
        <f>IF(B73="","",B73)</f>
        <v>AGHATA LIKA IKEDA SHIMABUKU</v>
      </c>
      <c r="O73" s="20">
        <f>IF(B73&lt;&gt;"",LARGE(M73:M75,1),"")</f>
        <v>1.0039999999999998</v>
      </c>
      <c r="P73" s="20" t="str">
        <f>VLOOKUP(O73,M73:N75,2,0)</f>
        <v>AGHATA LIKA IKEDA SHIMABUKU</v>
      </c>
    </row>
    <row r="74" spans="2:16" ht="18" customHeight="1" x14ac:dyDescent="0.25">
      <c r="B74" s="15" t="s">
        <v>543</v>
      </c>
      <c r="C74" s="15" t="str">
        <f>IFERROR(IF(B74="","",VLOOKUP(B74,LISTAS!$F$5:$G$1004,2,0)),"0")</f>
        <v>COLÉGIO ENGENHEIRO SALVADOR ARENA</v>
      </c>
      <c r="D74" s="15" t="str">
        <f>IF(H73&lt;3,"",IF(H73=3,IF(D80&lt;&gt;"",IF(H80&lt;&gt;"",IF(D80&lt;&gt;H80,IF(D80&gt;H80,"V","D"),""),""),"")))</f>
        <v>D</v>
      </c>
      <c r="E74" s="15" t="str">
        <f>IF(H73&lt;3,"",IF(H73=3,IF(D81&lt;&gt;"",IF(H81&lt;&gt;"",IF(D81&lt;&gt;H81,IF(D81&gt;H81,"D","V"),""),""),"")))</f>
        <v>V</v>
      </c>
      <c r="F74" s="15" t="s">
        <v>81</v>
      </c>
      <c r="G74" s="15" t="s">
        <v>81</v>
      </c>
      <c r="H74" s="115"/>
      <c r="I74" s="15">
        <f>IF(B74&lt;&gt;"",2,"")</f>
        <v>2</v>
      </c>
      <c r="J74" s="15" t="str">
        <f>IF(I74&lt;&gt;"",P74,"")</f>
        <v>SOFIA MILLON DE LUCA</v>
      </c>
      <c r="K74" s="15" t="str">
        <f>IFERROR(IF(J74="","",VLOOKUP(J74,LISTAS!$F$5:$G$1004,2,0)),"0")</f>
        <v>COLÉGIO ENGENHEIRO SALVADOR ARENA</v>
      </c>
      <c r="L74" s="119" t="str">
        <f>IF(H73=3,"PRATA",IF(H73=4,"OURO",IF(H73=5,"OURO","")))</f>
        <v>PRATA</v>
      </c>
      <c r="M74" s="20">
        <f>IF(B74&lt;&gt;"",COUNTIF(D74:G74,"V")+(SUMIF(B79:B81,B74,D79:E81)/1000)+(SUMIF(J79:J81,B74,H79:I81)/1000)-(SUMIF(B79:B81,B74,H79:I81)/1000)-(SUMIF(J79:J81,B74,D79:E81)/1000)+0.002,"")</f>
        <v>1.0019999999999998</v>
      </c>
      <c r="N74" s="20" t="str">
        <f t="shared" ref="N74" si="4">IF(B74="","",B74)</f>
        <v>SOFIA MILLON DE LUCA</v>
      </c>
      <c r="O74" s="20">
        <f>IF(B74&lt;&gt;"",LARGE(M73:M75,2),"")</f>
        <v>1.0019999999999998</v>
      </c>
      <c r="P74" s="20" t="str">
        <f>VLOOKUP(O74,M73:N75,2,0)</f>
        <v>SOFIA MILLON DE LUCA</v>
      </c>
    </row>
    <row r="75" spans="2:16" ht="18" customHeight="1" x14ac:dyDescent="0.25">
      <c r="B75" s="15" t="s">
        <v>519</v>
      </c>
      <c r="C75" s="15" t="str">
        <f>IFERROR(IF(B75="","",VLOOKUP(B75,LISTAS!$F$5:$G$1004,2,0)),"0")</f>
        <v>COLÉGIO SÃO MAURO</v>
      </c>
      <c r="D75" s="15" t="str">
        <f>IF(H73&lt;3,"",IF(H73=3,IF(D79&lt;&gt;"",IF(H79&lt;&gt;"",IF(D79&lt;&gt;H79,IF(D79&gt;H79,"D","V"),""),""),"")))</f>
        <v>D</v>
      </c>
      <c r="E75" s="15" t="str">
        <f>IF(H73&lt;3,"",IF(H73=3,IF(D80&lt;&gt;"",IF(H80&lt;&gt;"",IF(D80&lt;&gt;H80,IF(D80&gt;H80,"D","V"),""),""),"")))</f>
        <v>V</v>
      </c>
      <c r="F75" s="15" t="s">
        <v>81</v>
      </c>
      <c r="G75" s="15" t="s">
        <v>81</v>
      </c>
      <c r="H75" s="115"/>
      <c r="I75" s="15">
        <f>IF(B75&lt;&gt;"",3,"")</f>
        <v>3</v>
      </c>
      <c r="J75" s="15" t="str">
        <f>IF(I75&lt;&gt;"",P75,"")</f>
        <v>MARIANA MANSO DA SILVA</v>
      </c>
      <c r="K75" s="15" t="str">
        <f>IFERROR(IF(J75="","",VLOOKUP(J75,LISTAS!$F$5:$G$1004,2,0)),"0")</f>
        <v>COLÉGIO SÃO MAURO</v>
      </c>
      <c r="L75" s="119" t="str">
        <f>IF(H73=3,"BRONZE",IF(H73=4,"PRATA",IF(H73=5,"OURO","")))</f>
        <v>BRONZE</v>
      </c>
      <c r="M75" s="20">
        <f>IF(B75&lt;&gt;"",COUNTIF(D75:G75,"V")+(SUMIF(B79:B81,B75,D79:E81)/1000)+(SUMIF(J79:J81,B75,H79:I81)/1000)-(SUMIF(B79:B81,B75,H79:I81)/1000)-(SUMIF(J79:J81,B75,D79:E81)/1000)+0.001,"")</f>
        <v>1</v>
      </c>
      <c r="N75" s="20" t="str">
        <f>IF(B75="","",B75)</f>
        <v>MARIANA MANSO DA SILVA</v>
      </c>
      <c r="O75" s="20">
        <f>IF(B75&lt;&gt;"",LARGE(M73:M75,3),"")</f>
        <v>1</v>
      </c>
      <c r="P75" s="20" t="str">
        <f>VLOOKUP(O75,M73:N75,2,0)</f>
        <v>MARIANA MANSO DA SILVA</v>
      </c>
    </row>
    <row r="76" spans="2:16" ht="18" customHeight="1" x14ac:dyDescent="0.25">
      <c r="B76" s="79"/>
      <c r="C76" s="79"/>
      <c r="D76" s="79"/>
      <c r="E76" s="79"/>
      <c r="F76" s="79"/>
      <c r="G76" s="79"/>
      <c r="I76" s="80"/>
      <c r="J76" s="79"/>
      <c r="K76" s="81"/>
      <c r="L76" s="81"/>
    </row>
    <row r="77" spans="2:16" ht="23.25" customHeight="1" x14ac:dyDescent="0.25">
      <c r="B77" s="82" t="s">
        <v>40</v>
      </c>
      <c r="C77" s="79"/>
      <c r="D77" s="79"/>
      <c r="E77" s="79"/>
      <c r="F77" s="79"/>
      <c r="G77" s="79"/>
      <c r="H77" s="79"/>
      <c r="I77" s="79"/>
      <c r="J77" s="79"/>
      <c r="K77" s="79"/>
      <c r="L77" s="79"/>
    </row>
    <row r="78" spans="2:16" ht="18" customHeight="1" x14ac:dyDescent="0.25">
      <c r="B78" s="9" t="s">
        <v>15</v>
      </c>
      <c r="C78" s="9" t="s">
        <v>0</v>
      </c>
      <c r="D78" s="228" t="s">
        <v>41</v>
      </c>
      <c r="E78" s="229"/>
      <c r="F78" s="229"/>
      <c r="G78" s="229"/>
      <c r="H78" s="229"/>
      <c r="I78" s="230"/>
      <c r="J78" s="9" t="s">
        <v>15</v>
      </c>
      <c r="K78" s="9" t="s">
        <v>0</v>
      </c>
      <c r="L78" s="79"/>
    </row>
    <row r="79" spans="2:16" ht="18" customHeight="1" x14ac:dyDescent="0.25">
      <c r="B79" s="15" t="str">
        <f>IF(H73=3,B73,"")</f>
        <v>AGHATA LIKA IKEDA SHIMABUKU</v>
      </c>
      <c r="C79" s="15" t="str">
        <f>IFERROR(IF(B79="","",VLOOKUP(B79,LISTAS!$F$5:$G$1004,2,0)),"0")</f>
        <v>COLÉGIO ARBOS SÃO CAETANO DO SUL</v>
      </c>
      <c r="D79" s="223">
        <v>2</v>
      </c>
      <c r="E79" s="224"/>
      <c r="F79" s="223" t="s">
        <v>38</v>
      </c>
      <c r="G79" s="224"/>
      <c r="H79" s="223">
        <v>0</v>
      </c>
      <c r="I79" s="224"/>
      <c r="J79" s="21" t="str">
        <f>IF(H73=3,B75,"")</f>
        <v>MARIANA MANSO DA SILVA</v>
      </c>
      <c r="K79" s="15" t="str">
        <f>IFERROR(IF(J79="","",VLOOKUP(J79,LISTAS!$F$5:$G$1004,2,0)),"0")</f>
        <v>COLÉGIO SÃO MAURO</v>
      </c>
      <c r="L79" s="81"/>
    </row>
    <row r="80" spans="2:16" ht="18" customHeight="1" x14ac:dyDescent="0.25">
      <c r="B80" s="15" t="str">
        <f>IF(H73=3,B74,"")</f>
        <v>SOFIA MILLON DE LUCA</v>
      </c>
      <c r="C80" s="15" t="str">
        <f>IFERROR(IF(B80="","",VLOOKUP(B80,LISTAS!$F$5:$G$1004,2,0)),"0")</f>
        <v>COLÉGIO ENGENHEIRO SALVADOR ARENA</v>
      </c>
      <c r="D80" s="223">
        <v>1</v>
      </c>
      <c r="E80" s="224"/>
      <c r="F80" s="223" t="s">
        <v>38</v>
      </c>
      <c r="G80" s="224"/>
      <c r="H80" s="223">
        <v>2</v>
      </c>
      <c r="I80" s="224"/>
      <c r="J80" s="21" t="str">
        <f>IF(H73=3,B75,"")</f>
        <v>MARIANA MANSO DA SILVA</v>
      </c>
      <c r="K80" s="15" t="str">
        <f>IFERROR(IF(J80="","",VLOOKUP(J80,LISTAS!$F$5:$G$1004,2,0)),"0")</f>
        <v>COLÉGIO SÃO MAURO</v>
      </c>
      <c r="L80" s="79"/>
    </row>
    <row r="81" spans="2:16" ht="18" customHeight="1" x14ac:dyDescent="0.25">
      <c r="B81" s="15" t="str">
        <f>IF(H73=3,B73,"")</f>
        <v>AGHATA LIKA IKEDA SHIMABUKU</v>
      </c>
      <c r="C81" s="15" t="str">
        <f>IFERROR(IF(B81="","",VLOOKUP(B81,LISTAS!$F$5:$G$1004,2,0)),"0")</f>
        <v>COLÉGIO ARBOS SÃO CAETANO DO SUL</v>
      </c>
      <c r="D81" s="223">
        <v>1</v>
      </c>
      <c r="E81" s="224"/>
      <c r="F81" s="223" t="s">
        <v>38</v>
      </c>
      <c r="G81" s="224"/>
      <c r="H81" s="223">
        <v>2</v>
      </c>
      <c r="I81" s="224"/>
      <c r="J81" s="21" t="str">
        <f>IF(H73=3,B74,"")</f>
        <v>SOFIA MILLON DE LUCA</v>
      </c>
      <c r="K81" s="15" t="str">
        <f>IFERROR(IF(J81="","",VLOOKUP(J81,LISTAS!$F$5:$G$1004,2,0)),"0")</f>
        <v>COLÉGIO ENGENHEIRO SALVADOR ARENA</v>
      </c>
      <c r="L81" s="81"/>
    </row>
    <row r="84" spans="2:16" ht="30" customHeight="1" x14ac:dyDescent="0.25">
      <c r="B84" s="161" t="s">
        <v>50</v>
      </c>
      <c r="C84" s="79"/>
      <c r="D84" s="225" t="s">
        <v>42</v>
      </c>
      <c r="E84" s="226"/>
      <c r="F84" s="226"/>
      <c r="G84" s="227"/>
      <c r="H84" s="113"/>
      <c r="I84" s="225" t="s">
        <v>3</v>
      </c>
      <c r="J84" s="226"/>
      <c r="K84" s="226"/>
      <c r="L84" s="226"/>
    </row>
    <row r="85" spans="2:16" ht="18" customHeight="1" x14ac:dyDescent="0.25">
      <c r="B85" s="9" t="s">
        <v>15</v>
      </c>
      <c r="C85" s="9" t="s">
        <v>0</v>
      </c>
      <c r="D85" s="9" t="s">
        <v>43</v>
      </c>
      <c r="E85" s="9" t="s">
        <v>44</v>
      </c>
      <c r="F85" s="9" t="s">
        <v>77</v>
      </c>
      <c r="G85" s="9" t="s">
        <v>78</v>
      </c>
      <c r="H85" s="114"/>
      <c r="I85" s="9" t="s">
        <v>18</v>
      </c>
      <c r="J85" s="9" t="s">
        <v>15</v>
      </c>
      <c r="K85" s="9" t="s">
        <v>0</v>
      </c>
      <c r="L85" s="9" t="s">
        <v>45</v>
      </c>
    </row>
    <row r="86" spans="2:16" ht="18" customHeight="1" x14ac:dyDescent="0.25">
      <c r="B86" s="15" t="s">
        <v>478</v>
      </c>
      <c r="C86" s="15" t="str">
        <f>IFERROR(IF(B86="","",VLOOKUP(B86,LISTAS!$F$5:$G$1004,2,0)),"0")</f>
        <v>COLÉGIO SÃO MAURO</v>
      </c>
      <c r="D86" s="15" t="str">
        <f>IF(H86&lt;3,"",IF(H86=3,IF(D92&lt;&gt;"",IF(H92&lt;&gt;"",IF(D92&lt;&gt;H92,IF(D92&gt;H92,"V","D"),""),""),"")))</f>
        <v>V</v>
      </c>
      <c r="E86" s="15" t="str">
        <f>IF(H86&lt;3,"",IF(H86=3,IF(D94&lt;&gt;"",IF(H94&lt;&gt;"",IF(D94&lt;&gt;H94,IF(D94&gt;H94,"V","D"),""),""),"")))</f>
        <v>D</v>
      </c>
      <c r="F86" s="15" t="s">
        <v>81</v>
      </c>
      <c r="G86" s="15" t="s">
        <v>81</v>
      </c>
      <c r="H86" s="117">
        <f>COUNTA(B86:B88)</f>
        <v>3</v>
      </c>
      <c r="I86" s="15">
        <f>IF(B86&lt;&gt;"",1,"")</f>
        <v>1</v>
      </c>
      <c r="J86" s="15" t="str">
        <f>IF(I86&lt;&gt;"",P86,"")</f>
        <v>LAURA ROSSIN</v>
      </c>
      <c r="K86" s="15" t="str">
        <f>IFERROR(IF(J86="","",VLOOKUP(J86,LISTAS!$F$5:$G$1004,2,0)),"0")</f>
        <v>COLEGIO PETROPOLIS</v>
      </c>
      <c r="L86" s="119" t="str">
        <f>IF(H86=3,"OURO",IF(H86=4,"OURO",IF(H86=5,"OURO","")))</f>
        <v>OURO</v>
      </c>
      <c r="M86" s="20">
        <f>IF(B86&lt;&gt;"",COUNTIF(D86:G86,"V")+(SUMIF(B92:B94,B86,D92:E94)/1000)+(SUMIF(J92:J94,B86,H92:I94)/1000)-(SUMIF(B92:B94,B86,H92:I94)/1000)-(SUMIF(J92:J94,B86,D92:E94)/1000)+0.003,"")</f>
        <v>1.0029999999999999</v>
      </c>
      <c r="N86" s="20" t="str">
        <f>IF(B86="","",B86)</f>
        <v>ÁGATHA MARQUES TEIXEIRA VANINI</v>
      </c>
      <c r="O86" s="20">
        <f>IF(B86&lt;&gt;"",LARGE(M86:M88,1),"")</f>
        <v>2.0059999999999993</v>
      </c>
      <c r="P86" s="20" t="str">
        <f>VLOOKUP(O86,M86:N88,2,0)</f>
        <v>LAURA ROSSIN</v>
      </c>
    </row>
    <row r="87" spans="2:16" ht="18" customHeight="1" x14ac:dyDescent="0.25">
      <c r="B87" s="39" t="s">
        <v>666</v>
      </c>
      <c r="C87" s="15" t="str">
        <f>IFERROR(IF(B87="","",VLOOKUP(B87,LISTAS!$F$5:$G$1004,2,0)),"0")</f>
        <v>COLEGIO PETROPOLIS</v>
      </c>
      <c r="D87" s="15" t="str">
        <f>IF(H86&lt;3,"",IF(H86=3,IF(D93&lt;&gt;"",IF(H93&lt;&gt;"",IF(D93&lt;&gt;H93,IF(D93&gt;H93,"V","D"),""),""),"")))</f>
        <v>V</v>
      </c>
      <c r="E87" s="15" t="str">
        <f>IF(H86&lt;3,"",IF(H86=3,IF(D94&lt;&gt;"",IF(H94&lt;&gt;"",IF(D94&lt;&gt;H94,IF(D94&gt;H94,"D","V"),""),""),"")))</f>
        <v>V</v>
      </c>
      <c r="F87" s="15" t="s">
        <v>81</v>
      </c>
      <c r="G87" s="15" t="s">
        <v>81</v>
      </c>
      <c r="H87" s="115"/>
      <c r="I87" s="15">
        <f>IF(B87&lt;&gt;"",2,"")</f>
        <v>2</v>
      </c>
      <c r="J87" s="15" t="str">
        <f>IF(I87&lt;&gt;"",P87,"")</f>
        <v>ÁGATHA MARQUES TEIXEIRA VANINI</v>
      </c>
      <c r="K87" s="15" t="str">
        <f>IFERROR(IF(J87="","",VLOOKUP(J87,LISTAS!$F$5:$G$1004,2,0)),"0")</f>
        <v>COLÉGIO SÃO MAURO</v>
      </c>
      <c r="L87" s="119" t="str">
        <f>IF(H86=3,"PRATA",IF(H86=4,"OURO",IF(H86=5,"OURO","")))</f>
        <v>PRATA</v>
      </c>
      <c r="M87" s="20">
        <f>IF(B87&lt;&gt;"",COUNTIF(D87:G87,"V")+(SUMIF(B92:B94,B87,D92:E94)/1000)+(SUMIF(J92:J94,B87,H92:I94)/1000)-(SUMIF(B92:B94,B87,H92:I94)/1000)-(SUMIF(J92:J94,B87,D92:E94)/1000)+0.002,"")</f>
        <v>2.0059999999999993</v>
      </c>
      <c r="N87" s="20" t="str">
        <f t="shared" ref="N87" si="5">IF(B87="","",B87)</f>
        <v>LAURA ROSSIN</v>
      </c>
      <c r="O87" s="20">
        <f>IF(B87&lt;&gt;"",LARGE(M86:M88,2),"")</f>
        <v>1.0029999999999999</v>
      </c>
      <c r="P87" s="20" t="str">
        <f>VLOOKUP(O87,M86:N88,2,0)</f>
        <v>ÁGATHA MARQUES TEIXEIRA VANINI</v>
      </c>
    </row>
    <row r="88" spans="2:16" ht="18" customHeight="1" x14ac:dyDescent="0.25">
      <c r="B88" s="15" t="s">
        <v>511</v>
      </c>
      <c r="C88" s="15" t="str">
        <f>IFERROR(IF(B88="","",VLOOKUP(B88,LISTAS!$F$5:$G$1004,2,0)),"0")</f>
        <v>LICEU JARDIM</v>
      </c>
      <c r="D88" s="15" t="str">
        <f>IF(H86&lt;3,"",IF(H86=3,IF(D92&lt;&gt;"",IF(H92&lt;&gt;"",IF(D92&lt;&gt;H92,IF(D92&gt;H92,"D","V"),""),""),"")))</f>
        <v>D</v>
      </c>
      <c r="E88" s="15" t="str">
        <f>IF(H86&lt;3,"",IF(H86=3,IF(D93&lt;&gt;"",IF(H93&lt;&gt;"",IF(D93&lt;&gt;H93,IF(D93&gt;H93,"D","V"),""),""),"")))</f>
        <v>D</v>
      </c>
      <c r="F88" s="15" t="s">
        <v>81</v>
      </c>
      <c r="G88" s="15" t="s">
        <v>81</v>
      </c>
      <c r="H88" s="115"/>
      <c r="I88" s="15">
        <f>IF(B88&lt;&gt;"",3,"")</f>
        <v>3</v>
      </c>
      <c r="J88" s="15" t="str">
        <f>IF(I88&lt;&gt;"",P88,"")</f>
        <v>LORENA BEATRIZ ANTONIO SQUASSONI</v>
      </c>
      <c r="K88" s="15" t="str">
        <f>IFERROR(IF(J88="","",VLOOKUP(J88,LISTAS!$F$5:$G$1004,2,0)),"0")</f>
        <v>LICEU JARDIM</v>
      </c>
      <c r="L88" s="119" t="str">
        <f>IF(H86=3,"BRONZE",IF(H86=4,"PRATA",IF(H86=5,"OURO","")))</f>
        <v>BRONZE</v>
      </c>
      <c r="M88" s="20">
        <f>IF(B88&lt;&gt;"",COUNTIF(D88:G88,"V")+(SUMIF(B92:B94,B88,D92:E94)/1000)+(SUMIF(J92:J94,B88,H92:I94)/1000)-(SUMIF(B92:B94,B88,H92:I94)/1000)-(SUMIF(J92:J94,B88,D92:E94)/1000)+0.001,"")</f>
        <v>-3.0000000000000001E-3</v>
      </c>
      <c r="N88" s="20" t="str">
        <f>IF(B88="","",B88)</f>
        <v>LORENA BEATRIZ ANTONIO SQUASSONI</v>
      </c>
      <c r="O88" s="20">
        <f>IF(B88&lt;&gt;"",LARGE(M86:M88,3),"")</f>
        <v>-3.0000000000000001E-3</v>
      </c>
      <c r="P88" s="20" t="str">
        <f>VLOOKUP(O88,M86:N88,2,0)</f>
        <v>LORENA BEATRIZ ANTONIO SQUASSONI</v>
      </c>
    </row>
    <row r="89" spans="2:16" ht="18" customHeight="1" x14ac:dyDescent="0.25">
      <c r="B89" s="79"/>
      <c r="C89" s="79"/>
      <c r="D89" s="79"/>
      <c r="E89" s="79"/>
      <c r="F89" s="79"/>
      <c r="G89" s="79"/>
      <c r="I89" s="80"/>
      <c r="J89" s="79"/>
      <c r="K89" s="81"/>
      <c r="L89" s="81"/>
    </row>
    <row r="90" spans="2:16" ht="23.25" customHeight="1" x14ac:dyDescent="0.25">
      <c r="B90" s="82" t="s">
        <v>40</v>
      </c>
      <c r="C90" s="79"/>
      <c r="D90" s="79"/>
      <c r="E90" s="79"/>
      <c r="F90" s="79"/>
      <c r="G90" s="79"/>
      <c r="H90" s="79"/>
      <c r="I90" s="79"/>
      <c r="J90" s="79"/>
      <c r="K90" s="79"/>
      <c r="L90" s="79"/>
    </row>
    <row r="91" spans="2:16" ht="18" customHeight="1" x14ac:dyDescent="0.25">
      <c r="B91" s="9" t="s">
        <v>15</v>
      </c>
      <c r="C91" s="9" t="s">
        <v>0</v>
      </c>
      <c r="D91" s="228" t="s">
        <v>41</v>
      </c>
      <c r="E91" s="229"/>
      <c r="F91" s="229"/>
      <c r="G91" s="229"/>
      <c r="H91" s="229"/>
      <c r="I91" s="230"/>
      <c r="J91" s="9" t="s">
        <v>15</v>
      </c>
      <c r="K91" s="9" t="s">
        <v>0</v>
      </c>
      <c r="L91" s="79"/>
    </row>
    <row r="92" spans="2:16" ht="18" customHeight="1" x14ac:dyDescent="0.25">
      <c r="B92" s="15" t="str">
        <f>IF(H86=3,B86,"")</f>
        <v>ÁGATHA MARQUES TEIXEIRA VANINI</v>
      </c>
      <c r="C92" s="15" t="str">
        <f>IFERROR(IF(B92="","",VLOOKUP(B92,LISTAS!$F$5:$G$1004,2,0)),"0")</f>
        <v>COLÉGIO SÃO MAURO</v>
      </c>
      <c r="D92" s="223">
        <v>2</v>
      </c>
      <c r="E92" s="224"/>
      <c r="F92" s="223" t="s">
        <v>38</v>
      </c>
      <c r="G92" s="224"/>
      <c r="H92" s="223">
        <v>0</v>
      </c>
      <c r="I92" s="224"/>
      <c r="J92" s="21" t="str">
        <f>IF(H86=3,B88,"")</f>
        <v>LORENA BEATRIZ ANTONIO SQUASSONI</v>
      </c>
      <c r="K92" s="15" t="str">
        <f>IFERROR(IF(J92="","",VLOOKUP(J92,LISTAS!$F$5:$G$1004,2,0)),"0")</f>
        <v>LICEU JARDIM</v>
      </c>
      <c r="L92" s="81"/>
    </row>
    <row r="93" spans="2:16" ht="18" customHeight="1" x14ac:dyDescent="0.25">
      <c r="B93" s="15" t="str">
        <f>IF(H86=3,B87,"")</f>
        <v>LAURA ROSSIN</v>
      </c>
      <c r="C93" s="15" t="str">
        <f>IFERROR(IF(B93="","",VLOOKUP(B93,LISTAS!$F$5:$G$1004,2,0)),"0")</f>
        <v>COLEGIO PETROPOLIS</v>
      </c>
      <c r="D93" s="223">
        <v>2</v>
      </c>
      <c r="E93" s="224"/>
      <c r="F93" s="223" t="s">
        <v>38</v>
      </c>
      <c r="G93" s="224"/>
      <c r="H93" s="223">
        <v>0</v>
      </c>
      <c r="I93" s="224"/>
      <c r="J93" s="21" t="str">
        <f>IF(H86=3,B88,"")</f>
        <v>LORENA BEATRIZ ANTONIO SQUASSONI</v>
      </c>
      <c r="K93" s="15" t="str">
        <f>IFERROR(IF(J93="","",VLOOKUP(J93,LISTAS!$F$5:$G$1004,2,0)),"0")</f>
        <v>LICEU JARDIM</v>
      </c>
      <c r="L93" s="79"/>
    </row>
    <row r="94" spans="2:16" ht="18" customHeight="1" x14ac:dyDescent="0.25">
      <c r="B94" s="15" t="str">
        <f>IF(H86=3,B86,"")</f>
        <v>ÁGATHA MARQUES TEIXEIRA VANINI</v>
      </c>
      <c r="C94" s="15" t="str">
        <f>IFERROR(IF(B94="","",VLOOKUP(B94,LISTAS!$F$5:$G$1004,2,0)),"0")</f>
        <v>COLÉGIO SÃO MAURO</v>
      </c>
      <c r="D94" s="223">
        <v>0</v>
      </c>
      <c r="E94" s="224"/>
      <c r="F94" s="223" t="s">
        <v>38</v>
      </c>
      <c r="G94" s="224"/>
      <c r="H94" s="223">
        <v>2</v>
      </c>
      <c r="I94" s="224"/>
      <c r="J94" s="21" t="str">
        <f>IF(H86=3,B87,"")</f>
        <v>LAURA ROSSIN</v>
      </c>
      <c r="K94" s="15" t="str">
        <f>IFERROR(IF(J94="","",VLOOKUP(J94,LISTAS!$F$5:$G$1004,2,0)),"0")</f>
        <v>COLEGIO PETROPOLIS</v>
      </c>
      <c r="L94" s="81"/>
    </row>
    <row r="97" spans="2:16" ht="30" customHeight="1" x14ac:dyDescent="0.25">
      <c r="B97" s="161" t="s">
        <v>51</v>
      </c>
      <c r="C97" s="79"/>
      <c r="D97" s="225" t="s">
        <v>42</v>
      </c>
      <c r="E97" s="226"/>
      <c r="F97" s="226"/>
      <c r="G97" s="227"/>
      <c r="H97" s="113"/>
      <c r="I97" s="225" t="s">
        <v>3</v>
      </c>
      <c r="J97" s="226"/>
      <c r="K97" s="226"/>
      <c r="L97" s="226"/>
    </row>
    <row r="98" spans="2:16" ht="18" customHeight="1" x14ac:dyDescent="0.25">
      <c r="B98" s="9" t="s">
        <v>15</v>
      </c>
      <c r="C98" s="9" t="s">
        <v>0</v>
      </c>
      <c r="D98" s="9" t="s">
        <v>43</v>
      </c>
      <c r="E98" s="9" t="s">
        <v>44</v>
      </c>
      <c r="F98" s="9" t="s">
        <v>77</v>
      </c>
      <c r="G98" s="9" t="s">
        <v>78</v>
      </c>
      <c r="H98" s="114"/>
      <c r="I98" s="9" t="s">
        <v>18</v>
      </c>
      <c r="J98" s="9" t="s">
        <v>15</v>
      </c>
      <c r="K98" s="9" t="s">
        <v>0</v>
      </c>
      <c r="L98" s="9" t="s">
        <v>45</v>
      </c>
    </row>
    <row r="99" spans="2:16" ht="18" customHeight="1" x14ac:dyDescent="0.25">
      <c r="B99" s="15"/>
      <c r="C99" s="15" t="str">
        <f>IFERROR(IF(B99="","",VLOOKUP(B99,LISTAS!$F$5:$G$1004,2,0)),"0")</f>
        <v/>
      </c>
      <c r="D99" s="15" t="str">
        <f>IF(H99&lt;3,"",IF(H99=3,IF(D105&lt;&gt;"",IF(H105&lt;&gt;"",IF(D105&lt;&gt;H105,IF(D105&gt;H105,"V","D"),""),""),"")))</f>
        <v/>
      </c>
      <c r="E99" s="15" t="str">
        <f>IF(H99&lt;3,"",IF(H99=3,IF(D107&lt;&gt;"",IF(H107&lt;&gt;"",IF(D107&lt;&gt;H107,IF(D107&gt;H107,"V","D"),""),""),"")))</f>
        <v/>
      </c>
      <c r="F99" s="15" t="s">
        <v>81</v>
      </c>
      <c r="G99" s="15" t="s">
        <v>81</v>
      </c>
      <c r="H99" s="117">
        <f>COUNTA(B99:B101)</f>
        <v>0</v>
      </c>
      <c r="I99" s="15" t="str">
        <f>IF(B99&lt;&gt;"",1,"")</f>
        <v/>
      </c>
      <c r="J99" s="15" t="str">
        <f>IF(I99&lt;&gt;"",P99,"")</f>
        <v/>
      </c>
      <c r="K99" s="15" t="str">
        <f>IFERROR(IF(J99="","",VLOOKUP(J99,LISTAS!$F$5:$G$1004,2,0)),"0")</f>
        <v/>
      </c>
      <c r="L99" s="119" t="str">
        <f>IF(H99=3,"OURO",IF(H99=4,"OURO",IF(H99=5,"OURO","")))</f>
        <v/>
      </c>
      <c r="M99" s="20" t="str">
        <f>IF(B99&lt;&gt;"",COUNTIF(D99:G99,"V")+(SUMIF(B105:B107,B99,D105:E107)/1000)+(SUMIF(J105:J107,B99,H105:I107)/1000)-(SUMIF(B105:B107,B99,H105:I107)/1000)-(SUMIF(J105:J107,B99,D105:E107)/1000)+0.003,"")</f>
        <v/>
      </c>
      <c r="N99" s="20" t="str">
        <f>IF(B99="","",B99)</f>
        <v/>
      </c>
      <c r="O99" s="20" t="str">
        <f>IF(B99&lt;&gt;"",LARGE(M99:M101,1),"")</f>
        <v/>
      </c>
      <c r="P99" s="20" t="str">
        <f>VLOOKUP(O99,M99:N101,2,0)</f>
        <v/>
      </c>
    </row>
    <row r="100" spans="2:16" ht="18" customHeight="1" x14ac:dyDescent="0.25">
      <c r="B100" s="15"/>
      <c r="C100" s="15" t="str">
        <f>IFERROR(IF(B100="","",VLOOKUP(B100,LISTAS!$F$5:$G$1004,2,0)),"0")</f>
        <v/>
      </c>
      <c r="D100" s="15" t="str">
        <f>IF(H99&lt;3,"",IF(H99=3,IF(D106&lt;&gt;"",IF(H106&lt;&gt;"",IF(D106&lt;&gt;H106,IF(D106&gt;H106,"V","D"),""),""),"")))</f>
        <v/>
      </c>
      <c r="E100" s="15" t="str">
        <f>IF(H99&lt;3,"",IF(H99=3,IF(D107&lt;&gt;"",IF(H107&lt;&gt;"",IF(D107&lt;&gt;H107,IF(D107&gt;H107,"D","V"),""),""),"")))</f>
        <v/>
      </c>
      <c r="F100" s="15" t="s">
        <v>81</v>
      </c>
      <c r="G100" s="15" t="s">
        <v>81</v>
      </c>
      <c r="H100" s="115"/>
      <c r="I100" s="15" t="str">
        <f>IF(B100&lt;&gt;"",2,"")</f>
        <v/>
      </c>
      <c r="J100" s="15" t="str">
        <f>IF(I100&lt;&gt;"",P100,"")</f>
        <v/>
      </c>
      <c r="K100" s="15" t="str">
        <f>IFERROR(IF(J100="","",VLOOKUP(J100,LISTAS!$F$5:$G$1004,2,0)),"0")</f>
        <v/>
      </c>
      <c r="L100" s="119" t="str">
        <f>IF(H99=3,"PRATA",IF(H99=4,"OURO",IF(H99=5,"OURO","")))</f>
        <v/>
      </c>
      <c r="M100" s="20" t="str">
        <f>IF(B100&lt;&gt;"",COUNTIF(D100:G100,"V")+(SUMIF(B105:B107,B100,D105:E107)/1000)+(SUMIF(J105:J107,B100,H105:I107)/1000)-(SUMIF(B105:B107,B100,H105:I107)/1000)-(SUMIF(J105:J107,B100,D105:E107)/1000)+0.002,"")</f>
        <v/>
      </c>
      <c r="N100" s="20" t="str">
        <f t="shared" ref="N100" si="6">IF(B100="","",B100)</f>
        <v/>
      </c>
      <c r="O100" s="20" t="str">
        <f>IF(B100&lt;&gt;"",LARGE(M99:M101,2),"")</f>
        <v/>
      </c>
      <c r="P100" s="20" t="str">
        <f>VLOOKUP(O100,M99:N101,2,0)</f>
        <v/>
      </c>
    </row>
    <row r="101" spans="2:16" ht="18" customHeight="1" x14ac:dyDescent="0.25">
      <c r="B101" s="15"/>
      <c r="C101" s="15" t="str">
        <f>IFERROR(IF(B101="","",VLOOKUP(B101,LISTAS!$F$5:$G$1004,2,0)),"0")</f>
        <v/>
      </c>
      <c r="D101" s="15" t="str">
        <f>IF(H99&lt;3,"",IF(H99=3,IF(D105&lt;&gt;"",IF(H105&lt;&gt;"",IF(D105&lt;&gt;H105,IF(D105&gt;H105,"D","V"),""),""),"")))</f>
        <v/>
      </c>
      <c r="E101" s="15" t="str">
        <f>IF(H99&lt;3,"",IF(H99=3,IF(D106&lt;&gt;"",IF(H106&lt;&gt;"",IF(D106&lt;&gt;H106,IF(D106&gt;H106,"D","V"),""),""),"")))</f>
        <v/>
      </c>
      <c r="F101" s="15" t="s">
        <v>81</v>
      </c>
      <c r="G101" s="15" t="s">
        <v>81</v>
      </c>
      <c r="H101" s="115"/>
      <c r="I101" s="15" t="str">
        <f>IF(B101&lt;&gt;"",3,"")</f>
        <v/>
      </c>
      <c r="J101" s="15" t="str">
        <f>IF(I101&lt;&gt;"",P101,"")</f>
        <v/>
      </c>
      <c r="K101" s="15" t="str">
        <f>IFERROR(IF(J101="","",VLOOKUP(J101,LISTAS!$F$5:$G$1004,2,0)),"0")</f>
        <v/>
      </c>
      <c r="L101" s="119" t="str">
        <f>IF(H99=3,"BRONZE",IF(H99=4,"PRATA",IF(H99=5,"OURO","")))</f>
        <v/>
      </c>
      <c r="M101" s="20" t="str">
        <f>IF(B101&lt;&gt;"",COUNTIF(D101:G101,"V")+(SUMIF(B105:B107,B101,D105:E107)/1000)+(SUMIF(J105:J107,B101,H105:I107)/1000)-(SUMIF(B105:B107,B101,H105:I107)/1000)-(SUMIF(J105:J107,B101,D105:E107)/1000)+0.001,"")</f>
        <v/>
      </c>
      <c r="N101" s="20" t="str">
        <f>IF(B101="","",B101)</f>
        <v/>
      </c>
      <c r="O101" s="20" t="str">
        <f>IF(B101&lt;&gt;"",LARGE(M99:M101,3),"")</f>
        <v/>
      </c>
      <c r="P101" s="20" t="str">
        <f>VLOOKUP(O101,M99:N101,2,0)</f>
        <v/>
      </c>
    </row>
    <row r="102" spans="2:16" ht="18" customHeight="1" x14ac:dyDescent="0.25">
      <c r="B102" s="79"/>
      <c r="C102" s="79"/>
      <c r="D102" s="79"/>
      <c r="E102" s="79"/>
      <c r="F102" s="79"/>
      <c r="G102" s="79"/>
      <c r="I102" s="80"/>
      <c r="J102" s="79"/>
      <c r="K102" s="81"/>
      <c r="L102" s="81"/>
    </row>
    <row r="103" spans="2:16" ht="23.25" customHeight="1" x14ac:dyDescent="0.25">
      <c r="B103" s="82" t="s">
        <v>40</v>
      </c>
      <c r="C103" s="79"/>
      <c r="D103" s="79"/>
      <c r="E103" s="79"/>
      <c r="F103" s="79"/>
      <c r="G103" s="79"/>
      <c r="H103" s="79"/>
      <c r="I103" s="79"/>
      <c r="J103" s="79"/>
      <c r="K103" s="79"/>
      <c r="L103" s="79"/>
    </row>
    <row r="104" spans="2:16" ht="18" customHeight="1" x14ac:dyDescent="0.25">
      <c r="B104" s="9" t="s">
        <v>15</v>
      </c>
      <c r="C104" s="9" t="s">
        <v>0</v>
      </c>
      <c r="D104" s="228" t="s">
        <v>41</v>
      </c>
      <c r="E104" s="229"/>
      <c r="F104" s="229"/>
      <c r="G104" s="229"/>
      <c r="H104" s="229"/>
      <c r="I104" s="230"/>
      <c r="J104" s="9" t="s">
        <v>15</v>
      </c>
      <c r="K104" s="9" t="s">
        <v>0</v>
      </c>
      <c r="L104" s="79"/>
    </row>
    <row r="105" spans="2:16" ht="18" customHeight="1" x14ac:dyDescent="0.25">
      <c r="B105" s="15" t="str">
        <f>IF(H99=3,B99,"")</f>
        <v/>
      </c>
      <c r="C105" s="15" t="str">
        <f>IFERROR(IF(B105="","",VLOOKUP(B105,LISTAS!$F$5:$G$1004,2,0)),"0")</f>
        <v/>
      </c>
      <c r="D105" s="223"/>
      <c r="E105" s="224"/>
      <c r="F105" s="223" t="s">
        <v>38</v>
      </c>
      <c r="G105" s="224"/>
      <c r="H105" s="223"/>
      <c r="I105" s="224"/>
      <c r="J105" s="21" t="str">
        <f>IF(H99=3,B101,"")</f>
        <v/>
      </c>
      <c r="K105" s="15" t="str">
        <f>IFERROR(IF(J105="","",VLOOKUP(J105,LISTAS!$F$5:$G$1004,2,0)),"0")</f>
        <v/>
      </c>
      <c r="L105" s="81"/>
    </row>
    <row r="106" spans="2:16" ht="18" customHeight="1" x14ac:dyDescent="0.25">
      <c r="B106" s="15" t="str">
        <f>IF(H99=3,B100,"")</f>
        <v/>
      </c>
      <c r="C106" s="15" t="str">
        <f>IFERROR(IF(B106="","",VLOOKUP(B106,LISTAS!$F$5:$G$1004,2,0)),"0")</f>
        <v/>
      </c>
      <c r="D106" s="223"/>
      <c r="E106" s="224"/>
      <c r="F106" s="223" t="s">
        <v>38</v>
      </c>
      <c r="G106" s="224"/>
      <c r="H106" s="223"/>
      <c r="I106" s="224"/>
      <c r="J106" s="21" t="str">
        <f>IF(H99=3,B101,"")</f>
        <v/>
      </c>
      <c r="K106" s="15" t="str">
        <f>IFERROR(IF(J106="","",VLOOKUP(J106,LISTAS!$F$5:$G$1004,2,0)),"0")</f>
        <v/>
      </c>
      <c r="L106" s="79"/>
    </row>
    <row r="107" spans="2:16" ht="18" customHeight="1" x14ac:dyDescent="0.25">
      <c r="B107" s="15" t="str">
        <f>IF(H99=3,B99,"")</f>
        <v/>
      </c>
      <c r="C107" s="15" t="str">
        <f>IFERROR(IF(B107="","",VLOOKUP(B107,LISTAS!$F$5:$G$1004,2,0)),"0")</f>
        <v/>
      </c>
      <c r="D107" s="223"/>
      <c r="E107" s="224"/>
      <c r="F107" s="223" t="s">
        <v>38</v>
      </c>
      <c r="G107" s="224"/>
      <c r="H107" s="223"/>
      <c r="I107" s="224"/>
      <c r="J107" s="21" t="str">
        <f>IF(H99=3,B100,"")</f>
        <v/>
      </c>
      <c r="K107" s="15" t="str">
        <f>IFERROR(IF(J107="","",VLOOKUP(J107,LISTAS!$F$5:$G$1004,2,0)),"0")</f>
        <v/>
      </c>
      <c r="L107" s="81"/>
    </row>
    <row r="110" spans="2:16" ht="30" customHeight="1" x14ac:dyDescent="0.25">
      <c r="B110" s="161" t="s">
        <v>52</v>
      </c>
      <c r="C110" s="79"/>
      <c r="D110" s="225" t="s">
        <v>42</v>
      </c>
      <c r="E110" s="226"/>
      <c r="F110" s="226"/>
      <c r="G110" s="227"/>
      <c r="H110" s="113"/>
      <c r="I110" s="225" t="s">
        <v>3</v>
      </c>
      <c r="J110" s="226"/>
      <c r="K110" s="226"/>
      <c r="L110" s="226"/>
    </row>
    <row r="111" spans="2:16" ht="18" customHeight="1" x14ac:dyDescent="0.25">
      <c r="B111" s="9" t="s">
        <v>15</v>
      </c>
      <c r="C111" s="9" t="s">
        <v>0</v>
      </c>
      <c r="D111" s="9" t="s">
        <v>43</v>
      </c>
      <c r="E111" s="9" t="s">
        <v>44</v>
      </c>
      <c r="F111" s="9" t="s">
        <v>77</v>
      </c>
      <c r="G111" s="9" t="s">
        <v>78</v>
      </c>
      <c r="H111" s="114"/>
      <c r="I111" s="9" t="s">
        <v>18</v>
      </c>
      <c r="J111" s="9" t="s">
        <v>15</v>
      </c>
      <c r="K111" s="9" t="s">
        <v>0</v>
      </c>
      <c r="L111" s="9" t="s">
        <v>45</v>
      </c>
    </row>
    <row r="112" spans="2:16" ht="18" customHeight="1" x14ac:dyDescent="0.25">
      <c r="B112" s="15"/>
      <c r="C112" s="15" t="str">
        <f>IFERROR(IF(B112="","",VLOOKUP(B112,LISTAS!$F$5:$G$1004,2,0)),"0")</f>
        <v/>
      </c>
      <c r="D112" s="15" t="str">
        <f>IF(H112&lt;3,"",IF(H112=3,IF(D118&lt;&gt;"",IF(H118&lt;&gt;"",IF(D118&lt;&gt;H118,IF(D118&gt;H118,"V","D"),""),""),"")))</f>
        <v/>
      </c>
      <c r="E112" s="15" t="str">
        <f>IF(H112&lt;3,"",IF(H112=3,IF(D120&lt;&gt;"",IF(H120&lt;&gt;"",IF(D120&lt;&gt;H120,IF(D120&gt;H120,"V","D"),""),""),"")))</f>
        <v/>
      </c>
      <c r="F112" s="15" t="s">
        <v>81</v>
      </c>
      <c r="G112" s="15" t="s">
        <v>81</v>
      </c>
      <c r="H112" s="117">
        <f>COUNTA(B112:B114)</f>
        <v>0</v>
      </c>
      <c r="I112" s="15" t="str">
        <f>IF(B112&lt;&gt;"",1,"")</f>
        <v/>
      </c>
      <c r="J112" s="15" t="str">
        <f>IF(I112&lt;&gt;"",P112,"")</f>
        <v/>
      </c>
      <c r="K112" s="15" t="str">
        <f>IFERROR(IF(J112="","",VLOOKUP(J112,LISTAS!$F$5:$G$1004,2,0)),"0")</f>
        <v/>
      </c>
      <c r="L112" s="119" t="str">
        <f>IF(H112=3,"OURO",IF(H112=4,"OURO",IF(H112=5,"OURO","")))</f>
        <v/>
      </c>
      <c r="M112" s="20" t="str">
        <f>IF(B112&lt;&gt;"",COUNTIF(D112:G112,"V")+(SUMIF(B118:B120,B112,D118:E120)/1000)+(SUMIF(J118:J120,B112,H118:I120)/1000)-(SUMIF(B118:B120,B112,H118:I120)/1000)-(SUMIF(J118:J120,B112,D118:E120)/1000)+0.003,"")</f>
        <v/>
      </c>
      <c r="N112" s="20" t="str">
        <f>IF(B112="","",B112)</f>
        <v/>
      </c>
      <c r="O112" s="20" t="str">
        <f>IF(B112&lt;&gt;"",LARGE(M112:M114,1),"")</f>
        <v/>
      </c>
      <c r="P112" s="20" t="str">
        <f>VLOOKUP(O112,M112:N114,2,0)</f>
        <v/>
      </c>
    </row>
    <row r="113" spans="2:16" ht="18" customHeight="1" x14ac:dyDescent="0.25">
      <c r="B113" s="15"/>
      <c r="C113" s="15" t="str">
        <f>IFERROR(IF(B113="","",VLOOKUP(B113,LISTAS!$F$5:$G$1004,2,0)),"0")</f>
        <v/>
      </c>
      <c r="D113" s="15" t="str">
        <f>IF(H112&lt;3,"",IF(H112=3,IF(D119&lt;&gt;"",IF(H119&lt;&gt;"",IF(D119&lt;&gt;H119,IF(D119&gt;H119,"V","D"),""),""),"")))</f>
        <v/>
      </c>
      <c r="E113" s="15" t="str">
        <f>IF(H112&lt;3,"",IF(H112=3,IF(D120&lt;&gt;"",IF(H120&lt;&gt;"",IF(D120&lt;&gt;H120,IF(D120&gt;H120,"D","V"),""),""),"")))</f>
        <v/>
      </c>
      <c r="F113" s="15" t="s">
        <v>81</v>
      </c>
      <c r="G113" s="15" t="s">
        <v>81</v>
      </c>
      <c r="H113" s="115"/>
      <c r="I113" s="15" t="str">
        <f>IF(B113&lt;&gt;"",2,"")</f>
        <v/>
      </c>
      <c r="J113" s="15" t="str">
        <f>IF(I113&lt;&gt;"",P113,"")</f>
        <v/>
      </c>
      <c r="K113" s="15" t="str">
        <f>IFERROR(IF(J113="","",VLOOKUP(J113,LISTAS!$F$5:$G$1004,2,0)),"0")</f>
        <v/>
      </c>
      <c r="L113" s="119" t="str">
        <f>IF(H112=3,"PRATA",IF(H112=4,"OURO",IF(H112=5,"OURO","")))</f>
        <v/>
      </c>
      <c r="M113" s="20" t="str">
        <f>IF(B113&lt;&gt;"",COUNTIF(D113:G113,"V")+(SUMIF(B118:B120,B113,D118:E120)/1000)+(SUMIF(J118:J120,B113,H118:I120)/1000)-(SUMIF(B118:B120,B113,H118:I120)/1000)-(SUMIF(J118:J120,B113,D118:E120)/1000)+0.002,"")</f>
        <v/>
      </c>
      <c r="N113" s="20" t="str">
        <f t="shared" ref="N113" si="7">IF(B113="","",B113)</f>
        <v/>
      </c>
      <c r="O113" s="20" t="str">
        <f>IF(B113&lt;&gt;"",LARGE(M112:M114,2),"")</f>
        <v/>
      </c>
      <c r="P113" s="20" t="str">
        <f>VLOOKUP(O113,M112:N114,2,0)</f>
        <v/>
      </c>
    </row>
    <row r="114" spans="2:16" ht="18" customHeight="1" x14ac:dyDescent="0.25">
      <c r="B114" s="15"/>
      <c r="C114" s="15" t="str">
        <f>IFERROR(IF(B114="","",VLOOKUP(B114,LISTAS!$F$5:$G$1004,2,0)),"0")</f>
        <v/>
      </c>
      <c r="D114" s="15" t="str">
        <f>IF(H112&lt;3,"",IF(H112=3,IF(D118&lt;&gt;"",IF(H118&lt;&gt;"",IF(D118&lt;&gt;H118,IF(D118&gt;H118,"D","V"),""),""),"")))</f>
        <v/>
      </c>
      <c r="E114" s="15" t="str">
        <f>IF(H112&lt;3,"",IF(H112=3,IF(D119&lt;&gt;"",IF(H119&lt;&gt;"",IF(D119&lt;&gt;H119,IF(D119&gt;H119,"D","V"),""),""),"")))</f>
        <v/>
      </c>
      <c r="F114" s="15" t="s">
        <v>81</v>
      </c>
      <c r="G114" s="15" t="s">
        <v>81</v>
      </c>
      <c r="H114" s="115"/>
      <c r="I114" s="15" t="str">
        <f>IF(B114&lt;&gt;"",3,"")</f>
        <v/>
      </c>
      <c r="J114" s="15" t="str">
        <f>IF(I114&lt;&gt;"",P114,"")</f>
        <v/>
      </c>
      <c r="K114" s="15" t="str">
        <f>IFERROR(IF(J114="","",VLOOKUP(J114,LISTAS!$F$5:$G$1004,2,0)),"0")</f>
        <v/>
      </c>
      <c r="L114" s="119" t="str">
        <f>IF(H112=3,"BRONZE",IF(H112=4,"PRATA",IF(H112=5,"OURO","")))</f>
        <v/>
      </c>
      <c r="M114" s="20" t="str">
        <f>IF(B114&lt;&gt;"",COUNTIF(D114:G114,"V")+(SUMIF(B118:B120,B114,D118:E120)/1000)+(SUMIF(J118:J120,B114,H118:I120)/1000)-(SUMIF(B118:B120,B114,H118:I120)/1000)-(SUMIF(J118:J120,B114,D118:E120)/1000)+0.001,"")</f>
        <v/>
      </c>
      <c r="N114" s="20" t="str">
        <f>IF(B114="","",B114)</f>
        <v/>
      </c>
      <c r="O114" s="20" t="str">
        <f>IF(B114&lt;&gt;"",LARGE(M112:M114,3),"")</f>
        <v/>
      </c>
      <c r="P114" s="20" t="str">
        <f>VLOOKUP(O114,M112:N114,2,0)</f>
        <v/>
      </c>
    </row>
    <row r="115" spans="2:16" ht="18" customHeight="1" x14ac:dyDescent="0.25">
      <c r="B115" s="79"/>
      <c r="C115" s="79"/>
      <c r="D115" s="79"/>
      <c r="E115" s="79"/>
      <c r="F115" s="79"/>
      <c r="G115" s="79"/>
      <c r="I115" s="80"/>
      <c r="J115" s="79"/>
      <c r="K115" s="81"/>
      <c r="L115" s="81"/>
    </row>
    <row r="116" spans="2:16" ht="23.25" customHeight="1" x14ac:dyDescent="0.25">
      <c r="B116" s="82" t="s">
        <v>40</v>
      </c>
      <c r="C116" s="79"/>
      <c r="D116" s="79"/>
      <c r="E116" s="79"/>
      <c r="F116" s="79"/>
      <c r="G116" s="79"/>
      <c r="H116" s="79"/>
      <c r="I116" s="79"/>
      <c r="J116" s="79"/>
      <c r="K116" s="79"/>
      <c r="L116" s="79"/>
    </row>
    <row r="117" spans="2:16" ht="18" customHeight="1" x14ac:dyDescent="0.25">
      <c r="B117" s="9" t="s">
        <v>15</v>
      </c>
      <c r="C117" s="9" t="s">
        <v>0</v>
      </c>
      <c r="D117" s="228" t="s">
        <v>41</v>
      </c>
      <c r="E117" s="229"/>
      <c r="F117" s="229"/>
      <c r="G117" s="229"/>
      <c r="H117" s="229"/>
      <c r="I117" s="230"/>
      <c r="J117" s="9" t="s">
        <v>15</v>
      </c>
      <c r="K117" s="9" t="s">
        <v>0</v>
      </c>
      <c r="L117" s="79"/>
    </row>
    <row r="118" spans="2:16" ht="18" customHeight="1" x14ac:dyDescent="0.25">
      <c r="B118" s="15" t="str">
        <f>IF(H112=3,B112,"")</f>
        <v/>
      </c>
      <c r="C118" s="15" t="str">
        <f>IFERROR(IF(B118="","",VLOOKUP(B118,LISTAS!$F$5:$G$1004,2,0)),"0")</f>
        <v/>
      </c>
      <c r="D118" s="223"/>
      <c r="E118" s="224"/>
      <c r="F118" s="223" t="s">
        <v>38</v>
      </c>
      <c r="G118" s="224"/>
      <c r="H118" s="223"/>
      <c r="I118" s="224"/>
      <c r="J118" s="21" t="str">
        <f>IF(H112=3,B114,"")</f>
        <v/>
      </c>
      <c r="K118" s="15" t="str">
        <f>IFERROR(IF(J118="","",VLOOKUP(J118,LISTAS!$F$5:$G$1004,2,0)),"0")</f>
        <v/>
      </c>
      <c r="L118" s="81"/>
    </row>
    <row r="119" spans="2:16" ht="18" customHeight="1" x14ac:dyDescent="0.25">
      <c r="B119" s="15" t="str">
        <f>IF(H112=3,B113,"")</f>
        <v/>
      </c>
      <c r="C119" s="15" t="str">
        <f>IFERROR(IF(B119="","",VLOOKUP(B119,LISTAS!$F$5:$G$1004,2,0)),"0")</f>
        <v/>
      </c>
      <c r="D119" s="223"/>
      <c r="E119" s="224"/>
      <c r="F119" s="223" t="s">
        <v>38</v>
      </c>
      <c r="G119" s="224"/>
      <c r="H119" s="223"/>
      <c r="I119" s="224"/>
      <c r="J119" s="21" t="str">
        <f>IF(H112=3,B114,"")</f>
        <v/>
      </c>
      <c r="K119" s="15" t="str">
        <f>IFERROR(IF(J119="","",VLOOKUP(J119,LISTAS!$F$5:$G$1004,2,0)),"0")</f>
        <v/>
      </c>
      <c r="L119" s="79"/>
    </row>
    <row r="120" spans="2:16" ht="18" customHeight="1" x14ac:dyDescent="0.25">
      <c r="B120" s="15" t="str">
        <f>IF(H112=3,B112,"")</f>
        <v/>
      </c>
      <c r="C120" s="15" t="str">
        <f>IFERROR(IF(B120="","",VLOOKUP(B120,LISTAS!$F$5:$G$1004,2,0)),"0")</f>
        <v/>
      </c>
      <c r="D120" s="223"/>
      <c r="E120" s="224"/>
      <c r="F120" s="223" t="s">
        <v>38</v>
      </c>
      <c r="G120" s="224"/>
      <c r="H120" s="223"/>
      <c r="I120" s="224"/>
      <c r="J120" s="21" t="str">
        <f>IF(H112=3,B113,"")</f>
        <v/>
      </c>
      <c r="K120" s="15" t="str">
        <f>IFERROR(IF(J120="","",VLOOKUP(J120,LISTAS!$F$5:$G$1004,2,0)),"0")</f>
        <v/>
      </c>
      <c r="L120" s="81"/>
    </row>
    <row r="123" spans="2:16" ht="30" customHeight="1" x14ac:dyDescent="0.25">
      <c r="B123" s="161" t="s">
        <v>53</v>
      </c>
      <c r="C123" s="79"/>
      <c r="D123" s="225" t="s">
        <v>42</v>
      </c>
      <c r="E123" s="226"/>
      <c r="F123" s="226"/>
      <c r="G123" s="227"/>
      <c r="H123" s="113"/>
      <c r="I123" s="225" t="s">
        <v>3</v>
      </c>
      <c r="J123" s="226"/>
      <c r="K123" s="226"/>
      <c r="L123" s="226"/>
    </row>
    <row r="124" spans="2:16" ht="18" customHeight="1" x14ac:dyDescent="0.25">
      <c r="B124" s="9" t="s">
        <v>15</v>
      </c>
      <c r="C124" s="9" t="s">
        <v>0</v>
      </c>
      <c r="D124" s="9" t="s">
        <v>43</v>
      </c>
      <c r="E124" s="9" t="s">
        <v>44</v>
      </c>
      <c r="F124" s="9" t="s">
        <v>77</v>
      </c>
      <c r="G124" s="9" t="s">
        <v>78</v>
      </c>
      <c r="H124" s="114"/>
      <c r="I124" s="9" t="s">
        <v>18</v>
      </c>
      <c r="J124" s="9" t="s">
        <v>15</v>
      </c>
      <c r="K124" s="9" t="s">
        <v>0</v>
      </c>
      <c r="L124" s="9" t="s">
        <v>45</v>
      </c>
    </row>
    <row r="125" spans="2:16" ht="18" customHeight="1" x14ac:dyDescent="0.25">
      <c r="B125" s="15"/>
      <c r="C125" s="15" t="str">
        <f>IFERROR(IF(B125="","",VLOOKUP(B125,LISTAS!$F$5:$G$1004,2,0)),"0")</f>
        <v/>
      </c>
      <c r="D125" s="15" t="str">
        <f>IF(H125&lt;3,"",IF(H125=3,IF(D131&lt;&gt;"",IF(H131&lt;&gt;"",IF(D131&lt;&gt;H131,IF(D131&gt;H131,"V","D"),""),""),"")))</f>
        <v/>
      </c>
      <c r="E125" s="15" t="str">
        <f>IF(H125&lt;3,"",IF(H125=3,IF(D133&lt;&gt;"",IF(H133&lt;&gt;"",IF(D133&lt;&gt;H133,IF(D133&gt;H133,"V","D"),""),""),"")))</f>
        <v/>
      </c>
      <c r="F125" s="15" t="s">
        <v>81</v>
      </c>
      <c r="G125" s="15" t="s">
        <v>81</v>
      </c>
      <c r="H125" s="117">
        <f>COUNTA(B125:B127)</f>
        <v>0</v>
      </c>
      <c r="I125" s="15" t="str">
        <f>IF(B125&lt;&gt;"",1,"")</f>
        <v/>
      </c>
      <c r="J125" s="15" t="str">
        <f>IF(I125&lt;&gt;"",P125,"")</f>
        <v/>
      </c>
      <c r="K125" s="15" t="str">
        <f>IFERROR(IF(J125="","",VLOOKUP(J125,LISTAS!$F$5:$G$1004,2,0)),"0")</f>
        <v/>
      </c>
      <c r="L125" s="119" t="str">
        <f>IF(H125=3,"OURO",IF(H125=4,"OURO",IF(H125=5,"OURO","")))</f>
        <v/>
      </c>
      <c r="M125" s="20" t="str">
        <f>IF(B125&lt;&gt;"",COUNTIF(D125:G125,"V")+(SUMIF(B131:B133,B125,D131:E133)/1000)+(SUMIF(J131:J133,B125,H131:I133)/1000)-(SUMIF(B131:B133,B125,H131:I133)/1000)-(SUMIF(J131:J133,B125,D131:E133)/1000)+0.003,"")</f>
        <v/>
      </c>
      <c r="N125" s="20" t="str">
        <f>IF(B125="","",B125)</f>
        <v/>
      </c>
      <c r="O125" s="20" t="str">
        <f>IF(B125&lt;&gt;"",LARGE(M125:M127,1),"")</f>
        <v/>
      </c>
      <c r="P125" s="20" t="str">
        <f>VLOOKUP(O125,M125:N127,2,0)</f>
        <v/>
      </c>
    </row>
    <row r="126" spans="2:16" ht="18" customHeight="1" x14ac:dyDescent="0.25">
      <c r="B126" s="15"/>
      <c r="C126" s="15" t="str">
        <f>IFERROR(IF(B126="","",VLOOKUP(B126,LISTAS!$F$5:$G$1004,2,0)),"0")</f>
        <v/>
      </c>
      <c r="D126" s="15" t="str">
        <f>IF(H125&lt;3,"",IF(H125=3,IF(D132&lt;&gt;"",IF(H132&lt;&gt;"",IF(D132&lt;&gt;H132,IF(D132&gt;H132,"V","D"),""),""),"")))</f>
        <v/>
      </c>
      <c r="E126" s="15" t="str">
        <f>IF(H125&lt;3,"",IF(H125=3,IF(D133&lt;&gt;"",IF(H133&lt;&gt;"",IF(D133&lt;&gt;H133,IF(D133&gt;H133,"D","V"),""),""),"")))</f>
        <v/>
      </c>
      <c r="F126" s="15" t="s">
        <v>81</v>
      </c>
      <c r="G126" s="15" t="s">
        <v>81</v>
      </c>
      <c r="H126" s="115"/>
      <c r="I126" s="15" t="str">
        <f>IF(B126&lt;&gt;"",2,"")</f>
        <v/>
      </c>
      <c r="J126" s="15" t="str">
        <f>IF(I126&lt;&gt;"",P126,"")</f>
        <v/>
      </c>
      <c r="K126" s="15" t="str">
        <f>IFERROR(IF(J126="","",VLOOKUP(J126,LISTAS!$F$5:$G$1004,2,0)),"0")</f>
        <v/>
      </c>
      <c r="L126" s="119" t="str">
        <f>IF(H125=3,"PRATA",IF(H125=4,"OURO",IF(H125=5,"OURO","")))</f>
        <v/>
      </c>
      <c r="M126" s="20" t="str">
        <f>IF(B126&lt;&gt;"",COUNTIF(D126:G126,"V")+(SUMIF(B131:B133,B126,D131:E133)/1000)+(SUMIF(J131:J133,B126,H131:I133)/1000)-(SUMIF(B131:B133,B126,H131:I133)/1000)-(SUMIF(J131:J133,B126,D131:E133)/1000)+0.002,"")</f>
        <v/>
      </c>
      <c r="N126" s="20" t="str">
        <f t="shared" ref="N126" si="8">IF(B126="","",B126)</f>
        <v/>
      </c>
      <c r="O126" s="20" t="str">
        <f>IF(B126&lt;&gt;"",LARGE(M125:M127,2),"")</f>
        <v/>
      </c>
      <c r="P126" s="20" t="str">
        <f>VLOOKUP(O126,M125:N127,2,0)</f>
        <v/>
      </c>
    </row>
    <row r="127" spans="2:16" ht="18" customHeight="1" x14ac:dyDescent="0.25">
      <c r="B127" s="15"/>
      <c r="C127" s="15" t="str">
        <f>IFERROR(IF(B127="","",VLOOKUP(B127,LISTAS!$F$5:$G$1004,2,0)),"0")</f>
        <v/>
      </c>
      <c r="D127" s="15" t="str">
        <f>IF(H125&lt;3,"",IF(H125=3,IF(D131&lt;&gt;"",IF(H131&lt;&gt;"",IF(D131&lt;&gt;H131,IF(D131&gt;H131,"D","V"),""),""),"")))</f>
        <v/>
      </c>
      <c r="E127" s="15" t="str">
        <f>IF(H125&lt;3,"",IF(H125=3,IF(D132&lt;&gt;"",IF(H132&lt;&gt;"",IF(D132&lt;&gt;H132,IF(D132&gt;H132,"D","V"),""),""),"")))</f>
        <v/>
      </c>
      <c r="F127" s="15" t="s">
        <v>81</v>
      </c>
      <c r="G127" s="15" t="s">
        <v>81</v>
      </c>
      <c r="H127" s="115"/>
      <c r="I127" s="15" t="str">
        <f>IF(B127&lt;&gt;"",3,"")</f>
        <v/>
      </c>
      <c r="J127" s="15" t="str">
        <f>IF(I127&lt;&gt;"",P127,"")</f>
        <v/>
      </c>
      <c r="K127" s="15" t="str">
        <f>IFERROR(IF(J127="","",VLOOKUP(J127,LISTAS!$F$5:$G$1004,2,0)),"0")</f>
        <v/>
      </c>
      <c r="L127" s="119" t="str">
        <f>IF(H125=3,"BRONZE",IF(H125=4,"PRATA",IF(H125=5,"OURO","")))</f>
        <v/>
      </c>
      <c r="M127" s="20" t="str">
        <f>IF(B127&lt;&gt;"",COUNTIF(D127:G127,"V")+(SUMIF(B131:B133,B127,D131:E133)/1000)+(SUMIF(J131:J133,B127,H131:I133)/1000)-(SUMIF(B131:B133,B127,H131:I133)/1000)-(SUMIF(J131:J133,B127,D131:E133)/1000)+0.001,"")</f>
        <v/>
      </c>
      <c r="N127" s="20" t="str">
        <f>IF(B127="","",B127)</f>
        <v/>
      </c>
      <c r="O127" s="20" t="str">
        <f>IF(B127&lt;&gt;"",LARGE(M125:M127,3),"")</f>
        <v/>
      </c>
      <c r="P127" s="20" t="str">
        <f>VLOOKUP(O127,M125:N127,2,0)</f>
        <v/>
      </c>
    </row>
    <row r="128" spans="2:16" ht="18" customHeight="1" x14ac:dyDescent="0.25">
      <c r="B128" s="79"/>
      <c r="C128" s="79"/>
      <c r="D128" s="79"/>
      <c r="E128" s="79"/>
      <c r="F128" s="79"/>
      <c r="G128" s="79"/>
      <c r="I128" s="80"/>
      <c r="J128" s="79"/>
      <c r="K128" s="81"/>
      <c r="L128" s="81"/>
    </row>
    <row r="129" spans="2:16" ht="23.25" customHeight="1" x14ac:dyDescent="0.25">
      <c r="B129" s="82" t="s">
        <v>40</v>
      </c>
      <c r="C129" s="79"/>
      <c r="D129" s="79"/>
      <c r="E129" s="79"/>
      <c r="F129" s="79"/>
      <c r="G129" s="79"/>
      <c r="H129" s="79"/>
      <c r="I129" s="79"/>
      <c r="J129" s="79"/>
      <c r="K129" s="79"/>
      <c r="L129" s="79"/>
    </row>
    <row r="130" spans="2:16" ht="18" customHeight="1" x14ac:dyDescent="0.25">
      <c r="B130" s="9" t="s">
        <v>15</v>
      </c>
      <c r="C130" s="9" t="s">
        <v>0</v>
      </c>
      <c r="D130" s="228" t="s">
        <v>41</v>
      </c>
      <c r="E130" s="229"/>
      <c r="F130" s="229"/>
      <c r="G130" s="229"/>
      <c r="H130" s="229"/>
      <c r="I130" s="230"/>
      <c r="J130" s="9" t="s">
        <v>15</v>
      </c>
      <c r="K130" s="9" t="s">
        <v>0</v>
      </c>
      <c r="L130" s="79"/>
    </row>
    <row r="131" spans="2:16" ht="18" customHeight="1" x14ac:dyDescent="0.25">
      <c r="B131" s="15" t="str">
        <f>IF(H125=3,B125,"")</f>
        <v/>
      </c>
      <c r="C131" s="15" t="str">
        <f>IFERROR(IF(B131="","",VLOOKUP(B131,LISTAS!$F$5:$G$1004,2,0)),"0")</f>
        <v/>
      </c>
      <c r="D131" s="223"/>
      <c r="E131" s="224"/>
      <c r="F131" s="223" t="s">
        <v>38</v>
      </c>
      <c r="G131" s="224"/>
      <c r="H131" s="223"/>
      <c r="I131" s="224"/>
      <c r="J131" s="21" t="str">
        <f>IF(H125=3,B127,"")</f>
        <v/>
      </c>
      <c r="K131" s="15" t="str">
        <f>IFERROR(IF(J131="","",VLOOKUP(J131,LISTAS!$F$5:$G$1004,2,0)),"0")</f>
        <v/>
      </c>
      <c r="L131" s="81"/>
    </row>
    <row r="132" spans="2:16" ht="18" customHeight="1" x14ac:dyDescent="0.25">
      <c r="B132" s="15" t="str">
        <f>IF(H125=3,B126,"")</f>
        <v/>
      </c>
      <c r="C132" s="15" t="str">
        <f>IFERROR(IF(B132="","",VLOOKUP(B132,LISTAS!$F$5:$G$1004,2,0)),"0")</f>
        <v/>
      </c>
      <c r="D132" s="223"/>
      <c r="E132" s="224"/>
      <c r="F132" s="223" t="s">
        <v>38</v>
      </c>
      <c r="G132" s="224"/>
      <c r="H132" s="223"/>
      <c r="I132" s="224"/>
      <c r="J132" s="21" t="str">
        <f>IF(H125=3,B127,"")</f>
        <v/>
      </c>
      <c r="K132" s="15" t="str">
        <f>IFERROR(IF(J132="","",VLOOKUP(J132,LISTAS!$F$5:$G$1004,2,0)),"0")</f>
        <v/>
      </c>
      <c r="L132" s="79"/>
    </row>
    <row r="133" spans="2:16" ht="18" customHeight="1" x14ac:dyDescent="0.25">
      <c r="B133" s="15" t="str">
        <f>IF(H125=3,B125,"")</f>
        <v/>
      </c>
      <c r="C133" s="15" t="str">
        <f>IFERROR(IF(B133="","",VLOOKUP(B133,LISTAS!$F$5:$G$1004,2,0)),"0")</f>
        <v/>
      </c>
      <c r="D133" s="223"/>
      <c r="E133" s="224"/>
      <c r="F133" s="223" t="s">
        <v>38</v>
      </c>
      <c r="G133" s="224"/>
      <c r="H133" s="223"/>
      <c r="I133" s="224"/>
      <c r="J133" s="21" t="str">
        <f>IF(H125=3,B126,"")</f>
        <v/>
      </c>
      <c r="K133" s="15" t="str">
        <f>IFERROR(IF(J133="","",VLOOKUP(J133,LISTAS!$F$5:$G$1004,2,0)),"0")</f>
        <v/>
      </c>
      <c r="L133" s="81"/>
    </row>
    <row r="136" spans="2:16" ht="30" customHeight="1" x14ac:dyDescent="0.25">
      <c r="B136" s="161" t="s">
        <v>54</v>
      </c>
      <c r="C136" s="79"/>
      <c r="D136" s="225" t="s">
        <v>42</v>
      </c>
      <c r="E136" s="226"/>
      <c r="F136" s="226"/>
      <c r="G136" s="227"/>
      <c r="H136" s="113"/>
      <c r="I136" s="225" t="s">
        <v>3</v>
      </c>
      <c r="J136" s="226"/>
      <c r="K136" s="226"/>
      <c r="L136" s="226"/>
    </row>
    <row r="137" spans="2:16" ht="18" customHeight="1" x14ac:dyDescent="0.25">
      <c r="B137" s="9" t="s">
        <v>15</v>
      </c>
      <c r="C137" s="9" t="s">
        <v>0</v>
      </c>
      <c r="D137" s="9" t="s">
        <v>43</v>
      </c>
      <c r="E137" s="9" t="s">
        <v>44</v>
      </c>
      <c r="F137" s="9" t="s">
        <v>77</v>
      </c>
      <c r="G137" s="9" t="s">
        <v>78</v>
      </c>
      <c r="H137" s="114"/>
      <c r="I137" s="9" t="s">
        <v>18</v>
      </c>
      <c r="J137" s="9" t="s">
        <v>15</v>
      </c>
      <c r="K137" s="9" t="s">
        <v>0</v>
      </c>
      <c r="L137" s="9" t="s">
        <v>45</v>
      </c>
    </row>
    <row r="138" spans="2:16" ht="18" customHeight="1" x14ac:dyDescent="0.25">
      <c r="B138" s="15"/>
      <c r="C138" s="15" t="str">
        <f>IFERROR(IF(B138="","",VLOOKUP(B138,LISTAS!$F$5:$G$1004,2,0)),"0")</f>
        <v/>
      </c>
      <c r="D138" s="15" t="str">
        <f>IF(H138&lt;3,"",IF(H138=3,IF(D144&lt;&gt;"",IF(H144&lt;&gt;"",IF(D144&lt;&gt;H144,IF(D144&gt;H144,"V","D"),""),""),"")))</f>
        <v/>
      </c>
      <c r="E138" s="15" t="str">
        <f>IF(H138&lt;3,"",IF(H138=3,IF(D146&lt;&gt;"",IF(H146&lt;&gt;"",IF(D146&lt;&gt;H146,IF(D146&gt;H146,"V","D"),""),""),"")))</f>
        <v/>
      </c>
      <c r="F138" s="15" t="s">
        <v>81</v>
      </c>
      <c r="G138" s="15" t="s">
        <v>81</v>
      </c>
      <c r="H138" s="117">
        <f>COUNTA(B138:B140)</f>
        <v>0</v>
      </c>
      <c r="I138" s="15" t="str">
        <f>IF(B138&lt;&gt;"",1,"")</f>
        <v/>
      </c>
      <c r="J138" s="15" t="str">
        <f>IF(I138&lt;&gt;"",P138,"")</f>
        <v/>
      </c>
      <c r="K138" s="15" t="str">
        <f>IFERROR(IF(J138="","",VLOOKUP(J138,LISTAS!$F$5:$G$1004,2,0)),"0")</f>
        <v/>
      </c>
      <c r="L138" s="119" t="str">
        <f>IF(H138=3,"OURO",IF(H138=4,"OURO",IF(H138=5,"OURO","")))</f>
        <v/>
      </c>
      <c r="M138" s="20" t="str">
        <f>IF(B138&lt;&gt;"",COUNTIF(D138:G138,"V")+(SUMIF(B144:B146,B138,D144:E146)/1000)+(SUMIF(J144:J146,B138,H144:I146)/1000)-(SUMIF(B144:B146,B138,H144:I146)/1000)-(SUMIF(J144:J146,B138,D144:E146)/1000)+0.003,"")</f>
        <v/>
      </c>
      <c r="N138" s="20" t="str">
        <f>IF(B138="","",B138)</f>
        <v/>
      </c>
      <c r="O138" s="20" t="str">
        <f>IF(B138&lt;&gt;"",LARGE(M138:M140,1),"")</f>
        <v/>
      </c>
      <c r="P138" s="20" t="str">
        <f>VLOOKUP(O138,M138:N140,2,0)</f>
        <v/>
      </c>
    </row>
    <row r="139" spans="2:16" ht="18" customHeight="1" x14ac:dyDescent="0.25">
      <c r="B139" s="15"/>
      <c r="C139" s="15" t="str">
        <f>IFERROR(IF(B139="","",VLOOKUP(B139,LISTAS!$F$5:$G$1004,2,0)),"0")</f>
        <v/>
      </c>
      <c r="D139" s="15" t="str">
        <f>IF(H138&lt;3,"",IF(H138=3,IF(D145&lt;&gt;"",IF(H145&lt;&gt;"",IF(D145&lt;&gt;H145,IF(D145&gt;H145,"V","D"),""),""),"")))</f>
        <v/>
      </c>
      <c r="E139" s="15" t="str">
        <f>IF(H138&lt;3,"",IF(H138=3,IF(D146&lt;&gt;"",IF(H146&lt;&gt;"",IF(D146&lt;&gt;H146,IF(D146&gt;H146,"D","V"),""),""),"")))</f>
        <v/>
      </c>
      <c r="F139" s="15" t="s">
        <v>81</v>
      </c>
      <c r="G139" s="15" t="s">
        <v>81</v>
      </c>
      <c r="H139" s="115"/>
      <c r="I139" s="15" t="str">
        <f>IF(B139&lt;&gt;"",2,"")</f>
        <v/>
      </c>
      <c r="J139" s="15" t="str">
        <f>IF(I139&lt;&gt;"",P139,"")</f>
        <v/>
      </c>
      <c r="K139" s="15" t="str">
        <f>IFERROR(IF(J139="","",VLOOKUP(J139,LISTAS!$F$5:$G$1004,2,0)),"0")</f>
        <v/>
      </c>
      <c r="L139" s="119" t="str">
        <f>IF(H138=3,"PRATA",IF(H138=4,"OURO",IF(H138=5,"OURO","")))</f>
        <v/>
      </c>
      <c r="M139" s="20" t="str">
        <f>IF(B139&lt;&gt;"",COUNTIF(D139:G139,"V")+(SUMIF(B144:B146,B139,D144:E146)/1000)+(SUMIF(J144:J146,B139,H144:I146)/1000)-(SUMIF(B144:B146,B139,H144:I146)/1000)-(SUMIF(J144:J146,B139,D144:E146)/1000)+0.002,"")</f>
        <v/>
      </c>
      <c r="N139" s="20" t="str">
        <f t="shared" ref="N139" si="9">IF(B139="","",B139)</f>
        <v/>
      </c>
      <c r="O139" s="20" t="str">
        <f>IF(B139&lt;&gt;"",LARGE(M138:M140,2),"")</f>
        <v/>
      </c>
      <c r="P139" s="20" t="str">
        <f>VLOOKUP(O139,M138:N140,2,0)</f>
        <v/>
      </c>
    </row>
    <row r="140" spans="2:16" ht="18" customHeight="1" x14ac:dyDescent="0.25">
      <c r="B140" s="15"/>
      <c r="C140" s="15" t="str">
        <f>IFERROR(IF(B140="","",VLOOKUP(B140,LISTAS!$F$5:$G$1004,2,0)),"0")</f>
        <v/>
      </c>
      <c r="D140" s="15" t="str">
        <f>IF(H138&lt;3,"",IF(H138=3,IF(D144&lt;&gt;"",IF(H144&lt;&gt;"",IF(D144&lt;&gt;H144,IF(D144&gt;H144,"D","V"),""),""),"")))</f>
        <v/>
      </c>
      <c r="E140" s="15" t="str">
        <f>IF(H138&lt;3,"",IF(H138=3,IF(D145&lt;&gt;"",IF(H145&lt;&gt;"",IF(D145&lt;&gt;H145,IF(D145&gt;H145,"D","V"),""),""),"")))</f>
        <v/>
      </c>
      <c r="F140" s="15" t="s">
        <v>81</v>
      </c>
      <c r="G140" s="15" t="s">
        <v>81</v>
      </c>
      <c r="H140" s="115"/>
      <c r="I140" s="15" t="str">
        <f>IF(B140&lt;&gt;"",3,"")</f>
        <v/>
      </c>
      <c r="J140" s="15" t="str">
        <f>IF(I140&lt;&gt;"",P140,"")</f>
        <v/>
      </c>
      <c r="K140" s="15" t="str">
        <f>IFERROR(IF(J140="","",VLOOKUP(J140,LISTAS!$F$5:$G$1004,2,0)),"0")</f>
        <v/>
      </c>
      <c r="L140" s="119" t="str">
        <f>IF(H138=3,"BRONZE",IF(H138=4,"PRATA",IF(H138=5,"OURO","")))</f>
        <v/>
      </c>
      <c r="M140" s="20" t="str">
        <f>IF(B140&lt;&gt;"",COUNTIF(D140:G140,"V")+(SUMIF(B144:B146,B140,D144:E146)/1000)+(SUMIF(J144:J146,B140,H144:I146)/1000)-(SUMIF(B144:B146,B140,H144:I146)/1000)-(SUMIF(J144:J146,B140,D144:E146)/1000)+0.001,"")</f>
        <v/>
      </c>
      <c r="N140" s="20" t="str">
        <f>IF(B140="","",B140)</f>
        <v/>
      </c>
      <c r="O140" s="20" t="str">
        <f>IF(B140&lt;&gt;"",LARGE(M138:M140,3),"")</f>
        <v/>
      </c>
      <c r="P140" s="20" t="str">
        <f>VLOOKUP(O140,M138:N140,2,0)</f>
        <v/>
      </c>
    </row>
    <row r="141" spans="2:16" ht="18" customHeight="1" x14ac:dyDescent="0.25">
      <c r="B141" s="79"/>
      <c r="C141" s="79"/>
      <c r="D141" s="79"/>
      <c r="E141" s="79"/>
      <c r="F141" s="79"/>
      <c r="G141" s="79"/>
      <c r="I141" s="80"/>
      <c r="J141" s="79"/>
      <c r="K141" s="81"/>
      <c r="L141" s="81"/>
    </row>
    <row r="142" spans="2:16" ht="23.25" customHeight="1" x14ac:dyDescent="0.25">
      <c r="B142" s="82" t="s">
        <v>40</v>
      </c>
      <c r="C142" s="79"/>
      <c r="D142" s="79"/>
      <c r="E142" s="79"/>
      <c r="F142" s="79"/>
      <c r="G142" s="79"/>
      <c r="H142" s="79"/>
      <c r="I142" s="79"/>
      <c r="J142" s="79"/>
      <c r="K142" s="79"/>
      <c r="L142" s="79"/>
    </row>
    <row r="143" spans="2:16" ht="18" customHeight="1" x14ac:dyDescent="0.25">
      <c r="B143" s="9" t="s">
        <v>15</v>
      </c>
      <c r="C143" s="9" t="s">
        <v>0</v>
      </c>
      <c r="D143" s="228" t="s">
        <v>41</v>
      </c>
      <c r="E143" s="229"/>
      <c r="F143" s="229"/>
      <c r="G143" s="229"/>
      <c r="H143" s="229"/>
      <c r="I143" s="230"/>
      <c r="J143" s="9" t="s">
        <v>15</v>
      </c>
      <c r="K143" s="9" t="s">
        <v>0</v>
      </c>
      <c r="L143" s="79"/>
    </row>
    <row r="144" spans="2:16" ht="18" customHeight="1" x14ac:dyDescent="0.25">
      <c r="B144" s="15" t="str">
        <f>IF(H138=3,B138,"")</f>
        <v/>
      </c>
      <c r="C144" s="15" t="str">
        <f>IFERROR(IF(B144="","",VLOOKUP(B144,LISTAS!$F$5:$G$1004,2,0)),"0")</f>
        <v/>
      </c>
      <c r="D144" s="223"/>
      <c r="E144" s="224"/>
      <c r="F144" s="223" t="s">
        <v>38</v>
      </c>
      <c r="G144" s="224"/>
      <c r="H144" s="223"/>
      <c r="I144" s="224"/>
      <c r="J144" s="21" t="str">
        <f>IF(H138=3,B140,"")</f>
        <v/>
      </c>
      <c r="K144" s="15" t="str">
        <f>IFERROR(IF(J144="","",VLOOKUP(J144,LISTAS!$F$5:$G$1004,2,0)),"0")</f>
        <v/>
      </c>
      <c r="L144" s="81"/>
    </row>
    <row r="145" spans="2:16" ht="18" customHeight="1" x14ac:dyDescent="0.25">
      <c r="B145" s="15" t="str">
        <f>IF(H138=3,B139,"")</f>
        <v/>
      </c>
      <c r="C145" s="15" t="str">
        <f>IFERROR(IF(B145="","",VLOOKUP(B145,LISTAS!$F$5:$G$1004,2,0)),"0")</f>
        <v/>
      </c>
      <c r="D145" s="223"/>
      <c r="E145" s="224"/>
      <c r="F145" s="223" t="s">
        <v>38</v>
      </c>
      <c r="G145" s="224"/>
      <c r="H145" s="223"/>
      <c r="I145" s="224"/>
      <c r="J145" s="21" t="str">
        <f>IF(H138=3,B140,"")</f>
        <v/>
      </c>
      <c r="K145" s="15" t="str">
        <f>IFERROR(IF(J145="","",VLOOKUP(J145,LISTAS!$F$5:$G$1004,2,0)),"0")</f>
        <v/>
      </c>
      <c r="L145" s="79"/>
    </row>
    <row r="146" spans="2:16" ht="18" customHeight="1" x14ac:dyDescent="0.25">
      <c r="B146" s="15" t="str">
        <f>IF(H138=3,B138,"")</f>
        <v/>
      </c>
      <c r="C146" s="15" t="str">
        <f>IFERROR(IF(B146="","",VLOOKUP(B146,LISTAS!$F$5:$G$1004,2,0)),"0")</f>
        <v/>
      </c>
      <c r="D146" s="223"/>
      <c r="E146" s="224"/>
      <c r="F146" s="223" t="s">
        <v>38</v>
      </c>
      <c r="G146" s="224"/>
      <c r="H146" s="223"/>
      <c r="I146" s="224"/>
      <c r="J146" s="21" t="str">
        <f>IF(H138=3,B139,"")</f>
        <v/>
      </c>
      <c r="K146" s="15" t="str">
        <f>IFERROR(IF(J146="","",VLOOKUP(J146,LISTAS!$F$5:$G$1004,2,0)),"0")</f>
        <v/>
      </c>
      <c r="L146" s="81"/>
    </row>
    <row r="149" spans="2:16" ht="30" customHeight="1" x14ac:dyDescent="0.25">
      <c r="B149" s="161" t="s">
        <v>55</v>
      </c>
      <c r="C149" s="79"/>
      <c r="D149" s="225" t="s">
        <v>42</v>
      </c>
      <c r="E149" s="226"/>
      <c r="F149" s="226"/>
      <c r="G149" s="227"/>
      <c r="H149" s="113"/>
      <c r="I149" s="225" t="s">
        <v>3</v>
      </c>
      <c r="J149" s="226"/>
      <c r="K149" s="226"/>
      <c r="L149" s="226"/>
    </row>
    <row r="150" spans="2:16" ht="18" customHeight="1" x14ac:dyDescent="0.25">
      <c r="B150" s="9" t="s">
        <v>15</v>
      </c>
      <c r="C150" s="9" t="s">
        <v>0</v>
      </c>
      <c r="D150" s="9" t="s">
        <v>43</v>
      </c>
      <c r="E150" s="9" t="s">
        <v>44</v>
      </c>
      <c r="F150" s="9" t="s">
        <v>77</v>
      </c>
      <c r="G150" s="9" t="s">
        <v>78</v>
      </c>
      <c r="H150" s="114"/>
      <c r="I150" s="9" t="s">
        <v>18</v>
      </c>
      <c r="J150" s="9" t="s">
        <v>15</v>
      </c>
      <c r="K150" s="9" t="s">
        <v>0</v>
      </c>
      <c r="L150" s="9" t="s">
        <v>45</v>
      </c>
    </row>
    <row r="151" spans="2:16" ht="18" customHeight="1" x14ac:dyDescent="0.25">
      <c r="B151" s="15"/>
      <c r="C151" s="15" t="str">
        <f>IFERROR(IF(B151="","",VLOOKUP(B151,LISTAS!$F$5:$G$1004,2,0)),"0")</f>
        <v/>
      </c>
      <c r="D151" s="15" t="str">
        <f>IF(H151&lt;3,"",IF(H151=3,IF(D157&lt;&gt;"",IF(H157&lt;&gt;"",IF(D157&lt;&gt;H157,IF(D157&gt;H157,"V","D"),""),""),"")))</f>
        <v/>
      </c>
      <c r="E151" s="15" t="str">
        <f>IF(H151&lt;3,"",IF(H151=3,IF(D159&lt;&gt;"",IF(H159&lt;&gt;"",IF(D159&lt;&gt;H159,IF(D159&gt;H159,"V","D"),""),""),"")))</f>
        <v/>
      </c>
      <c r="F151" s="15" t="s">
        <v>81</v>
      </c>
      <c r="G151" s="15" t="s">
        <v>81</v>
      </c>
      <c r="H151" s="117">
        <f>COUNTA(B151:B153)</f>
        <v>0</v>
      </c>
      <c r="I151" s="15" t="str">
        <f>IF(B151&lt;&gt;"",1,"")</f>
        <v/>
      </c>
      <c r="J151" s="15" t="str">
        <f>IF(I151&lt;&gt;"",P151,"")</f>
        <v/>
      </c>
      <c r="K151" s="15" t="str">
        <f>IFERROR(IF(J151="","",VLOOKUP(J151,LISTAS!$F$5:$G$1004,2,0)),"0")</f>
        <v/>
      </c>
      <c r="L151" s="119" t="str">
        <f>IF(H151=3,"OURO",IF(H151=4,"OURO",IF(H151=5,"OURO","")))</f>
        <v/>
      </c>
      <c r="M151" s="20" t="str">
        <f>IF(B151&lt;&gt;"",COUNTIF(D151:G151,"V")+(SUMIF(B157:B159,B151,D157:E159)/1000)+(SUMIF(J157:J159,B151,H157:I159)/1000)-(SUMIF(B157:B159,B151,H157:I159)/1000)-(SUMIF(J157:J159,B151,D157:E159)/1000)+0.003,"")</f>
        <v/>
      </c>
      <c r="N151" s="20" t="str">
        <f>IF(B151="","",B151)</f>
        <v/>
      </c>
      <c r="O151" s="20" t="str">
        <f>IF(B151&lt;&gt;"",LARGE(M151:M153,1),"")</f>
        <v/>
      </c>
      <c r="P151" s="20" t="str">
        <f>VLOOKUP(O151,M151:N153,2,0)</f>
        <v/>
      </c>
    </row>
    <row r="152" spans="2:16" ht="18" customHeight="1" x14ac:dyDescent="0.25">
      <c r="B152" s="15"/>
      <c r="C152" s="15" t="str">
        <f>IFERROR(IF(B152="","",VLOOKUP(B152,LISTAS!$F$5:$G$1004,2,0)),"0")</f>
        <v/>
      </c>
      <c r="D152" s="15" t="str">
        <f>IF(H151&lt;3,"",IF(H151=3,IF(D158&lt;&gt;"",IF(H158&lt;&gt;"",IF(D158&lt;&gt;H158,IF(D158&gt;H158,"V","D"),""),""),"")))</f>
        <v/>
      </c>
      <c r="E152" s="15" t="str">
        <f>IF(H151&lt;3,"",IF(H151=3,IF(D159&lt;&gt;"",IF(H159&lt;&gt;"",IF(D159&lt;&gt;H159,IF(D159&gt;H159,"D","V"),""),""),"")))</f>
        <v/>
      </c>
      <c r="F152" s="15" t="s">
        <v>81</v>
      </c>
      <c r="G152" s="15" t="s">
        <v>81</v>
      </c>
      <c r="H152" s="115"/>
      <c r="I152" s="15" t="str">
        <f>IF(B152&lt;&gt;"",2,"")</f>
        <v/>
      </c>
      <c r="J152" s="15" t="str">
        <f>IF(I152&lt;&gt;"",P152,"")</f>
        <v/>
      </c>
      <c r="K152" s="15" t="str">
        <f>IFERROR(IF(J152="","",VLOOKUP(J152,LISTAS!$F$5:$G$1004,2,0)),"0")</f>
        <v/>
      </c>
      <c r="L152" s="119" t="str">
        <f>IF(H151=3,"PRATA",IF(H151=4,"OURO",IF(H151=5,"OURO","")))</f>
        <v/>
      </c>
      <c r="M152" s="20" t="str">
        <f>IF(B152&lt;&gt;"",COUNTIF(D152:G152,"V")+(SUMIF(B157:B159,B152,D157:E159)/1000)+(SUMIF(J157:J159,B152,H157:I159)/1000)-(SUMIF(B157:B159,B152,H157:I159)/1000)-(SUMIF(J157:J159,B152,D157:E159)/1000)+0.002,"")</f>
        <v/>
      </c>
      <c r="N152" s="20" t="str">
        <f t="shared" ref="N152" si="10">IF(B152="","",B152)</f>
        <v/>
      </c>
      <c r="O152" s="20" t="str">
        <f>IF(B152&lt;&gt;"",LARGE(M151:M153,2),"")</f>
        <v/>
      </c>
      <c r="P152" s="20" t="str">
        <f>VLOOKUP(O152,M151:N153,2,0)</f>
        <v/>
      </c>
    </row>
    <row r="153" spans="2:16" ht="18" customHeight="1" x14ac:dyDescent="0.25">
      <c r="B153" s="15"/>
      <c r="C153" s="15" t="str">
        <f>IFERROR(IF(B153="","",VLOOKUP(B153,LISTAS!$F$5:$G$1004,2,0)),"0")</f>
        <v/>
      </c>
      <c r="D153" s="15" t="str">
        <f>IF(H151&lt;3,"",IF(H151=3,IF(D157&lt;&gt;"",IF(H157&lt;&gt;"",IF(D157&lt;&gt;H157,IF(D157&gt;H157,"D","V"),""),""),"")))</f>
        <v/>
      </c>
      <c r="E153" s="15" t="str">
        <f>IF(H151&lt;3,"",IF(H151=3,IF(D158&lt;&gt;"",IF(H158&lt;&gt;"",IF(D158&lt;&gt;H158,IF(D158&gt;H158,"D","V"),""),""),"")))</f>
        <v/>
      </c>
      <c r="F153" s="15" t="s">
        <v>81</v>
      </c>
      <c r="G153" s="15" t="s">
        <v>81</v>
      </c>
      <c r="H153" s="115"/>
      <c r="I153" s="15" t="str">
        <f>IF(B153&lt;&gt;"",3,"")</f>
        <v/>
      </c>
      <c r="J153" s="15" t="str">
        <f>IF(I153&lt;&gt;"",P153,"")</f>
        <v/>
      </c>
      <c r="K153" s="15" t="str">
        <f>IFERROR(IF(J153="","",VLOOKUP(J153,LISTAS!$F$5:$G$1004,2,0)),"0")</f>
        <v/>
      </c>
      <c r="L153" s="119" t="str">
        <f>IF(H151=3,"BRONZE",IF(H151=4,"PRATA",IF(H151=5,"OURO","")))</f>
        <v/>
      </c>
      <c r="M153" s="20" t="str">
        <f>IF(B153&lt;&gt;"",COUNTIF(D153:G153,"V")+(SUMIF(B157:B159,B153,D157:E159)/1000)+(SUMIF(J157:J159,B153,H157:I159)/1000)-(SUMIF(B157:B159,B153,H157:I159)/1000)-(SUMIF(J157:J159,B153,D157:E159)/1000)+0.001,"")</f>
        <v/>
      </c>
      <c r="N153" s="20" t="str">
        <f>IF(B153="","",B153)</f>
        <v/>
      </c>
      <c r="O153" s="20" t="str">
        <f>IF(B153&lt;&gt;"",LARGE(M151:M153,3),"")</f>
        <v/>
      </c>
      <c r="P153" s="20" t="str">
        <f>VLOOKUP(O153,M151:N153,2,0)</f>
        <v/>
      </c>
    </row>
    <row r="154" spans="2:16" ht="18" customHeight="1" x14ac:dyDescent="0.25">
      <c r="B154" s="79"/>
      <c r="C154" s="79"/>
      <c r="D154" s="79"/>
      <c r="E154" s="79"/>
      <c r="F154" s="79"/>
      <c r="G154" s="79"/>
      <c r="I154" s="80"/>
      <c r="J154" s="79"/>
      <c r="K154" s="81"/>
      <c r="L154" s="81"/>
    </row>
    <row r="155" spans="2:16" ht="23.25" customHeight="1" x14ac:dyDescent="0.25">
      <c r="B155" s="82" t="s">
        <v>40</v>
      </c>
      <c r="C155" s="79"/>
      <c r="D155" s="79"/>
      <c r="E155" s="79"/>
      <c r="F155" s="79"/>
      <c r="G155" s="79"/>
      <c r="H155" s="79"/>
      <c r="I155" s="79"/>
      <c r="J155" s="79"/>
      <c r="K155" s="79"/>
      <c r="L155" s="79"/>
    </row>
    <row r="156" spans="2:16" ht="18" customHeight="1" x14ac:dyDescent="0.25">
      <c r="B156" s="9" t="s">
        <v>15</v>
      </c>
      <c r="C156" s="9" t="s">
        <v>0</v>
      </c>
      <c r="D156" s="228" t="s">
        <v>41</v>
      </c>
      <c r="E156" s="229"/>
      <c r="F156" s="229"/>
      <c r="G156" s="229"/>
      <c r="H156" s="229"/>
      <c r="I156" s="230"/>
      <c r="J156" s="9" t="s">
        <v>15</v>
      </c>
      <c r="K156" s="9" t="s">
        <v>0</v>
      </c>
      <c r="L156" s="79"/>
    </row>
    <row r="157" spans="2:16" ht="18" customHeight="1" x14ac:dyDescent="0.25">
      <c r="B157" s="15" t="str">
        <f>IF(H151=3,B151,"")</f>
        <v/>
      </c>
      <c r="C157" s="15" t="str">
        <f>IFERROR(IF(B157="","",VLOOKUP(B157,LISTAS!$F$5:$G$1004,2,0)),"0")</f>
        <v/>
      </c>
      <c r="D157" s="223"/>
      <c r="E157" s="224"/>
      <c r="F157" s="223" t="s">
        <v>38</v>
      </c>
      <c r="G157" s="224"/>
      <c r="H157" s="223"/>
      <c r="I157" s="224"/>
      <c r="J157" s="21" t="str">
        <f>IF(H151=3,B153,"")</f>
        <v/>
      </c>
      <c r="K157" s="15" t="str">
        <f>IFERROR(IF(J157="","",VLOOKUP(J157,LISTAS!$F$5:$G$1004,2,0)),"0")</f>
        <v/>
      </c>
      <c r="L157" s="81"/>
    </row>
    <row r="158" spans="2:16" ht="18" customHeight="1" x14ac:dyDescent="0.25">
      <c r="B158" s="15" t="str">
        <f>IF(H151=3,B152,"")</f>
        <v/>
      </c>
      <c r="C158" s="15" t="str">
        <f>IFERROR(IF(B158="","",VLOOKUP(B158,LISTAS!$F$5:$G$1004,2,0)),"0")</f>
        <v/>
      </c>
      <c r="D158" s="223"/>
      <c r="E158" s="224"/>
      <c r="F158" s="223" t="s">
        <v>38</v>
      </c>
      <c r="G158" s="224"/>
      <c r="H158" s="223"/>
      <c r="I158" s="224"/>
      <c r="J158" s="21" t="str">
        <f>IF(H151=3,B153,"")</f>
        <v/>
      </c>
      <c r="K158" s="15" t="str">
        <f>IFERROR(IF(J158="","",VLOOKUP(J158,LISTAS!$F$5:$G$1004,2,0)),"0")</f>
        <v/>
      </c>
      <c r="L158" s="79"/>
    </row>
    <row r="159" spans="2:16" ht="18" customHeight="1" x14ac:dyDescent="0.25">
      <c r="B159" s="15" t="str">
        <f>IF(H151=3,B151,"")</f>
        <v/>
      </c>
      <c r="C159" s="15" t="str">
        <f>IFERROR(IF(B159="","",VLOOKUP(B159,LISTAS!$F$5:$G$1004,2,0)),"0")</f>
        <v/>
      </c>
      <c r="D159" s="223"/>
      <c r="E159" s="224"/>
      <c r="F159" s="223" t="s">
        <v>38</v>
      </c>
      <c r="G159" s="224"/>
      <c r="H159" s="223"/>
      <c r="I159" s="224"/>
      <c r="J159" s="21" t="str">
        <f>IF(H151=3,B152,"")</f>
        <v/>
      </c>
      <c r="K159" s="15" t="str">
        <f>IFERROR(IF(J159="","",VLOOKUP(J159,LISTAS!$F$5:$G$1004,2,0)),"0")</f>
        <v/>
      </c>
      <c r="L159" s="81"/>
    </row>
    <row r="162" spans="2:16" ht="30" customHeight="1" x14ac:dyDescent="0.25">
      <c r="B162" s="161" t="s">
        <v>56</v>
      </c>
      <c r="C162" s="79"/>
      <c r="D162" s="225" t="s">
        <v>42</v>
      </c>
      <c r="E162" s="226"/>
      <c r="F162" s="226"/>
      <c r="G162" s="227"/>
      <c r="H162" s="113"/>
      <c r="I162" s="225" t="s">
        <v>3</v>
      </c>
      <c r="J162" s="226"/>
      <c r="K162" s="226"/>
      <c r="L162" s="226"/>
    </row>
    <row r="163" spans="2:16" ht="18" customHeight="1" x14ac:dyDescent="0.25">
      <c r="B163" s="9" t="s">
        <v>15</v>
      </c>
      <c r="C163" s="9" t="s">
        <v>0</v>
      </c>
      <c r="D163" s="9" t="s">
        <v>43</v>
      </c>
      <c r="E163" s="9" t="s">
        <v>44</v>
      </c>
      <c r="F163" s="9" t="s">
        <v>77</v>
      </c>
      <c r="G163" s="9" t="s">
        <v>78</v>
      </c>
      <c r="H163" s="114"/>
      <c r="I163" s="9" t="s">
        <v>18</v>
      </c>
      <c r="J163" s="9" t="s">
        <v>15</v>
      </c>
      <c r="K163" s="9" t="s">
        <v>0</v>
      </c>
      <c r="L163" s="9" t="s">
        <v>45</v>
      </c>
    </row>
    <row r="164" spans="2:16" ht="18" customHeight="1" x14ac:dyDescent="0.25">
      <c r="B164" s="15"/>
      <c r="C164" s="15" t="str">
        <f>IFERROR(IF(B164="","",VLOOKUP(B164,LISTAS!$F$5:$G$1004,2,0)),"0")</f>
        <v/>
      </c>
      <c r="D164" s="15" t="str">
        <f>IF(H164&lt;3,"",IF(H164=3,IF(D170&lt;&gt;"",IF(H170&lt;&gt;"",IF(D170&lt;&gt;H170,IF(D170&gt;H170,"V","D"),""),""),"")))</f>
        <v/>
      </c>
      <c r="E164" s="15" t="str">
        <f>IF(H164&lt;3,"",IF(H164=3,IF(D172&lt;&gt;"",IF(H172&lt;&gt;"",IF(D172&lt;&gt;H172,IF(D172&gt;H172,"V","D"),""),""),"")))</f>
        <v/>
      </c>
      <c r="F164" s="15" t="s">
        <v>81</v>
      </c>
      <c r="G164" s="15" t="s">
        <v>81</v>
      </c>
      <c r="H164" s="117">
        <f>COUNTA(B164:B166)</f>
        <v>0</v>
      </c>
      <c r="I164" s="15" t="str">
        <f>IF(B164&lt;&gt;"",1,"")</f>
        <v/>
      </c>
      <c r="J164" s="15" t="str">
        <f>IF(I164&lt;&gt;"",P164,"")</f>
        <v/>
      </c>
      <c r="K164" s="15" t="str">
        <f>IFERROR(IF(J164="","",VLOOKUP(J164,LISTAS!$F$5:$G$1004,2,0)),"0")</f>
        <v/>
      </c>
      <c r="L164" s="119" t="str">
        <f>IF(H164=3,"OURO",IF(H164=4,"OURO",IF(H164=5,"OURO","")))</f>
        <v/>
      </c>
      <c r="M164" s="20" t="str">
        <f>IF(B164&lt;&gt;"",COUNTIF(D164:G164,"V")+(SUMIF(B170:B172,B164,D170:E172)/1000)+(SUMIF(J170:J172,B164,H170:I172)/1000)-(SUMIF(B170:B172,B164,H170:I172)/1000)-(SUMIF(J170:J172,B164,D170:E172)/1000)+0.003,"")</f>
        <v/>
      </c>
      <c r="N164" s="20" t="str">
        <f>IF(B164="","",B164)</f>
        <v/>
      </c>
      <c r="O164" s="20" t="str">
        <f>IF(B164&lt;&gt;"",LARGE(M164:M166,1),"")</f>
        <v/>
      </c>
      <c r="P164" s="20" t="str">
        <f>VLOOKUP(O164,M164:N166,2,0)</f>
        <v/>
      </c>
    </row>
    <row r="165" spans="2:16" ht="18" customHeight="1" x14ac:dyDescent="0.25">
      <c r="B165" s="15"/>
      <c r="C165" s="15" t="str">
        <f>IFERROR(IF(B165="","",VLOOKUP(B165,LISTAS!$F$5:$G$1004,2,0)),"0")</f>
        <v/>
      </c>
      <c r="D165" s="15" t="str">
        <f>IF(H164&lt;3,"",IF(H164=3,IF(D171&lt;&gt;"",IF(H171&lt;&gt;"",IF(D171&lt;&gt;H171,IF(D171&gt;H171,"V","D"),""),""),"")))</f>
        <v/>
      </c>
      <c r="E165" s="15" t="str">
        <f>IF(H164&lt;3,"",IF(H164=3,IF(D172&lt;&gt;"",IF(H172&lt;&gt;"",IF(D172&lt;&gt;H172,IF(D172&gt;H172,"D","V"),""),""),"")))</f>
        <v/>
      </c>
      <c r="F165" s="15" t="s">
        <v>81</v>
      </c>
      <c r="G165" s="15" t="s">
        <v>81</v>
      </c>
      <c r="H165" s="115"/>
      <c r="I165" s="15" t="str">
        <f>IF(B165&lt;&gt;"",2,"")</f>
        <v/>
      </c>
      <c r="J165" s="15" t="str">
        <f>IF(I165&lt;&gt;"",P165,"")</f>
        <v/>
      </c>
      <c r="K165" s="15" t="str">
        <f>IFERROR(IF(J165="","",VLOOKUP(J165,LISTAS!$F$5:$G$1004,2,0)),"0")</f>
        <v/>
      </c>
      <c r="L165" s="119" t="str">
        <f>IF(H164=3,"PRATA",IF(H164=4,"OURO",IF(H164=5,"OURO","")))</f>
        <v/>
      </c>
      <c r="M165" s="20" t="str">
        <f>IF(B165&lt;&gt;"",COUNTIF(D165:G165,"V")+(SUMIF(B170:B172,B165,D170:E172)/1000)+(SUMIF(J170:J172,B165,H170:I172)/1000)-(SUMIF(B170:B172,B165,H170:I172)/1000)-(SUMIF(J170:J172,B165,D170:E172)/1000)+0.002,"")</f>
        <v/>
      </c>
      <c r="N165" s="20" t="str">
        <f t="shared" ref="N165" si="11">IF(B165="","",B165)</f>
        <v/>
      </c>
      <c r="O165" s="20" t="str">
        <f>IF(B165&lt;&gt;"",LARGE(M164:M166,2),"")</f>
        <v/>
      </c>
      <c r="P165" s="20" t="str">
        <f>VLOOKUP(O165,M164:N166,2,0)</f>
        <v/>
      </c>
    </row>
    <row r="166" spans="2:16" ht="18" customHeight="1" x14ac:dyDescent="0.25">
      <c r="B166" s="15"/>
      <c r="C166" s="15" t="str">
        <f>IFERROR(IF(B166="","",VLOOKUP(B166,LISTAS!$F$5:$G$1004,2,0)),"0")</f>
        <v/>
      </c>
      <c r="D166" s="15" t="str">
        <f>IF(H164&lt;3,"",IF(H164=3,IF(D170&lt;&gt;"",IF(H170&lt;&gt;"",IF(D170&lt;&gt;H170,IF(D170&gt;H170,"D","V"),""),""),"")))</f>
        <v/>
      </c>
      <c r="E166" s="15" t="str">
        <f>IF(H164&lt;3,"",IF(H164=3,IF(D171&lt;&gt;"",IF(H171&lt;&gt;"",IF(D171&lt;&gt;H171,IF(D171&gt;H171,"D","V"),""),""),"")))</f>
        <v/>
      </c>
      <c r="F166" s="15" t="s">
        <v>81</v>
      </c>
      <c r="G166" s="15" t="s">
        <v>81</v>
      </c>
      <c r="H166" s="115"/>
      <c r="I166" s="15" t="str">
        <f>IF(B166&lt;&gt;"",3,"")</f>
        <v/>
      </c>
      <c r="J166" s="15" t="str">
        <f>IF(I166&lt;&gt;"",P166,"")</f>
        <v/>
      </c>
      <c r="K166" s="15" t="str">
        <f>IFERROR(IF(J166="","",VLOOKUP(J166,LISTAS!$F$5:$G$1004,2,0)),"0")</f>
        <v/>
      </c>
      <c r="L166" s="119" t="str">
        <f>IF(H164=3,"BRONZE",IF(H164=4,"PRATA",IF(H164=5,"OURO","")))</f>
        <v/>
      </c>
      <c r="M166" s="20" t="str">
        <f>IF(B166&lt;&gt;"",COUNTIF(D166:G166,"V")+(SUMIF(B170:B172,B166,D170:E172)/1000)+(SUMIF(J170:J172,B166,H170:I172)/1000)-(SUMIF(B170:B172,B166,H170:I172)/1000)-(SUMIF(J170:J172,B166,D170:E172)/1000)+0.001,"")</f>
        <v/>
      </c>
      <c r="N166" s="20" t="str">
        <f>IF(B166="","",B166)</f>
        <v/>
      </c>
      <c r="O166" s="20" t="str">
        <f>IF(B166&lt;&gt;"",LARGE(M164:M166,3),"")</f>
        <v/>
      </c>
      <c r="P166" s="20" t="str">
        <f>VLOOKUP(O166,M164:N166,2,0)</f>
        <v/>
      </c>
    </row>
    <row r="167" spans="2:16" ht="18" customHeight="1" x14ac:dyDescent="0.25">
      <c r="B167" s="79"/>
      <c r="C167" s="79"/>
      <c r="D167" s="79"/>
      <c r="E167" s="79"/>
      <c r="F167" s="79"/>
      <c r="G167" s="79"/>
      <c r="I167" s="80"/>
      <c r="J167" s="79"/>
      <c r="K167" s="81"/>
      <c r="L167" s="81"/>
    </row>
    <row r="168" spans="2:16" ht="23.25" customHeight="1" x14ac:dyDescent="0.25">
      <c r="B168" s="82" t="s">
        <v>40</v>
      </c>
      <c r="C168" s="79"/>
      <c r="D168" s="79"/>
      <c r="E168" s="79"/>
      <c r="F168" s="79"/>
      <c r="G168" s="79"/>
      <c r="H168" s="79"/>
      <c r="I168" s="79"/>
      <c r="J168" s="79"/>
      <c r="K168" s="79"/>
      <c r="L168" s="79"/>
    </row>
    <row r="169" spans="2:16" ht="18" customHeight="1" x14ac:dyDescent="0.25">
      <c r="B169" s="9" t="s">
        <v>15</v>
      </c>
      <c r="C169" s="9" t="s">
        <v>0</v>
      </c>
      <c r="D169" s="228" t="s">
        <v>41</v>
      </c>
      <c r="E169" s="229"/>
      <c r="F169" s="229"/>
      <c r="G169" s="229"/>
      <c r="H169" s="229"/>
      <c r="I169" s="230"/>
      <c r="J169" s="9" t="s">
        <v>15</v>
      </c>
      <c r="K169" s="9" t="s">
        <v>0</v>
      </c>
      <c r="L169" s="79"/>
    </row>
    <row r="170" spans="2:16" ht="18" customHeight="1" x14ac:dyDescent="0.25">
      <c r="B170" s="15" t="str">
        <f>IF(H164=3,B164,"")</f>
        <v/>
      </c>
      <c r="C170" s="15" t="str">
        <f>IFERROR(IF(B170="","",VLOOKUP(B170,LISTAS!$F$5:$G$1004,2,0)),"0")</f>
        <v/>
      </c>
      <c r="D170" s="223"/>
      <c r="E170" s="224"/>
      <c r="F170" s="223" t="s">
        <v>38</v>
      </c>
      <c r="G170" s="224"/>
      <c r="H170" s="223"/>
      <c r="I170" s="224"/>
      <c r="J170" s="21" t="str">
        <f>IF(H164=3,B166,"")</f>
        <v/>
      </c>
      <c r="K170" s="15" t="str">
        <f>IFERROR(IF(J170="","",VLOOKUP(J170,LISTAS!$F$5:$G$1004,2,0)),"0")</f>
        <v/>
      </c>
      <c r="L170" s="81"/>
    </row>
    <row r="171" spans="2:16" ht="18" customHeight="1" x14ac:dyDescent="0.25">
      <c r="B171" s="15" t="str">
        <f>IF(H164=3,B165,"")</f>
        <v/>
      </c>
      <c r="C171" s="15" t="str">
        <f>IFERROR(IF(B171="","",VLOOKUP(B171,LISTAS!$F$5:$G$1004,2,0)),"0")</f>
        <v/>
      </c>
      <c r="D171" s="223"/>
      <c r="E171" s="224"/>
      <c r="F171" s="223" t="s">
        <v>38</v>
      </c>
      <c r="G171" s="224"/>
      <c r="H171" s="223"/>
      <c r="I171" s="224"/>
      <c r="J171" s="21" t="str">
        <f>IF(H164=3,B166,"")</f>
        <v/>
      </c>
      <c r="K171" s="15" t="str">
        <f>IFERROR(IF(J171="","",VLOOKUP(J171,LISTAS!$F$5:$G$1004,2,0)),"0")</f>
        <v/>
      </c>
      <c r="L171" s="79"/>
    </row>
    <row r="172" spans="2:16" ht="18" customHeight="1" x14ac:dyDescent="0.25">
      <c r="B172" s="15" t="str">
        <f>IF(H164=3,B164,"")</f>
        <v/>
      </c>
      <c r="C172" s="15" t="str">
        <f>IFERROR(IF(B172="","",VLOOKUP(B172,LISTAS!$F$5:$G$1004,2,0)),"0")</f>
        <v/>
      </c>
      <c r="D172" s="223"/>
      <c r="E172" s="224"/>
      <c r="F172" s="223" t="s">
        <v>38</v>
      </c>
      <c r="G172" s="224"/>
      <c r="H172" s="223"/>
      <c r="I172" s="224"/>
      <c r="J172" s="21" t="str">
        <f>IF(H164=3,B165,"")</f>
        <v/>
      </c>
      <c r="K172" s="15" t="str">
        <f>IFERROR(IF(J172="","",VLOOKUP(J172,LISTAS!$F$5:$G$1004,2,0)),"0")</f>
        <v/>
      </c>
      <c r="L172" s="81"/>
    </row>
    <row r="175" spans="2:16" ht="30" customHeight="1" x14ac:dyDescent="0.25">
      <c r="B175" s="161" t="s">
        <v>57</v>
      </c>
      <c r="C175" s="79"/>
      <c r="D175" s="225" t="s">
        <v>42</v>
      </c>
      <c r="E175" s="226"/>
      <c r="F175" s="226"/>
      <c r="G175" s="227"/>
      <c r="H175" s="113"/>
      <c r="I175" s="225" t="s">
        <v>3</v>
      </c>
      <c r="J175" s="226"/>
      <c r="K175" s="226"/>
      <c r="L175" s="226"/>
    </row>
    <row r="176" spans="2:16" ht="18" customHeight="1" x14ac:dyDescent="0.25">
      <c r="B176" s="9" t="s">
        <v>15</v>
      </c>
      <c r="C176" s="9" t="s">
        <v>0</v>
      </c>
      <c r="D176" s="9" t="s">
        <v>43</v>
      </c>
      <c r="E176" s="9" t="s">
        <v>44</v>
      </c>
      <c r="F176" s="9" t="s">
        <v>77</v>
      </c>
      <c r="G176" s="9" t="s">
        <v>78</v>
      </c>
      <c r="H176" s="114"/>
      <c r="I176" s="9" t="s">
        <v>18</v>
      </c>
      <c r="J176" s="9" t="s">
        <v>15</v>
      </c>
      <c r="K176" s="9" t="s">
        <v>0</v>
      </c>
      <c r="L176" s="9" t="s">
        <v>45</v>
      </c>
    </row>
    <row r="177" spans="2:16" ht="18" customHeight="1" x14ac:dyDescent="0.25">
      <c r="B177" s="15"/>
      <c r="C177" s="15" t="str">
        <f>IFERROR(IF(B177="","",VLOOKUP(B177,LISTAS!$F$5:$G$1004,2,0)),"0")</f>
        <v/>
      </c>
      <c r="D177" s="15" t="str">
        <f>IF(H177&lt;3,"",IF(H177=3,IF(D183&lt;&gt;"",IF(H183&lt;&gt;"",IF(D183&lt;&gt;H183,IF(D183&gt;H183,"V","D"),""),""),"")))</f>
        <v/>
      </c>
      <c r="E177" s="15" t="str">
        <f>IF(H177&lt;3,"",IF(H177=3,IF(D185&lt;&gt;"",IF(H185&lt;&gt;"",IF(D185&lt;&gt;H185,IF(D185&gt;H185,"V","D"),""),""),"")))</f>
        <v/>
      </c>
      <c r="F177" s="15" t="s">
        <v>81</v>
      </c>
      <c r="G177" s="15" t="s">
        <v>81</v>
      </c>
      <c r="H177" s="117">
        <f>COUNTA(B177:B179)</f>
        <v>0</v>
      </c>
      <c r="I177" s="15" t="str">
        <f>IF(B177&lt;&gt;"",1,"")</f>
        <v/>
      </c>
      <c r="J177" s="15" t="str">
        <f>IF(I177&lt;&gt;"",P177,"")</f>
        <v/>
      </c>
      <c r="K177" s="15" t="str">
        <f>IFERROR(IF(J177="","",VLOOKUP(J177,LISTAS!$F$5:$G$1004,2,0)),"0")</f>
        <v/>
      </c>
      <c r="L177" s="119" t="str">
        <f>IF(H177=3,"OURO",IF(H177=4,"OURO",IF(H177=5,"OURO","")))</f>
        <v/>
      </c>
      <c r="M177" s="20" t="str">
        <f>IF(B177&lt;&gt;"",COUNTIF(D177:G177,"V")+(SUMIF(B183:B185,B177,D183:E185)/1000)+(SUMIF(J183:J185,B177,H183:I185)/1000)-(SUMIF(B183:B185,B177,H183:I185)/1000)-(SUMIF(J183:J185,B177,D183:E185)/1000)+0.003,"")</f>
        <v/>
      </c>
      <c r="N177" s="20" t="str">
        <f>IF(B177="","",B177)</f>
        <v/>
      </c>
      <c r="O177" s="20" t="str">
        <f>IF(B177&lt;&gt;"",LARGE(M177:M179,1),"")</f>
        <v/>
      </c>
      <c r="P177" s="20" t="str">
        <f>VLOOKUP(O177,M177:N179,2,0)</f>
        <v/>
      </c>
    </row>
    <row r="178" spans="2:16" ht="18" customHeight="1" x14ac:dyDescent="0.25">
      <c r="B178" s="15"/>
      <c r="C178" s="15" t="str">
        <f>IFERROR(IF(B178="","",VLOOKUP(B178,LISTAS!$F$5:$G$1004,2,0)),"0")</f>
        <v/>
      </c>
      <c r="D178" s="15" t="str">
        <f>IF(H177&lt;3,"",IF(H177=3,IF(D184&lt;&gt;"",IF(H184&lt;&gt;"",IF(D184&lt;&gt;H184,IF(D184&gt;H184,"V","D"),""),""),"")))</f>
        <v/>
      </c>
      <c r="E178" s="15" t="str">
        <f>IF(H177&lt;3,"",IF(H177=3,IF(D185&lt;&gt;"",IF(H185&lt;&gt;"",IF(D185&lt;&gt;H185,IF(D185&gt;H185,"D","V"),""),""),"")))</f>
        <v/>
      </c>
      <c r="F178" s="15" t="s">
        <v>81</v>
      </c>
      <c r="G178" s="15" t="s">
        <v>81</v>
      </c>
      <c r="H178" s="115"/>
      <c r="I178" s="15" t="str">
        <f>IF(B178&lt;&gt;"",2,"")</f>
        <v/>
      </c>
      <c r="J178" s="15" t="str">
        <f>IF(I178&lt;&gt;"",P178,"")</f>
        <v/>
      </c>
      <c r="K178" s="15" t="str">
        <f>IFERROR(IF(J178="","",VLOOKUP(J178,LISTAS!$F$5:$G$1004,2,0)),"0")</f>
        <v/>
      </c>
      <c r="L178" s="119" t="str">
        <f>IF(H177=3,"PRATA",IF(H177=4,"OURO",IF(H177=5,"OURO","")))</f>
        <v/>
      </c>
      <c r="M178" s="20" t="str">
        <f>IF(B178&lt;&gt;"",COUNTIF(D178:G178,"V")+(SUMIF(B183:B185,B178,D183:E185)/1000)+(SUMIF(J183:J185,B178,H183:I185)/1000)-(SUMIF(B183:B185,B178,H183:I185)/1000)-(SUMIF(J183:J185,B178,D183:E185)/1000)+0.002,"")</f>
        <v/>
      </c>
      <c r="N178" s="20" t="str">
        <f t="shared" ref="N178" si="12">IF(B178="","",B178)</f>
        <v/>
      </c>
      <c r="O178" s="20" t="str">
        <f>IF(B178&lt;&gt;"",LARGE(M177:M179,2),"")</f>
        <v/>
      </c>
      <c r="P178" s="20" t="str">
        <f>VLOOKUP(O178,M177:N179,2,0)</f>
        <v/>
      </c>
    </row>
    <row r="179" spans="2:16" ht="18" customHeight="1" x14ac:dyDescent="0.25">
      <c r="B179" s="15"/>
      <c r="C179" s="15" t="str">
        <f>IFERROR(IF(B179="","",VLOOKUP(B179,LISTAS!$F$5:$G$1004,2,0)),"0")</f>
        <v/>
      </c>
      <c r="D179" s="15" t="str">
        <f>IF(H177&lt;3,"",IF(H177=3,IF(D183&lt;&gt;"",IF(H183&lt;&gt;"",IF(D183&lt;&gt;H183,IF(D183&gt;H183,"D","V"),""),""),"")))</f>
        <v/>
      </c>
      <c r="E179" s="15" t="str">
        <f>IF(H177&lt;3,"",IF(H177=3,IF(D184&lt;&gt;"",IF(H184&lt;&gt;"",IF(D184&lt;&gt;H184,IF(D184&gt;H184,"D","V"),""),""),"")))</f>
        <v/>
      </c>
      <c r="F179" s="15" t="s">
        <v>81</v>
      </c>
      <c r="G179" s="15" t="s">
        <v>81</v>
      </c>
      <c r="H179" s="115"/>
      <c r="I179" s="15" t="str">
        <f>IF(B179&lt;&gt;"",3,"")</f>
        <v/>
      </c>
      <c r="J179" s="15" t="str">
        <f>IF(I179&lt;&gt;"",P179,"")</f>
        <v/>
      </c>
      <c r="K179" s="15" t="str">
        <f>IFERROR(IF(J179="","",VLOOKUP(J179,LISTAS!$F$5:$G$1004,2,0)),"0")</f>
        <v/>
      </c>
      <c r="L179" s="119" t="str">
        <f>IF(H177=3,"BRONZE",IF(H177=4,"PRATA",IF(H177=5,"OURO","")))</f>
        <v/>
      </c>
      <c r="M179" s="20" t="str">
        <f>IF(B179&lt;&gt;"",COUNTIF(D179:G179,"V")+(SUMIF(B183:B185,B179,D183:E185)/1000)+(SUMIF(J183:J185,B179,H183:I185)/1000)-(SUMIF(B183:B185,B179,H183:I185)/1000)-(SUMIF(J183:J185,B179,D183:E185)/1000)+0.001,"")</f>
        <v/>
      </c>
      <c r="N179" s="20" t="str">
        <f>IF(B179="","",B179)</f>
        <v/>
      </c>
      <c r="O179" s="20" t="str">
        <f>IF(B179&lt;&gt;"",LARGE(M177:M179,3),"")</f>
        <v/>
      </c>
      <c r="P179" s="20" t="str">
        <f>VLOOKUP(O179,M177:N179,2,0)</f>
        <v/>
      </c>
    </row>
    <row r="180" spans="2:16" ht="18" customHeight="1" x14ac:dyDescent="0.25">
      <c r="B180" s="79"/>
      <c r="C180" s="79"/>
      <c r="D180" s="79"/>
      <c r="E180" s="79"/>
      <c r="F180" s="79"/>
      <c r="G180" s="79"/>
      <c r="I180" s="80"/>
      <c r="J180" s="79"/>
      <c r="K180" s="81"/>
      <c r="L180" s="81"/>
    </row>
    <row r="181" spans="2:16" ht="23.25" customHeight="1" x14ac:dyDescent="0.25">
      <c r="B181" s="82" t="s">
        <v>40</v>
      </c>
      <c r="C181" s="79"/>
      <c r="D181" s="79"/>
      <c r="E181" s="79"/>
      <c r="F181" s="79"/>
      <c r="G181" s="79"/>
      <c r="H181" s="79"/>
      <c r="I181" s="79"/>
      <c r="J181" s="79"/>
      <c r="K181" s="79"/>
      <c r="L181" s="79"/>
    </row>
    <row r="182" spans="2:16" ht="18" customHeight="1" x14ac:dyDescent="0.25">
      <c r="B182" s="9" t="s">
        <v>15</v>
      </c>
      <c r="C182" s="9" t="s">
        <v>0</v>
      </c>
      <c r="D182" s="228" t="s">
        <v>41</v>
      </c>
      <c r="E182" s="229"/>
      <c r="F182" s="229"/>
      <c r="G182" s="229"/>
      <c r="H182" s="229"/>
      <c r="I182" s="230"/>
      <c r="J182" s="9" t="s">
        <v>15</v>
      </c>
      <c r="K182" s="9" t="s">
        <v>0</v>
      </c>
      <c r="L182" s="79"/>
    </row>
    <row r="183" spans="2:16" ht="18" customHeight="1" x14ac:dyDescent="0.25">
      <c r="B183" s="15" t="str">
        <f>IF(H177=3,B177,"")</f>
        <v/>
      </c>
      <c r="C183" s="15" t="str">
        <f>IFERROR(IF(B183="","",VLOOKUP(B183,LISTAS!$F$5:$G$1004,2,0)),"0")</f>
        <v/>
      </c>
      <c r="D183" s="223"/>
      <c r="E183" s="224"/>
      <c r="F183" s="223" t="s">
        <v>38</v>
      </c>
      <c r="G183" s="224"/>
      <c r="H183" s="223"/>
      <c r="I183" s="224"/>
      <c r="J183" s="21" t="str">
        <f>IF(H177=3,B179,"")</f>
        <v/>
      </c>
      <c r="K183" s="15" t="str">
        <f>IFERROR(IF(J183="","",VLOOKUP(J183,LISTAS!$F$5:$G$1004,2,0)),"0")</f>
        <v/>
      </c>
      <c r="L183" s="81"/>
    </row>
    <row r="184" spans="2:16" ht="18" customHeight="1" x14ac:dyDescent="0.25">
      <c r="B184" s="15" t="str">
        <f>IF(H177=3,B178,"")</f>
        <v/>
      </c>
      <c r="C184" s="15" t="str">
        <f>IFERROR(IF(B184="","",VLOOKUP(B184,LISTAS!$F$5:$G$1004,2,0)),"0")</f>
        <v/>
      </c>
      <c r="D184" s="223"/>
      <c r="E184" s="224"/>
      <c r="F184" s="223" t="s">
        <v>38</v>
      </c>
      <c r="G184" s="224"/>
      <c r="H184" s="223"/>
      <c r="I184" s="224"/>
      <c r="J184" s="21" t="str">
        <f>IF(H177=3,B179,"")</f>
        <v/>
      </c>
      <c r="K184" s="15" t="str">
        <f>IFERROR(IF(J184="","",VLOOKUP(J184,LISTAS!$F$5:$G$1004,2,0)),"0")</f>
        <v/>
      </c>
      <c r="L184" s="79"/>
    </row>
    <row r="185" spans="2:16" ht="18" customHeight="1" x14ac:dyDescent="0.25">
      <c r="B185" s="15" t="str">
        <f>IF(H177=3,B177,"")</f>
        <v/>
      </c>
      <c r="C185" s="15" t="str">
        <f>IFERROR(IF(B185="","",VLOOKUP(B185,LISTAS!$F$5:$G$1004,2,0)),"0")</f>
        <v/>
      </c>
      <c r="D185" s="223"/>
      <c r="E185" s="224"/>
      <c r="F185" s="223" t="s">
        <v>38</v>
      </c>
      <c r="G185" s="224"/>
      <c r="H185" s="223"/>
      <c r="I185" s="224"/>
      <c r="J185" s="21" t="str">
        <f>IF(H177=3,B178,"")</f>
        <v/>
      </c>
      <c r="K185" s="15" t="str">
        <f>IFERROR(IF(J185="","",VLOOKUP(J185,LISTAS!$F$5:$G$1004,2,0)),"0")</f>
        <v/>
      </c>
      <c r="L185" s="81"/>
    </row>
    <row r="188" spans="2:16" ht="30" customHeight="1" x14ac:dyDescent="0.25">
      <c r="B188" s="161" t="s">
        <v>58</v>
      </c>
      <c r="C188" s="79"/>
      <c r="D188" s="225" t="s">
        <v>42</v>
      </c>
      <c r="E188" s="226"/>
      <c r="F188" s="226"/>
      <c r="G188" s="227"/>
      <c r="H188" s="113"/>
      <c r="I188" s="225" t="s">
        <v>3</v>
      </c>
      <c r="J188" s="226"/>
      <c r="K188" s="226"/>
      <c r="L188" s="226"/>
    </row>
    <row r="189" spans="2:16" ht="18" customHeight="1" x14ac:dyDescent="0.25">
      <c r="B189" s="9" t="s">
        <v>15</v>
      </c>
      <c r="C189" s="9" t="s">
        <v>0</v>
      </c>
      <c r="D189" s="9" t="s">
        <v>43</v>
      </c>
      <c r="E189" s="9" t="s">
        <v>44</v>
      </c>
      <c r="F189" s="9" t="s">
        <v>77</v>
      </c>
      <c r="G189" s="9" t="s">
        <v>78</v>
      </c>
      <c r="H189" s="114"/>
      <c r="I189" s="9" t="s">
        <v>18</v>
      </c>
      <c r="J189" s="9" t="s">
        <v>15</v>
      </c>
      <c r="K189" s="9" t="s">
        <v>0</v>
      </c>
      <c r="L189" s="9" t="s">
        <v>45</v>
      </c>
    </row>
    <row r="190" spans="2:16" ht="18" customHeight="1" x14ac:dyDescent="0.25">
      <c r="B190" s="15"/>
      <c r="C190" s="15" t="str">
        <f>IFERROR(IF(B190="","",VLOOKUP(B190,LISTAS!$F$5:$G$1004,2,0)),"0")</f>
        <v/>
      </c>
      <c r="D190" s="15" t="str">
        <f>IF(H190&lt;3,"",IF(H190=3,IF(D196&lt;&gt;"",IF(H196&lt;&gt;"",IF(D196&lt;&gt;H196,IF(D196&gt;H196,"V","D"),""),""),"")))</f>
        <v/>
      </c>
      <c r="E190" s="15" t="str">
        <f>IF(H190&lt;3,"",IF(H190=3,IF(D198&lt;&gt;"",IF(H198&lt;&gt;"",IF(D198&lt;&gt;H198,IF(D198&gt;H198,"V","D"),""),""),"")))</f>
        <v/>
      </c>
      <c r="F190" s="15" t="s">
        <v>81</v>
      </c>
      <c r="G190" s="15" t="s">
        <v>81</v>
      </c>
      <c r="H190" s="117">
        <f>COUNTA(B190:B192)</f>
        <v>0</v>
      </c>
      <c r="I190" s="15" t="str">
        <f>IF(B190&lt;&gt;"",1,"")</f>
        <v/>
      </c>
      <c r="J190" s="15" t="str">
        <f>IF(I190&lt;&gt;"",P190,"")</f>
        <v/>
      </c>
      <c r="K190" s="15" t="str">
        <f>IFERROR(IF(J190="","",VLOOKUP(J190,LISTAS!$F$5:$G$1004,2,0)),"0")</f>
        <v/>
      </c>
      <c r="L190" s="119" t="str">
        <f>IF(H190=3,"OURO",IF(H190=4,"OURO",IF(H190=5,"OURO","")))</f>
        <v/>
      </c>
      <c r="M190" s="20" t="str">
        <f>IF(B190&lt;&gt;"",COUNTIF(D190:G190,"V")+(SUMIF(B196:B198,B190,D196:E198)/1000)+(SUMIF(J196:J198,B190,H196:I198)/1000)-(SUMIF(B196:B198,B190,H196:I198)/1000)-(SUMIF(J196:J198,B190,D196:E198)/1000)+0.003,"")</f>
        <v/>
      </c>
      <c r="N190" s="20" t="str">
        <f>IF(B190="","",B190)</f>
        <v/>
      </c>
      <c r="O190" s="20" t="str">
        <f>IF(B190&lt;&gt;"",LARGE(M190:M192,1),"")</f>
        <v/>
      </c>
      <c r="P190" s="20" t="str">
        <f>VLOOKUP(O190,M190:N192,2,0)</f>
        <v/>
      </c>
    </row>
    <row r="191" spans="2:16" ht="18" customHeight="1" x14ac:dyDescent="0.25">
      <c r="B191" s="15"/>
      <c r="C191" s="15" t="str">
        <f>IFERROR(IF(B191="","",VLOOKUP(B191,LISTAS!$F$5:$G$1004,2,0)),"0")</f>
        <v/>
      </c>
      <c r="D191" s="15" t="str">
        <f>IF(H190&lt;3,"",IF(H190=3,IF(D197&lt;&gt;"",IF(H197&lt;&gt;"",IF(D197&lt;&gt;H197,IF(D197&gt;H197,"V","D"),""),""),"")))</f>
        <v/>
      </c>
      <c r="E191" s="15" t="str">
        <f>IF(H190&lt;3,"",IF(H190=3,IF(D198&lt;&gt;"",IF(H198&lt;&gt;"",IF(D198&lt;&gt;H198,IF(D198&gt;H198,"D","V"),""),""),"")))</f>
        <v/>
      </c>
      <c r="F191" s="15" t="s">
        <v>81</v>
      </c>
      <c r="G191" s="15" t="s">
        <v>81</v>
      </c>
      <c r="H191" s="115"/>
      <c r="I191" s="15" t="str">
        <f>IF(B191&lt;&gt;"",2,"")</f>
        <v/>
      </c>
      <c r="J191" s="15" t="str">
        <f>IF(I191&lt;&gt;"",P191,"")</f>
        <v/>
      </c>
      <c r="K191" s="15" t="str">
        <f>IFERROR(IF(J191="","",VLOOKUP(J191,LISTAS!$F$5:$G$1004,2,0)),"0")</f>
        <v/>
      </c>
      <c r="L191" s="119" t="str">
        <f>IF(H190=3,"PRATA",IF(H190=4,"OURO",IF(H190=5,"OURO","")))</f>
        <v/>
      </c>
      <c r="M191" s="20" t="str">
        <f>IF(B191&lt;&gt;"",COUNTIF(D191:G191,"V")+(SUMIF(B196:B198,B191,D196:E198)/1000)+(SUMIF(J196:J198,B191,H196:I198)/1000)-(SUMIF(B196:B198,B191,H196:I198)/1000)-(SUMIF(J196:J198,B191,D196:E198)/1000)+0.002,"")</f>
        <v/>
      </c>
      <c r="N191" s="20" t="str">
        <f t="shared" ref="N191" si="13">IF(B191="","",B191)</f>
        <v/>
      </c>
      <c r="O191" s="20" t="str">
        <f>IF(B191&lt;&gt;"",LARGE(M190:M192,2),"")</f>
        <v/>
      </c>
      <c r="P191" s="20" t="str">
        <f>VLOOKUP(O191,M190:N192,2,0)</f>
        <v/>
      </c>
    </row>
    <row r="192" spans="2:16" ht="18" customHeight="1" x14ac:dyDescent="0.25">
      <c r="B192" s="15"/>
      <c r="C192" s="15" t="str">
        <f>IFERROR(IF(B192="","",VLOOKUP(B192,LISTAS!$F$5:$G$1004,2,0)),"0")</f>
        <v/>
      </c>
      <c r="D192" s="15" t="str">
        <f>IF(H190&lt;3,"",IF(H190=3,IF(D196&lt;&gt;"",IF(H196&lt;&gt;"",IF(D196&lt;&gt;H196,IF(D196&gt;H196,"D","V"),""),""),"")))</f>
        <v/>
      </c>
      <c r="E192" s="15" t="str">
        <f>IF(H190&lt;3,"",IF(H190=3,IF(D197&lt;&gt;"",IF(H197&lt;&gt;"",IF(D197&lt;&gt;H197,IF(D197&gt;H197,"D","V"),""),""),"")))</f>
        <v/>
      </c>
      <c r="F192" s="15" t="s">
        <v>81</v>
      </c>
      <c r="G192" s="15" t="s">
        <v>81</v>
      </c>
      <c r="H192" s="115"/>
      <c r="I192" s="15" t="str">
        <f>IF(B192&lt;&gt;"",3,"")</f>
        <v/>
      </c>
      <c r="J192" s="15" t="str">
        <f>IF(I192&lt;&gt;"",P192,"")</f>
        <v/>
      </c>
      <c r="K192" s="15" t="str">
        <f>IFERROR(IF(J192="","",VLOOKUP(J192,LISTAS!$F$5:$G$1004,2,0)),"0")</f>
        <v/>
      </c>
      <c r="L192" s="119" t="str">
        <f>IF(H190=3,"BRONZE",IF(H190=4,"PRATA",IF(H190=5,"OURO","")))</f>
        <v/>
      </c>
      <c r="M192" s="20" t="str">
        <f>IF(B192&lt;&gt;"",COUNTIF(D192:G192,"V")+(SUMIF(B196:B198,B192,D196:E198)/1000)+(SUMIF(J196:J198,B192,H196:I198)/1000)-(SUMIF(B196:B198,B192,H196:I198)/1000)-(SUMIF(J196:J198,B192,D196:E198)/1000)+0.001,"")</f>
        <v/>
      </c>
      <c r="N192" s="20" t="str">
        <f>IF(B192="","",B192)</f>
        <v/>
      </c>
      <c r="O192" s="20" t="str">
        <f>IF(B192&lt;&gt;"",LARGE(M190:M192,3),"")</f>
        <v/>
      </c>
      <c r="P192" s="20" t="str">
        <f>VLOOKUP(O192,M190:N192,2,0)</f>
        <v/>
      </c>
    </row>
    <row r="193" spans="2:16" ht="18" customHeight="1" x14ac:dyDescent="0.25">
      <c r="B193" s="79"/>
      <c r="C193" s="79"/>
      <c r="D193" s="79"/>
      <c r="E193" s="79"/>
      <c r="F193" s="79"/>
      <c r="G193" s="79"/>
      <c r="I193" s="80"/>
      <c r="J193" s="79"/>
      <c r="K193" s="81"/>
      <c r="L193" s="81"/>
    </row>
    <row r="194" spans="2:16" ht="23.25" customHeight="1" x14ac:dyDescent="0.25">
      <c r="B194" s="82" t="s">
        <v>40</v>
      </c>
      <c r="C194" s="79"/>
      <c r="D194" s="79"/>
      <c r="E194" s="79"/>
      <c r="F194" s="79"/>
      <c r="G194" s="79"/>
      <c r="H194" s="79"/>
      <c r="I194" s="79"/>
      <c r="J194" s="79"/>
      <c r="K194" s="79"/>
      <c r="L194" s="79"/>
    </row>
    <row r="195" spans="2:16" ht="18" customHeight="1" x14ac:dyDescent="0.25">
      <c r="B195" s="9" t="s">
        <v>15</v>
      </c>
      <c r="C195" s="9" t="s">
        <v>0</v>
      </c>
      <c r="D195" s="228" t="s">
        <v>41</v>
      </c>
      <c r="E195" s="229"/>
      <c r="F195" s="229"/>
      <c r="G195" s="229"/>
      <c r="H195" s="229"/>
      <c r="I195" s="230"/>
      <c r="J195" s="9" t="s">
        <v>15</v>
      </c>
      <c r="K195" s="9" t="s">
        <v>0</v>
      </c>
      <c r="L195" s="79"/>
    </row>
    <row r="196" spans="2:16" ht="18" customHeight="1" x14ac:dyDescent="0.25">
      <c r="B196" s="15" t="str">
        <f>IF(H190=3,B190,"")</f>
        <v/>
      </c>
      <c r="C196" s="15" t="str">
        <f>IFERROR(IF(B196="","",VLOOKUP(B196,LISTAS!$F$5:$G$1004,2,0)),"0")</f>
        <v/>
      </c>
      <c r="D196" s="223"/>
      <c r="E196" s="224"/>
      <c r="F196" s="223" t="s">
        <v>38</v>
      </c>
      <c r="G196" s="224"/>
      <c r="H196" s="223"/>
      <c r="I196" s="224"/>
      <c r="J196" s="21" t="str">
        <f>IF(H190=3,B192,"")</f>
        <v/>
      </c>
      <c r="K196" s="15" t="str">
        <f>IFERROR(IF(J196="","",VLOOKUP(J196,LISTAS!$F$5:$G$1004,2,0)),"0")</f>
        <v/>
      </c>
      <c r="L196" s="81"/>
    </row>
    <row r="197" spans="2:16" ht="18" customHeight="1" x14ac:dyDescent="0.25">
      <c r="B197" s="15" t="str">
        <f>IF(H190=3,B191,"")</f>
        <v/>
      </c>
      <c r="C197" s="15" t="str">
        <f>IFERROR(IF(B197="","",VLOOKUP(B197,LISTAS!$F$5:$G$1004,2,0)),"0")</f>
        <v/>
      </c>
      <c r="D197" s="223"/>
      <c r="E197" s="224"/>
      <c r="F197" s="223" t="s">
        <v>38</v>
      </c>
      <c r="G197" s="224"/>
      <c r="H197" s="223"/>
      <c r="I197" s="224"/>
      <c r="J197" s="21" t="str">
        <f>IF(H190=3,B192,"")</f>
        <v/>
      </c>
      <c r="K197" s="15" t="str">
        <f>IFERROR(IF(J197="","",VLOOKUP(J197,LISTAS!$F$5:$G$1004,2,0)),"0")</f>
        <v/>
      </c>
      <c r="L197" s="79"/>
    </row>
    <row r="198" spans="2:16" ht="18" customHeight="1" x14ac:dyDescent="0.25">
      <c r="B198" s="15" t="str">
        <f>IF(H190=3,B190,"")</f>
        <v/>
      </c>
      <c r="C198" s="15" t="str">
        <f>IFERROR(IF(B198="","",VLOOKUP(B198,LISTAS!$F$5:$G$1004,2,0)),"0")</f>
        <v/>
      </c>
      <c r="D198" s="223"/>
      <c r="E198" s="224"/>
      <c r="F198" s="223" t="s">
        <v>38</v>
      </c>
      <c r="G198" s="224"/>
      <c r="H198" s="223"/>
      <c r="I198" s="224"/>
      <c r="J198" s="21" t="str">
        <f>IF(H190=3,B191,"")</f>
        <v/>
      </c>
      <c r="K198" s="15" t="str">
        <f>IFERROR(IF(J198="","",VLOOKUP(J198,LISTAS!$F$5:$G$1004,2,0)),"0")</f>
        <v/>
      </c>
      <c r="L198" s="81"/>
    </row>
    <row r="201" spans="2:16" ht="30" customHeight="1" x14ac:dyDescent="0.25">
      <c r="B201" s="161" t="s">
        <v>59</v>
      </c>
      <c r="C201" s="79"/>
      <c r="D201" s="225" t="s">
        <v>42</v>
      </c>
      <c r="E201" s="226"/>
      <c r="F201" s="226"/>
      <c r="G201" s="227"/>
      <c r="H201" s="113"/>
      <c r="I201" s="225" t="s">
        <v>3</v>
      </c>
      <c r="J201" s="226"/>
      <c r="K201" s="226"/>
      <c r="L201" s="226"/>
    </row>
    <row r="202" spans="2:16" ht="18" customHeight="1" x14ac:dyDescent="0.25">
      <c r="B202" s="9" t="s">
        <v>15</v>
      </c>
      <c r="C202" s="9" t="s">
        <v>0</v>
      </c>
      <c r="D202" s="9" t="s">
        <v>43</v>
      </c>
      <c r="E202" s="9" t="s">
        <v>44</v>
      </c>
      <c r="F202" s="9" t="s">
        <v>77</v>
      </c>
      <c r="G202" s="9" t="s">
        <v>78</v>
      </c>
      <c r="H202" s="114"/>
      <c r="I202" s="9" t="s">
        <v>18</v>
      </c>
      <c r="J202" s="9" t="s">
        <v>15</v>
      </c>
      <c r="K202" s="9" t="s">
        <v>0</v>
      </c>
      <c r="L202" s="9" t="s">
        <v>45</v>
      </c>
    </row>
    <row r="203" spans="2:16" ht="18" customHeight="1" x14ac:dyDescent="0.25">
      <c r="B203" s="15"/>
      <c r="C203" s="15" t="str">
        <f>IFERROR(IF(B203="","",VLOOKUP(B203,LISTAS!$F$5:$G$1004,2,0)),"0")</f>
        <v/>
      </c>
      <c r="D203" s="15" t="str">
        <f>IF(H203&lt;3,"",IF(H203=3,IF(D209&lt;&gt;"",IF(H209&lt;&gt;"",IF(D209&lt;&gt;H209,IF(D209&gt;H209,"V","D"),""),""),"")))</f>
        <v/>
      </c>
      <c r="E203" s="15" t="str">
        <f>IF(H203&lt;3,"",IF(H203=3,IF(D211&lt;&gt;"",IF(H211&lt;&gt;"",IF(D211&lt;&gt;H211,IF(D211&gt;H211,"V","D"),""),""),"")))</f>
        <v/>
      </c>
      <c r="F203" s="15" t="s">
        <v>81</v>
      </c>
      <c r="G203" s="15" t="s">
        <v>81</v>
      </c>
      <c r="H203" s="117">
        <f>COUNTA(B203:B205)</f>
        <v>0</v>
      </c>
      <c r="I203" s="15" t="str">
        <f>IF(B203&lt;&gt;"",1,"")</f>
        <v/>
      </c>
      <c r="J203" s="15" t="str">
        <f>IF(I203&lt;&gt;"",P203,"")</f>
        <v/>
      </c>
      <c r="K203" s="15" t="str">
        <f>IFERROR(IF(J203="","",VLOOKUP(J203,LISTAS!$F$5:$G$1004,2,0)),"0")</f>
        <v/>
      </c>
      <c r="L203" s="119" t="str">
        <f>IF(H203=3,"OURO",IF(H203=4,"OURO",IF(H203=5,"OURO","")))</f>
        <v/>
      </c>
      <c r="M203" s="20" t="str">
        <f>IF(B203&lt;&gt;"",COUNTIF(D203:G203,"V")+(SUMIF(B209:B211,B203,D209:E211)/1000)+(SUMIF(J209:J211,B203,H209:I211)/1000)-(SUMIF(B209:B211,B203,H209:I211)/1000)-(SUMIF(J209:J211,B203,D209:E211)/1000)+0.003,"")</f>
        <v/>
      </c>
      <c r="N203" s="20" t="str">
        <f>IF(B203="","",B203)</f>
        <v/>
      </c>
      <c r="O203" s="20" t="str">
        <f>IF(B203&lt;&gt;"",LARGE(M203:M205,1),"")</f>
        <v/>
      </c>
      <c r="P203" s="20" t="str">
        <f>VLOOKUP(O203,M203:N205,2,0)</f>
        <v/>
      </c>
    </row>
    <row r="204" spans="2:16" ht="18" customHeight="1" x14ac:dyDescent="0.25">
      <c r="B204" s="15"/>
      <c r="C204" s="15" t="str">
        <f>IFERROR(IF(B204="","",VLOOKUP(B204,LISTAS!$F$5:$G$1004,2,0)),"0")</f>
        <v/>
      </c>
      <c r="D204" s="15" t="str">
        <f>IF(H203&lt;3,"",IF(H203=3,IF(D210&lt;&gt;"",IF(H210&lt;&gt;"",IF(D210&lt;&gt;H210,IF(D210&gt;H210,"V","D"),""),""),"")))</f>
        <v/>
      </c>
      <c r="E204" s="15" t="str">
        <f>IF(H203&lt;3,"",IF(H203=3,IF(D211&lt;&gt;"",IF(H211&lt;&gt;"",IF(D211&lt;&gt;H211,IF(D211&gt;H211,"D","V"),""),""),"")))</f>
        <v/>
      </c>
      <c r="F204" s="15" t="s">
        <v>81</v>
      </c>
      <c r="G204" s="15" t="s">
        <v>81</v>
      </c>
      <c r="H204" s="115"/>
      <c r="I204" s="15" t="str">
        <f>IF(B204&lt;&gt;"",2,"")</f>
        <v/>
      </c>
      <c r="J204" s="15" t="str">
        <f>IF(I204&lt;&gt;"",P204,"")</f>
        <v/>
      </c>
      <c r="K204" s="15" t="str">
        <f>IFERROR(IF(J204="","",VLOOKUP(J204,LISTAS!$F$5:$G$1004,2,0)),"0")</f>
        <v/>
      </c>
      <c r="L204" s="119" t="str">
        <f>IF(H203=3,"PRATA",IF(H203=4,"OURO",IF(H203=5,"OURO","")))</f>
        <v/>
      </c>
      <c r="M204" s="20" t="str">
        <f>IF(B204&lt;&gt;"",COUNTIF(D204:G204,"V")+(SUMIF(B209:B211,B204,D209:E211)/1000)+(SUMIF(J209:J211,B204,H209:I211)/1000)-(SUMIF(B209:B211,B204,H209:I211)/1000)-(SUMIF(J209:J211,B204,D209:E211)/1000)+0.002,"")</f>
        <v/>
      </c>
      <c r="N204" s="20" t="str">
        <f t="shared" ref="N204" si="14">IF(B204="","",B204)</f>
        <v/>
      </c>
      <c r="O204" s="20" t="str">
        <f>IF(B204&lt;&gt;"",LARGE(M203:M205,2),"")</f>
        <v/>
      </c>
      <c r="P204" s="20" t="str">
        <f>VLOOKUP(O204,M203:N205,2,0)</f>
        <v/>
      </c>
    </row>
    <row r="205" spans="2:16" ht="18" customHeight="1" x14ac:dyDescent="0.25">
      <c r="B205" s="15"/>
      <c r="C205" s="15" t="str">
        <f>IFERROR(IF(B205="","",VLOOKUP(B205,LISTAS!$F$5:$G$1004,2,0)),"0")</f>
        <v/>
      </c>
      <c r="D205" s="15" t="str">
        <f>IF(H203&lt;3,"",IF(H203=3,IF(D209&lt;&gt;"",IF(H209&lt;&gt;"",IF(D209&lt;&gt;H209,IF(D209&gt;H209,"D","V"),""),""),"")))</f>
        <v/>
      </c>
      <c r="E205" s="15" t="str">
        <f>IF(H203&lt;3,"",IF(H203=3,IF(D210&lt;&gt;"",IF(H210&lt;&gt;"",IF(D210&lt;&gt;H210,IF(D210&gt;H210,"D","V"),""),""),"")))</f>
        <v/>
      </c>
      <c r="F205" s="15" t="s">
        <v>81</v>
      </c>
      <c r="G205" s="15" t="s">
        <v>81</v>
      </c>
      <c r="H205" s="115"/>
      <c r="I205" s="15" t="str">
        <f>IF(B205&lt;&gt;"",3,"")</f>
        <v/>
      </c>
      <c r="J205" s="15" t="str">
        <f>IF(I205&lt;&gt;"",P205,"")</f>
        <v/>
      </c>
      <c r="K205" s="15" t="str">
        <f>IFERROR(IF(J205="","",VLOOKUP(J205,LISTAS!$F$5:$G$1004,2,0)),"0")</f>
        <v/>
      </c>
      <c r="L205" s="119" t="str">
        <f>IF(H203=3,"BRONZE",IF(H203=4,"PRATA",IF(H203=5,"OURO","")))</f>
        <v/>
      </c>
      <c r="M205" s="20" t="str">
        <f>IF(B205&lt;&gt;"",COUNTIF(D205:G205,"V")+(SUMIF(B209:B211,B205,D209:E211)/1000)+(SUMIF(J209:J211,B205,H209:I211)/1000)-(SUMIF(B209:B211,B205,H209:I211)/1000)-(SUMIF(J209:J211,B205,D209:E211)/1000)+0.001,"")</f>
        <v/>
      </c>
      <c r="N205" s="20" t="str">
        <f>IF(B205="","",B205)</f>
        <v/>
      </c>
      <c r="O205" s="20" t="str">
        <f>IF(B205&lt;&gt;"",LARGE(M203:M205,3),"")</f>
        <v/>
      </c>
      <c r="P205" s="20" t="str">
        <f>VLOOKUP(O205,M203:N205,2,0)</f>
        <v/>
      </c>
    </row>
    <row r="206" spans="2:16" ht="18" customHeight="1" x14ac:dyDescent="0.25">
      <c r="B206" s="79"/>
      <c r="C206" s="79"/>
      <c r="D206" s="79"/>
      <c r="E206" s="79"/>
      <c r="F206" s="79"/>
      <c r="G206" s="79"/>
      <c r="I206" s="80"/>
      <c r="J206" s="79"/>
      <c r="K206" s="81"/>
      <c r="L206" s="81"/>
    </row>
    <row r="207" spans="2:16" ht="23.25" customHeight="1" x14ac:dyDescent="0.25">
      <c r="B207" s="82" t="s">
        <v>40</v>
      </c>
      <c r="C207" s="79"/>
      <c r="D207" s="79"/>
      <c r="E207" s="79"/>
      <c r="F207" s="79"/>
      <c r="G207" s="79"/>
      <c r="H207" s="79"/>
      <c r="I207" s="79"/>
      <c r="J207" s="79"/>
      <c r="K207" s="79"/>
      <c r="L207" s="79"/>
    </row>
    <row r="208" spans="2:16" ht="18" customHeight="1" x14ac:dyDescent="0.25">
      <c r="B208" s="9" t="s">
        <v>15</v>
      </c>
      <c r="C208" s="9" t="s">
        <v>0</v>
      </c>
      <c r="D208" s="228" t="s">
        <v>41</v>
      </c>
      <c r="E208" s="229"/>
      <c r="F208" s="229"/>
      <c r="G208" s="229"/>
      <c r="H208" s="229"/>
      <c r="I208" s="230"/>
      <c r="J208" s="9" t="s">
        <v>15</v>
      </c>
      <c r="K208" s="9" t="s">
        <v>0</v>
      </c>
      <c r="L208" s="79"/>
    </row>
    <row r="209" spans="2:16" ht="18" customHeight="1" x14ac:dyDescent="0.25">
      <c r="B209" s="15" t="str">
        <f>IF(H203=3,B203,"")</f>
        <v/>
      </c>
      <c r="C209" s="15" t="str">
        <f>IFERROR(IF(B209="","",VLOOKUP(B209,LISTAS!$F$5:$G$1004,2,0)),"0")</f>
        <v/>
      </c>
      <c r="D209" s="223"/>
      <c r="E209" s="224"/>
      <c r="F209" s="223" t="s">
        <v>38</v>
      </c>
      <c r="G209" s="224"/>
      <c r="H209" s="223"/>
      <c r="I209" s="224"/>
      <c r="J209" s="21" t="str">
        <f>IF(H203=3,B205,"")</f>
        <v/>
      </c>
      <c r="K209" s="15" t="str">
        <f>IFERROR(IF(J209="","",VLOOKUP(J209,LISTAS!$F$5:$G$1004,2,0)),"0")</f>
        <v/>
      </c>
      <c r="L209" s="81"/>
    </row>
    <row r="210" spans="2:16" ht="18" customHeight="1" x14ac:dyDescent="0.25">
      <c r="B210" s="15" t="str">
        <f>IF(H203=3,B204,"")</f>
        <v/>
      </c>
      <c r="C210" s="15" t="str">
        <f>IFERROR(IF(B210="","",VLOOKUP(B210,LISTAS!$F$5:$G$1004,2,0)),"0")</f>
        <v/>
      </c>
      <c r="D210" s="223"/>
      <c r="E210" s="224"/>
      <c r="F210" s="223" t="s">
        <v>38</v>
      </c>
      <c r="G210" s="224"/>
      <c r="H210" s="223"/>
      <c r="I210" s="224"/>
      <c r="J210" s="21" t="str">
        <f>IF(H203=3,B205,"")</f>
        <v/>
      </c>
      <c r="K210" s="15" t="str">
        <f>IFERROR(IF(J210="","",VLOOKUP(J210,LISTAS!$F$5:$G$1004,2,0)),"0")</f>
        <v/>
      </c>
      <c r="L210" s="79"/>
    </row>
    <row r="211" spans="2:16" ht="18" customHeight="1" x14ac:dyDescent="0.25">
      <c r="B211" s="15" t="str">
        <f>IF(H203=3,B203,"")</f>
        <v/>
      </c>
      <c r="C211" s="15" t="str">
        <f>IFERROR(IF(B211="","",VLOOKUP(B211,LISTAS!$F$5:$G$1004,2,0)),"0")</f>
        <v/>
      </c>
      <c r="D211" s="223"/>
      <c r="E211" s="224"/>
      <c r="F211" s="223" t="s">
        <v>38</v>
      </c>
      <c r="G211" s="224"/>
      <c r="H211" s="223"/>
      <c r="I211" s="224"/>
      <c r="J211" s="21" t="str">
        <f>IF(H203=3,B204,"")</f>
        <v/>
      </c>
      <c r="K211" s="15" t="str">
        <f>IFERROR(IF(J211="","",VLOOKUP(J211,LISTAS!$F$5:$G$1004,2,0)),"0")</f>
        <v/>
      </c>
      <c r="L211" s="81"/>
    </row>
    <row r="214" spans="2:16" ht="30" customHeight="1" x14ac:dyDescent="0.25">
      <c r="B214" s="161" t="s">
        <v>60</v>
      </c>
      <c r="C214" s="79"/>
      <c r="D214" s="225" t="s">
        <v>42</v>
      </c>
      <c r="E214" s="226"/>
      <c r="F214" s="226"/>
      <c r="G214" s="227"/>
      <c r="H214" s="113"/>
      <c r="I214" s="225" t="s">
        <v>3</v>
      </c>
      <c r="J214" s="226"/>
      <c r="K214" s="226"/>
      <c r="L214" s="226"/>
    </row>
    <row r="215" spans="2:16" ht="18" customHeight="1" x14ac:dyDescent="0.25">
      <c r="B215" s="9" t="s">
        <v>15</v>
      </c>
      <c r="C215" s="9" t="s">
        <v>0</v>
      </c>
      <c r="D215" s="9" t="s">
        <v>43</v>
      </c>
      <c r="E215" s="9" t="s">
        <v>44</v>
      </c>
      <c r="F215" s="9" t="s">
        <v>77</v>
      </c>
      <c r="G215" s="9" t="s">
        <v>78</v>
      </c>
      <c r="H215" s="114"/>
      <c r="I215" s="9" t="s">
        <v>18</v>
      </c>
      <c r="J215" s="9" t="s">
        <v>15</v>
      </c>
      <c r="K215" s="9" t="s">
        <v>0</v>
      </c>
      <c r="L215" s="9" t="s">
        <v>45</v>
      </c>
    </row>
    <row r="216" spans="2:16" ht="18" customHeight="1" x14ac:dyDescent="0.25">
      <c r="B216" s="15"/>
      <c r="C216" s="15" t="str">
        <f>IFERROR(IF(B216="","",VLOOKUP(B216,LISTAS!$F$5:$G$1004,2,0)),"0")</f>
        <v/>
      </c>
      <c r="D216" s="15" t="str">
        <f>IF(H216&lt;3,"",IF(H216=3,IF(D222&lt;&gt;"",IF(H222&lt;&gt;"",IF(D222&lt;&gt;H222,IF(D222&gt;H222,"V","D"),""),""),"")))</f>
        <v/>
      </c>
      <c r="E216" s="15" t="str">
        <f>IF(H216&lt;3,"",IF(H216=3,IF(D224&lt;&gt;"",IF(H224&lt;&gt;"",IF(D224&lt;&gt;H224,IF(D224&gt;H224,"V","D"),""),""),"")))</f>
        <v/>
      </c>
      <c r="F216" s="15" t="s">
        <v>81</v>
      </c>
      <c r="G216" s="15" t="s">
        <v>81</v>
      </c>
      <c r="H216" s="117">
        <f>COUNTA(B216:B218)</f>
        <v>0</v>
      </c>
      <c r="I216" s="15" t="str">
        <f>IF(B216&lt;&gt;"",1,"")</f>
        <v/>
      </c>
      <c r="J216" s="15" t="str">
        <f>IF(I216&lt;&gt;"",P216,"")</f>
        <v/>
      </c>
      <c r="K216" s="15" t="str">
        <f>IFERROR(IF(J216="","",VLOOKUP(J216,LISTAS!$F$5:$G$1004,2,0)),"0")</f>
        <v/>
      </c>
      <c r="L216" s="119" t="str">
        <f>IF(H216=3,"OURO",IF(H216=4,"OURO",IF(H216=5,"OURO","")))</f>
        <v/>
      </c>
      <c r="M216" s="20" t="str">
        <f>IF(B216&lt;&gt;"",COUNTIF(D216:G216,"V")+(SUMIF(B222:B224,B216,D222:E224)/1000)+(SUMIF(J222:J224,B216,H222:I224)/1000)-(SUMIF(B222:B224,B216,H222:I224)/1000)-(SUMIF(J222:J224,B216,D222:E224)/1000)+0.003,"")</f>
        <v/>
      </c>
      <c r="N216" s="20" t="str">
        <f>IF(B216="","",B216)</f>
        <v/>
      </c>
      <c r="O216" s="20" t="str">
        <f>IF(B216&lt;&gt;"",LARGE(M216:M218,1),"")</f>
        <v/>
      </c>
      <c r="P216" s="20" t="str">
        <f>VLOOKUP(O216,M216:N218,2,0)</f>
        <v/>
      </c>
    </row>
    <row r="217" spans="2:16" ht="18" customHeight="1" x14ac:dyDescent="0.25">
      <c r="B217" s="15"/>
      <c r="C217" s="15" t="str">
        <f>IFERROR(IF(B217="","",VLOOKUP(B217,LISTAS!$F$5:$G$1004,2,0)),"0")</f>
        <v/>
      </c>
      <c r="D217" s="15" t="str">
        <f>IF(H216&lt;3,"",IF(H216=3,IF(D223&lt;&gt;"",IF(H223&lt;&gt;"",IF(D223&lt;&gt;H223,IF(D223&gt;H223,"V","D"),""),""),"")))</f>
        <v/>
      </c>
      <c r="E217" s="15" t="str">
        <f>IF(H216&lt;3,"",IF(H216=3,IF(D224&lt;&gt;"",IF(H224&lt;&gt;"",IF(D224&lt;&gt;H224,IF(D224&gt;H224,"D","V"),""),""),"")))</f>
        <v/>
      </c>
      <c r="F217" s="15" t="s">
        <v>81</v>
      </c>
      <c r="G217" s="15" t="s">
        <v>81</v>
      </c>
      <c r="H217" s="115"/>
      <c r="I217" s="15" t="str">
        <f>IF(B217&lt;&gt;"",2,"")</f>
        <v/>
      </c>
      <c r="J217" s="15" t="str">
        <f>IF(I217&lt;&gt;"",P217,"")</f>
        <v/>
      </c>
      <c r="K217" s="15" t="str">
        <f>IFERROR(IF(J217="","",VLOOKUP(J217,LISTAS!$F$5:$G$1004,2,0)),"0")</f>
        <v/>
      </c>
      <c r="L217" s="119" t="str">
        <f>IF(H216=3,"PRATA",IF(H216=4,"OURO",IF(H216=5,"OURO","")))</f>
        <v/>
      </c>
      <c r="M217" s="20" t="str">
        <f>IF(B217&lt;&gt;"",COUNTIF(D217:G217,"V")+(SUMIF(B222:B224,B217,D222:E224)/1000)+(SUMIF(J222:J224,B217,H222:I224)/1000)-(SUMIF(B222:B224,B217,H222:I224)/1000)-(SUMIF(J222:J224,B217,D222:E224)/1000)+0.002,"")</f>
        <v/>
      </c>
      <c r="N217" s="20" t="str">
        <f t="shared" ref="N217" si="15">IF(B217="","",B217)</f>
        <v/>
      </c>
      <c r="O217" s="20" t="str">
        <f>IF(B217&lt;&gt;"",LARGE(M216:M218,2),"")</f>
        <v/>
      </c>
      <c r="P217" s="20" t="str">
        <f>VLOOKUP(O217,M216:N218,2,0)</f>
        <v/>
      </c>
    </row>
    <row r="218" spans="2:16" ht="18" customHeight="1" x14ac:dyDescent="0.25">
      <c r="B218" s="15"/>
      <c r="C218" s="15" t="str">
        <f>IFERROR(IF(B218="","",VLOOKUP(B218,LISTAS!$F$5:$G$1004,2,0)),"0")</f>
        <v/>
      </c>
      <c r="D218" s="15" t="str">
        <f>IF(H216&lt;3,"",IF(H216=3,IF(D222&lt;&gt;"",IF(H222&lt;&gt;"",IF(D222&lt;&gt;H222,IF(D222&gt;H222,"D","V"),""),""),"")))</f>
        <v/>
      </c>
      <c r="E218" s="15" t="str">
        <f>IF(H216&lt;3,"",IF(H216=3,IF(D223&lt;&gt;"",IF(H223&lt;&gt;"",IF(D223&lt;&gt;H223,IF(D223&gt;H223,"D","V"),""),""),"")))</f>
        <v/>
      </c>
      <c r="F218" s="15" t="s">
        <v>81</v>
      </c>
      <c r="G218" s="15" t="s">
        <v>81</v>
      </c>
      <c r="H218" s="115"/>
      <c r="I218" s="15" t="str">
        <f>IF(B218&lt;&gt;"",3,"")</f>
        <v/>
      </c>
      <c r="J218" s="15" t="str">
        <f>IF(I218&lt;&gt;"",P218,"")</f>
        <v/>
      </c>
      <c r="K218" s="15" t="str">
        <f>IFERROR(IF(J218="","",VLOOKUP(J218,LISTAS!$F$5:$G$1004,2,0)),"0")</f>
        <v/>
      </c>
      <c r="L218" s="119" t="str">
        <f>IF(H216=3,"BRONZE",IF(H216=4,"PRATA",IF(H216=5,"OURO","")))</f>
        <v/>
      </c>
      <c r="M218" s="20" t="str">
        <f>IF(B218&lt;&gt;"",COUNTIF(D218:G218,"V")+(SUMIF(B222:B224,B218,D222:E224)/1000)+(SUMIF(J222:J224,B218,H222:I224)/1000)-(SUMIF(B222:B224,B218,H222:I224)/1000)-(SUMIF(J222:J224,B218,D222:E224)/1000)+0.001,"")</f>
        <v/>
      </c>
      <c r="N218" s="20" t="str">
        <f>IF(B218="","",B218)</f>
        <v/>
      </c>
      <c r="O218" s="20" t="str">
        <f>IF(B218&lt;&gt;"",LARGE(M216:M218,3),"")</f>
        <v/>
      </c>
      <c r="P218" s="20" t="str">
        <f>VLOOKUP(O218,M216:N218,2,0)</f>
        <v/>
      </c>
    </row>
    <row r="219" spans="2:16" ht="18" customHeight="1" x14ac:dyDescent="0.25">
      <c r="B219" s="79"/>
      <c r="C219" s="79"/>
      <c r="D219" s="79"/>
      <c r="E219" s="79"/>
      <c r="F219" s="79"/>
      <c r="G219" s="79"/>
      <c r="I219" s="80"/>
      <c r="J219" s="79"/>
      <c r="K219" s="81"/>
      <c r="L219" s="81"/>
    </row>
    <row r="220" spans="2:16" ht="23.25" customHeight="1" x14ac:dyDescent="0.25">
      <c r="B220" s="82" t="s">
        <v>40</v>
      </c>
      <c r="C220" s="79"/>
      <c r="D220" s="79"/>
      <c r="E220" s="79"/>
      <c r="F220" s="79"/>
      <c r="G220" s="79"/>
      <c r="H220" s="79"/>
      <c r="I220" s="79"/>
      <c r="J220" s="79"/>
      <c r="K220" s="79"/>
      <c r="L220" s="79"/>
    </row>
    <row r="221" spans="2:16" ht="18" customHeight="1" x14ac:dyDescent="0.25">
      <c r="B221" s="9" t="s">
        <v>15</v>
      </c>
      <c r="C221" s="9" t="s">
        <v>0</v>
      </c>
      <c r="D221" s="228" t="s">
        <v>41</v>
      </c>
      <c r="E221" s="229"/>
      <c r="F221" s="229"/>
      <c r="G221" s="229"/>
      <c r="H221" s="229"/>
      <c r="I221" s="230"/>
      <c r="J221" s="9" t="s">
        <v>15</v>
      </c>
      <c r="K221" s="9" t="s">
        <v>0</v>
      </c>
      <c r="L221" s="79"/>
    </row>
    <row r="222" spans="2:16" ht="18" customHeight="1" x14ac:dyDescent="0.25">
      <c r="B222" s="15" t="str">
        <f>IF(H216=3,B216,"")</f>
        <v/>
      </c>
      <c r="C222" s="15" t="str">
        <f>IFERROR(IF(B222="","",VLOOKUP(B222,LISTAS!$F$5:$G$1004,2,0)),"0")</f>
        <v/>
      </c>
      <c r="D222" s="223"/>
      <c r="E222" s="224"/>
      <c r="F222" s="223" t="s">
        <v>38</v>
      </c>
      <c r="G222" s="224"/>
      <c r="H222" s="223"/>
      <c r="I222" s="224"/>
      <c r="J222" s="21" t="str">
        <f>IF(H216=3,B218,"")</f>
        <v/>
      </c>
      <c r="K222" s="15" t="str">
        <f>IFERROR(IF(J222="","",VLOOKUP(J222,LISTAS!$F$5:$G$1004,2,0)),"0")</f>
        <v/>
      </c>
      <c r="L222" s="81"/>
    </row>
    <row r="223" spans="2:16" ht="18" customHeight="1" x14ac:dyDescent="0.25">
      <c r="B223" s="15" t="str">
        <f>IF(H216=3,B217,"")</f>
        <v/>
      </c>
      <c r="C223" s="15" t="str">
        <f>IFERROR(IF(B223="","",VLOOKUP(B223,LISTAS!$F$5:$G$1004,2,0)),"0")</f>
        <v/>
      </c>
      <c r="D223" s="223"/>
      <c r="E223" s="224"/>
      <c r="F223" s="223" t="s">
        <v>38</v>
      </c>
      <c r="G223" s="224"/>
      <c r="H223" s="223"/>
      <c r="I223" s="224"/>
      <c r="J223" s="21" t="str">
        <f>IF(H216=3,B218,"")</f>
        <v/>
      </c>
      <c r="K223" s="15" t="str">
        <f>IFERROR(IF(J223="","",VLOOKUP(J223,LISTAS!$F$5:$G$1004,2,0)),"0")</f>
        <v/>
      </c>
      <c r="L223" s="79"/>
    </row>
    <row r="224" spans="2:16" ht="18" customHeight="1" x14ac:dyDescent="0.25">
      <c r="B224" s="15" t="str">
        <f>IF(H216=3,B216,"")</f>
        <v/>
      </c>
      <c r="C224" s="15" t="str">
        <f>IFERROR(IF(B224="","",VLOOKUP(B224,LISTAS!$F$5:$G$1004,2,0)),"0")</f>
        <v/>
      </c>
      <c r="D224" s="223"/>
      <c r="E224" s="224"/>
      <c r="F224" s="223" t="s">
        <v>38</v>
      </c>
      <c r="G224" s="224"/>
      <c r="H224" s="223"/>
      <c r="I224" s="224"/>
      <c r="J224" s="21" t="str">
        <f>IF(H216=3,B217,"")</f>
        <v/>
      </c>
      <c r="K224" s="15" t="str">
        <f>IFERROR(IF(J224="","",VLOOKUP(J224,LISTAS!$F$5:$G$1004,2,0)),"0")</f>
        <v/>
      </c>
      <c r="L224" s="81"/>
    </row>
    <row r="227" spans="2:16" ht="30" customHeight="1" x14ac:dyDescent="0.25">
      <c r="B227" s="161" t="s">
        <v>61</v>
      </c>
      <c r="C227" s="79"/>
      <c r="D227" s="225" t="s">
        <v>42</v>
      </c>
      <c r="E227" s="226"/>
      <c r="F227" s="226"/>
      <c r="G227" s="227"/>
      <c r="H227" s="113"/>
      <c r="I227" s="225" t="s">
        <v>3</v>
      </c>
      <c r="J227" s="226"/>
      <c r="K227" s="226"/>
      <c r="L227" s="226"/>
    </row>
    <row r="228" spans="2:16" ht="18" customHeight="1" x14ac:dyDescent="0.25">
      <c r="B228" s="9" t="s">
        <v>15</v>
      </c>
      <c r="C228" s="9" t="s">
        <v>0</v>
      </c>
      <c r="D228" s="9" t="s">
        <v>43</v>
      </c>
      <c r="E228" s="9" t="s">
        <v>44</v>
      </c>
      <c r="F228" s="9" t="s">
        <v>77</v>
      </c>
      <c r="G228" s="9" t="s">
        <v>78</v>
      </c>
      <c r="H228" s="114"/>
      <c r="I228" s="9" t="s">
        <v>18</v>
      </c>
      <c r="J228" s="9" t="s">
        <v>15</v>
      </c>
      <c r="K228" s="9" t="s">
        <v>0</v>
      </c>
      <c r="L228" s="9" t="s">
        <v>45</v>
      </c>
    </row>
    <row r="229" spans="2:16" ht="18" customHeight="1" x14ac:dyDescent="0.25">
      <c r="B229" s="15"/>
      <c r="C229" s="15" t="str">
        <f>IFERROR(IF(B229="","",VLOOKUP(B229,LISTAS!$F$5:$G$1004,2,0)),"0")</f>
        <v/>
      </c>
      <c r="D229" s="15" t="str">
        <f>IF(H229&lt;3,"",IF(H229=3,IF(D235&lt;&gt;"",IF(H235&lt;&gt;"",IF(D235&lt;&gt;H235,IF(D235&gt;H235,"V","D"),""),""),"")))</f>
        <v/>
      </c>
      <c r="E229" s="15" t="str">
        <f>IF(H229&lt;3,"",IF(H229=3,IF(D237&lt;&gt;"",IF(H237&lt;&gt;"",IF(D237&lt;&gt;H237,IF(D237&gt;H237,"V","D"),""),""),"")))</f>
        <v/>
      </c>
      <c r="F229" s="15" t="s">
        <v>81</v>
      </c>
      <c r="G229" s="15" t="s">
        <v>81</v>
      </c>
      <c r="H229" s="117">
        <f>COUNTA(B229:B231)</f>
        <v>0</v>
      </c>
      <c r="I229" s="15" t="str">
        <f>IF(B229&lt;&gt;"",1,"")</f>
        <v/>
      </c>
      <c r="J229" s="15" t="str">
        <f>IF(I229&lt;&gt;"",P229,"")</f>
        <v/>
      </c>
      <c r="K229" s="15" t="str">
        <f>IFERROR(IF(J229="","",VLOOKUP(J229,LISTAS!$F$5:$G$1004,2,0)),"0")</f>
        <v/>
      </c>
      <c r="L229" s="119" t="str">
        <f>IF(H229=3,"OURO",IF(H229=4,"OURO",IF(H229=5,"OURO","")))</f>
        <v/>
      </c>
      <c r="M229" s="20" t="str">
        <f>IF(B229&lt;&gt;"",COUNTIF(D229:G229,"V")+(SUMIF(B235:B237,B229,D235:E237)/1000)+(SUMIF(J235:J237,B229,H235:I237)/1000)-(SUMIF(B235:B237,B229,H235:I237)/1000)-(SUMIF(J235:J237,B229,D235:E237)/1000)+0.003,"")</f>
        <v/>
      </c>
      <c r="N229" s="20" t="str">
        <f>IF(B229="","",B229)</f>
        <v/>
      </c>
      <c r="O229" s="20" t="str">
        <f>IF(B229&lt;&gt;"",LARGE(M229:M231,1),"")</f>
        <v/>
      </c>
      <c r="P229" s="20" t="str">
        <f>VLOOKUP(O229,M229:N231,2,0)</f>
        <v/>
      </c>
    </row>
    <row r="230" spans="2:16" ht="18" customHeight="1" x14ac:dyDescent="0.25">
      <c r="B230" s="15"/>
      <c r="C230" s="15" t="str">
        <f>IFERROR(IF(B230="","",VLOOKUP(B230,LISTAS!$F$5:$G$1004,2,0)),"0")</f>
        <v/>
      </c>
      <c r="D230" s="15" t="str">
        <f>IF(H229&lt;3,"",IF(H229=3,IF(D236&lt;&gt;"",IF(H236&lt;&gt;"",IF(D236&lt;&gt;H236,IF(D236&gt;H236,"V","D"),""),""),"")))</f>
        <v/>
      </c>
      <c r="E230" s="15" t="str">
        <f>IF(H229&lt;3,"",IF(H229=3,IF(D237&lt;&gt;"",IF(H237&lt;&gt;"",IF(D237&lt;&gt;H237,IF(D237&gt;H237,"D","V"),""),""),"")))</f>
        <v/>
      </c>
      <c r="F230" s="15" t="s">
        <v>81</v>
      </c>
      <c r="G230" s="15" t="s">
        <v>81</v>
      </c>
      <c r="H230" s="115"/>
      <c r="I230" s="15" t="str">
        <f>IF(B230&lt;&gt;"",2,"")</f>
        <v/>
      </c>
      <c r="J230" s="15" t="str">
        <f>IF(I230&lt;&gt;"",P230,"")</f>
        <v/>
      </c>
      <c r="K230" s="15" t="str">
        <f>IFERROR(IF(J230="","",VLOOKUP(J230,LISTAS!$F$5:$G$1004,2,0)),"0")</f>
        <v/>
      </c>
      <c r="L230" s="119" t="str">
        <f>IF(H229=3,"PRATA",IF(H229=4,"OURO",IF(H229=5,"OURO","")))</f>
        <v/>
      </c>
      <c r="M230" s="20" t="str">
        <f>IF(B230&lt;&gt;"",COUNTIF(D230:G230,"V")+(SUMIF(B235:B237,B230,D235:E237)/1000)+(SUMIF(J235:J237,B230,H235:I237)/1000)-(SUMIF(B235:B237,B230,H235:I237)/1000)-(SUMIF(J235:J237,B230,D235:E237)/1000)+0.002,"")</f>
        <v/>
      </c>
      <c r="N230" s="20" t="str">
        <f t="shared" ref="N230" si="16">IF(B230="","",B230)</f>
        <v/>
      </c>
      <c r="O230" s="20" t="str">
        <f>IF(B230&lt;&gt;"",LARGE(M229:M231,2),"")</f>
        <v/>
      </c>
      <c r="P230" s="20" t="str">
        <f>VLOOKUP(O230,M229:N231,2,0)</f>
        <v/>
      </c>
    </row>
    <row r="231" spans="2:16" ht="18" customHeight="1" x14ac:dyDescent="0.25">
      <c r="B231" s="15"/>
      <c r="C231" s="15" t="str">
        <f>IFERROR(IF(B231="","",VLOOKUP(B231,LISTAS!$F$5:$G$1004,2,0)),"0")</f>
        <v/>
      </c>
      <c r="D231" s="15" t="str">
        <f>IF(H229&lt;3,"",IF(H229=3,IF(D235&lt;&gt;"",IF(H235&lt;&gt;"",IF(D235&lt;&gt;H235,IF(D235&gt;H235,"D","V"),""),""),"")))</f>
        <v/>
      </c>
      <c r="E231" s="15" t="str">
        <f>IF(H229&lt;3,"",IF(H229=3,IF(D236&lt;&gt;"",IF(H236&lt;&gt;"",IF(D236&lt;&gt;H236,IF(D236&gt;H236,"D","V"),""),""),"")))</f>
        <v/>
      </c>
      <c r="F231" s="15" t="s">
        <v>81</v>
      </c>
      <c r="G231" s="15" t="s">
        <v>81</v>
      </c>
      <c r="H231" s="115"/>
      <c r="I231" s="15" t="str">
        <f>IF(B231&lt;&gt;"",3,"")</f>
        <v/>
      </c>
      <c r="J231" s="15" t="str">
        <f>IF(I231&lt;&gt;"",P231,"")</f>
        <v/>
      </c>
      <c r="K231" s="15" t="str">
        <f>IFERROR(IF(J231="","",VLOOKUP(J231,LISTAS!$F$5:$G$1004,2,0)),"0")</f>
        <v/>
      </c>
      <c r="L231" s="119" t="str">
        <f>IF(H229=3,"BRONZE",IF(H229=4,"PRATA",IF(H229=5,"OURO","")))</f>
        <v/>
      </c>
      <c r="M231" s="20" t="str">
        <f>IF(B231&lt;&gt;"",COUNTIF(D231:G231,"V")+(SUMIF(B235:B237,B231,D235:E237)/1000)+(SUMIF(J235:J237,B231,H235:I237)/1000)-(SUMIF(B235:B237,B231,H235:I237)/1000)-(SUMIF(J235:J237,B231,D235:E237)/1000)+0.001,"")</f>
        <v/>
      </c>
      <c r="N231" s="20" t="str">
        <f>IF(B231="","",B231)</f>
        <v/>
      </c>
      <c r="O231" s="20" t="str">
        <f>IF(B231&lt;&gt;"",LARGE(M229:M231,3),"")</f>
        <v/>
      </c>
      <c r="P231" s="20" t="str">
        <f>VLOOKUP(O231,M229:N231,2,0)</f>
        <v/>
      </c>
    </row>
    <row r="232" spans="2:16" ht="18" customHeight="1" x14ac:dyDescent="0.25">
      <c r="B232" s="79"/>
      <c r="C232" s="79"/>
      <c r="D232" s="79"/>
      <c r="E232" s="79"/>
      <c r="F232" s="79"/>
      <c r="G232" s="79"/>
      <c r="I232" s="80"/>
      <c r="J232" s="79"/>
      <c r="K232" s="81"/>
      <c r="L232" s="81"/>
    </row>
    <row r="233" spans="2:16" ht="23.25" customHeight="1" x14ac:dyDescent="0.25">
      <c r="B233" s="82" t="s">
        <v>40</v>
      </c>
      <c r="C233" s="79"/>
      <c r="D233" s="79"/>
      <c r="E233" s="79"/>
      <c r="F233" s="79"/>
      <c r="G233" s="79"/>
      <c r="H233" s="79"/>
      <c r="I233" s="79"/>
      <c r="J233" s="79"/>
      <c r="K233" s="79"/>
      <c r="L233" s="79"/>
    </row>
    <row r="234" spans="2:16" ht="18" customHeight="1" x14ac:dyDescent="0.25">
      <c r="B234" s="9" t="s">
        <v>15</v>
      </c>
      <c r="C234" s="9" t="s">
        <v>0</v>
      </c>
      <c r="D234" s="228" t="s">
        <v>41</v>
      </c>
      <c r="E234" s="229"/>
      <c r="F234" s="229"/>
      <c r="G234" s="229"/>
      <c r="H234" s="229"/>
      <c r="I234" s="230"/>
      <c r="J234" s="9" t="s">
        <v>15</v>
      </c>
      <c r="K234" s="9" t="s">
        <v>0</v>
      </c>
      <c r="L234" s="79"/>
    </row>
    <row r="235" spans="2:16" ht="18" customHeight="1" x14ac:dyDescent="0.25">
      <c r="B235" s="15" t="str">
        <f>IF(H229=3,B229,"")</f>
        <v/>
      </c>
      <c r="C235" s="15" t="str">
        <f>IFERROR(IF(B235="","",VLOOKUP(B235,LISTAS!$F$5:$G$1004,2,0)),"0")</f>
        <v/>
      </c>
      <c r="D235" s="223"/>
      <c r="E235" s="224"/>
      <c r="F235" s="223" t="s">
        <v>38</v>
      </c>
      <c r="G235" s="224"/>
      <c r="H235" s="223"/>
      <c r="I235" s="224"/>
      <c r="J235" s="21" t="str">
        <f>IF(H229=3,B231,"")</f>
        <v/>
      </c>
      <c r="K235" s="15" t="str">
        <f>IFERROR(IF(J235="","",VLOOKUP(J235,LISTAS!$F$5:$G$1004,2,0)),"0")</f>
        <v/>
      </c>
      <c r="L235" s="81"/>
    </row>
    <row r="236" spans="2:16" ht="18" customHeight="1" x14ac:dyDescent="0.25">
      <c r="B236" s="15" t="str">
        <f>IF(H229=3,B230,"")</f>
        <v/>
      </c>
      <c r="C236" s="15" t="str">
        <f>IFERROR(IF(B236="","",VLOOKUP(B236,LISTAS!$F$5:$G$1004,2,0)),"0")</f>
        <v/>
      </c>
      <c r="D236" s="223"/>
      <c r="E236" s="224"/>
      <c r="F236" s="223" t="s">
        <v>38</v>
      </c>
      <c r="G236" s="224"/>
      <c r="H236" s="223"/>
      <c r="I236" s="224"/>
      <c r="J236" s="21" t="str">
        <f>IF(H229=3,B231,"")</f>
        <v/>
      </c>
      <c r="K236" s="15" t="str">
        <f>IFERROR(IF(J236="","",VLOOKUP(J236,LISTAS!$F$5:$G$1004,2,0)),"0")</f>
        <v/>
      </c>
      <c r="L236" s="79"/>
    </row>
    <row r="237" spans="2:16" ht="18" customHeight="1" x14ac:dyDescent="0.25">
      <c r="B237" s="15" t="str">
        <f>IF(H229=3,B229,"")</f>
        <v/>
      </c>
      <c r="C237" s="15" t="str">
        <f>IFERROR(IF(B237="","",VLOOKUP(B237,LISTAS!$F$5:$G$1004,2,0)),"0")</f>
        <v/>
      </c>
      <c r="D237" s="223"/>
      <c r="E237" s="224"/>
      <c r="F237" s="223" t="s">
        <v>38</v>
      </c>
      <c r="G237" s="224"/>
      <c r="H237" s="223"/>
      <c r="I237" s="224"/>
      <c r="J237" s="21" t="str">
        <f>IF(H229=3,B230,"")</f>
        <v/>
      </c>
      <c r="K237" s="15" t="str">
        <f>IFERROR(IF(J237="","",VLOOKUP(J237,LISTAS!$F$5:$G$1004,2,0)),"0")</f>
        <v/>
      </c>
      <c r="L237" s="81"/>
    </row>
    <row r="240" spans="2:16" ht="30" customHeight="1" x14ac:dyDescent="0.25">
      <c r="B240" s="161" t="s">
        <v>62</v>
      </c>
      <c r="C240" s="79"/>
      <c r="D240" s="225" t="s">
        <v>42</v>
      </c>
      <c r="E240" s="226"/>
      <c r="F240" s="226"/>
      <c r="G240" s="227"/>
      <c r="H240" s="113"/>
      <c r="I240" s="225" t="s">
        <v>3</v>
      </c>
      <c r="J240" s="226"/>
      <c r="K240" s="226"/>
      <c r="L240" s="226"/>
    </row>
    <row r="241" spans="2:16" ht="18" customHeight="1" x14ac:dyDescent="0.25">
      <c r="B241" s="9" t="s">
        <v>15</v>
      </c>
      <c r="C241" s="9" t="s">
        <v>0</v>
      </c>
      <c r="D241" s="9" t="s">
        <v>43</v>
      </c>
      <c r="E241" s="9" t="s">
        <v>44</v>
      </c>
      <c r="F241" s="9" t="s">
        <v>77</v>
      </c>
      <c r="G241" s="9" t="s">
        <v>78</v>
      </c>
      <c r="H241" s="114"/>
      <c r="I241" s="9" t="s">
        <v>18</v>
      </c>
      <c r="J241" s="9" t="s">
        <v>15</v>
      </c>
      <c r="K241" s="9" t="s">
        <v>0</v>
      </c>
      <c r="L241" s="9" t="s">
        <v>45</v>
      </c>
    </row>
    <row r="242" spans="2:16" ht="18" customHeight="1" x14ac:dyDescent="0.25">
      <c r="B242" s="15"/>
      <c r="C242" s="15" t="str">
        <f>IFERROR(IF(B242="","",VLOOKUP(B242,LISTAS!$F$5:$G$1004,2,0)),"0")</f>
        <v/>
      </c>
      <c r="D242" s="15" t="str">
        <f>IF(H242&lt;3,"",IF(H242=3,IF(D248&lt;&gt;"",IF(H248&lt;&gt;"",IF(D248&lt;&gt;H248,IF(D248&gt;H248,"V","D"),""),""),"")))</f>
        <v/>
      </c>
      <c r="E242" s="15" t="str">
        <f>IF(H242&lt;3,"",IF(H242=3,IF(D250&lt;&gt;"",IF(H250&lt;&gt;"",IF(D250&lt;&gt;H250,IF(D250&gt;H250,"V","D"),""),""),"")))</f>
        <v/>
      </c>
      <c r="F242" s="15" t="s">
        <v>81</v>
      </c>
      <c r="G242" s="15" t="s">
        <v>81</v>
      </c>
      <c r="H242" s="117">
        <f>COUNTA(B242:B244)</f>
        <v>0</v>
      </c>
      <c r="I242" s="15" t="str">
        <f>IF(B242&lt;&gt;"",1,"")</f>
        <v/>
      </c>
      <c r="J242" s="15" t="str">
        <f>IF(I242&lt;&gt;"",P242,"")</f>
        <v/>
      </c>
      <c r="K242" s="15" t="str">
        <f>IFERROR(IF(J242="","",VLOOKUP(J242,LISTAS!$F$5:$G$1004,2,0)),"0")</f>
        <v/>
      </c>
      <c r="L242" s="119" t="str">
        <f>IF(H242=3,"OURO",IF(H242=4,"OURO",IF(H242=5,"OURO","")))</f>
        <v/>
      </c>
      <c r="M242" s="20" t="str">
        <f>IF(B242&lt;&gt;"",COUNTIF(D242:G242,"V")+(SUMIF(B248:B250,B242,D248:E250)/1000)+(SUMIF(J248:J250,B242,H248:I250)/1000)-(SUMIF(B248:B250,B242,H248:I250)/1000)-(SUMIF(J248:J250,B242,D248:E250)/1000)+0.003,"")</f>
        <v/>
      </c>
      <c r="N242" s="20" t="str">
        <f>IF(B242="","",B242)</f>
        <v/>
      </c>
      <c r="O242" s="20" t="str">
        <f>IF(B242&lt;&gt;"",LARGE(M242:M244,1),"")</f>
        <v/>
      </c>
      <c r="P242" s="20" t="str">
        <f>VLOOKUP(O242,M242:N244,2,0)</f>
        <v/>
      </c>
    </row>
    <row r="243" spans="2:16" ht="18" customHeight="1" x14ac:dyDescent="0.25">
      <c r="B243" s="15"/>
      <c r="C243" s="15" t="str">
        <f>IFERROR(IF(B243="","",VLOOKUP(B243,LISTAS!$F$5:$G$1004,2,0)),"0")</f>
        <v/>
      </c>
      <c r="D243" s="15" t="str">
        <f>IF(H242&lt;3,"",IF(H242=3,IF(D249&lt;&gt;"",IF(H249&lt;&gt;"",IF(D249&lt;&gt;H249,IF(D249&gt;H249,"V","D"),""),""),"")))</f>
        <v/>
      </c>
      <c r="E243" s="15" t="str">
        <f>IF(H242&lt;3,"",IF(H242=3,IF(D250&lt;&gt;"",IF(H250&lt;&gt;"",IF(D250&lt;&gt;H250,IF(D250&gt;H250,"D","V"),""),""),"")))</f>
        <v/>
      </c>
      <c r="F243" s="15" t="s">
        <v>81</v>
      </c>
      <c r="G243" s="15" t="s">
        <v>81</v>
      </c>
      <c r="H243" s="115"/>
      <c r="I243" s="15" t="str">
        <f>IF(B243&lt;&gt;"",2,"")</f>
        <v/>
      </c>
      <c r="J243" s="15" t="str">
        <f>IF(I243&lt;&gt;"",P243,"")</f>
        <v/>
      </c>
      <c r="K243" s="15" t="str">
        <f>IFERROR(IF(J243="","",VLOOKUP(J243,LISTAS!$F$5:$G$1004,2,0)),"0")</f>
        <v/>
      </c>
      <c r="L243" s="119" t="str">
        <f>IF(H242=3,"PRATA",IF(H242=4,"OURO",IF(H242=5,"OURO","")))</f>
        <v/>
      </c>
      <c r="M243" s="20" t="str">
        <f>IF(B243&lt;&gt;"",COUNTIF(D243:G243,"V")+(SUMIF(B248:B250,B243,D248:E250)/1000)+(SUMIF(J248:J250,B243,H248:I250)/1000)-(SUMIF(B248:B250,B243,H248:I250)/1000)-(SUMIF(J248:J250,B243,D248:E250)/1000)+0.002,"")</f>
        <v/>
      </c>
      <c r="N243" s="20" t="str">
        <f t="shared" ref="N243" si="17">IF(B243="","",B243)</f>
        <v/>
      </c>
      <c r="O243" s="20" t="str">
        <f>IF(B243&lt;&gt;"",LARGE(M242:M244,2),"")</f>
        <v/>
      </c>
      <c r="P243" s="20" t="str">
        <f>VLOOKUP(O243,M242:N244,2,0)</f>
        <v/>
      </c>
    </row>
    <row r="244" spans="2:16" ht="18" customHeight="1" x14ac:dyDescent="0.25">
      <c r="B244" s="15"/>
      <c r="C244" s="15" t="str">
        <f>IFERROR(IF(B244="","",VLOOKUP(B244,LISTAS!$F$5:$G$1004,2,0)),"0")</f>
        <v/>
      </c>
      <c r="D244" s="15" t="str">
        <f>IF(H242&lt;3,"",IF(H242=3,IF(D248&lt;&gt;"",IF(H248&lt;&gt;"",IF(D248&lt;&gt;H248,IF(D248&gt;H248,"D","V"),""),""),"")))</f>
        <v/>
      </c>
      <c r="E244" s="15" t="str">
        <f>IF(H242&lt;3,"",IF(H242=3,IF(D249&lt;&gt;"",IF(H249&lt;&gt;"",IF(D249&lt;&gt;H249,IF(D249&gt;H249,"D","V"),""),""),"")))</f>
        <v/>
      </c>
      <c r="F244" s="15" t="s">
        <v>81</v>
      </c>
      <c r="G244" s="15" t="s">
        <v>81</v>
      </c>
      <c r="H244" s="115"/>
      <c r="I244" s="15" t="str">
        <f>IF(B244&lt;&gt;"",3,"")</f>
        <v/>
      </c>
      <c r="J244" s="15" t="str">
        <f>IF(I244&lt;&gt;"",P244,"")</f>
        <v/>
      </c>
      <c r="K244" s="15" t="str">
        <f>IFERROR(IF(J244="","",VLOOKUP(J244,LISTAS!$F$5:$G$1004,2,0)),"0")</f>
        <v/>
      </c>
      <c r="L244" s="119" t="str">
        <f>IF(H242=3,"BRONZE",IF(H242=4,"PRATA",IF(H242=5,"OURO","")))</f>
        <v/>
      </c>
      <c r="M244" s="20" t="str">
        <f>IF(B244&lt;&gt;"",COUNTIF(D244:G244,"V")+(SUMIF(B248:B250,B244,D248:E250)/1000)+(SUMIF(J248:J250,B244,H248:I250)/1000)-(SUMIF(B248:B250,B244,H248:I250)/1000)-(SUMIF(J248:J250,B244,D248:E250)/1000)+0.001,"")</f>
        <v/>
      </c>
      <c r="N244" s="20" t="str">
        <f>IF(B244="","",B244)</f>
        <v/>
      </c>
      <c r="O244" s="20" t="str">
        <f>IF(B244&lt;&gt;"",LARGE(M242:M244,3),"")</f>
        <v/>
      </c>
      <c r="P244" s="20" t="str">
        <f>VLOOKUP(O244,M242:N244,2,0)</f>
        <v/>
      </c>
    </row>
    <row r="245" spans="2:16" ht="18" customHeight="1" x14ac:dyDescent="0.25">
      <c r="B245" s="79"/>
      <c r="C245" s="79"/>
      <c r="D245" s="79"/>
      <c r="E245" s="79"/>
      <c r="F245" s="79"/>
      <c r="G245" s="79"/>
      <c r="I245" s="80"/>
      <c r="J245" s="79"/>
      <c r="K245" s="81"/>
      <c r="L245" s="81"/>
    </row>
    <row r="246" spans="2:16" ht="23.25" customHeight="1" x14ac:dyDescent="0.25">
      <c r="B246" s="82" t="s">
        <v>40</v>
      </c>
      <c r="C246" s="79"/>
      <c r="D246" s="79"/>
      <c r="E246" s="79"/>
      <c r="F246" s="79"/>
      <c r="G246" s="79"/>
      <c r="H246" s="79"/>
      <c r="I246" s="79"/>
      <c r="J246" s="79"/>
      <c r="K246" s="79"/>
      <c r="L246" s="79"/>
    </row>
    <row r="247" spans="2:16" ht="18" customHeight="1" x14ac:dyDescent="0.25">
      <c r="B247" s="9" t="s">
        <v>15</v>
      </c>
      <c r="C247" s="9" t="s">
        <v>0</v>
      </c>
      <c r="D247" s="228" t="s">
        <v>41</v>
      </c>
      <c r="E247" s="229"/>
      <c r="F247" s="229"/>
      <c r="G247" s="229"/>
      <c r="H247" s="229"/>
      <c r="I247" s="230"/>
      <c r="J247" s="9" t="s">
        <v>15</v>
      </c>
      <c r="K247" s="9" t="s">
        <v>0</v>
      </c>
      <c r="L247" s="79"/>
    </row>
    <row r="248" spans="2:16" ht="18" customHeight="1" x14ac:dyDescent="0.25">
      <c r="B248" s="15" t="str">
        <f>IF(H242=3,B242,"")</f>
        <v/>
      </c>
      <c r="C248" s="15" t="str">
        <f>IFERROR(IF(B248="","",VLOOKUP(B248,LISTAS!$F$5:$G$1004,2,0)),"0")</f>
        <v/>
      </c>
      <c r="D248" s="223"/>
      <c r="E248" s="224"/>
      <c r="F248" s="223" t="s">
        <v>38</v>
      </c>
      <c r="G248" s="224"/>
      <c r="H248" s="223"/>
      <c r="I248" s="224"/>
      <c r="J248" s="21" t="str">
        <f>IF(H242=3,B244,"")</f>
        <v/>
      </c>
      <c r="K248" s="15" t="str">
        <f>IFERROR(IF(J248="","",VLOOKUP(J248,LISTAS!$F$5:$G$1004,2,0)),"0")</f>
        <v/>
      </c>
      <c r="L248" s="81"/>
    </row>
    <row r="249" spans="2:16" ht="18" customHeight="1" x14ac:dyDescent="0.25">
      <c r="B249" s="15" t="str">
        <f>IF(H242=3,B243,"")</f>
        <v/>
      </c>
      <c r="C249" s="15" t="str">
        <f>IFERROR(IF(B249="","",VLOOKUP(B249,LISTAS!$F$5:$G$1004,2,0)),"0")</f>
        <v/>
      </c>
      <c r="D249" s="223"/>
      <c r="E249" s="224"/>
      <c r="F249" s="223" t="s">
        <v>38</v>
      </c>
      <c r="G249" s="224"/>
      <c r="H249" s="223"/>
      <c r="I249" s="224"/>
      <c r="J249" s="21" t="str">
        <f>IF(H242=3,B244,"")</f>
        <v/>
      </c>
      <c r="K249" s="15" t="str">
        <f>IFERROR(IF(J249="","",VLOOKUP(J249,LISTAS!$F$5:$G$1004,2,0)),"0")</f>
        <v/>
      </c>
      <c r="L249" s="79"/>
    </row>
    <row r="250" spans="2:16" ht="18" customHeight="1" x14ac:dyDescent="0.25">
      <c r="B250" s="15" t="str">
        <f>IF(H242=3,B242,"")</f>
        <v/>
      </c>
      <c r="C250" s="15" t="str">
        <f>IFERROR(IF(B250="","",VLOOKUP(B250,LISTAS!$F$5:$G$1004,2,0)),"0")</f>
        <v/>
      </c>
      <c r="D250" s="223"/>
      <c r="E250" s="224"/>
      <c r="F250" s="223" t="s">
        <v>38</v>
      </c>
      <c r="G250" s="224"/>
      <c r="H250" s="223"/>
      <c r="I250" s="224"/>
      <c r="J250" s="21" t="str">
        <f>IF(H242=3,B243,"")</f>
        <v/>
      </c>
      <c r="K250" s="15" t="str">
        <f>IFERROR(IF(J250="","",VLOOKUP(J250,LISTAS!$F$5:$G$1004,2,0)),"0")</f>
        <v/>
      </c>
      <c r="L250" s="81"/>
    </row>
    <row r="253" spans="2:16" ht="30" customHeight="1" x14ac:dyDescent="0.25">
      <c r="B253" s="161" t="s">
        <v>63</v>
      </c>
      <c r="C253" s="79"/>
      <c r="D253" s="225" t="s">
        <v>42</v>
      </c>
      <c r="E253" s="226"/>
      <c r="F253" s="226"/>
      <c r="G253" s="227"/>
      <c r="H253" s="113"/>
      <c r="I253" s="225" t="s">
        <v>3</v>
      </c>
      <c r="J253" s="226"/>
      <c r="K253" s="226"/>
      <c r="L253" s="226"/>
    </row>
    <row r="254" spans="2:16" ht="18" customHeight="1" x14ac:dyDescent="0.25">
      <c r="B254" s="9" t="s">
        <v>15</v>
      </c>
      <c r="C254" s="9" t="s">
        <v>0</v>
      </c>
      <c r="D254" s="9" t="s">
        <v>43</v>
      </c>
      <c r="E254" s="9" t="s">
        <v>44</v>
      </c>
      <c r="F254" s="9" t="s">
        <v>77</v>
      </c>
      <c r="G254" s="9" t="s">
        <v>78</v>
      </c>
      <c r="H254" s="114"/>
      <c r="I254" s="9" t="s">
        <v>18</v>
      </c>
      <c r="J254" s="9" t="s">
        <v>15</v>
      </c>
      <c r="K254" s="9" t="s">
        <v>0</v>
      </c>
      <c r="L254" s="9" t="s">
        <v>45</v>
      </c>
    </row>
    <row r="255" spans="2:16" ht="18" customHeight="1" x14ac:dyDescent="0.25">
      <c r="B255" s="15"/>
      <c r="C255" s="15" t="str">
        <f>IFERROR(IF(B255="","",VLOOKUP(B255,LISTAS!$F$5:$G$1004,2,0)),"0")</f>
        <v/>
      </c>
      <c r="D255" s="15" t="str">
        <f>IF(H255&lt;3,"",IF(H255=3,IF(D261&lt;&gt;"",IF(H261&lt;&gt;"",IF(D261&lt;&gt;H261,IF(D261&gt;H261,"V","D"),""),""),"")))</f>
        <v/>
      </c>
      <c r="E255" s="15" t="str">
        <f>IF(H255&lt;3,"",IF(H255=3,IF(D263&lt;&gt;"",IF(H263&lt;&gt;"",IF(D263&lt;&gt;H263,IF(D263&gt;H263,"V","D"),""),""),"")))</f>
        <v/>
      </c>
      <c r="F255" s="15" t="s">
        <v>81</v>
      </c>
      <c r="G255" s="15" t="s">
        <v>81</v>
      </c>
      <c r="H255" s="117">
        <f>COUNTA(B255:B257)</f>
        <v>0</v>
      </c>
      <c r="I255" s="15" t="str">
        <f>IF(B255&lt;&gt;"",1,"")</f>
        <v/>
      </c>
      <c r="J255" s="15" t="str">
        <f>IF(I255&lt;&gt;"",P255,"")</f>
        <v/>
      </c>
      <c r="K255" s="15" t="str">
        <f>IFERROR(IF(J255="","",VLOOKUP(J255,LISTAS!$F$5:$G$1004,2,0)),"0")</f>
        <v/>
      </c>
      <c r="L255" s="119" t="str">
        <f>IF(H255=3,"OURO",IF(H255=4,"OURO",IF(H255=5,"OURO","")))</f>
        <v/>
      </c>
      <c r="M255" s="20" t="str">
        <f>IF(B255&lt;&gt;"",COUNTIF(D255:G255,"V")+(SUMIF(B261:B263,B255,D261:E263)/1000)+(SUMIF(J261:J263,B255,H261:I263)/1000)-(SUMIF(B261:B263,B255,H261:I263)/1000)-(SUMIF(J261:J263,B255,D261:E263)/1000)+0.003,"")</f>
        <v/>
      </c>
      <c r="N255" s="20" t="str">
        <f>IF(B255="","",B255)</f>
        <v/>
      </c>
      <c r="O255" s="20" t="str">
        <f>IF(B255&lt;&gt;"",LARGE(M255:M257,1),"")</f>
        <v/>
      </c>
      <c r="P255" s="20" t="str">
        <f>VLOOKUP(O255,M255:N257,2,0)</f>
        <v/>
      </c>
    </row>
    <row r="256" spans="2:16" ht="18" customHeight="1" x14ac:dyDescent="0.25">
      <c r="B256" s="15"/>
      <c r="C256" s="15" t="str">
        <f>IFERROR(IF(B256="","",VLOOKUP(B256,LISTAS!$F$5:$G$1004,2,0)),"0")</f>
        <v/>
      </c>
      <c r="D256" s="15" t="str">
        <f>IF(H255&lt;3,"",IF(H255=3,IF(D262&lt;&gt;"",IF(H262&lt;&gt;"",IF(D262&lt;&gt;H262,IF(D262&gt;H262,"V","D"),""),""),"")))</f>
        <v/>
      </c>
      <c r="E256" s="15" t="str">
        <f>IF(H255&lt;3,"",IF(H255=3,IF(D263&lt;&gt;"",IF(H263&lt;&gt;"",IF(D263&lt;&gt;H263,IF(D263&gt;H263,"D","V"),""),""),"")))</f>
        <v/>
      </c>
      <c r="F256" s="15" t="s">
        <v>81</v>
      </c>
      <c r="G256" s="15" t="s">
        <v>81</v>
      </c>
      <c r="H256" s="115"/>
      <c r="I256" s="15" t="str">
        <f>IF(B256&lt;&gt;"",2,"")</f>
        <v/>
      </c>
      <c r="J256" s="15" t="str">
        <f>IF(I256&lt;&gt;"",P256,"")</f>
        <v/>
      </c>
      <c r="K256" s="15" t="str">
        <f>IFERROR(IF(J256="","",VLOOKUP(J256,LISTAS!$F$5:$G$1004,2,0)),"0")</f>
        <v/>
      </c>
      <c r="L256" s="119" t="str">
        <f>IF(H255=3,"PRATA",IF(H255=4,"OURO",IF(H255=5,"OURO","")))</f>
        <v/>
      </c>
      <c r="M256" s="20" t="str">
        <f>IF(B256&lt;&gt;"",COUNTIF(D256:G256,"V")+(SUMIF(B261:B263,B256,D261:E263)/1000)+(SUMIF(J261:J263,B256,H261:I263)/1000)-(SUMIF(B261:B263,B256,H261:I263)/1000)-(SUMIF(J261:J263,B256,D261:E263)/1000)+0.002,"")</f>
        <v/>
      </c>
      <c r="N256" s="20" t="str">
        <f t="shared" ref="N256" si="18">IF(B256="","",B256)</f>
        <v/>
      </c>
      <c r="O256" s="20" t="str">
        <f>IF(B256&lt;&gt;"",LARGE(M255:M257,2),"")</f>
        <v/>
      </c>
      <c r="P256" s="20" t="str">
        <f>VLOOKUP(O256,M255:N257,2,0)</f>
        <v/>
      </c>
    </row>
    <row r="257" spans="2:16" ht="18" customHeight="1" x14ac:dyDescent="0.25">
      <c r="B257" s="15"/>
      <c r="C257" s="15" t="str">
        <f>IFERROR(IF(B257="","",VLOOKUP(B257,LISTAS!$F$5:$G$1004,2,0)),"0")</f>
        <v/>
      </c>
      <c r="D257" s="15" t="str">
        <f>IF(H255&lt;3,"",IF(H255=3,IF(D261&lt;&gt;"",IF(H261&lt;&gt;"",IF(D261&lt;&gt;H261,IF(D261&gt;H261,"D","V"),""),""),"")))</f>
        <v/>
      </c>
      <c r="E257" s="15" t="str">
        <f>IF(H255&lt;3,"",IF(H255=3,IF(D262&lt;&gt;"",IF(H262&lt;&gt;"",IF(D262&lt;&gt;H262,IF(D262&gt;H262,"D","V"),""),""),"")))</f>
        <v/>
      </c>
      <c r="F257" s="15" t="s">
        <v>81</v>
      </c>
      <c r="G257" s="15" t="s">
        <v>81</v>
      </c>
      <c r="H257" s="115"/>
      <c r="I257" s="15" t="str">
        <f>IF(B257&lt;&gt;"",3,"")</f>
        <v/>
      </c>
      <c r="J257" s="15" t="str">
        <f>IF(I257&lt;&gt;"",P257,"")</f>
        <v/>
      </c>
      <c r="K257" s="15" t="str">
        <f>IFERROR(IF(J257="","",VLOOKUP(J257,LISTAS!$F$5:$G$1004,2,0)),"0")</f>
        <v/>
      </c>
      <c r="L257" s="119" t="str">
        <f>IF(H255=3,"BRONZE",IF(H255=4,"PRATA",IF(H255=5,"OURO","")))</f>
        <v/>
      </c>
      <c r="M257" s="20" t="str">
        <f>IF(B257&lt;&gt;"",COUNTIF(D257:G257,"V")+(SUMIF(B261:B263,B257,D261:E263)/1000)+(SUMIF(J261:J263,B257,H261:I263)/1000)-(SUMIF(B261:B263,B257,H261:I263)/1000)-(SUMIF(J261:J263,B257,D261:E263)/1000)+0.001,"")</f>
        <v/>
      </c>
      <c r="N257" s="20" t="str">
        <f>IF(B257="","",B257)</f>
        <v/>
      </c>
      <c r="O257" s="20" t="str">
        <f>IF(B257&lt;&gt;"",LARGE(M255:M257,3),"")</f>
        <v/>
      </c>
      <c r="P257" s="20" t="str">
        <f>VLOOKUP(O257,M255:N257,2,0)</f>
        <v/>
      </c>
    </row>
    <row r="258" spans="2:16" ht="18" customHeight="1" x14ac:dyDescent="0.25">
      <c r="B258" s="79"/>
      <c r="C258" s="79"/>
      <c r="D258" s="79"/>
      <c r="E258" s="79"/>
      <c r="F258" s="79"/>
      <c r="G258" s="79"/>
      <c r="I258" s="80"/>
      <c r="J258" s="79"/>
      <c r="K258" s="81"/>
      <c r="L258" s="81"/>
    </row>
    <row r="259" spans="2:16" ht="23.25" customHeight="1" x14ac:dyDescent="0.25">
      <c r="B259" s="82" t="s">
        <v>40</v>
      </c>
      <c r="C259" s="79"/>
      <c r="D259" s="79"/>
      <c r="E259" s="79"/>
      <c r="F259" s="79"/>
      <c r="G259" s="79"/>
      <c r="H259" s="79"/>
      <c r="I259" s="79"/>
      <c r="J259" s="79"/>
      <c r="K259" s="79"/>
      <c r="L259" s="79"/>
    </row>
    <row r="260" spans="2:16" ht="18" customHeight="1" x14ac:dyDescent="0.25">
      <c r="B260" s="9" t="s">
        <v>15</v>
      </c>
      <c r="C260" s="9" t="s">
        <v>0</v>
      </c>
      <c r="D260" s="228" t="s">
        <v>41</v>
      </c>
      <c r="E260" s="229"/>
      <c r="F260" s="229"/>
      <c r="G260" s="229"/>
      <c r="H260" s="229"/>
      <c r="I260" s="230"/>
      <c r="J260" s="9" t="s">
        <v>15</v>
      </c>
      <c r="K260" s="9" t="s">
        <v>0</v>
      </c>
      <c r="L260" s="79"/>
    </row>
    <row r="261" spans="2:16" ht="18" customHeight="1" x14ac:dyDescent="0.25">
      <c r="B261" s="15" t="str">
        <f>IF(H255=3,B255,"")</f>
        <v/>
      </c>
      <c r="C261" s="15" t="str">
        <f>IFERROR(IF(B261="","",VLOOKUP(B261,LISTAS!$F$5:$G$1004,2,0)),"0")</f>
        <v/>
      </c>
      <c r="D261" s="223"/>
      <c r="E261" s="224"/>
      <c r="F261" s="223" t="s">
        <v>38</v>
      </c>
      <c r="G261" s="224"/>
      <c r="H261" s="223"/>
      <c r="I261" s="224"/>
      <c r="J261" s="21" t="str">
        <f>IF(H255=3,B257,"")</f>
        <v/>
      </c>
      <c r="K261" s="15" t="str">
        <f>IFERROR(IF(J261="","",VLOOKUP(J261,LISTAS!$F$5:$G$1004,2,0)),"0")</f>
        <v/>
      </c>
      <c r="L261" s="81"/>
    </row>
    <row r="262" spans="2:16" ht="18" customHeight="1" x14ac:dyDescent="0.25">
      <c r="B262" s="15" t="str">
        <f>IF(H255=3,B256,"")</f>
        <v/>
      </c>
      <c r="C262" s="15" t="str">
        <f>IFERROR(IF(B262="","",VLOOKUP(B262,LISTAS!$F$5:$G$1004,2,0)),"0")</f>
        <v/>
      </c>
      <c r="D262" s="223"/>
      <c r="E262" s="224"/>
      <c r="F262" s="223" t="s">
        <v>38</v>
      </c>
      <c r="G262" s="224"/>
      <c r="H262" s="223"/>
      <c r="I262" s="224"/>
      <c r="J262" s="21" t="str">
        <f>IF(H255=3,B257,"")</f>
        <v/>
      </c>
      <c r="K262" s="15" t="str">
        <f>IFERROR(IF(J262="","",VLOOKUP(J262,LISTAS!$F$5:$G$1004,2,0)),"0")</f>
        <v/>
      </c>
      <c r="L262" s="79"/>
    </row>
    <row r="263" spans="2:16" ht="18" customHeight="1" x14ac:dyDescent="0.25">
      <c r="B263" s="15" t="str">
        <f>IF(H255=3,B255,"")</f>
        <v/>
      </c>
      <c r="C263" s="15" t="str">
        <f>IFERROR(IF(B263="","",VLOOKUP(B263,LISTAS!$F$5:$G$1004,2,0)),"0")</f>
        <v/>
      </c>
      <c r="D263" s="223"/>
      <c r="E263" s="224"/>
      <c r="F263" s="223" t="s">
        <v>38</v>
      </c>
      <c r="G263" s="224"/>
      <c r="H263" s="223"/>
      <c r="I263" s="224"/>
      <c r="J263" s="21" t="str">
        <f>IF(H255=3,B256,"")</f>
        <v/>
      </c>
      <c r="K263" s="15" t="str">
        <f>IFERROR(IF(J263="","",VLOOKUP(J263,LISTAS!$F$5:$G$1004,2,0)),"0")</f>
        <v/>
      </c>
      <c r="L263" s="81"/>
    </row>
    <row r="266" spans="2:16" ht="30" customHeight="1" x14ac:dyDescent="0.25">
      <c r="B266" s="161" t="s">
        <v>64</v>
      </c>
      <c r="C266" s="79"/>
      <c r="D266" s="225" t="s">
        <v>42</v>
      </c>
      <c r="E266" s="226"/>
      <c r="F266" s="226"/>
      <c r="G266" s="227"/>
      <c r="H266" s="113"/>
      <c r="I266" s="225" t="s">
        <v>3</v>
      </c>
      <c r="J266" s="226"/>
      <c r="K266" s="226"/>
      <c r="L266" s="226"/>
    </row>
    <row r="267" spans="2:16" ht="18" customHeight="1" x14ac:dyDescent="0.25">
      <c r="B267" s="9" t="s">
        <v>15</v>
      </c>
      <c r="C267" s="9" t="s">
        <v>0</v>
      </c>
      <c r="D267" s="9" t="s">
        <v>43</v>
      </c>
      <c r="E267" s="9" t="s">
        <v>44</v>
      </c>
      <c r="F267" s="9" t="s">
        <v>77</v>
      </c>
      <c r="G267" s="9" t="s">
        <v>78</v>
      </c>
      <c r="H267" s="114"/>
      <c r="I267" s="9" t="s">
        <v>18</v>
      </c>
      <c r="J267" s="9" t="s">
        <v>15</v>
      </c>
      <c r="K267" s="9" t="s">
        <v>0</v>
      </c>
      <c r="L267" s="9" t="s">
        <v>45</v>
      </c>
    </row>
    <row r="268" spans="2:16" ht="18" customHeight="1" x14ac:dyDescent="0.25">
      <c r="B268" s="15"/>
      <c r="C268" s="15" t="str">
        <f>IFERROR(IF(B268="","",VLOOKUP(B268,LISTAS!$F$5:$G$1004,2,0)),"0")</f>
        <v/>
      </c>
      <c r="D268" s="15" t="str">
        <f>IF(H268&lt;3,"",IF(H268=3,IF(D274&lt;&gt;"",IF(H274&lt;&gt;"",IF(D274&lt;&gt;H274,IF(D274&gt;H274,"V","D"),""),""),"")))</f>
        <v/>
      </c>
      <c r="E268" s="15" t="str">
        <f>IF(H268&lt;3,"",IF(H268=3,IF(D276&lt;&gt;"",IF(H276&lt;&gt;"",IF(D276&lt;&gt;H276,IF(D276&gt;H276,"V","D"),""),""),"")))</f>
        <v/>
      </c>
      <c r="F268" s="15" t="s">
        <v>81</v>
      </c>
      <c r="G268" s="15" t="s">
        <v>81</v>
      </c>
      <c r="H268" s="117">
        <f>COUNTA(B268:B270)</f>
        <v>0</v>
      </c>
      <c r="I268" s="15" t="str">
        <f>IF(B268&lt;&gt;"",1,"")</f>
        <v/>
      </c>
      <c r="J268" s="15" t="str">
        <f>IF(I268&lt;&gt;"",P268,"")</f>
        <v/>
      </c>
      <c r="K268" s="15" t="str">
        <f>IFERROR(IF(J268="","",VLOOKUP(J268,LISTAS!$F$5:$G$1004,2,0)),"0")</f>
        <v/>
      </c>
      <c r="L268" s="119" t="str">
        <f>IF(H268=3,"OURO",IF(H268=4,"OURO",IF(H268=5,"OURO","")))</f>
        <v/>
      </c>
      <c r="M268" s="20" t="str">
        <f>IF(B268&lt;&gt;"",COUNTIF(D268:G268,"V")+(SUMIF(B274:B276,B268,D274:E276)/1000)+(SUMIF(J274:J276,B268,H274:I276)/1000)-(SUMIF(B274:B276,B268,H274:I276)/1000)-(SUMIF(J274:J276,B268,D274:E276)/1000)+0.003,"")</f>
        <v/>
      </c>
      <c r="N268" s="20" t="str">
        <f>IF(B268="","",B268)</f>
        <v/>
      </c>
      <c r="O268" s="20" t="str">
        <f>IF(B268&lt;&gt;"",LARGE(M268:M270,1),"")</f>
        <v/>
      </c>
      <c r="P268" s="20" t="str">
        <f>VLOOKUP(O268,M268:N270,2,0)</f>
        <v/>
      </c>
    </row>
    <row r="269" spans="2:16" ht="18" customHeight="1" x14ac:dyDescent="0.25">
      <c r="B269" s="15"/>
      <c r="C269" s="15" t="str">
        <f>IFERROR(IF(B269="","",VLOOKUP(B269,LISTAS!$F$5:$G$1004,2,0)),"0")</f>
        <v/>
      </c>
      <c r="D269" s="15" t="str">
        <f>IF(H268&lt;3,"",IF(H268=3,IF(D275&lt;&gt;"",IF(H275&lt;&gt;"",IF(D275&lt;&gt;H275,IF(D275&gt;H275,"V","D"),""),""),"")))</f>
        <v/>
      </c>
      <c r="E269" s="15" t="str">
        <f>IF(H268&lt;3,"",IF(H268=3,IF(D276&lt;&gt;"",IF(H276&lt;&gt;"",IF(D276&lt;&gt;H276,IF(D276&gt;H276,"D","V"),""),""),"")))</f>
        <v/>
      </c>
      <c r="F269" s="15" t="s">
        <v>81</v>
      </c>
      <c r="G269" s="15" t="s">
        <v>81</v>
      </c>
      <c r="H269" s="115"/>
      <c r="I269" s="15" t="str">
        <f>IF(B269&lt;&gt;"",2,"")</f>
        <v/>
      </c>
      <c r="J269" s="15" t="str">
        <f>IF(I269&lt;&gt;"",P269,"")</f>
        <v/>
      </c>
      <c r="K269" s="15" t="str">
        <f>IFERROR(IF(J269="","",VLOOKUP(J269,LISTAS!$F$5:$G$1004,2,0)),"0")</f>
        <v/>
      </c>
      <c r="L269" s="119" t="str">
        <f>IF(H268=3,"PRATA",IF(H268=4,"OURO",IF(H268=5,"OURO","")))</f>
        <v/>
      </c>
      <c r="M269" s="20" t="str">
        <f>IF(B269&lt;&gt;"",COUNTIF(D269:G269,"V")+(SUMIF(B274:B276,B269,D274:E276)/1000)+(SUMIF(J274:J276,B269,H274:I276)/1000)-(SUMIF(B274:B276,B269,H274:I276)/1000)-(SUMIF(J274:J276,B269,D274:E276)/1000)+0.002,"")</f>
        <v/>
      </c>
      <c r="N269" s="20" t="str">
        <f t="shared" ref="N269" si="19">IF(B269="","",B269)</f>
        <v/>
      </c>
      <c r="O269" s="20" t="str">
        <f>IF(B269&lt;&gt;"",LARGE(M268:M270,2),"")</f>
        <v/>
      </c>
      <c r="P269" s="20" t="str">
        <f>VLOOKUP(O269,M268:N270,2,0)</f>
        <v/>
      </c>
    </row>
    <row r="270" spans="2:16" ht="18" customHeight="1" x14ac:dyDescent="0.25">
      <c r="B270" s="15"/>
      <c r="C270" s="15" t="str">
        <f>IFERROR(IF(B270="","",VLOOKUP(B270,LISTAS!$F$5:$G$1004,2,0)),"0")</f>
        <v/>
      </c>
      <c r="D270" s="15" t="str">
        <f>IF(H268&lt;3,"",IF(H268=3,IF(D274&lt;&gt;"",IF(H274&lt;&gt;"",IF(D274&lt;&gt;H274,IF(D274&gt;H274,"D","V"),""),""),"")))</f>
        <v/>
      </c>
      <c r="E270" s="15" t="str">
        <f>IF(H268&lt;3,"",IF(H268=3,IF(D275&lt;&gt;"",IF(H275&lt;&gt;"",IF(D275&lt;&gt;H275,IF(D275&gt;H275,"D","V"),""),""),"")))</f>
        <v/>
      </c>
      <c r="F270" s="15" t="s">
        <v>81</v>
      </c>
      <c r="G270" s="15" t="s">
        <v>81</v>
      </c>
      <c r="H270" s="115"/>
      <c r="I270" s="15" t="str">
        <f>IF(B270&lt;&gt;"",3,"")</f>
        <v/>
      </c>
      <c r="J270" s="15" t="str">
        <f>IF(I270&lt;&gt;"",P270,"")</f>
        <v/>
      </c>
      <c r="K270" s="15" t="str">
        <f>IFERROR(IF(J270="","",VLOOKUP(J270,LISTAS!$F$5:$G$1004,2,0)),"0")</f>
        <v/>
      </c>
      <c r="L270" s="119" t="str">
        <f>IF(H268=3,"BRONZE",IF(H268=4,"PRATA",IF(H268=5,"OURO","")))</f>
        <v/>
      </c>
      <c r="M270" s="20" t="str">
        <f>IF(B270&lt;&gt;"",COUNTIF(D270:G270,"V")+(SUMIF(B274:B276,B270,D274:E276)/1000)+(SUMIF(J274:J276,B270,H274:I276)/1000)-(SUMIF(B274:B276,B270,H274:I276)/1000)-(SUMIF(J274:J276,B270,D274:E276)/1000)+0.001,"")</f>
        <v/>
      </c>
      <c r="N270" s="20" t="str">
        <f>IF(B270="","",B270)</f>
        <v/>
      </c>
      <c r="O270" s="20" t="str">
        <f>IF(B270&lt;&gt;"",LARGE(M268:M270,3),"")</f>
        <v/>
      </c>
      <c r="P270" s="20" t="str">
        <f>VLOOKUP(O270,M268:N270,2,0)</f>
        <v/>
      </c>
    </row>
    <row r="271" spans="2:16" ht="18" customHeight="1" x14ac:dyDescent="0.25">
      <c r="B271" s="79"/>
      <c r="C271" s="79"/>
      <c r="D271" s="79"/>
      <c r="E271" s="79"/>
      <c r="F271" s="79"/>
      <c r="G271" s="79"/>
      <c r="I271" s="80"/>
      <c r="J271" s="79"/>
      <c r="K271" s="81"/>
      <c r="L271" s="81"/>
    </row>
    <row r="272" spans="2:16" ht="23.25" customHeight="1" x14ac:dyDescent="0.25">
      <c r="B272" s="82" t="s">
        <v>40</v>
      </c>
      <c r="C272" s="79"/>
      <c r="D272" s="79"/>
      <c r="E272" s="79"/>
      <c r="F272" s="79"/>
      <c r="G272" s="79"/>
      <c r="H272" s="79"/>
      <c r="I272" s="79"/>
      <c r="J272" s="79"/>
      <c r="K272" s="79"/>
      <c r="L272" s="79"/>
    </row>
    <row r="273" spans="2:16" ht="18" customHeight="1" x14ac:dyDescent="0.25">
      <c r="B273" s="9" t="s">
        <v>15</v>
      </c>
      <c r="C273" s="9" t="s">
        <v>0</v>
      </c>
      <c r="D273" s="228" t="s">
        <v>41</v>
      </c>
      <c r="E273" s="229"/>
      <c r="F273" s="229"/>
      <c r="G273" s="229"/>
      <c r="H273" s="229"/>
      <c r="I273" s="230"/>
      <c r="J273" s="9" t="s">
        <v>15</v>
      </c>
      <c r="K273" s="9" t="s">
        <v>0</v>
      </c>
      <c r="L273" s="79"/>
    </row>
    <row r="274" spans="2:16" ht="18" customHeight="1" x14ac:dyDescent="0.25">
      <c r="B274" s="15" t="str">
        <f>IF(H268=3,B268,"")</f>
        <v/>
      </c>
      <c r="C274" s="15" t="str">
        <f>IFERROR(IF(B274="","",VLOOKUP(B274,LISTAS!$F$5:$G$1004,2,0)),"0")</f>
        <v/>
      </c>
      <c r="D274" s="223"/>
      <c r="E274" s="224"/>
      <c r="F274" s="223" t="s">
        <v>38</v>
      </c>
      <c r="G274" s="224"/>
      <c r="H274" s="223"/>
      <c r="I274" s="224"/>
      <c r="J274" s="21" t="str">
        <f>IF(H268=3,B270,"")</f>
        <v/>
      </c>
      <c r="K274" s="15" t="str">
        <f>IFERROR(IF(J274="","",VLOOKUP(J274,LISTAS!$F$5:$G$1004,2,0)),"0")</f>
        <v/>
      </c>
      <c r="L274" s="81"/>
    </row>
    <row r="275" spans="2:16" ht="18" customHeight="1" x14ac:dyDescent="0.25">
      <c r="B275" s="15" t="str">
        <f>IF(H268=3,B269,"")</f>
        <v/>
      </c>
      <c r="C275" s="15" t="str">
        <f>IFERROR(IF(B275="","",VLOOKUP(B275,LISTAS!$F$5:$G$1004,2,0)),"0")</f>
        <v/>
      </c>
      <c r="D275" s="223"/>
      <c r="E275" s="224"/>
      <c r="F275" s="223" t="s">
        <v>38</v>
      </c>
      <c r="G275" s="224"/>
      <c r="H275" s="223"/>
      <c r="I275" s="224"/>
      <c r="J275" s="21" t="str">
        <f>IF(H268=3,B270,"")</f>
        <v/>
      </c>
      <c r="K275" s="15" t="str">
        <f>IFERROR(IF(J275="","",VLOOKUP(J275,LISTAS!$F$5:$G$1004,2,0)),"0")</f>
        <v/>
      </c>
      <c r="L275" s="79"/>
    </row>
    <row r="276" spans="2:16" ht="18" customHeight="1" x14ac:dyDescent="0.25">
      <c r="B276" s="15" t="str">
        <f>IF(H268=3,B268,"")</f>
        <v/>
      </c>
      <c r="C276" s="15" t="str">
        <f>IFERROR(IF(B276="","",VLOOKUP(B276,LISTAS!$F$5:$G$1004,2,0)),"0")</f>
        <v/>
      </c>
      <c r="D276" s="223"/>
      <c r="E276" s="224"/>
      <c r="F276" s="223" t="s">
        <v>38</v>
      </c>
      <c r="G276" s="224"/>
      <c r="H276" s="223"/>
      <c r="I276" s="224"/>
      <c r="J276" s="21" t="str">
        <f>IF(H268=3,B269,"")</f>
        <v/>
      </c>
      <c r="K276" s="15" t="str">
        <f>IFERROR(IF(J276="","",VLOOKUP(J276,LISTAS!$F$5:$G$1004,2,0)),"0")</f>
        <v/>
      </c>
      <c r="L276" s="81"/>
    </row>
    <row r="279" spans="2:16" ht="30" customHeight="1" x14ac:dyDescent="0.25">
      <c r="B279" s="161" t="s">
        <v>65</v>
      </c>
      <c r="C279" s="79"/>
      <c r="D279" s="225" t="s">
        <v>42</v>
      </c>
      <c r="E279" s="226"/>
      <c r="F279" s="226"/>
      <c r="G279" s="227"/>
      <c r="H279" s="113"/>
      <c r="I279" s="225" t="s">
        <v>3</v>
      </c>
      <c r="J279" s="226"/>
      <c r="K279" s="226"/>
      <c r="L279" s="226"/>
    </row>
    <row r="280" spans="2:16" ht="18" customHeight="1" x14ac:dyDescent="0.25">
      <c r="B280" s="9" t="s">
        <v>15</v>
      </c>
      <c r="C280" s="9" t="s">
        <v>0</v>
      </c>
      <c r="D280" s="9" t="s">
        <v>43</v>
      </c>
      <c r="E280" s="9" t="s">
        <v>44</v>
      </c>
      <c r="F280" s="9" t="s">
        <v>77</v>
      </c>
      <c r="G280" s="9" t="s">
        <v>78</v>
      </c>
      <c r="H280" s="114"/>
      <c r="I280" s="9" t="s">
        <v>18</v>
      </c>
      <c r="J280" s="9" t="s">
        <v>15</v>
      </c>
      <c r="K280" s="9" t="s">
        <v>0</v>
      </c>
      <c r="L280" s="9" t="s">
        <v>45</v>
      </c>
    </row>
    <row r="281" spans="2:16" ht="18" customHeight="1" x14ac:dyDescent="0.25">
      <c r="B281" s="15"/>
      <c r="C281" s="15" t="str">
        <f>IFERROR(IF(B281="","",VLOOKUP(B281,LISTAS!$F$5:$G$1004,2,0)),"0")</f>
        <v/>
      </c>
      <c r="D281" s="15" t="str">
        <f>IF(H281&lt;3,"",IF(H281=3,IF(D287&lt;&gt;"",IF(H287&lt;&gt;"",IF(D287&lt;&gt;H287,IF(D287&gt;H287,"V","D"),""),""),"")))</f>
        <v/>
      </c>
      <c r="E281" s="15" t="str">
        <f>IF(H281&lt;3,"",IF(H281=3,IF(D289&lt;&gt;"",IF(H289&lt;&gt;"",IF(D289&lt;&gt;H289,IF(D289&gt;H289,"V","D"),""),""),"")))</f>
        <v/>
      </c>
      <c r="F281" s="15" t="s">
        <v>81</v>
      </c>
      <c r="G281" s="15" t="s">
        <v>81</v>
      </c>
      <c r="H281" s="117">
        <f>COUNTA(B281:B283)</f>
        <v>0</v>
      </c>
      <c r="I281" s="15" t="str">
        <f>IF(B281&lt;&gt;"",1,"")</f>
        <v/>
      </c>
      <c r="J281" s="15" t="str">
        <f>IF(I281&lt;&gt;"",P281,"")</f>
        <v/>
      </c>
      <c r="K281" s="15" t="str">
        <f>IFERROR(IF(J281="","",VLOOKUP(J281,LISTAS!$F$5:$G$1004,2,0)),"0")</f>
        <v/>
      </c>
      <c r="L281" s="119" t="str">
        <f>IF(H281=3,"OURO",IF(H281=4,"OURO",IF(H281=5,"OURO","")))</f>
        <v/>
      </c>
      <c r="M281" s="20" t="str">
        <f>IF(B281&lt;&gt;"",COUNTIF(D281:G281,"V")+(SUMIF(B287:B289,B281,D287:E289)/1000)+(SUMIF(J287:J289,B281,H287:I289)/1000)-(SUMIF(B287:B289,B281,H287:I289)/1000)-(SUMIF(J287:J289,B281,D287:E289)/1000)+0.003,"")</f>
        <v/>
      </c>
      <c r="N281" s="20" t="str">
        <f>IF(B281="","",B281)</f>
        <v/>
      </c>
      <c r="O281" s="20" t="str">
        <f>IF(B281&lt;&gt;"",LARGE(M281:M283,1),"")</f>
        <v/>
      </c>
      <c r="P281" s="20" t="str">
        <f>VLOOKUP(O281,M281:N283,2,0)</f>
        <v/>
      </c>
    </row>
    <row r="282" spans="2:16" ht="18" customHeight="1" x14ac:dyDescent="0.25">
      <c r="B282" s="15"/>
      <c r="C282" s="15" t="str">
        <f>IFERROR(IF(B282="","",VLOOKUP(B282,LISTAS!$F$5:$G$1004,2,0)),"0")</f>
        <v/>
      </c>
      <c r="D282" s="15" t="str">
        <f>IF(H281&lt;3,"",IF(H281=3,IF(D288&lt;&gt;"",IF(H288&lt;&gt;"",IF(D288&lt;&gt;H288,IF(D288&gt;H288,"V","D"),""),""),"")))</f>
        <v/>
      </c>
      <c r="E282" s="15" t="str">
        <f>IF(H281&lt;3,"",IF(H281=3,IF(D289&lt;&gt;"",IF(H289&lt;&gt;"",IF(D289&lt;&gt;H289,IF(D289&gt;H289,"D","V"),""),""),"")))</f>
        <v/>
      </c>
      <c r="F282" s="15" t="s">
        <v>81</v>
      </c>
      <c r="G282" s="15" t="s">
        <v>81</v>
      </c>
      <c r="H282" s="115"/>
      <c r="I282" s="15" t="str">
        <f>IF(B282&lt;&gt;"",2,"")</f>
        <v/>
      </c>
      <c r="J282" s="15" t="str">
        <f>IF(I282&lt;&gt;"",P282,"")</f>
        <v/>
      </c>
      <c r="K282" s="15" t="str">
        <f>IFERROR(IF(J282="","",VLOOKUP(J282,LISTAS!$F$5:$G$1004,2,0)),"0")</f>
        <v/>
      </c>
      <c r="L282" s="119" t="str">
        <f>IF(H281=3,"PRATA",IF(H281=4,"OURO",IF(H281=5,"OURO","")))</f>
        <v/>
      </c>
      <c r="M282" s="20" t="str">
        <f>IF(B282&lt;&gt;"",COUNTIF(D282:G282,"V")+(SUMIF(B287:B289,B282,D287:E289)/1000)+(SUMIF(J287:J289,B282,H287:I289)/1000)-(SUMIF(B287:B289,B282,H287:I289)/1000)-(SUMIF(J287:J289,B282,D287:E289)/1000)+0.002,"")</f>
        <v/>
      </c>
      <c r="N282" s="20" t="str">
        <f t="shared" ref="N282" si="20">IF(B282="","",B282)</f>
        <v/>
      </c>
      <c r="O282" s="20" t="str">
        <f>IF(B282&lt;&gt;"",LARGE(M281:M283,2),"")</f>
        <v/>
      </c>
      <c r="P282" s="20" t="str">
        <f>VLOOKUP(O282,M281:N283,2,0)</f>
        <v/>
      </c>
    </row>
    <row r="283" spans="2:16" ht="18" customHeight="1" x14ac:dyDescent="0.25">
      <c r="B283" s="15"/>
      <c r="C283" s="15" t="str">
        <f>IFERROR(IF(B283="","",VLOOKUP(B283,LISTAS!$F$5:$G$1004,2,0)),"0")</f>
        <v/>
      </c>
      <c r="D283" s="15" t="str">
        <f>IF(H281&lt;3,"",IF(H281=3,IF(D287&lt;&gt;"",IF(H287&lt;&gt;"",IF(D287&lt;&gt;H287,IF(D287&gt;H287,"D","V"),""),""),"")))</f>
        <v/>
      </c>
      <c r="E283" s="15" t="str">
        <f>IF(H281&lt;3,"",IF(H281=3,IF(D288&lt;&gt;"",IF(H288&lt;&gt;"",IF(D288&lt;&gt;H288,IF(D288&gt;H288,"D","V"),""),""),"")))</f>
        <v/>
      </c>
      <c r="F283" s="15" t="s">
        <v>81</v>
      </c>
      <c r="G283" s="15" t="s">
        <v>81</v>
      </c>
      <c r="H283" s="115"/>
      <c r="I283" s="15" t="str">
        <f>IF(B283&lt;&gt;"",3,"")</f>
        <v/>
      </c>
      <c r="J283" s="15" t="str">
        <f>IF(I283&lt;&gt;"",P283,"")</f>
        <v/>
      </c>
      <c r="K283" s="15" t="str">
        <f>IFERROR(IF(J283="","",VLOOKUP(J283,LISTAS!$F$5:$G$1004,2,0)),"0")</f>
        <v/>
      </c>
      <c r="L283" s="119" t="str">
        <f>IF(H281=3,"BRONZE",IF(H281=4,"PRATA",IF(H281=5,"OURO","")))</f>
        <v/>
      </c>
      <c r="M283" s="20" t="str">
        <f>IF(B283&lt;&gt;"",COUNTIF(D283:G283,"V")+(SUMIF(B287:B289,B283,D287:E289)/1000)+(SUMIF(J287:J289,B283,H287:I289)/1000)-(SUMIF(B287:B289,B283,H287:I289)/1000)-(SUMIF(J287:J289,B283,D287:E289)/1000)+0.001,"")</f>
        <v/>
      </c>
      <c r="N283" s="20" t="str">
        <f>IF(B283="","",B283)</f>
        <v/>
      </c>
      <c r="O283" s="20" t="str">
        <f>IF(B283&lt;&gt;"",LARGE(M281:M283,3),"")</f>
        <v/>
      </c>
      <c r="P283" s="20" t="str">
        <f>VLOOKUP(O283,M281:N283,2,0)</f>
        <v/>
      </c>
    </row>
    <row r="284" spans="2:16" ht="18" customHeight="1" x14ac:dyDescent="0.25">
      <c r="B284" s="79"/>
      <c r="C284" s="79"/>
      <c r="D284" s="79"/>
      <c r="E284" s="79"/>
      <c r="F284" s="79"/>
      <c r="G284" s="79"/>
      <c r="I284" s="80"/>
      <c r="J284" s="79"/>
      <c r="K284" s="81"/>
      <c r="L284" s="81"/>
    </row>
    <row r="285" spans="2:16" ht="23.25" customHeight="1" x14ac:dyDescent="0.25">
      <c r="B285" s="82" t="s">
        <v>40</v>
      </c>
      <c r="C285" s="79"/>
      <c r="D285" s="79"/>
      <c r="E285" s="79"/>
      <c r="F285" s="79"/>
      <c r="G285" s="79"/>
      <c r="H285" s="79"/>
      <c r="I285" s="79"/>
      <c r="J285" s="79"/>
      <c r="K285" s="79"/>
      <c r="L285" s="79"/>
    </row>
    <row r="286" spans="2:16" ht="18" customHeight="1" x14ac:dyDescent="0.25">
      <c r="B286" s="9" t="s">
        <v>15</v>
      </c>
      <c r="C286" s="9" t="s">
        <v>0</v>
      </c>
      <c r="D286" s="228" t="s">
        <v>41</v>
      </c>
      <c r="E286" s="229"/>
      <c r="F286" s="229"/>
      <c r="G286" s="229"/>
      <c r="H286" s="229"/>
      <c r="I286" s="230"/>
      <c r="J286" s="9" t="s">
        <v>15</v>
      </c>
      <c r="K286" s="9" t="s">
        <v>0</v>
      </c>
      <c r="L286" s="79"/>
    </row>
    <row r="287" spans="2:16" ht="18" customHeight="1" x14ac:dyDescent="0.25">
      <c r="B287" s="15" t="str">
        <f>IF(H281=3,B281,"")</f>
        <v/>
      </c>
      <c r="C287" s="15" t="str">
        <f>IFERROR(IF(B287="","",VLOOKUP(B287,LISTAS!$F$5:$G$1004,2,0)),"0")</f>
        <v/>
      </c>
      <c r="D287" s="223"/>
      <c r="E287" s="224"/>
      <c r="F287" s="223" t="s">
        <v>38</v>
      </c>
      <c r="G287" s="224"/>
      <c r="H287" s="223"/>
      <c r="I287" s="224"/>
      <c r="J287" s="21" t="str">
        <f>IF(H281=3,B283,"")</f>
        <v/>
      </c>
      <c r="K287" s="15" t="str">
        <f>IFERROR(IF(J287="","",VLOOKUP(J287,LISTAS!$F$5:$G$1004,2,0)),"0")</f>
        <v/>
      </c>
      <c r="L287" s="81"/>
    </row>
    <row r="288" spans="2:16" ht="18" customHeight="1" x14ac:dyDescent="0.25">
      <c r="B288" s="15" t="str">
        <f>IF(H281=3,B282,"")</f>
        <v/>
      </c>
      <c r="C288" s="15" t="str">
        <f>IFERROR(IF(B288="","",VLOOKUP(B288,LISTAS!$F$5:$G$1004,2,0)),"0")</f>
        <v/>
      </c>
      <c r="D288" s="223"/>
      <c r="E288" s="224"/>
      <c r="F288" s="223" t="s">
        <v>38</v>
      </c>
      <c r="G288" s="224"/>
      <c r="H288" s="223"/>
      <c r="I288" s="224"/>
      <c r="J288" s="21" t="str">
        <f>IF(H281=3,B283,"")</f>
        <v/>
      </c>
      <c r="K288" s="15" t="str">
        <f>IFERROR(IF(J288="","",VLOOKUP(J288,LISTAS!$F$5:$G$1004,2,0)),"0")</f>
        <v/>
      </c>
      <c r="L288" s="79"/>
    </row>
    <row r="289" spans="2:16" ht="18" customHeight="1" x14ac:dyDescent="0.25">
      <c r="B289" s="15" t="str">
        <f>IF(H281=3,B281,"")</f>
        <v/>
      </c>
      <c r="C289" s="15" t="str">
        <f>IFERROR(IF(B289="","",VLOOKUP(B289,LISTAS!$F$5:$G$1004,2,0)),"0")</f>
        <v/>
      </c>
      <c r="D289" s="223"/>
      <c r="E289" s="224"/>
      <c r="F289" s="223" t="s">
        <v>38</v>
      </c>
      <c r="G289" s="224"/>
      <c r="H289" s="223"/>
      <c r="I289" s="224"/>
      <c r="J289" s="21" t="str">
        <f>IF(H281=3,B282,"")</f>
        <v/>
      </c>
      <c r="K289" s="15" t="str">
        <f>IFERROR(IF(J289="","",VLOOKUP(J289,LISTAS!$F$5:$G$1004,2,0)),"0")</f>
        <v/>
      </c>
      <c r="L289" s="81"/>
    </row>
    <row r="292" spans="2:16" ht="30" customHeight="1" x14ac:dyDescent="0.25">
      <c r="B292" s="161" t="s">
        <v>66</v>
      </c>
      <c r="C292" s="79"/>
      <c r="D292" s="225" t="s">
        <v>42</v>
      </c>
      <c r="E292" s="226"/>
      <c r="F292" s="226"/>
      <c r="G292" s="227"/>
      <c r="H292" s="113"/>
      <c r="I292" s="225" t="s">
        <v>3</v>
      </c>
      <c r="J292" s="226"/>
      <c r="K292" s="226"/>
      <c r="L292" s="226"/>
    </row>
    <row r="293" spans="2:16" ht="18" customHeight="1" x14ac:dyDescent="0.25">
      <c r="B293" s="9" t="s">
        <v>15</v>
      </c>
      <c r="C293" s="9" t="s">
        <v>0</v>
      </c>
      <c r="D293" s="9" t="s">
        <v>43</v>
      </c>
      <c r="E293" s="9" t="s">
        <v>44</v>
      </c>
      <c r="F293" s="9" t="s">
        <v>77</v>
      </c>
      <c r="G293" s="9" t="s">
        <v>78</v>
      </c>
      <c r="H293" s="114"/>
      <c r="I293" s="9" t="s">
        <v>18</v>
      </c>
      <c r="J293" s="9" t="s">
        <v>15</v>
      </c>
      <c r="K293" s="9" t="s">
        <v>0</v>
      </c>
      <c r="L293" s="9" t="s">
        <v>45</v>
      </c>
    </row>
    <row r="294" spans="2:16" ht="18" customHeight="1" x14ac:dyDescent="0.25">
      <c r="B294" s="15"/>
      <c r="C294" s="15" t="str">
        <f>IFERROR(IF(B294="","",VLOOKUP(B294,LISTAS!$F$5:$G$1004,2,0)),"0")</f>
        <v/>
      </c>
      <c r="D294" s="15" t="str">
        <f>IF(H294&lt;3,"",IF(H294=3,IF(D300&lt;&gt;"",IF(H300&lt;&gt;"",IF(D300&lt;&gt;H300,IF(D300&gt;H300,"V","D"),""),""),"")))</f>
        <v/>
      </c>
      <c r="E294" s="15" t="str">
        <f>IF(H294&lt;3,"",IF(H294=3,IF(D302&lt;&gt;"",IF(H302&lt;&gt;"",IF(D302&lt;&gt;H302,IF(D302&gt;H302,"V","D"),""),""),"")))</f>
        <v/>
      </c>
      <c r="F294" s="15" t="s">
        <v>81</v>
      </c>
      <c r="G294" s="15" t="s">
        <v>81</v>
      </c>
      <c r="H294" s="117">
        <f>COUNTA(B294:B296)</f>
        <v>0</v>
      </c>
      <c r="I294" s="15" t="str">
        <f>IF(B294&lt;&gt;"",1,"")</f>
        <v/>
      </c>
      <c r="J294" s="15" t="str">
        <f>IF(I294&lt;&gt;"",P294,"")</f>
        <v/>
      </c>
      <c r="K294" s="15" t="str">
        <f>IFERROR(IF(J294="","",VLOOKUP(J294,LISTAS!$F$5:$G$1004,2,0)),"0")</f>
        <v/>
      </c>
      <c r="L294" s="119" t="str">
        <f>IF(H294=3,"OURO",IF(H294=4,"OURO",IF(H294=5,"OURO","")))</f>
        <v/>
      </c>
      <c r="M294" s="20" t="str">
        <f>IF(B294&lt;&gt;"",COUNTIF(D294:G294,"V")+(SUMIF(B300:B302,B294,D300:E302)/1000)+(SUMIF(J300:J302,B294,H300:I302)/1000)-(SUMIF(B300:B302,B294,H300:I302)/1000)-(SUMIF(J300:J302,B294,D300:E302)/1000)+0.003,"")</f>
        <v/>
      </c>
      <c r="N294" s="20" t="str">
        <f>IF(B294="","",B294)</f>
        <v/>
      </c>
      <c r="O294" s="20" t="str">
        <f>IF(B294&lt;&gt;"",LARGE(M294:M296,1),"")</f>
        <v/>
      </c>
      <c r="P294" s="20" t="str">
        <f>VLOOKUP(O294,M294:N296,2,0)</f>
        <v/>
      </c>
    </row>
    <row r="295" spans="2:16" ht="18" customHeight="1" x14ac:dyDescent="0.25">
      <c r="B295" s="15"/>
      <c r="C295" s="15" t="str">
        <f>IFERROR(IF(B295="","",VLOOKUP(B295,LISTAS!$F$5:$G$1004,2,0)),"0")</f>
        <v/>
      </c>
      <c r="D295" s="15" t="str">
        <f>IF(H294&lt;3,"",IF(H294=3,IF(D301&lt;&gt;"",IF(H301&lt;&gt;"",IF(D301&lt;&gt;H301,IF(D301&gt;H301,"V","D"),""),""),"")))</f>
        <v/>
      </c>
      <c r="E295" s="15" t="str">
        <f>IF(H294&lt;3,"",IF(H294=3,IF(D302&lt;&gt;"",IF(H302&lt;&gt;"",IF(D302&lt;&gt;H302,IF(D302&gt;H302,"D","V"),""),""),"")))</f>
        <v/>
      </c>
      <c r="F295" s="15" t="s">
        <v>81</v>
      </c>
      <c r="G295" s="15" t="s">
        <v>81</v>
      </c>
      <c r="H295" s="115"/>
      <c r="I295" s="15" t="str">
        <f>IF(B295&lt;&gt;"",2,"")</f>
        <v/>
      </c>
      <c r="J295" s="15" t="str">
        <f>IF(I295&lt;&gt;"",P295,"")</f>
        <v/>
      </c>
      <c r="K295" s="15" t="str">
        <f>IFERROR(IF(J295="","",VLOOKUP(J295,LISTAS!$F$5:$G$1004,2,0)),"0")</f>
        <v/>
      </c>
      <c r="L295" s="119" t="str">
        <f>IF(H294=3,"PRATA",IF(H294=4,"OURO",IF(H294=5,"OURO","")))</f>
        <v/>
      </c>
      <c r="M295" s="20" t="str">
        <f>IF(B295&lt;&gt;"",COUNTIF(D295:G295,"V")+(SUMIF(B300:B302,B295,D300:E302)/1000)+(SUMIF(J300:J302,B295,H300:I302)/1000)-(SUMIF(B300:B302,B295,H300:I302)/1000)-(SUMIF(J300:J302,B295,D300:E302)/1000)+0.002,"")</f>
        <v/>
      </c>
      <c r="N295" s="20" t="str">
        <f t="shared" ref="N295" si="21">IF(B295="","",B295)</f>
        <v/>
      </c>
      <c r="O295" s="20" t="str">
        <f>IF(B295&lt;&gt;"",LARGE(M294:M296,2),"")</f>
        <v/>
      </c>
      <c r="P295" s="20" t="str">
        <f>VLOOKUP(O295,M294:N296,2,0)</f>
        <v/>
      </c>
    </row>
    <row r="296" spans="2:16" ht="18" customHeight="1" x14ac:dyDescent="0.25">
      <c r="B296" s="15"/>
      <c r="C296" s="15" t="str">
        <f>IFERROR(IF(B296="","",VLOOKUP(B296,LISTAS!$F$5:$G$1004,2,0)),"0")</f>
        <v/>
      </c>
      <c r="D296" s="15" t="str">
        <f>IF(H294&lt;3,"",IF(H294=3,IF(D300&lt;&gt;"",IF(H300&lt;&gt;"",IF(D300&lt;&gt;H300,IF(D300&gt;H300,"D","V"),""),""),"")))</f>
        <v/>
      </c>
      <c r="E296" s="15" t="str">
        <f>IF(H294&lt;3,"",IF(H294=3,IF(D301&lt;&gt;"",IF(H301&lt;&gt;"",IF(D301&lt;&gt;H301,IF(D301&gt;H301,"D","V"),""),""),"")))</f>
        <v/>
      </c>
      <c r="F296" s="15" t="s">
        <v>81</v>
      </c>
      <c r="G296" s="15" t="s">
        <v>81</v>
      </c>
      <c r="H296" s="115"/>
      <c r="I296" s="15" t="str">
        <f>IF(B296&lt;&gt;"",3,"")</f>
        <v/>
      </c>
      <c r="J296" s="15" t="str">
        <f>IF(I296&lt;&gt;"",P296,"")</f>
        <v/>
      </c>
      <c r="K296" s="15" t="str">
        <f>IFERROR(IF(J296="","",VLOOKUP(J296,LISTAS!$F$5:$G$1004,2,0)),"0")</f>
        <v/>
      </c>
      <c r="L296" s="119" t="str">
        <f>IF(H294=3,"BRONZE",IF(H294=4,"PRATA",IF(H294=5,"OURO","")))</f>
        <v/>
      </c>
      <c r="M296" s="20" t="str">
        <f>IF(B296&lt;&gt;"",COUNTIF(D296:G296,"V")+(SUMIF(B300:B302,B296,D300:E302)/1000)+(SUMIF(J300:J302,B296,H300:I302)/1000)-(SUMIF(B300:B302,B296,H300:I302)/1000)-(SUMIF(J300:J302,B296,D300:E302)/1000)+0.001,"")</f>
        <v/>
      </c>
      <c r="N296" s="20" t="str">
        <f>IF(B296="","",B296)</f>
        <v/>
      </c>
      <c r="O296" s="20" t="str">
        <f>IF(B296&lt;&gt;"",LARGE(M294:M296,3),"")</f>
        <v/>
      </c>
      <c r="P296" s="20" t="str">
        <f>VLOOKUP(O296,M294:N296,2,0)</f>
        <v/>
      </c>
    </row>
    <row r="297" spans="2:16" ht="18" customHeight="1" x14ac:dyDescent="0.25">
      <c r="B297" s="79"/>
      <c r="C297" s="79"/>
      <c r="D297" s="79"/>
      <c r="E297" s="79"/>
      <c r="F297" s="79"/>
      <c r="G297" s="79"/>
      <c r="I297" s="80"/>
      <c r="J297" s="79"/>
      <c r="K297" s="81"/>
      <c r="L297" s="81"/>
    </row>
    <row r="298" spans="2:16" ht="23.25" customHeight="1" x14ac:dyDescent="0.25">
      <c r="B298" s="82" t="s">
        <v>40</v>
      </c>
      <c r="C298" s="79"/>
      <c r="D298" s="79"/>
      <c r="E298" s="79"/>
      <c r="F298" s="79"/>
      <c r="G298" s="79"/>
      <c r="H298" s="79"/>
      <c r="I298" s="79"/>
      <c r="J298" s="79"/>
      <c r="K298" s="79"/>
      <c r="L298" s="79"/>
    </row>
    <row r="299" spans="2:16" ht="18" customHeight="1" x14ac:dyDescent="0.25">
      <c r="B299" s="9" t="s">
        <v>15</v>
      </c>
      <c r="C299" s="9" t="s">
        <v>0</v>
      </c>
      <c r="D299" s="228" t="s">
        <v>41</v>
      </c>
      <c r="E299" s="229"/>
      <c r="F299" s="229"/>
      <c r="G299" s="229"/>
      <c r="H299" s="229"/>
      <c r="I299" s="230"/>
      <c r="J299" s="9" t="s">
        <v>15</v>
      </c>
      <c r="K299" s="9" t="s">
        <v>0</v>
      </c>
      <c r="L299" s="79"/>
    </row>
    <row r="300" spans="2:16" ht="18" customHeight="1" x14ac:dyDescent="0.25">
      <c r="B300" s="15" t="str">
        <f>IF(H294=3,B294,"")</f>
        <v/>
      </c>
      <c r="C300" s="15" t="str">
        <f>IFERROR(IF(B300="","",VLOOKUP(B300,LISTAS!$F$5:$G$1004,2,0)),"0")</f>
        <v/>
      </c>
      <c r="D300" s="223"/>
      <c r="E300" s="224"/>
      <c r="F300" s="223" t="s">
        <v>38</v>
      </c>
      <c r="G300" s="224"/>
      <c r="H300" s="223"/>
      <c r="I300" s="224"/>
      <c r="J300" s="21" t="str">
        <f>IF(H294=3,B296,"")</f>
        <v/>
      </c>
      <c r="K300" s="15" t="str">
        <f>IFERROR(IF(J300="","",VLOOKUP(J300,LISTAS!$F$5:$G$1004,2,0)),"0")</f>
        <v/>
      </c>
      <c r="L300" s="81"/>
    </row>
    <row r="301" spans="2:16" ht="18" customHeight="1" x14ac:dyDescent="0.25">
      <c r="B301" s="15" t="str">
        <f>IF(H294=3,B295,"")</f>
        <v/>
      </c>
      <c r="C301" s="15" t="str">
        <f>IFERROR(IF(B301="","",VLOOKUP(B301,LISTAS!$F$5:$G$1004,2,0)),"0")</f>
        <v/>
      </c>
      <c r="D301" s="223"/>
      <c r="E301" s="224"/>
      <c r="F301" s="223" t="s">
        <v>38</v>
      </c>
      <c r="G301" s="224"/>
      <c r="H301" s="223"/>
      <c r="I301" s="224"/>
      <c r="J301" s="21" t="str">
        <f>IF(H294=3,B296,"")</f>
        <v/>
      </c>
      <c r="K301" s="15" t="str">
        <f>IFERROR(IF(J301="","",VLOOKUP(J301,LISTAS!$F$5:$G$1004,2,0)),"0")</f>
        <v/>
      </c>
      <c r="L301" s="79"/>
    </row>
    <row r="302" spans="2:16" ht="18" customHeight="1" x14ac:dyDescent="0.25">
      <c r="B302" s="15" t="str">
        <f>IF(H294=3,B294,"")</f>
        <v/>
      </c>
      <c r="C302" s="15" t="str">
        <f>IFERROR(IF(B302="","",VLOOKUP(B302,LISTAS!$F$5:$G$1004,2,0)),"0")</f>
        <v/>
      </c>
      <c r="D302" s="223"/>
      <c r="E302" s="224"/>
      <c r="F302" s="223" t="s">
        <v>38</v>
      </c>
      <c r="G302" s="224"/>
      <c r="H302" s="223"/>
      <c r="I302" s="224"/>
      <c r="J302" s="21" t="str">
        <f>IF(H294=3,B295,"")</f>
        <v/>
      </c>
      <c r="K302" s="15" t="str">
        <f>IFERROR(IF(J302="","",VLOOKUP(J302,LISTAS!$F$5:$G$1004,2,0)),"0")</f>
        <v/>
      </c>
      <c r="L302" s="81"/>
    </row>
    <row r="305" spans="2:16" ht="30" customHeight="1" x14ac:dyDescent="0.25">
      <c r="B305" s="161" t="s">
        <v>67</v>
      </c>
      <c r="C305" s="79"/>
      <c r="D305" s="225" t="s">
        <v>42</v>
      </c>
      <c r="E305" s="226"/>
      <c r="F305" s="226"/>
      <c r="G305" s="227"/>
      <c r="H305" s="113"/>
      <c r="I305" s="225" t="s">
        <v>3</v>
      </c>
      <c r="J305" s="226"/>
      <c r="K305" s="226"/>
      <c r="L305" s="226"/>
    </row>
    <row r="306" spans="2:16" ht="18" customHeight="1" x14ac:dyDescent="0.25">
      <c r="B306" s="9" t="s">
        <v>15</v>
      </c>
      <c r="C306" s="9" t="s">
        <v>0</v>
      </c>
      <c r="D306" s="9" t="s">
        <v>43</v>
      </c>
      <c r="E306" s="9" t="s">
        <v>44</v>
      </c>
      <c r="F306" s="9" t="s">
        <v>77</v>
      </c>
      <c r="G306" s="9" t="s">
        <v>78</v>
      </c>
      <c r="H306" s="114"/>
      <c r="I306" s="9" t="s">
        <v>18</v>
      </c>
      <c r="J306" s="9" t="s">
        <v>15</v>
      </c>
      <c r="K306" s="9" t="s">
        <v>0</v>
      </c>
      <c r="L306" s="9" t="s">
        <v>45</v>
      </c>
    </row>
    <row r="307" spans="2:16" ht="18" customHeight="1" x14ac:dyDescent="0.25">
      <c r="B307" s="15"/>
      <c r="C307" s="15" t="str">
        <f>IFERROR(IF(B307="","",VLOOKUP(B307,LISTAS!$F$5:$G$1004,2,0)),"0")</f>
        <v/>
      </c>
      <c r="D307" s="15" t="str">
        <f>IF(H307&lt;3,"",IF(H307=3,IF(D313&lt;&gt;"",IF(H313&lt;&gt;"",IF(D313&lt;&gt;H313,IF(D313&gt;H313,"V","D"),""),""),"")))</f>
        <v/>
      </c>
      <c r="E307" s="15" t="str">
        <f>IF(H307&lt;3,"",IF(H307=3,IF(D315&lt;&gt;"",IF(H315&lt;&gt;"",IF(D315&lt;&gt;H315,IF(D315&gt;H315,"V","D"),""),""),"")))</f>
        <v/>
      </c>
      <c r="F307" s="15" t="s">
        <v>81</v>
      </c>
      <c r="G307" s="15" t="s">
        <v>81</v>
      </c>
      <c r="H307" s="117">
        <f>COUNTA(B307:B309)</f>
        <v>0</v>
      </c>
      <c r="I307" s="15" t="str">
        <f>IF(B307&lt;&gt;"",1,"")</f>
        <v/>
      </c>
      <c r="J307" s="15" t="str">
        <f>IF(I307&lt;&gt;"",P307,"")</f>
        <v/>
      </c>
      <c r="K307" s="15" t="str">
        <f>IFERROR(IF(J307="","",VLOOKUP(J307,LISTAS!$F$5:$G$1004,2,0)),"0")</f>
        <v/>
      </c>
      <c r="L307" s="119" t="str">
        <f>IF(H307=3,"OURO",IF(H307=4,"OURO",IF(H307=5,"OURO","")))</f>
        <v/>
      </c>
      <c r="M307" s="20" t="str">
        <f>IF(B307&lt;&gt;"",COUNTIF(D307:G307,"V")+(SUMIF(B313:B315,B307,D313:E315)/1000)+(SUMIF(J313:J315,B307,H313:I315)/1000)-(SUMIF(B313:B315,B307,H313:I315)/1000)-(SUMIF(J313:J315,B307,D313:E315)/1000)+0.003,"")</f>
        <v/>
      </c>
      <c r="N307" s="20" t="str">
        <f>IF(B307="","",B307)</f>
        <v/>
      </c>
      <c r="O307" s="20" t="str">
        <f>IF(B307&lt;&gt;"",LARGE(M307:M309,1),"")</f>
        <v/>
      </c>
      <c r="P307" s="20" t="str">
        <f>VLOOKUP(O307,M307:N309,2,0)</f>
        <v/>
      </c>
    </row>
    <row r="308" spans="2:16" ht="18" customHeight="1" x14ac:dyDescent="0.25">
      <c r="B308" s="15"/>
      <c r="C308" s="15" t="str">
        <f>IFERROR(IF(B308="","",VLOOKUP(B308,LISTAS!$F$5:$G$1004,2,0)),"0")</f>
        <v/>
      </c>
      <c r="D308" s="15" t="str">
        <f>IF(H307&lt;3,"",IF(H307=3,IF(D314&lt;&gt;"",IF(H314&lt;&gt;"",IF(D314&lt;&gt;H314,IF(D314&gt;H314,"V","D"),""),""),"")))</f>
        <v/>
      </c>
      <c r="E308" s="15" t="str">
        <f>IF(H307&lt;3,"",IF(H307=3,IF(D315&lt;&gt;"",IF(H315&lt;&gt;"",IF(D315&lt;&gt;H315,IF(D315&gt;H315,"D","V"),""),""),"")))</f>
        <v/>
      </c>
      <c r="F308" s="15" t="s">
        <v>81</v>
      </c>
      <c r="G308" s="15" t="s">
        <v>81</v>
      </c>
      <c r="H308" s="115"/>
      <c r="I308" s="15" t="str">
        <f>IF(B308&lt;&gt;"",2,"")</f>
        <v/>
      </c>
      <c r="J308" s="15" t="str">
        <f>IF(I308&lt;&gt;"",P308,"")</f>
        <v/>
      </c>
      <c r="K308" s="15" t="str">
        <f>IFERROR(IF(J308="","",VLOOKUP(J308,LISTAS!$F$5:$G$1004,2,0)),"0")</f>
        <v/>
      </c>
      <c r="L308" s="119" t="str">
        <f>IF(H307=3,"PRATA",IF(H307=4,"OURO",IF(H307=5,"OURO","")))</f>
        <v/>
      </c>
      <c r="M308" s="20" t="str">
        <f>IF(B308&lt;&gt;"",COUNTIF(D308:G308,"V")+(SUMIF(B313:B315,B308,D313:E315)/1000)+(SUMIF(J313:J315,B308,H313:I315)/1000)-(SUMIF(B313:B315,B308,H313:I315)/1000)-(SUMIF(J313:J315,B308,D313:E315)/1000)+0.002,"")</f>
        <v/>
      </c>
      <c r="N308" s="20" t="str">
        <f t="shared" ref="N308" si="22">IF(B308="","",B308)</f>
        <v/>
      </c>
      <c r="O308" s="20" t="str">
        <f>IF(B308&lt;&gt;"",LARGE(M307:M309,2),"")</f>
        <v/>
      </c>
      <c r="P308" s="20" t="str">
        <f>VLOOKUP(O308,M307:N309,2,0)</f>
        <v/>
      </c>
    </row>
    <row r="309" spans="2:16" ht="18" customHeight="1" x14ac:dyDescent="0.25">
      <c r="B309" s="15"/>
      <c r="C309" s="15" t="str">
        <f>IFERROR(IF(B309="","",VLOOKUP(B309,LISTAS!$F$5:$G$1004,2,0)),"0")</f>
        <v/>
      </c>
      <c r="D309" s="15" t="str">
        <f>IF(H307&lt;3,"",IF(H307=3,IF(D313&lt;&gt;"",IF(H313&lt;&gt;"",IF(D313&lt;&gt;H313,IF(D313&gt;H313,"D","V"),""),""),"")))</f>
        <v/>
      </c>
      <c r="E309" s="15" t="str">
        <f>IF(H307&lt;3,"",IF(H307=3,IF(D314&lt;&gt;"",IF(H314&lt;&gt;"",IF(D314&lt;&gt;H314,IF(D314&gt;H314,"D","V"),""),""),"")))</f>
        <v/>
      </c>
      <c r="F309" s="15" t="s">
        <v>81</v>
      </c>
      <c r="G309" s="15" t="s">
        <v>81</v>
      </c>
      <c r="H309" s="115"/>
      <c r="I309" s="15" t="str">
        <f>IF(B309&lt;&gt;"",3,"")</f>
        <v/>
      </c>
      <c r="J309" s="15" t="str">
        <f>IF(I309&lt;&gt;"",P309,"")</f>
        <v/>
      </c>
      <c r="K309" s="15" t="str">
        <f>IFERROR(IF(J309="","",VLOOKUP(J309,LISTAS!$F$5:$G$1004,2,0)),"0")</f>
        <v/>
      </c>
      <c r="L309" s="119" t="str">
        <f>IF(H307=3,"BRONZE",IF(H307=4,"PRATA",IF(H307=5,"OURO","")))</f>
        <v/>
      </c>
      <c r="M309" s="20" t="str">
        <f>IF(B309&lt;&gt;"",COUNTIF(D309:G309,"V")+(SUMIF(B313:B315,B309,D313:E315)/1000)+(SUMIF(J313:J315,B309,H313:I315)/1000)-(SUMIF(B313:B315,B309,H313:I315)/1000)-(SUMIF(J313:J315,B309,D313:E315)/1000)+0.001,"")</f>
        <v/>
      </c>
      <c r="N309" s="20" t="str">
        <f>IF(B309="","",B309)</f>
        <v/>
      </c>
      <c r="O309" s="20" t="str">
        <f>IF(B309&lt;&gt;"",LARGE(M307:M309,3),"")</f>
        <v/>
      </c>
      <c r="P309" s="20" t="str">
        <f>VLOOKUP(O309,M307:N309,2,0)</f>
        <v/>
      </c>
    </row>
    <row r="310" spans="2:16" ht="18" customHeight="1" x14ac:dyDescent="0.25">
      <c r="B310" s="79"/>
      <c r="C310" s="79"/>
      <c r="D310" s="79"/>
      <c r="E310" s="79"/>
      <c r="F310" s="79"/>
      <c r="G310" s="79"/>
      <c r="I310" s="80"/>
      <c r="J310" s="79"/>
      <c r="K310" s="81"/>
      <c r="L310" s="81"/>
    </row>
    <row r="311" spans="2:16" ht="23.25" customHeight="1" x14ac:dyDescent="0.25">
      <c r="B311" s="82" t="s">
        <v>40</v>
      </c>
      <c r="C311" s="79"/>
      <c r="D311" s="79"/>
      <c r="E311" s="79"/>
      <c r="F311" s="79"/>
      <c r="G311" s="79"/>
      <c r="H311" s="79"/>
      <c r="I311" s="79"/>
      <c r="J311" s="79"/>
      <c r="K311" s="79"/>
      <c r="L311" s="79"/>
    </row>
    <row r="312" spans="2:16" ht="18" customHeight="1" x14ac:dyDescent="0.25">
      <c r="B312" s="9" t="s">
        <v>15</v>
      </c>
      <c r="C312" s="9" t="s">
        <v>0</v>
      </c>
      <c r="D312" s="228" t="s">
        <v>41</v>
      </c>
      <c r="E312" s="229"/>
      <c r="F312" s="229"/>
      <c r="G312" s="229"/>
      <c r="H312" s="229"/>
      <c r="I312" s="230"/>
      <c r="J312" s="9" t="s">
        <v>15</v>
      </c>
      <c r="K312" s="9" t="s">
        <v>0</v>
      </c>
      <c r="L312" s="79"/>
    </row>
    <row r="313" spans="2:16" ht="18" customHeight="1" x14ac:dyDescent="0.25">
      <c r="B313" s="15" t="str">
        <f>IF(H307=3,B307,"")</f>
        <v/>
      </c>
      <c r="C313" s="15" t="str">
        <f>IFERROR(IF(B313="","",VLOOKUP(B313,LISTAS!$F$5:$G$1004,2,0)),"0")</f>
        <v/>
      </c>
      <c r="D313" s="223"/>
      <c r="E313" s="224"/>
      <c r="F313" s="223" t="s">
        <v>38</v>
      </c>
      <c r="G313" s="224"/>
      <c r="H313" s="223"/>
      <c r="I313" s="224"/>
      <c r="J313" s="21" t="str">
        <f>IF(H307=3,B309,"")</f>
        <v/>
      </c>
      <c r="K313" s="15" t="str">
        <f>IFERROR(IF(J313="","",VLOOKUP(J313,LISTAS!$F$5:$G$1004,2,0)),"0")</f>
        <v/>
      </c>
      <c r="L313" s="81"/>
    </row>
    <row r="314" spans="2:16" ht="18" customHeight="1" x14ac:dyDescent="0.25">
      <c r="B314" s="15" t="str">
        <f>IF(H307=3,B308,"")</f>
        <v/>
      </c>
      <c r="C314" s="15" t="str">
        <f>IFERROR(IF(B314="","",VLOOKUP(B314,LISTAS!$F$5:$G$1004,2,0)),"0")</f>
        <v/>
      </c>
      <c r="D314" s="223"/>
      <c r="E314" s="224"/>
      <c r="F314" s="223" t="s">
        <v>38</v>
      </c>
      <c r="G314" s="224"/>
      <c r="H314" s="223"/>
      <c r="I314" s="224"/>
      <c r="J314" s="21" t="str">
        <f>IF(H307=3,B309,"")</f>
        <v/>
      </c>
      <c r="K314" s="15" t="str">
        <f>IFERROR(IF(J314="","",VLOOKUP(J314,LISTAS!$F$5:$G$1004,2,0)),"0")</f>
        <v/>
      </c>
      <c r="L314" s="79"/>
    </row>
    <row r="315" spans="2:16" ht="18" customHeight="1" x14ac:dyDescent="0.25">
      <c r="B315" s="15" t="str">
        <f>IF(H307=3,B307,"")</f>
        <v/>
      </c>
      <c r="C315" s="15" t="str">
        <f>IFERROR(IF(B315="","",VLOOKUP(B315,LISTAS!$F$5:$G$1004,2,0)),"0")</f>
        <v/>
      </c>
      <c r="D315" s="223"/>
      <c r="E315" s="224"/>
      <c r="F315" s="223" t="s">
        <v>38</v>
      </c>
      <c r="G315" s="224"/>
      <c r="H315" s="223"/>
      <c r="I315" s="224"/>
      <c r="J315" s="21" t="str">
        <f>IF(H307=3,B308,"")</f>
        <v/>
      </c>
      <c r="K315" s="15" t="str">
        <f>IFERROR(IF(J315="","",VLOOKUP(J315,LISTAS!$F$5:$G$1004,2,0)),"0")</f>
        <v/>
      </c>
      <c r="L315" s="81"/>
    </row>
    <row r="318" spans="2:16" ht="30" customHeight="1" x14ac:dyDescent="0.25">
      <c r="B318" s="161" t="s">
        <v>68</v>
      </c>
      <c r="C318" s="79"/>
      <c r="D318" s="225" t="s">
        <v>42</v>
      </c>
      <c r="E318" s="226"/>
      <c r="F318" s="226"/>
      <c r="G318" s="227"/>
      <c r="H318" s="113"/>
      <c r="I318" s="225" t="s">
        <v>3</v>
      </c>
      <c r="J318" s="226"/>
      <c r="K318" s="226"/>
      <c r="L318" s="226"/>
    </row>
    <row r="319" spans="2:16" ht="18" customHeight="1" x14ac:dyDescent="0.25">
      <c r="B319" s="9" t="s">
        <v>15</v>
      </c>
      <c r="C319" s="9" t="s">
        <v>0</v>
      </c>
      <c r="D319" s="9" t="s">
        <v>43</v>
      </c>
      <c r="E319" s="9" t="s">
        <v>44</v>
      </c>
      <c r="F319" s="9" t="s">
        <v>77</v>
      </c>
      <c r="G319" s="9" t="s">
        <v>78</v>
      </c>
      <c r="H319" s="114"/>
      <c r="I319" s="9" t="s">
        <v>18</v>
      </c>
      <c r="J319" s="9" t="s">
        <v>15</v>
      </c>
      <c r="K319" s="9" t="s">
        <v>0</v>
      </c>
      <c r="L319" s="9" t="s">
        <v>45</v>
      </c>
    </row>
    <row r="320" spans="2:16" ht="18" customHeight="1" x14ac:dyDescent="0.25">
      <c r="B320" s="15"/>
      <c r="C320" s="15" t="str">
        <f>IFERROR(IF(B320="","",VLOOKUP(B320,LISTAS!$F$5:$G$1004,2,0)),"0")</f>
        <v/>
      </c>
      <c r="D320" s="15" t="str">
        <f>IF(H320&lt;3,"",IF(H320=3,IF(D326&lt;&gt;"",IF(H326&lt;&gt;"",IF(D326&lt;&gt;H326,IF(D326&gt;H326,"V","D"),""),""),"")))</f>
        <v/>
      </c>
      <c r="E320" s="15" t="str">
        <f>IF(H320&lt;3,"",IF(H320=3,IF(D328&lt;&gt;"",IF(H328&lt;&gt;"",IF(D328&lt;&gt;H328,IF(D328&gt;H328,"V","D"),""),""),"")))</f>
        <v/>
      </c>
      <c r="F320" s="15" t="s">
        <v>81</v>
      </c>
      <c r="G320" s="15" t="s">
        <v>81</v>
      </c>
      <c r="H320" s="117">
        <f>COUNTA(B320:B322)</f>
        <v>0</v>
      </c>
      <c r="I320" s="15" t="str">
        <f>IF(B320&lt;&gt;"",1,"")</f>
        <v/>
      </c>
      <c r="J320" s="15" t="str">
        <f>IF(I320&lt;&gt;"",P320,"")</f>
        <v/>
      </c>
      <c r="K320" s="15" t="str">
        <f>IFERROR(IF(J320="","",VLOOKUP(J320,LISTAS!$F$5:$G$1004,2,0)),"0")</f>
        <v/>
      </c>
      <c r="L320" s="119" t="str">
        <f>IF(H320=3,"OURO",IF(H320=4,"OURO",IF(H320=5,"OURO","")))</f>
        <v/>
      </c>
      <c r="M320" s="20" t="str">
        <f>IF(B320&lt;&gt;"",COUNTIF(D320:G320,"V")+(SUMIF(B326:B328,B320,D326:E328)/1000)+(SUMIF(J326:J328,B320,H326:I328)/1000)-(SUMIF(B326:B328,B320,H326:I328)/1000)-(SUMIF(J326:J328,B320,D326:E328)/1000)+0.003,"")</f>
        <v/>
      </c>
      <c r="N320" s="20" t="str">
        <f>IF(B320="","",B320)</f>
        <v/>
      </c>
      <c r="O320" s="20" t="str">
        <f>IF(B320&lt;&gt;"",LARGE(M320:M322,1),"")</f>
        <v/>
      </c>
      <c r="P320" s="20" t="str">
        <f>VLOOKUP(O320,M320:N322,2,0)</f>
        <v/>
      </c>
    </row>
    <row r="321" spans="2:16" ht="18" customHeight="1" x14ac:dyDescent="0.25">
      <c r="B321" s="15"/>
      <c r="C321" s="15" t="str">
        <f>IFERROR(IF(B321="","",VLOOKUP(B321,LISTAS!$F$5:$G$1004,2,0)),"0")</f>
        <v/>
      </c>
      <c r="D321" s="15" t="str">
        <f>IF(H320&lt;3,"",IF(H320=3,IF(D327&lt;&gt;"",IF(H327&lt;&gt;"",IF(D327&lt;&gt;H327,IF(D327&gt;H327,"V","D"),""),""),"")))</f>
        <v/>
      </c>
      <c r="E321" s="15" t="str">
        <f>IF(H320&lt;3,"",IF(H320=3,IF(D328&lt;&gt;"",IF(H328&lt;&gt;"",IF(D328&lt;&gt;H328,IF(D328&gt;H328,"D","V"),""),""),"")))</f>
        <v/>
      </c>
      <c r="F321" s="15" t="s">
        <v>81</v>
      </c>
      <c r="G321" s="15" t="s">
        <v>81</v>
      </c>
      <c r="H321" s="115"/>
      <c r="I321" s="15" t="str">
        <f>IF(B321&lt;&gt;"",2,"")</f>
        <v/>
      </c>
      <c r="J321" s="15" t="str">
        <f>IF(I321&lt;&gt;"",P321,"")</f>
        <v/>
      </c>
      <c r="K321" s="15" t="str">
        <f>IFERROR(IF(J321="","",VLOOKUP(J321,LISTAS!$F$5:$G$1004,2,0)),"0")</f>
        <v/>
      </c>
      <c r="L321" s="119" t="str">
        <f>IF(H320=3,"PRATA",IF(H320=4,"OURO",IF(H320=5,"OURO","")))</f>
        <v/>
      </c>
      <c r="M321" s="20" t="str">
        <f>IF(B321&lt;&gt;"",COUNTIF(D321:G321,"V")+(SUMIF(B326:B328,B321,D326:E328)/1000)+(SUMIF(J326:J328,B321,H326:I328)/1000)-(SUMIF(B326:B328,B321,H326:I328)/1000)-(SUMIF(J326:J328,B321,D326:E328)/1000)+0.002,"")</f>
        <v/>
      </c>
      <c r="N321" s="20" t="str">
        <f t="shared" ref="N321" si="23">IF(B321="","",B321)</f>
        <v/>
      </c>
      <c r="O321" s="20" t="str">
        <f>IF(B321&lt;&gt;"",LARGE(M320:M322,2),"")</f>
        <v/>
      </c>
      <c r="P321" s="20" t="str">
        <f>VLOOKUP(O321,M320:N322,2,0)</f>
        <v/>
      </c>
    </row>
    <row r="322" spans="2:16" ht="18" customHeight="1" x14ac:dyDescent="0.25">
      <c r="B322" s="15"/>
      <c r="C322" s="15" t="str">
        <f>IFERROR(IF(B322="","",VLOOKUP(B322,LISTAS!$F$5:$G$1004,2,0)),"0")</f>
        <v/>
      </c>
      <c r="D322" s="15" t="str">
        <f>IF(H320&lt;3,"",IF(H320=3,IF(D326&lt;&gt;"",IF(H326&lt;&gt;"",IF(D326&lt;&gt;H326,IF(D326&gt;H326,"D","V"),""),""),"")))</f>
        <v/>
      </c>
      <c r="E322" s="15" t="str">
        <f>IF(H320&lt;3,"",IF(H320=3,IF(D327&lt;&gt;"",IF(H327&lt;&gt;"",IF(D327&lt;&gt;H327,IF(D327&gt;H327,"D","V"),""),""),"")))</f>
        <v/>
      </c>
      <c r="F322" s="15" t="s">
        <v>81</v>
      </c>
      <c r="G322" s="15" t="s">
        <v>81</v>
      </c>
      <c r="H322" s="115"/>
      <c r="I322" s="15" t="str">
        <f>IF(B322&lt;&gt;"",3,"")</f>
        <v/>
      </c>
      <c r="J322" s="15" t="str">
        <f>IF(I322&lt;&gt;"",P322,"")</f>
        <v/>
      </c>
      <c r="K322" s="15" t="str">
        <f>IFERROR(IF(J322="","",VLOOKUP(J322,LISTAS!$F$5:$G$1004,2,0)),"0")</f>
        <v/>
      </c>
      <c r="L322" s="119" t="str">
        <f>IF(H320=3,"BRONZE",IF(H320=4,"PRATA",IF(H320=5,"OURO","")))</f>
        <v/>
      </c>
      <c r="M322" s="20" t="str">
        <f>IF(B322&lt;&gt;"",COUNTIF(D322:G322,"V")+(SUMIF(B326:B328,B322,D326:E328)/1000)+(SUMIF(J326:J328,B322,H326:I328)/1000)-(SUMIF(B326:B328,B322,H326:I328)/1000)-(SUMIF(J326:J328,B322,D326:E328)/1000)+0.001,"")</f>
        <v/>
      </c>
      <c r="N322" s="20" t="str">
        <f>IF(B322="","",B322)</f>
        <v/>
      </c>
      <c r="O322" s="20" t="str">
        <f>IF(B322&lt;&gt;"",LARGE(M320:M322,3),"")</f>
        <v/>
      </c>
      <c r="P322" s="20" t="str">
        <f>VLOOKUP(O322,M320:N322,2,0)</f>
        <v/>
      </c>
    </row>
    <row r="323" spans="2:16" ht="18" customHeight="1" x14ac:dyDescent="0.25">
      <c r="B323" s="79"/>
      <c r="C323" s="79"/>
      <c r="D323" s="79"/>
      <c r="E323" s="79"/>
      <c r="F323" s="79"/>
      <c r="G323" s="79"/>
      <c r="I323" s="80"/>
      <c r="J323" s="79"/>
      <c r="K323" s="81"/>
      <c r="L323" s="81"/>
    </row>
    <row r="324" spans="2:16" ht="23.25" customHeight="1" x14ac:dyDescent="0.25">
      <c r="B324" s="82" t="s">
        <v>40</v>
      </c>
      <c r="C324" s="79"/>
      <c r="D324" s="79"/>
      <c r="E324" s="79"/>
      <c r="F324" s="79"/>
      <c r="G324" s="79"/>
      <c r="H324" s="79"/>
      <c r="I324" s="79"/>
      <c r="J324" s="79"/>
      <c r="K324" s="79"/>
      <c r="L324" s="79"/>
    </row>
    <row r="325" spans="2:16" ht="18" customHeight="1" x14ac:dyDescent="0.25">
      <c r="B325" s="9" t="s">
        <v>15</v>
      </c>
      <c r="C325" s="9" t="s">
        <v>0</v>
      </c>
      <c r="D325" s="228" t="s">
        <v>41</v>
      </c>
      <c r="E325" s="229"/>
      <c r="F325" s="229"/>
      <c r="G325" s="229"/>
      <c r="H325" s="229"/>
      <c r="I325" s="230"/>
      <c r="J325" s="9" t="s">
        <v>15</v>
      </c>
      <c r="K325" s="9" t="s">
        <v>0</v>
      </c>
      <c r="L325" s="79"/>
    </row>
    <row r="326" spans="2:16" ht="18" customHeight="1" x14ac:dyDescent="0.25">
      <c r="B326" s="15" t="str">
        <f>IF(H320=3,B320,"")</f>
        <v/>
      </c>
      <c r="C326" s="15" t="str">
        <f>IFERROR(IF(B326="","",VLOOKUP(B326,LISTAS!$F$5:$G$1004,2,0)),"0")</f>
        <v/>
      </c>
      <c r="D326" s="223"/>
      <c r="E326" s="224"/>
      <c r="F326" s="223" t="s">
        <v>38</v>
      </c>
      <c r="G326" s="224"/>
      <c r="H326" s="223"/>
      <c r="I326" s="224"/>
      <c r="J326" s="21" t="str">
        <f>IF(H320=3,B322,"")</f>
        <v/>
      </c>
      <c r="K326" s="15" t="str">
        <f>IFERROR(IF(J326="","",VLOOKUP(J326,LISTAS!$F$5:$G$1004,2,0)),"0")</f>
        <v/>
      </c>
      <c r="L326" s="81"/>
    </row>
    <row r="327" spans="2:16" ht="18" customHeight="1" x14ac:dyDescent="0.25">
      <c r="B327" s="15" t="str">
        <f>IF(H320=3,B321,"")</f>
        <v/>
      </c>
      <c r="C327" s="15" t="str">
        <f>IFERROR(IF(B327="","",VLOOKUP(B327,LISTAS!$F$5:$G$1004,2,0)),"0")</f>
        <v/>
      </c>
      <c r="D327" s="223"/>
      <c r="E327" s="224"/>
      <c r="F327" s="223" t="s">
        <v>38</v>
      </c>
      <c r="G327" s="224"/>
      <c r="H327" s="223"/>
      <c r="I327" s="224"/>
      <c r="J327" s="21" t="str">
        <f>IF(H320=3,B322,"")</f>
        <v/>
      </c>
      <c r="K327" s="15" t="str">
        <f>IFERROR(IF(J327="","",VLOOKUP(J327,LISTAS!$F$5:$G$1004,2,0)),"0")</f>
        <v/>
      </c>
      <c r="L327" s="79"/>
    </row>
    <row r="328" spans="2:16" ht="18" customHeight="1" x14ac:dyDescent="0.25">
      <c r="B328" s="15" t="str">
        <f>IF(H320=3,B320,"")</f>
        <v/>
      </c>
      <c r="C328" s="15" t="str">
        <f>IFERROR(IF(B328="","",VLOOKUP(B328,LISTAS!$F$5:$G$1004,2,0)),"0")</f>
        <v/>
      </c>
      <c r="D328" s="223"/>
      <c r="E328" s="224"/>
      <c r="F328" s="223" t="s">
        <v>38</v>
      </c>
      <c r="G328" s="224"/>
      <c r="H328" s="223"/>
      <c r="I328" s="224"/>
      <c r="J328" s="21" t="str">
        <f>IF(H320=3,B321,"")</f>
        <v/>
      </c>
      <c r="K328" s="15" t="str">
        <f>IFERROR(IF(J328="","",VLOOKUP(J328,LISTAS!$F$5:$G$1004,2,0)),"0")</f>
        <v/>
      </c>
      <c r="L328" s="81"/>
    </row>
    <row r="331" spans="2:16" ht="30" customHeight="1" x14ac:dyDescent="0.25">
      <c r="B331" s="161" t="s">
        <v>69</v>
      </c>
      <c r="C331" s="79"/>
      <c r="D331" s="225" t="s">
        <v>42</v>
      </c>
      <c r="E331" s="226"/>
      <c r="F331" s="226"/>
      <c r="G331" s="227"/>
      <c r="H331" s="113"/>
      <c r="I331" s="225" t="s">
        <v>3</v>
      </c>
      <c r="J331" s="226"/>
      <c r="K331" s="226"/>
      <c r="L331" s="226"/>
    </row>
    <row r="332" spans="2:16" ht="18" customHeight="1" x14ac:dyDescent="0.25">
      <c r="B332" s="9" t="s">
        <v>15</v>
      </c>
      <c r="C332" s="9" t="s">
        <v>0</v>
      </c>
      <c r="D332" s="9" t="s">
        <v>43</v>
      </c>
      <c r="E332" s="9" t="s">
        <v>44</v>
      </c>
      <c r="F332" s="9" t="s">
        <v>77</v>
      </c>
      <c r="G332" s="9" t="s">
        <v>78</v>
      </c>
      <c r="H332" s="114"/>
      <c r="I332" s="9" t="s">
        <v>18</v>
      </c>
      <c r="J332" s="9" t="s">
        <v>15</v>
      </c>
      <c r="K332" s="9" t="s">
        <v>0</v>
      </c>
      <c r="L332" s="9" t="s">
        <v>45</v>
      </c>
    </row>
    <row r="333" spans="2:16" ht="18" customHeight="1" x14ac:dyDescent="0.25">
      <c r="B333" s="15"/>
      <c r="C333" s="15" t="str">
        <f>IFERROR(IF(B333="","",VLOOKUP(B333,LISTAS!$F$5:$G$1004,2,0)),"0")</f>
        <v/>
      </c>
      <c r="D333" s="15" t="str">
        <f>IF(H333&lt;3,"",IF(H333=3,IF(D339&lt;&gt;"",IF(H339&lt;&gt;"",IF(D339&lt;&gt;H339,IF(D339&gt;H339,"V","D"),""),""),"")))</f>
        <v/>
      </c>
      <c r="E333" s="15" t="str">
        <f>IF(H333&lt;3,"",IF(H333=3,IF(D341&lt;&gt;"",IF(H341&lt;&gt;"",IF(D341&lt;&gt;H341,IF(D341&gt;H341,"V","D"),""),""),"")))</f>
        <v/>
      </c>
      <c r="F333" s="15" t="s">
        <v>81</v>
      </c>
      <c r="G333" s="15" t="s">
        <v>81</v>
      </c>
      <c r="H333" s="117">
        <f>COUNTA(B333:B335)</f>
        <v>0</v>
      </c>
      <c r="I333" s="15" t="str">
        <f>IF(B333&lt;&gt;"",1,"")</f>
        <v/>
      </c>
      <c r="J333" s="15" t="str">
        <f>IF(I333&lt;&gt;"",P333,"")</f>
        <v/>
      </c>
      <c r="K333" s="15" t="str">
        <f>IFERROR(IF(J333="","",VLOOKUP(J333,LISTAS!$F$5:$G$1004,2,0)),"0")</f>
        <v/>
      </c>
      <c r="L333" s="119" t="str">
        <f>IF(H333=3,"OURO",IF(H333=4,"OURO",IF(H333=5,"OURO","")))</f>
        <v/>
      </c>
      <c r="M333" s="20" t="str">
        <f>IF(B333&lt;&gt;"",COUNTIF(D333:G333,"V")+(SUMIF(B339:B341,B333,D339:E341)/1000)+(SUMIF(J339:J341,B333,H339:I341)/1000)-(SUMIF(B339:B341,B333,H339:I341)/1000)-(SUMIF(J339:J341,B333,D339:E341)/1000)+0.003,"")</f>
        <v/>
      </c>
      <c r="N333" s="20" t="str">
        <f>IF(B333="","",B333)</f>
        <v/>
      </c>
      <c r="O333" s="20" t="str">
        <f>IF(B333&lt;&gt;"",LARGE(M333:M335,1),"")</f>
        <v/>
      </c>
      <c r="P333" s="20" t="str">
        <f>VLOOKUP(O333,M333:N335,2,0)</f>
        <v/>
      </c>
    </row>
    <row r="334" spans="2:16" ht="18" customHeight="1" x14ac:dyDescent="0.25">
      <c r="B334" s="15"/>
      <c r="C334" s="15" t="str">
        <f>IFERROR(IF(B334="","",VLOOKUP(B334,LISTAS!$F$5:$G$1004,2,0)),"0")</f>
        <v/>
      </c>
      <c r="D334" s="15" t="str">
        <f>IF(H333&lt;3,"",IF(H333=3,IF(D340&lt;&gt;"",IF(H340&lt;&gt;"",IF(D340&lt;&gt;H340,IF(D340&gt;H340,"V","D"),""),""),"")))</f>
        <v/>
      </c>
      <c r="E334" s="15" t="str">
        <f>IF(H333&lt;3,"",IF(H333=3,IF(D341&lt;&gt;"",IF(H341&lt;&gt;"",IF(D341&lt;&gt;H341,IF(D341&gt;H341,"D","V"),""),""),"")))</f>
        <v/>
      </c>
      <c r="F334" s="15" t="s">
        <v>81</v>
      </c>
      <c r="G334" s="15" t="s">
        <v>81</v>
      </c>
      <c r="H334" s="115"/>
      <c r="I334" s="15" t="str">
        <f>IF(B334&lt;&gt;"",2,"")</f>
        <v/>
      </c>
      <c r="J334" s="15" t="str">
        <f>IF(I334&lt;&gt;"",P334,"")</f>
        <v/>
      </c>
      <c r="K334" s="15" t="str">
        <f>IFERROR(IF(J334="","",VLOOKUP(J334,LISTAS!$F$5:$G$1004,2,0)),"0")</f>
        <v/>
      </c>
      <c r="L334" s="119" t="str">
        <f>IF(H333=3,"PRATA",IF(H333=4,"OURO",IF(H333=5,"OURO","")))</f>
        <v/>
      </c>
      <c r="M334" s="20" t="str">
        <f>IF(B334&lt;&gt;"",COUNTIF(D334:G334,"V")+(SUMIF(B339:B341,B334,D339:E341)/1000)+(SUMIF(J339:J341,B334,H339:I341)/1000)-(SUMIF(B339:B341,B334,H339:I341)/1000)-(SUMIF(J339:J341,B334,D339:E341)/1000)+0.002,"")</f>
        <v/>
      </c>
      <c r="N334" s="20" t="str">
        <f t="shared" ref="N334" si="24">IF(B334="","",B334)</f>
        <v/>
      </c>
      <c r="O334" s="20" t="str">
        <f>IF(B334&lt;&gt;"",LARGE(M333:M335,2),"")</f>
        <v/>
      </c>
      <c r="P334" s="20" t="str">
        <f>VLOOKUP(O334,M333:N335,2,0)</f>
        <v/>
      </c>
    </row>
    <row r="335" spans="2:16" ht="18" customHeight="1" x14ac:dyDescent="0.25">
      <c r="B335" s="15"/>
      <c r="C335" s="15" t="str">
        <f>IFERROR(IF(B335="","",VLOOKUP(B335,LISTAS!$F$5:$G$1004,2,0)),"0")</f>
        <v/>
      </c>
      <c r="D335" s="15" t="str">
        <f>IF(H333&lt;3,"",IF(H333=3,IF(D339&lt;&gt;"",IF(H339&lt;&gt;"",IF(D339&lt;&gt;H339,IF(D339&gt;H339,"D","V"),""),""),"")))</f>
        <v/>
      </c>
      <c r="E335" s="15" t="str">
        <f>IF(H333&lt;3,"",IF(H333=3,IF(D340&lt;&gt;"",IF(H340&lt;&gt;"",IF(D340&lt;&gt;H340,IF(D340&gt;H340,"D","V"),""),""),"")))</f>
        <v/>
      </c>
      <c r="F335" s="15" t="s">
        <v>81</v>
      </c>
      <c r="G335" s="15" t="s">
        <v>81</v>
      </c>
      <c r="H335" s="115"/>
      <c r="I335" s="15" t="str">
        <f>IF(B335&lt;&gt;"",3,"")</f>
        <v/>
      </c>
      <c r="J335" s="15" t="str">
        <f>IF(I335&lt;&gt;"",P335,"")</f>
        <v/>
      </c>
      <c r="K335" s="15" t="str">
        <f>IFERROR(IF(J335="","",VLOOKUP(J335,LISTAS!$F$5:$G$1004,2,0)),"0")</f>
        <v/>
      </c>
      <c r="L335" s="119" t="str">
        <f>IF(H333=3,"BRONZE",IF(H333=4,"PRATA",IF(H333=5,"OURO","")))</f>
        <v/>
      </c>
      <c r="M335" s="20" t="str">
        <f>IF(B335&lt;&gt;"",COUNTIF(D335:G335,"V")+(SUMIF(B339:B341,B335,D339:E341)/1000)+(SUMIF(J339:J341,B335,H339:I341)/1000)-(SUMIF(B339:B341,B335,H339:I341)/1000)-(SUMIF(J339:J341,B335,D339:E341)/1000)+0.001,"")</f>
        <v/>
      </c>
      <c r="N335" s="20" t="str">
        <f>IF(B335="","",B335)</f>
        <v/>
      </c>
      <c r="O335" s="20" t="str">
        <f>IF(B335&lt;&gt;"",LARGE(M333:M335,3),"")</f>
        <v/>
      </c>
      <c r="P335" s="20" t="str">
        <f>VLOOKUP(O335,M333:N335,2,0)</f>
        <v/>
      </c>
    </row>
    <row r="336" spans="2:16" ht="18" customHeight="1" x14ac:dyDescent="0.25">
      <c r="B336" s="79"/>
      <c r="C336" s="79"/>
      <c r="D336" s="79"/>
      <c r="E336" s="79"/>
      <c r="F336" s="79"/>
      <c r="G336" s="79"/>
      <c r="I336" s="80"/>
      <c r="J336" s="79"/>
      <c r="K336" s="81"/>
      <c r="L336" s="81"/>
    </row>
    <row r="337" spans="2:16" ht="23.25" customHeight="1" x14ac:dyDescent="0.25">
      <c r="B337" s="82" t="s">
        <v>40</v>
      </c>
      <c r="C337" s="79"/>
      <c r="D337" s="79"/>
      <c r="E337" s="79"/>
      <c r="F337" s="79"/>
      <c r="G337" s="79"/>
      <c r="H337" s="79"/>
      <c r="I337" s="79"/>
      <c r="J337" s="79"/>
      <c r="K337" s="79"/>
      <c r="L337" s="79"/>
    </row>
    <row r="338" spans="2:16" ht="18" customHeight="1" x14ac:dyDescent="0.25">
      <c r="B338" s="9" t="s">
        <v>15</v>
      </c>
      <c r="C338" s="9" t="s">
        <v>0</v>
      </c>
      <c r="D338" s="228" t="s">
        <v>41</v>
      </c>
      <c r="E338" s="229"/>
      <c r="F338" s="229"/>
      <c r="G338" s="229"/>
      <c r="H338" s="229"/>
      <c r="I338" s="230"/>
      <c r="J338" s="9" t="s">
        <v>15</v>
      </c>
      <c r="K338" s="9" t="s">
        <v>0</v>
      </c>
      <c r="L338" s="79"/>
    </row>
    <row r="339" spans="2:16" ht="18" customHeight="1" x14ac:dyDescent="0.25">
      <c r="B339" s="15" t="str">
        <f>IF(H333=3,B333,"")</f>
        <v/>
      </c>
      <c r="C339" s="15" t="str">
        <f>IFERROR(IF(B339="","",VLOOKUP(B339,LISTAS!$F$5:$G$1004,2,0)),"0")</f>
        <v/>
      </c>
      <c r="D339" s="223"/>
      <c r="E339" s="224"/>
      <c r="F339" s="223" t="s">
        <v>38</v>
      </c>
      <c r="G339" s="224"/>
      <c r="H339" s="223"/>
      <c r="I339" s="224"/>
      <c r="J339" s="21" t="str">
        <f>IF(H333=3,B335,"")</f>
        <v/>
      </c>
      <c r="K339" s="15" t="str">
        <f>IFERROR(IF(J339="","",VLOOKUP(J339,LISTAS!$F$5:$G$1004,2,0)),"0")</f>
        <v/>
      </c>
      <c r="L339" s="81"/>
    </row>
    <row r="340" spans="2:16" ht="18" customHeight="1" x14ac:dyDescent="0.25">
      <c r="B340" s="15" t="str">
        <f>IF(H333=3,B334,"")</f>
        <v/>
      </c>
      <c r="C340" s="15" t="str">
        <f>IFERROR(IF(B340="","",VLOOKUP(B340,LISTAS!$F$5:$G$1004,2,0)),"0")</f>
        <v/>
      </c>
      <c r="D340" s="223"/>
      <c r="E340" s="224"/>
      <c r="F340" s="223" t="s">
        <v>38</v>
      </c>
      <c r="G340" s="224"/>
      <c r="H340" s="223"/>
      <c r="I340" s="224"/>
      <c r="J340" s="21" t="str">
        <f>IF(H333=3,B335,"")</f>
        <v/>
      </c>
      <c r="K340" s="15" t="str">
        <f>IFERROR(IF(J340="","",VLOOKUP(J340,LISTAS!$F$5:$G$1004,2,0)),"0")</f>
        <v/>
      </c>
      <c r="L340" s="79"/>
    </row>
    <row r="341" spans="2:16" ht="18" customHeight="1" x14ac:dyDescent="0.25">
      <c r="B341" s="15" t="str">
        <f>IF(H333=3,B333,"")</f>
        <v/>
      </c>
      <c r="C341" s="15" t="str">
        <f>IFERROR(IF(B341="","",VLOOKUP(B341,LISTAS!$F$5:$G$1004,2,0)),"0")</f>
        <v/>
      </c>
      <c r="D341" s="223"/>
      <c r="E341" s="224"/>
      <c r="F341" s="223" t="s">
        <v>38</v>
      </c>
      <c r="G341" s="224"/>
      <c r="H341" s="223"/>
      <c r="I341" s="224"/>
      <c r="J341" s="21" t="str">
        <f>IF(H333=3,B334,"")</f>
        <v/>
      </c>
      <c r="K341" s="15" t="str">
        <f>IFERROR(IF(J341="","",VLOOKUP(J341,LISTAS!$F$5:$G$1004,2,0)),"0")</f>
        <v/>
      </c>
      <c r="L341" s="81"/>
    </row>
    <row r="344" spans="2:16" ht="30" customHeight="1" x14ac:dyDescent="0.25">
      <c r="B344" s="161" t="s">
        <v>70</v>
      </c>
      <c r="C344" s="79"/>
      <c r="D344" s="225" t="s">
        <v>42</v>
      </c>
      <c r="E344" s="226"/>
      <c r="F344" s="226"/>
      <c r="G344" s="227"/>
      <c r="H344" s="113"/>
      <c r="I344" s="225" t="s">
        <v>3</v>
      </c>
      <c r="J344" s="226"/>
      <c r="K344" s="226"/>
      <c r="L344" s="226"/>
    </row>
    <row r="345" spans="2:16" ht="18" customHeight="1" x14ac:dyDescent="0.25">
      <c r="B345" s="9" t="s">
        <v>15</v>
      </c>
      <c r="C345" s="9" t="s">
        <v>0</v>
      </c>
      <c r="D345" s="9" t="s">
        <v>43</v>
      </c>
      <c r="E345" s="9" t="s">
        <v>44</v>
      </c>
      <c r="F345" s="9" t="s">
        <v>77</v>
      </c>
      <c r="G345" s="9" t="s">
        <v>78</v>
      </c>
      <c r="H345" s="114"/>
      <c r="I345" s="9" t="s">
        <v>18</v>
      </c>
      <c r="J345" s="9" t="s">
        <v>15</v>
      </c>
      <c r="K345" s="9" t="s">
        <v>0</v>
      </c>
      <c r="L345" s="9" t="s">
        <v>45</v>
      </c>
    </row>
    <row r="346" spans="2:16" ht="18" customHeight="1" x14ac:dyDescent="0.25">
      <c r="B346" s="15"/>
      <c r="C346" s="15" t="str">
        <f>IFERROR(IF(B346="","",VLOOKUP(B346,LISTAS!$F$5:$G$1004,2,0)),"0")</f>
        <v/>
      </c>
      <c r="D346" s="15" t="str">
        <f>IF(H346&lt;3,"",IF(H346=3,IF(D352&lt;&gt;"",IF(H352&lt;&gt;"",IF(D352&lt;&gt;H352,IF(D352&gt;H352,"V","D"),""),""),"")))</f>
        <v/>
      </c>
      <c r="E346" s="15" t="str">
        <f>IF(H346&lt;3,"",IF(H346=3,IF(D354&lt;&gt;"",IF(H354&lt;&gt;"",IF(D354&lt;&gt;H354,IF(D354&gt;H354,"V","D"),""),""),"")))</f>
        <v/>
      </c>
      <c r="F346" s="15" t="s">
        <v>81</v>
      </c>
      <c r="G346" s="15" t="s">
        <v>81</v>
      </c>
      <c r="H346" s="117">
        <f>COUNTA(B346:B348)</f>
        <v>0</v>
      </c>
      <c r="I346" s="15" t="str">
        <f>IF(B346&lt;&gt;"",1,"")</f>
        <v/>
      </c>
      <c r="J346" s="15" t="str">
        <f>IF(I346&lt;&gt;"",P346,"")</f>
        <v/>
      </c>
      <c r="K346" s="15" t="str">
        <f>IFERROR(IF(J346="","",VLOOKUP(J346,LISTAS!$F$5:$G$1004,2,0)),"0")</f>
        <v/>
      </c>
      <c r="L346" s="119" t="str">
        <f>IF(H346=3,"OURO",IF(H346=4,"OURO",IF(H346=5,"OURO","")))</f>
        <v/>
      </c>
      <c r="M346" s="20" t="str">
        <f>IF(B346&lt;&gt;"",COUNTIF(D346:G346,"V")+(SUMIF(B352:B354,B346,D352:E354)/1000)+(SUMIF(J352:J354,B346,H352:I354)/1000)-(SUMIF(B352:B354,B346,H352:I354)/1000)-(SUMIF(J352:J354,B346,D352:E354)/1000)+0.003,"")</f>
        <v/>
      </c>
      <c r="N346" s="20" t="str">
        <f>IF(B346="","",B346)</f>
        <v/>
      </c>
      <c r="O346" s="20" t="str">
        <f>IF(B346&lt;&gt;"",LARGE(M346:M348,1),"")</f>
        <v/>
      </c>
      <c r="P346" s="20" t="str">
        <f>VLOOKUP(O346,M346:N348,2,0)</f>
        <v/>
      </c>
    </row>
    <row r="347" spans="2:16" ht="18" customHeight="1" x14ac:dyDescent="0.25">
      <c r="B347" s="15"/>
      <c r="C347" s="15" t="str">
        <f>IFERROR(IF(B347="","",VLOOKUP(B347,LISTAS!$F$5:$G$1004,2,0)),"0")</f>
        <v/>
      </c>
      <c r="D347" s="15" t="str">
        <f>IF(H346&lt;3,"",IF(H346=3,IF(D353&lt;&gt;"",IF(H353&lt;&gt;"",IF(D353&lt;&gt;H353,IF(D353&gt;H353,"V","D"),""),""),"")))</f>
        <v/>
      </c>
      <c r="E347" s="15" t="str">
        <f>IF(H346&lt;3,"",IF(H346=3,IF(D354&lt;&gt;"",IF(H354&lt;&gt;"",IF(D354&lt;&gt;H354,IF(D354&gt;H354,"D","V"),""),""),"")))</f>
        <v/>
      </c>
      <c r="F347" s="15" t="s">
        <v>81</v>
      </c>
      <c r="G347" s="15" t="s">
        <v>81</v>
      </c>
      <c r="H347" s="115"/>
      <c r="I347" s="15" t="str">
        <f>IF(B347&lt;&gt;"",2,"")</f>
        <v/>
      </c>
      <c r="J347" s="15" t="str">
        <f>IF(I347&lt;&gt;"",P347,"")</f>
        <v/>
      </c>
      <c r="K347" s="15" t="str">
        <f>IFERROR(IF(J347="","",VLOOKUP(J347,LISTAS!$F$5:$G$1004,2,0)),"0")</f>
        <v/>
      </c>
      <c r="L347" s="119" t="str">
        <f>IF(H346=3,"PRATA",IF(H346=4,"OURO",IF(H346=5,"OURO","")))</f>
        <v/>
      </c>
      <c r="M347" s="20" t="str">
        <f>IF(B347&lt;&gt;"",COUNTIF(D347:G347,"V")+(SUMIF(B352:B354,B347,D352:E354)/1000)+(SUMIF(J352:J354,B347,H352:I354)/1000)-(SUMIF(B352:B354,B347,H352:I354)/1000)-(SUMIF(J352:J354,B347,D352:E354)/1000)+0.002,"")</f>
        <v/>
      </c>
      <c r="N347" s="20" t="str">
        <f t="shared" ref="N347" si="25">IF(B347="","",B347)</f>
        <v/>
      </c>
      <c r="O347" s="20" t="str">
        <f>IF(B347&lt;&gt;"",LARGE(M346:M348,2),"")</f>
        <v/>
      </c>
      <c r="P347" s="20" t="str">
        <f>VLOOKUP(O347,M346:N348,2,0)</f>
        <v/>
      </c>
    </row>
    <row r="348" spans="2:16" ht="18" customHeight="1" x14ac:dyDescent="0.25">
      <c r="B348" s="15"/>
      <c r="C348" s="15" t="str">
        <f>IFERROR(IF(B348="","",VLOOKUP(B348,LISTAS!$F$5:$G$1004,2,0)),"0")</f>
        <v/>
      </c>
      <c r="D348" s="15" t="str">
        <f>IF(H346&lt;3,"",IF(H346=3,IF(D352&lt;&gt;"",IF(H352&lt;&gt;"",IF(D352&lt;&gt;H352,IF(D352&gt;H352,"D","V"),""),""),"")))</f>
        <v/>
      </c>
      <c r="E348" s="15" t="str">
        <f>IF(H346&lt;3,"",IF(H346=3,IF(D353&lt;&gt;"",IF(H353&lt;&gt;"",IF(D353&lt;&gt;H353,IF(D353&gt;H353,"D","V"),""),""),"")))</f>
        <v/>
      </c>
      <c r="F348" s="15" t="s">
        <v>81</v>
      </c>
      <c r="G348" s="15" t="s">
        <v>81</v>
      </c>
      <c r="H348" s="115"/>
      <c r="I348" s="15" t="str">
        <f>IF(B348&lt;&gt;"",3,"")</f>
        <v/>
      </c>
      <c r="J348" s="15" t="str">
        <f>IF(I348&lt;&gt;"",P348,"")</f>
        <v/>
      </c>
      <c r="K348" s="15" t="str">
        <f>IFERROR(IF(J348="","",VLOOKUP(J348,LISTAS!$F$5:$G$1004,2,0)),"0")</f>
        <v/>
      </c>
      <c r="L348" s="119" t="str">
        <f>IF(H346=3,"BRONZE",IF(H346=4,"PRATA",IF(H346=5,"OURO","")))</f>
        <v/>
      </c>
      <c r="M348" s="20" t="str">
        <f>IF(B348&lt;&gt;"",COUNTIF(D348:G348,"V")+(SUMIF(B352:B354,B348,D352:E354)/1000)+(SUMIF(J352:J354,B348,H352:I354)/1000)-(SUMIF(B352:B354,B348,H352:I354)/1000)-(SUMIF(J352:J354,B348,D352:E354)/1000)+0.001,"")</f>
        <v/>
      </c>
      <c r="N348" s="20" t="str">
        <f>IF(B348="","",B348)</f>
        <v/>
      </c>
      <c r="O348" s="20" t="str">
        <f>IF(B348&lt;&gt;"",LARGE(M346:M348,3),"")</f>
        <v/>
      </c>
      <c r="P348" s="20" t="str">
        <f>VLOOKUP(O348,M346:N348,2,0)</f>
        <v/>
      </c>
    </row>
    <row r="349" spans="2:16" ht="18" customHeight="1" x14ac:dyDescent="0.25">
      <c r="B349" s="79"/>
      <c r="C349" s="79"/>
      <c r="D349" s="79"/>
      <c r="E349" s="79"/>
      <c r="F349" s="79"/>
      <c r="G349" s="79"/>
      <c r="I349" s="80"/>
      <c r="J349" s="79"/>
      <c r="K349" s="81"/>
      <c r="L349" s="81"/>
    </row>
    <row r="350" spans="2:16" ht="23.25" customHeight="1" x14ac:dyDescent="0.25">
      <c r="B350" s="82" t="s">
        <v>40</v>
      </c>
      <c r="C350" s="79"/>
      <c r="D350" s="79"/>
      <c r="E350" s="79"/>
      <c r="F350" s="79"/>
      <c r="G350" s="79"/>
      <c r="H350" s="79"/>
      <c r="I350" s="79"/>
      <c r="J350" s="79"/>
      <c r="K350" s="79"/>
      <c r="L350" s="79"/>
    </row>
    <row r="351" spans="2:16" ht="18" customHeight="1" x14ac:dyDescent="0.25">
      <c r="B351" s="9" t="s">
        <v>15</v>
      </c>
      <c r="C351" s="9" t="s">
        <v>0</v>
      </c>
      <c r="D351" s="228" t="s">
        <v>41</v>
      </c>
      <c r="E351" s="229"/>
      <c r="F351" s="229"/>
      <c r="G351" s="229"/>
      <c r="H351" s="229"/>
      <c r="I351" s="230"/>
      <c r="J351" s="9" t="s">
        <v>15</v>
      </c>
      <c r="K351" s="9" t="s">
        <v>0</v>
      </c>
      <c r="L351" s="79"/>
    </row>
    <row r="352" spans="2:16" ht="18" customHeight="1" x14ac:dyDescent="0.25">
      <c r="B352" s="15" t="str">
        <f>IF(H346=3,B346,"")</f>
        <v/>
      </c>
      <c r="C352" s="15" t="str">
        <f>IFERROR(IF(B352="","",VLOOKUP(B352,LISTAS!$F$5:$G$1004,2,0)),"0")</f>
        <v/>
      </c>
      <c r="D352" s="223"/>
      <c r="E352" s="224"/>
      <c r="F352" s="223" t="s">
        <v>38</v>
      </c>
      <c r="G352" s="224"/>
      <c r="H352" s="223"/>
      <c r="I352" s="224"/>
      <c r="J352" s="21" t="str">
        <f>IF(H346=3,B348,"")</f>
        <v/>
      </c>
      <c r="K352" s="15" t="str">
        <f>IFERROR(IF(J352="","",VLOOKUP(J352,LISTAS!$F$5:$G$1004,2,0)),"0")</f>
        <v/>
      </c>
      <c r="L352" s="81"/>
    </row>
    <row r="353" spans="2:16" ht="18" customHeight="1" x14ac:dyDescent="0.25">
      <c r="B353" s="15" t="str">
        <f>IF(H346=3,B347,"")</f>
        <v/>
      </c>
      <c r="C353" s="15" t="str">
        <f>IFERROR(IF(B353="","",VLOOKUP(B353,LISTAS!$F$5:$G$1004,2,0)),"0")</f>
        <v/>
      </c>
      <c r="D353" s="223"/>
      <c r="E353" s="224"/>
      <c r="F353" s="223" t="s">
        <v>38</v>
      </c>
      <c r="G353" s="224"/>
      <c r="H353" s="223"/>
      <c r="I353" s="224"/>
      <c r="J353" s="21" t="str">
        <f>IF(H346=3,B348,"")</f>
        <v/>
      </c>
      <c r="K353" s="15" t="str">
        <f>IFERROR(IF(J353="","",VLOOKUP(J353,LISTAS!$F$5:$G$1004,2,0)),"0")</f>
        <v/>
      </c>
      <c r="L353" s="79"/>
    </row>
    <row r="354" spans="2:16" ht="18" customHeight="1" x14ac:dyDescent="0.25">
      <c r="B354" s="15" t="str">
        <f>IF(H346=3,B346,"")</f>
        <v/>
      </c>
      <c r="C354" s="15" t="str">
        <f>IFERROR(IF(B354="","",VLOOKUP(B354,LISTAS!$F$5:$G$1004,2,0)),"0")</f>
        <v/>
      </c>
      <c r="D354" s="223"/>
      <c r="E354" s="224"/>
      <c r="F354" s="223" t="s">
        <v>38</v>
      </c>
      <c r="G354" s="224"/>
      <c r="H354" s="223"/>
      <c r="I354" s="224"/>
      <c r="J354" s="21" t="str">
        <f>IF(H346=3,B347,"")</f>
        <v/>
      </c>
      <c r="K354" s="15" t="str">
        <f>IFERROR(IF(J354="","",VLOOKUP(J354,LISTAS!$F$5:$G$1004,2,0)),"0")</f>
        <v/>
      </c>
      <c r="L354" s="81"/>
    </row>
    <row r="357" spans="2:16" ht="30" customHeight="1" x14ac:dyDescent="0.25">
      <c r="B357" s="161" t="s">
        <v>71</v>
      </c>
      <c r="C357" s="79"/>
      <c r="D357" s="225" t="s">
        <v>42</v>
      </c>
      <c r="E357" s="226"/>
      <c r="F357" s="226"/>
      <c r="G357" s="227"/>
      <c r="H357" s="113"/>
      <c r="I357" s="225" t="s">
        <v>3</v>
      </c>
      <c r="J357" s="226"/>
      <c r="K357" s="226"/>
      <c r="L357" s="226"/>
    </row>
    <row r="358" spans="2:16" ht="18" customHeight="1" x14ac:dyDescent="0.25">
      <c r="B358" s="9" t="s">
        <v>15</v>
      </c>
      <c r="C358" s="9" t="s">
        <v>0</v>
      </c>
      <c r="D358" s="9" t="s">
        <v>43</v>
      </c>
      <c r="E358" s="9" t="s">
        <v>44</v>
      </c>
      <c r="F358" s="9" t="s">
        <v>77</v>
      </c>
      <c r="G358" s="9" t="s">
        <v>78</v>
      </c>
      <c r="H358" s="114"/>
      <c r="I358" s="9" t="s">
        <v>18</v>
      </c>
      <c r="J358" s="9" t="s">
        <v>15</v>
      </c>
      <c r="K358" s="9" t="s">
        <v>0</v>
      </c>
      <c r="L358" s="9" t="s">
        <v>45</v>
      </c>
    </row>
    <row r="359" spans="2:16" ht="18" customHeight="1" x14ac:dyDescent="0.25">
      <c r="B359" s="15"/>
      <c r="C359" s="15" t="str">
        <f>IFERROR(IF(B359="","",VLOOKUP(B359,LISTAS!$F$5:$G$1004,2,0)),"0")</f>
        <v/>
      </c>
      <c r="D359" s="15" t="str">
        <f>IF(H359&lt;3,"",IF(H359=3,IF(D365&lt;&gt;"",IF(H365&lt;&gt;"",IF(D365&lt;&gt;H365,IF(D365&gt;H365,"V","D"),""),""),"")))</f>
        <v/>
      </c>
      <c r="E359" s="15" t="str">
        <f>IF(H359&lt;3,"",IF(H359=3,IF(D367&lt;&gt;"",IF(H367&lt;&gt;"",IF(D367&lt;&gt;H367,IF(D367&gt;H367,"V","D"),""),""),"")))</f>
        <v/>
      </c>
      <c r="F359" s="15" t="s">
        <v>81</v>
      </c>
      <c r="G359" s="15" t="s">
        <v>81</v>
      </c>
      <c r="H359" s="117">
        <f>COUNTA(B359:B361)</f>
        <v>0</v>
      </c>
      <c r="I359" s="15" t="str">
        <f>IF(B359&lt;&gt;"",1,"")</f>
        <v/>
      </c>
      <c r="J359" s="15" t="str">
        <f>IF(I359&lt;&gt;"",P359,"")</f>
        <v/>
      </c>
      <c r="K359" s="15" t="str">
        <f>IFERROR(IF(J359="","",VLOOKUP(J359,LISTAS!$F$5:$G$1004,2,0)),"0")</f>
        <v/>
      </c>
      <c r="L359" s="119" t="str">
        <f>IF(H359=3,"OURO",IF(H359=4,"OURO",IF(H359=5,"OURO","")))</f>
        <v/>
      </c>
      <c r="M359" s="20" t="str">
        <f>IF(B359&lt;&gt;"",COUNTIF(D359:G359,"V")+(SUMIF(B365:B367,B359,D365:E367)/1000)+(SUMIF(J365:J367,B359,H365:I367)/1000)-(SUMIF(B365:B367,B359,H365:I367)/1000)-(SUMIF(J365:J367,B359,D365:E367)/1000)+0.003,"")</f>
        <v/>
      </c>
      <c r="N359" s="20" t="str">
        <f>IF(B359="","",B359)</f>
        <v/>
      </c>
      <c r="O359" s="20" t="str">
        <f>IF(B359&lt;&gt;"",LARGE(M359:M361,1),"")</f>
        <v/>
      </c>
      <c r="P359" s="20" t="str">
        <f>VLOOKUP(O359,M359:N361,2,0)</f>
        <v/>
      </c>
    </row>
    <row r="360" spans="2:16" ht="18" customHeight="1" x14ac:dyDescent="0.25">
      <c r="B360" s="15"/>
      <c r="C360" s="15" t="str">
        <f>IFERROR(IF(B360="","",VLOOKUP(B360,LISTAS!$F$5:$G$1004,2,0)),"0")</f>
        <v/>
      </c>
      <c r="D360" s="15" t="str">
        <f>IF(H359&lt;3,"",IF(H359=3,IF(D366&lt;&gt;"",IF(H366&lt;&gt;"",IF(D366&lt;&gt;H366,IF(D366&gt;H366,"V","D"),""),""),"")))</f>
        <v/>
      </c>
      <c r="E360" s="15" t="str">
        <f>IF(H359&lt;3,"",IF(H359=3,IF(D367&lt;&gt;"",IF(H367&lt;&gt;"",IF(D367&lt;&gt;H367,IF(D367&gt;H367,"D","V"),""),""),"")))</f>
        <v/>
      </c>
      <c r="F360" s="15" t="s">
        <v>81</v>
      </c>
      <c r="G360" s="15" t="s">
        <v>81</v>
      </c>
      <c r="H360" s="115"/>
      <c r="I360" s="15" t="str">
        <f>IF(B360&lt;&gt;"",2,"")</f>
        <v/>
      </c>
      <c r="J360" s="15" t="str">
        <f>IF(I360&lt;&gt;"",P360,"")</f>
        <v/>
      </c>
      <c r="K360" s="15" t="str">
        <f>IFERROR(IF(J360="","",VLOOKUP(J360,LISTAS!$F$5:$G$1004,2,0)),"0")</f>
        <v/>
      </c>
      <c r="L360" s="119" t="str">
        <f>IF(H359=3,"PRATA",IF(H359=4,"OURO",IF(H359=5,"OURO","")))</f>
        <v/>
      </c>
      <c r="M360" s="20" t="str">
        <f>IF(B360&lt;&gt;"",COUNTIF(D360:G360,"V")+(SUMIF(B365:B367,B360,D365:E367)/1000)+(SUMIF(J365:J367,B360,H365:I367)/1000)-(SUMIF(B365:B367,B360,H365:I367)/1000)-(SUMIF(J365:J367,B360,D365:E367)/1000)+0.002,"")</f>
        <v/>
      </c>
      <c r="N360" s="20" t="str">
        <f t="shared" ref="N360" si="26">IF(B360="","",B360)</f>
        <v/>
      </c>
      <c r="O360" s="20" t="str">
        <f>IF(B360&lt;&gt;"",LARGE(M359:M361,2),"")</f>
        <v/>
      </c>
      <c r="P360" s="20" t="str">
        <f>VLOOKUP(O360,M359:N361,2,0)</f>
        <v/>
      </c>
    </row>
    <row r="361" spans="2:16" ht="18" customHeight="1" x14ac:dyDescent="0.25">
      <c r="B361" s="15"/>
      <c r="C361" s="15" t="str">
        <f>IFERROR(IF(B361="","",VLOOKUP(B361,LISTAS!$F$5:$G$1004,2,0)),"0")</f>
        <v/>
      </c>
      <c r="D361" s="15" t="str">
        <f>IF(H359&lt;3,"",IF(H359=3,IF(D365&lt;&gt;"",IF(H365&lt;&gt;"",IF(D365&lt;&gt;H365,IF(D365&gt;H365,"D","V"),""),""),"")))</f>
        <v/>
      </c>
      <c r="E361" s="15" t="str">
        <f>IF(H359&lt;3,"",IF(H359=3,IF(D366&lt;&gt;"",IF(H366&lt;&gt;"",IF(D366&lt;&gt;H366,IF(D366&gt;H366,"D","V"),""),""),"")))</f>
        <v/>
      </c>
      <c r="F361" s="15" t="s">
        <v>81</v>
      </c>
      <c r="G361" s="15" t="s">
        <v>81</v>
      </c>
      <c r="H361" s="115"/>
      <c r="I361" s="15" t="str">
        <f>IF(B361&lt;&gt;"",3,"")</f>
        <v/>
      </c>
      <c r="J361" s="15" t="str">
        <f>IF(I361&lt;&gt;"",P361,"")</f>
        <v/>
      </c>
      <c r="K361" s="15" t="str">
        <f>IFERROR(IF(J361="","",VLOOKUP(J361,LISTAS!$F$5:$G$1004,2,0)),"0")</f>
        <v/>
      </c>
      <c r="L361" s="119" t="str">
        <f>IF(H359=3,"BRONZE",IF(H359=4,"PRATA",IF(H359=5,"OURO","")))</f>
        <v/>
      </c>
      <c r="M361" s="20" t="str">
        <f>IF(B361&lt;&gt;"",COUNTIF(D361:G361,"V")+(SUMIF(B365:B367,B361,D365:E367)/1000)+(SUMIF(J365:J367,B361,H365:I367)/1000)-(SUMIF(B365:B367,B361,H365:I367)/1000)-(SUMIF(J365:J367,B361,D365:E367)/1000)+0.001,"")</f>
        <v/>
      </c>
      <c r="N361" s="20" t="str">
        <f>IF(B361="","",B361)</f>
        <v/>
      </c>
      <c r="O361" s="20" t="str">
        <f>IF(B361&lt;&gt;"",LARGE(M359:M361,3),"")</f>
        <v/>
      </c>
      <c r="P361" s="20" t="str">
        <f>VLOOKUP(O361,M359:N361,2,0)</f>
        <v/>
      </c>
    </row>
    <row r="362" spans="2:16" ht="18" customHeight="1" x14ac:dyDescent="0.25">
      <c r="B362" s="79"/>
      <c r="C362" s="79"/>
      <c r="D362" s="79"/>
      <c r="E362" s="79"/>
      <c r="F362" s="79"/>
      <c r="G362" s="79"/>
      <c r="I362" s="80"/>
      <c r="J362" s="79"/>
      <c r="K362" s="81"/>
      <c r="L362" s="81"/>
    </row>
    <row r="363" spans="2:16" ht="23.25" customHeight="1" x14ac:dyDescent="0.25">
      <c r="B363" s="82" t="s">
        <v>40</v>
      </c>
      <c r="C363" s="79"/>
      <c r="D363" s="79"/>
      <c r="E363" s="79"/>
      <c r="F363" s="79"/>
      <c r="G363" s="79"/>
      <c r="H363" s="79"/>
      <c r="I363" s="79"/>
      <c r="J363" s="79"/>
      <c r="K363" s="79"/>
      <c r="L363" s="79"/>
    </row>
    <row r="364" spans="2:16" ht="18" customHeight="1" x14ac:dyDescent="0.25">
      <c r="B364" s="9" t="s">
        <v>15</v>
      </c>
      <c r="C364" s="9" t="s">
        <v>0</v>
      </c>
      <c r="D364" s="228" t="s">
        <v>41</v>
      </c>
      <c r="E364" s="229"/>
      <c r="F364" s="229"/>
      <c r="G364" s="229"/>
      <c r="H364" s="229"/>
      <c r="I364" s="230"/>
      <c r="J364" s="9" t="s">
        <v>15</v>
      </c>
      <c r="K364" s="9" t="s">
        <v>0</v>
      </c>
      <c r="L364" s="79"/>
    </row>
    <row r="365" spans="2:16" ht="18" customHeight="1" x14ac:dyDescent="0.25">
      <c r="B365" s="15" t="str">
        <f>IF(H359=3,B359,"")</f>
        <v/>
      </c>
      <c r="C365" s="15" t="str">
        <f>IFERROR(IF(B365="","",VLOOKUP(B365,LISTAS!$F$5:$G$1004,2,0)),"0")</f>
        <v/>
      </c>
      <c r="D365" s="223"/>
      <c r="E365" s="224"/>
      <c r="F365" s="223" t="s">
        <v>38</v>
      </c>
      <c r="G365" s="224"/>
      <c r="H365" s="223"/>
      <c r="I365" s="224"/>
      <c r="J365" s="21" t="str">
        <f>IF(H359=3,B361,"")</f>
        <v/>
      </c>
      <c r="K365" s="15" t="str">
        <f>IFERROR(IF(J365="","",VLOOKUP(J365,LISTAS!$F$5:$G$1004,2,0)),"0")</f>
        <v/>
      </c>
      <c r="L365" s="81"/>
    </row>
    <row r="366" spans="2:16" ht="18" customHeight="1" x14ac:dyDescent="0.25">
      <c r="B366" s="15" t="str">
        <f>IF(H359=3,B360,"")</f>
        <v/>
      </c>
      <c r="C366" s="15" t="str">
        <f>IFERROR(IF(B366="","",VLOOKUP(B366,LISTAS!$F$5:$G$1004,2,0)),"0")</f>
        <v/>
      </c>
      <c r="D366" s="223"/>
      <c r="E366" s="224"/>
      <c r="F366" s="223" t="s">
        <v>38</v>
      </c>
      <c r="G366" s="224"/>
      <c r="H366" s="223"/>
      <c r="I366" s="224"/>
      <c r="J366" s="21" t="str">
        <f>IF(H359=3,B361,"")</f>
        <v/>
      </c>
      <c r="K366" s="15" t="str">
        <f>IFERROR(IF(J366="","",VLOOKUP(J366,LISTAS!$F$5:$G$1004,2,0)),"0")</f>
        <v/>
      </c>
      <c r="L366" s="79"/>
    </row>
    <row r="367" spans="2:16" ht="18" customHeight="1" x14ac:dyDescent="0.25">
      <c r="B367" s="15" t="str">
        <f>IF(H359=3,B359,"")</f>
        <v/>
      </c>
      <c r="C367" s="15" t="str">
        <f>IFERROR(IF(B367="","",VLOOKUP(B367,LISTAS!$F$5:$G$1004,2,0)),"0")</f>
        <v/>
      </c>
      <c r="D367" s="223"/>
      <c r="E367" s="224"/>
      <c r="F367" s="223" t="s">
        <v>38</v>
      </c>
      <c r="G367" s="224"/>
      <c r="H367" s="223"/>
      <c r="I367" s="224"/>
      <c r="J367" s="21" t="str">
        <f>IF(H359=3,B360,"")</f>
        <v/>
      </c>
      <c r="K367" s="15" t="str">
        <f>IFERROR(IF(J367="","",VLOOKUP(J367,LISTAS!$F$5:$G$1004,2,0)),"0")</f>
        <v/>
      </c>
      <c r="L367" s="81"/>
    </row>
    <row r="370" spans="2:16" ht="30" customHeight="1" x14ac:dyDescent="0.25">
      <c r="B370" s="161" t="s">
        <v>72</v>
      </c>
      <c r="C370" s="79"/>
      <c r="D370" s="225" t="s">
        <v>42</v>
      </c>
      <c r="E370" s="226"/>
      <c r="F370" s="226"/>
      <c r="G370" s="227"/>
      <c r="H370" s="113"/>
      <c r="I370" s="225" t="s">
        <v>3</v>
      </c>
      <c r="J370" s="226"/>
      <c r="K370" s="226"/>
      <c r="L370" s="226"/>
    </row>
    <row r="371" spans="2:16" ht="18" customHeight="1" x14ac:dyDescent="0.25">
      <c r="B371" s="9" t="s">
        <v>15</v>
      </c>
      <c r="C371" s="9" t="s">
        <v>0</v>
      </c>
      <c r="D371" s="9" t="s">
        <v>43</v>
      </c>
      <c r="E371" s="9" t="s">
        <v>44</v>
      </c>
      <c r="F371" s="9" t="s">
        <v>77</v>
      </c>
      <c r="G371" s="9" t="s">
        <v>78</v>
      </c>
      <c r="H371" s="114"/>
      <c r="I371" s="9" t="s">
        <v>18</v>
      </c>
      <c r="J371" s="9" t="s">
        <v>15</v>
      </c>
      <c r="K371" s="9" t="s">
        <v>0</v>
      </c>
      <c r="L371" s="9" t="s">
        <v>45</v>
      </c>
    </row>
    <row r="372" spans="2:16" ht="18" customHeight="1" x14ac:dyDescent="0.25">
      <c r="B372" s="15"/>
      <c r="C372" s="15" t="str">
        <f>IFERROR(IF(B372="","",VLOOKUP(B372,LISTAS!$F$5:$G$1004,2,0)),"0")</f>
        <v/>
      </c>
      <c r="D372" s="15" t="str">
        <f>IF(H372&lt;3,"",IF(H372=3,IF(D378&lt;&gt;"",IF(H378&lt;&gt;"",IF(D378&lt;&gt;H378,IF(D378&gt;H378,"V","D"),""),""),"")))</f>
        <v/>
      </c>
      <c r="E372" s="15" t="str">
        <f>IF(H372&lt;3,"",IF(H372=3,IF(D380&lt;&gt;"",IF(H380&lt;&gt;"",IF(D380&lt;&gt;H380,IF(D380&gt;H380,"V","D"),""),""),"")))</f>
        <v/>
      </c>
      <c r="F372" s="15" t="s">
        <v>81</v>
      </c>
      <c r="G372" s="15" t="s">
        <v>81</v>
      </c>
      <c r="H372" s="117">
        <f>COUNTA(B372:B374)</f>
        <v>0</v>
      </c>
      <c r="I372" s="15" t="str">
        <f>IF(B372&lt;&gt;"",1,"")</f>
        <v/>
      </c>
      <c r="J372" s="15" t="str">
        <f>IF(I372&lt;&gt;"",P372,"")</f>
        <v/>
      </c>
      <c r="K372" s="15" t="str">
        <f>IFERROR(IF(J372="","",VLOOKUP(J372,LISTAS!$F$5:$G$1004,2,0)),"0")</f>
        <v/>
      </c>
      <c r="L372" s="119" t="str">
        <f>IF(H372=3,"OURO",IF(H372=4,"OURO",IF(H372=5,"OURO","")))</f>
        <v/>
      </c>
      <c r="M372" s="20" t="str">
        <f>IF(B372&lt;&gt;"",COUNTIF(D372:G372,"V")+(SUMIF(B378:B380,B372,D378:E380)/1000)+(SUMIF(J378:J380,B372,H378:I380)/1000)-(SUMIF(B378:B380,B372,H378:I380)/1000)-(SUMIF(J378:J380,B372,D378:E380)/1000)+0.003,"")</f>
        <v/>
      </c>
      <c r="N372" s="20" t="str">
        <f>IF(B372="","",B372)</f>
        <v/>
      </c>
      <c r="O372" s="20" t="str">
        <f>IF(B372&lt;&gt;"",LARGE(M372:M374,1),"")</f>
        <v/>
      </c>
      <c r="P372" s="20" t="str">
        <f>VLOOKUP(O372,M372:N374,2,0)</f>
        <v/>
      </c>
    </row>
    <row r="373" spans="2:16" ht="18" customHeight="1" x14ac:dyDescent="0.25">
      <c r="B373" s="15"/>
      <c r="C373" s="15" t="str">
        <f>IFERROR(IF(B373="","",VLOOKUP(B373,LISTAS!$F$5:$G$1004,2,0)),"0")</f>
        <v/>
      </c>
      <c r="D373" s="15" t="str">
        <f>IF(H372&lt;3,"",IF(H372=3,IF(D379&lt;&gt;"",IF(H379&lt;&gt;"",IF(D379&lt;&gt;H379,IF(D379&gt;H379,"V","D"),""),""),"")))</f>
        <v/>
      </c>
      <c r="E373" s="15" t="str">
        <f>IF(H372&lt;3,"",IF(H372=3,IF(D380&lt;&gt;"",IF(H380&lt;&gt;"",IF(D380&lt;&gt;H380,IF(D380&gt;H380,"D","V"),""),""),"")))</f>
        <v/>
      </c>
      <c r="F373" s="15" t="s">
        <v>81</v>
      </c>
      <c r="G373" s="15" t="s">
        <v>81</v>
      </c>
      <c r="H373" s="115"/>
      <c r="I373" s="15" t="str">
        <f>IF(B373&lt;&gt;"",2,"")</f>
        <v/>
      </c>
      <c r="J373" s="15" t="str">
        <f>IF(I373&lt;&gt;"",P373,"")</f>
        <v/>
      </c>
      <c r="K373" s="15" t="str">
        <f>IFERROR(IF(J373="","",VLOOKUP(J373,LISTAS!$F$5:$G$1004,2,0)),"0")</f>
        <v/>
      </c>
      <c r="L373" s="119" t="str">
        <f>IF(H372=3,"PRATA",IF(H372=4,"OURO",IF(H372=5,"OURO","")))</f>
        <v/>
      </c>
      <c r="M373" s="20" t="str">
        <f>IF(B373&lt;&gt;"",COUNTIF(D373:G373,"V")+(SUMIF(B378:B380,B373,D378:E380)/1000)+(SUMIF(J378:J380,B373,H378:I380)/1000)-(SUMIF(B378:B380,B373,H378:I380)/1000)-(SUMIF(J378:J380,B373,D378:E380)/1000)+0.002,"")</f>
        <v/>
      </c>
      <c r="N373" s="20" t="str">
        <f t="shared" ref="N373" si="27">IF(B373="","",B373)</f>
        <v/>
      </c>
      <c r="O373" s="20" t="str">
        <f>IF(B373&lt;&gt;"",LARGE(M372:M374,2),"")</f>
        <v/>
      </c>
      <c r="P373" s="20" t="str">
        <f>VLOOKUP(O373,M372:N374,2,0)</f>
        <v/>
      </c>
    </row>
    <row r="374" spans="2:16" ht="18" customHeight="1" x14ac:dyDescent="0.25">
      <c r="B374" s="15"/>
      <c r="C374" s="15" t="str">
        <f>IFERROR(IF(B374="","",VLOOKUP(B374,LISTAS!$F$5:$G$1004,2,0)),"0")</f>
        <v/>
      </c>
      <c r="D374" s="15" t="str">
        <f>IF(H372&lt;3,"",IF(H372=3,IF(D378&lt;&gt;"",IF(H378&lt;&gt;"",IF(D378&lt;&gt;H378,IF(D378&gt;H378,"D","V"),""),""),"")))</f>
        <v/>
      </c>
      <c r="E374" s="15" t="str">
        <f>IF(H372&lt;3,"",IF(H372=3,IF(D379&lt;&gt;"",IF(H379&lt;&gt;"",IF(D379&lt;&gt;H379,IF(D379&gt;H379,"D","V"),""),""),"")))</f>
        <v/>
      </c>
      <c r="F374" s="15" t="s">
        <v>81</v>
      </c>
      <c r="G374" s="15" t="s">
        <v>81</v>
      </c>
      <c r="H374" s="115"/>
      <c r="I374" s="15" t="str">
        <f>IF(B374&lt;&gt;"",3,"")</f>
        <v/>
      </c>
      <c r="J374" s="15" t="str">
        <f>IF(I374&lt;&gt;"",P374,"")</f>
        <v/>
      </c>
      <c r="K374" s="15" t="str">
        <f>IFERROR(IF(J374="","",VLOOKUP(J374,LISTAS!$F$5:$G$1004,2,0)),"0")</f>
        <v/>
      </c>
      <c r="L374" s="119" t="str">
        <f>IF(H372=3,"BRONZE",IF(H372=4,"PRATA",IF(H372=5,"OURO","")))</f>
        <v/>
      </c>
      <c r="M374" s="20" t="str">
        <f>IF(B374&lt;&gt;"",COUNTIF(D374:G374,"V")+(SUMIF(B378:B380,B374,D378:E380)/1000)+(SUMIF(J378:J380,B374,H378:I380)/1000)-(SUMIF(B378:B380,B374,H378:I380)/1000)-(SUMIF(J378:J380,B374,D378:E380)/1000)+0.001,"")</f>
        <v/>
      </c>
      <c r="N374" s="20" t="str">
        <f>IF(B374="","",B374)</f>
        <v/>
      </c>
      <c r="O374" s="20" t="str">
        <f>IF(B374&lt;&gt;"",LARGE(M372:M374,3),"")</f>
        <v/>
      </c>
      <c r="P374" s="20" t="str">
        <f>VLOOKUP(O374,M372:N374,2,0)</f>
        <v/>
      </c>
    </row>
    <row r="375" spans="2:16" ht="18" customHeight="1" x14ac:dyDescent="0.25">
      <c r="B375" s="79"/>
      <c r="C375" s="79"/>
      <c r="D375" s="79"/>
      <c r="E375" s="79"/>
      <c r="F375" s="79"/>
      <c r="G375" s="79"/>
      <c r="I375" s="80"/>
      <c r="J375" s="79"/>
      <c r="K375" s="81"/>
      <c r="L375" s="81"/>
    </row>
    <row r="376" spans="2:16" ht="23.25" customHeight="1" x14ac:dyDescent="0.25">
      <c r="B376" s="82" t="s">
        <v>40</v>
      </c>
      <c r="C376" s="79"/>
      <c r="D376" s="79"/>
      <c r="E376" s="79"/>
      <c r="F376" s="79"/>
      <c r="G376" s="79"/>
      <c r="H376" s="79"/>
      <c r="I376" s="79"/>
      <c r="J376" s="79"/>
      <c r="K376" s="79"/>
      <c r="L376" s="79"/>
    </row>
    <row r="377" spans="2:16" ht="18" customHeight="1" x14ac:dyDescent="0.25">
      <c r="B377" s="9" t="s">
        <v>15</v>
      </c>
      <c r="C377" s="9" t="s">
        <v>0</v>
      </c>
      <c r="D377" s="228" t="s">
        <v>41</v>
      </c>
      <c r="E377" s="229"/>
      <c r="F377" s="229"/>
      <c r="G377" s="229"/>
      <c r="H377" s="229"/>
      <c r="I377" s="230"/>
      <c r="J377" s="9" t="s">
        <v>15</v>
      </c>
      <c r="K377" s="9" t="s">
        <v>0</v>
      </c>
      <c r="L377" s="79"/>
    </row>
    <row r="378" spans="2:16" ht="18" customHeight="1" x14ac:dyDescent="0.25">
      <c r="B378" s="15" t="str">
        <f>IF(H372=3,B372,"")</f>
        <v/>
      </c>
      <c r="C378" s="15" t="str">
        <f>IFERROR(IF(B378="","",VLOOKUP(B378,LISTAS!$F$5:$G$1004,2,0)),"0")</f>
        <v/>
      </c>
      <c r="D378" s="223"/>
      <c r="E378" s="224"/>
      <c r="F378" s="223" t="s">
        <v>38</v>
      </c>
      <c r="G378" s="224"/>
      <c r="H378" s="223"/>
      <c r="I378" s="224"/>
      <c r="J378" s="21" t="str">
        <f>IF(H372=3,B374,"")</f>
        <v/>
      </c>
      <c r="K378" s="15" t="str">
        <f>IFERROR(IF(J378="","",VLOOKUP(J378,LISTAS!$F$5:$G$1004,2,0)),"0")</f>
        <v/>
      </c>
      <c r="L378" s="81"/>
    </row>
    <row r="379" spans="2:16" ht="18" customHeight="1" x14ac:dyDescent="0.25">
      <c r="B379" s="15" t="str">
        <f>IF(H372=3,B373,"")</f>
        <v/>
      </c>
      <c r="C379" s="15" t="str">
        <f>IFERROR(IF(B379="","",VLOOKUP(B379,LISTAS!$F$5:$G$1004,2,0)),"0")</f>
        <v/>
      </c>
      <c r="D379" s="223"/>
      <c r="E379" s="224"/>
      <c r="F379" s="223" t="s">
        <v>38</v>
      </c>
      <c r="G379" s="224"/>
      <c r="H379" s="223"/>
      <c r="I379" s="224"/>
      <c r="J379" s="21" t="str">
        <f>IF(H372=3,B374,"")</f>
        <v/>
      </c>
      <c r="K379" s="15" t="str">
        <f>IFERROR(IF(J379="","",VLOOKUP(J379,LISTAS!$F$5:$G$1004,2,0)),"0")</f>
        <v/>
      </c>
      <c r="L379" s="79"/>
    </row>
    <row r="380" spans="2:16" ht="18" customHeight="1" x14ac:dyDescent="0.25">
      <c r="B380" s="15" t="str">
        <f>IF(H372=3,B372,"")</f>
        <v/>
      </c>
      <c r="C380" s="15" t="str">
        <f>IFERROR(IF(B380="","",VLOOKUP(B380,LISTAS!$F$5:$G$1004,2,0)),"0")</f>
        <v/>
      </c>
      <c r="D380" s="223"/>
      <c r="E380" s="224"/>
      <c r="F380" s="223" t="s">
        <v>38</v>
      </c>
      <c r="G380" s="224"/>
      <c r="H380" s="223"/>
      <c r="I380" s="224"/>
      <c r="J380" s="21" t="str">
        <f>IF(H372=3,B373,"")</f>
        <v/>
      </c>
      <c r="K380" s="15" t="str">
        <f>IFERROR(IF(J380="","",VLOOKUP(J380,LISTAS!$F$5:$G$1004,2,0)),"0")</f>
        <v/>
      </c>
      <c r="L380" s="81"/>
    </row>
    <row r="383" spans="2:16" ht="30" customHeight="1" x14ac:dyDescent="0.25">
      <c r="B383" s="161" t="s">
        <v>73</v>
      </c>
      <c r="C383" s="79"/>
      <c r="D383" s="225" t="s">
        <v>42</v>
      </c>
      <c r="E383" s="226"/>
      <c r="F383" s="226"/>
      <c r="G383" s="227"/>
      <c r="H383" s="113"/>
      <c r="I383" s="225" t="s">
        <v>3</v>
      </c>
      <c r="J383" s="226"/>
      <c r="K383" s="226"/>
      <c r="L383" s="226"/>
    </row>
    <row r="384" spans="2:16" ht="18" customHeight="1" x14ac:dyDescent="0.25">
      <c r="B384" s="9" t="s">
        <v>15</v>
      </c>
      <c r="C384" s="9" t="s">
        <v>0</v>
      </c>
      <c r="D384" s="9" t="s">
        <v>43</v>
      </c>
      <c r="E384" s="9" t="s">
        <v>44</v>
      </c>
      <c r="F384" s="9" t="s">
        <v>77</v>
      </c>
      <c r="G384" s="9" t="s">
        <v>78</v>
      </c>
      <c r="H384" s="114"/>
      <c r="I384" s="9" t="s">
        <v>18</v>
      </c>
      <c r="J384" s="9" t="s">
        <v>15</v>
      </c>
      <c r="K384" s="9" t="s">
        <v>0</v>
      </c>
      <c r="L384" s="9" t="s">
        <v>45</v>
      </c>
    </row>
    <row r="385" spans="2:16" ht="18" customHeight="1" x14ac:dyDescent="0.25">
      <c r="B385" s="15"/>
      <c r="C385" s="15" t="str">
        <f>IFERROR(IF(B385="","",VLOOKUP(B385,LISTAS!$F$5:$G$1004,2,0)),"0")</f>
        <v/>
      </c>
      <c r="D385" s="15" t="str">
        <f>IF(H385&lt;3,"",IF(H385=3,IF(D391&lt;&gt;"",IF(H391&lt;&gt;"",IF(D391&lt;&gt;H391,IF(D391&gt;H391,"V","D"),""),""),"")))</f>
        <v/>
      </c>
      <c r="E385" s="15" t="str">
        <f>IF(H385&lt;3,"",IF(H385=3,IF(D393&lt;&gt;"",IF(H393&lt;&gt;"",IF(D393&lt;&gt;H393,IF(D393&gt;H393,"V","D"),""),""),"")))</f>
        <v/>
      </c>
      <c r="F385" s="15" t="s">
        <v>81</v>
      </c>
      <c r="G385" s="15" t="s">
        <v>81</v>
      </c>
      <c r="H385" s="117">
        <f>COUNTA(B385:B387)</f>
        <v>0</v>
      </c>
      <c r="I385" s="15" t="str">
        <f>IF(B385&lt;&gt;"",1,"")</f>
        <v/>
      </c>
      <c r="J385" s="15" t="str">
        <f>IF(I385&lt;&gt;"",P385,"")</f>
        <v/>
      </c>
      <c r="K385" s="15" t="str">
        <f>IFERROR(IF(J385="","",VLOOKUP(J385,LISTAS!$F$5:$G$1004,2,0)),"0")</f>
        <v/>
      </c>
      <c r="L385" s="119" t="str">
        <f>IF(H385=3,"OURO",IF(H385=4,"OURO",IF(H385=5,"OURO","")))</f>
        <v/>
      </c>
      <c r="M385" s="20" t="str">
        <f>IF(B385&lt;&gt;"",COUNTIF(D385:G385,"V")+(SUMIF(B391:B393,B385,D391:E393)/1000)+(SUMIF(J391:J393,B385,H391:I393)/1000)-(SUMIF(B391:B393,B385,H391:I393)/1000)-(SUMIF(J391:J393,B385,D391:E393)/1000)+0.003,"")</f>
        <v/>
      </c>
      <c r="N385" s="20" t="str">
        <f>IF(B385="","",B385)</f>
        <v/>
      </c>
      <c r="O385" s="20" t="str">
        <f>IF(B385&lt;&gt;"",LARGE(M385:M387,1),"")</f>
        <v/>
      </c>
      <c r="P385" s="20" t="str">
        <f>VLOOKUP(O385,M385:N387,2,0)</f>
        <v/>
      </c>
    </row>
    <row r="386" spans="2:16" ht="18" customHeight="1" x14ac:dyDescent="0.25">
      <c r="B386" s="15"/>
      <c r="C386" s="15" t="str">
        <f>IFERROR(IF(B386="","",VLOOKUP(B386,LISTAS!$F$5:$G$1004,2,0)),"0")</f>
        <v/>
      </c>
      <c r="D386" s="15" t="str">
        <f>IF(H385&lt;3,"",IF(H385=3,IF(D392&lt;&gt;"",IF(H392&lt;&gt;"",IF(D392&lt;&gt;H392,IF(D392&gt;H392,"V","D"),""),""),"")))</f>
        <v/>
      </c>
      <c r="E386" s="15" t="str">
        <f>IF(H385&lt;3,"",IF(H385=3,IF(D393&lt;&gt;"",IF(H393&lt;&gt;"",IF(D393&lt;&gt;H393,IF(D393&gt;H393,"D","V"),""),""),"")))</f>
        <v/>
      </c>
      <c r="F386" s="15" t="s">
        <v>81</v>
      </c>
      <c r="G386" s="15" t="s">
        <v>81</v>
      </c>
      <c r="H386" s="115"/>
      <c r="I386" s="15" t="str">
        <f>IF(B386&lt;&gt;"",2,"")</f>
        <v/>
      </c>
      <c r="J386" s="15" t="str">
        <f>IF(I386&lt;&gt;"",P386,"")</f>
        <v/>
      </c>
      <c r="K386" s="15" t="str">
        <f>IFERROR(IF(J386="","",VLOOKUP(J386,LISTAS!$F$5:$G$1004,2,0)),"0")</f>
        <v/>
      </c>
      <c r="L386" s="119" t="str">
        <f>IF(H385=3,"PRATA",IF(H385=4,"OURO",IF(H385=5,"OURO","")))</f>
        <v/>
      </c>
      <c r="M386" s="20" t="str">
        <f>IF(B386&lt;&gt;"",COUNTIF(D386:G386,"V")+(SUMIF(B391:B393,B386,D391:E393)/1000)+(SUMIF(J391:J393,B386,H391:I393)/1000)-(SUMIF(B391:B393,B386,H391:I393)/1000)-(SUMIF(J391:J393,B386,D391:E393)/1000)+0.002,"")</f>
        <v/>
      </c>
      <c r="N386" s="20" t="str">
        <f t="shared" ref="N386" si="28">IF(B386="","",B386)</f>
        <v/>
      </c>
      <c r="O386" s="20" t="str">
        <f>IF(B386&lt;&gt;"",LARGE(M385:M387,2),"")</f>
        <v/>
      </c>
      <c r="P386" s="20" t="str">
        <f>VLOOKUP(O386,M385:N387,2,0)</f>
        <v/>
      </c>
    </row>
    <row r="387" spans="2:16" ht="18" customHeight="1" x14ac:dyDescent="0.25">
      <c r="B387" s="15"/>
      <c r="C387" s="15" t="str">
        <f>IFERROR(IF(B387="","",VLOOKUP(B387,LISTAS!$F$5:$G$1004,2,0)),"0")</f>
        <v/>
      </c>
      <c r="D387" s="15" t="str">
        <f>IF(H385&lt;3,"",IF(H385=3,IF(D391&lt;&gt;"",IF(H391&lt;&gt;"",IF(D391&lt;&gt;H391,IF(D391&gt;H391,"D","V"),""),""),"")))</f>
        <v/>
      </c>
      <c r="E387" s="15" t="str">
        <f>IF(H385&lt;3,"",IF(H385=3,IF(D392&lt;&gt;"",IF(H392&lt;&gt;"",IF(D392&lt;&gt;H392,IF(D392&gt;H392,"D","V"),""),""),"")))</f>
        <v/>
      </c>
      <c r="F387" s="15" t="s">
        <v>81</v>
      </c>
      <c r="G387" s="15" t="s">
        <v>81</v>
      </c>
      <c r="H387" s="115"/>
      <c r="I387" s="15" t="str">
        <f>IF(B387&lt;&gt;"",3,"")</f>
        <v/>
      </c>
      <c r="J387" s="15" t="str">
        <f>IF(I387&lt;&gt;"",P387,"")</f>
        <v/>
      </c>
      <c r="K387" s="15" t="str">
        <f>IFERROR(IF(J387="","",VLOOKUP(J387,LISTAS!$F$5:$G$1004,2,0)),"0")</f>
        <v/>
      </c>
      <c r="L387" s="119" t="str">
        <f>IF(H385=3,"BRONZE",IF(H385=4,"PRATA",IF(H385=5,"OURO","")))</f>
        <v/>
      </c>
      <c r="M387" s="20" t="str">
        <f>IF(B387&lt;&gt;"",COUNTIF(D387:G387,"V")+(SUMIF(B391:B393,B387,D391:E393)/1000)+(SUMIF(J391:J393,B387,H391:I393)/1000)-(SUMIF(B391:B393,B387,H391:I393)/1000)-(SUMIF(J391:J393,B387,D391:E393)/1000)+0.001,"")</f>
        <v/>
      </c>
      <c r="N387" s="20" t="str">
        <f>IF(B387="","",B387)</f>
        <v/>
      </c>
      <c r="O387" s="20" t="str">
        <f>IF(B387&lt;&gt;"",LARGE(M385:M387,3),"")</f>
        <v/>
      </c>
      <c r="P387" s="20" t="str">
        <f>VLOOKUP(O387,M385:N387,2,0)</f>
        <v/>
      </c>
    </row>
    <row r="388" spans="2:16" ht="18" customHeight="1" x14ac:dyDescent="0.25">
      <c r="B388" s="79"/>
      <c r="C388" s="79"/>
      <c r="D388" s="79"/>
      <c r="E388" s="79"/>
      <c r="F388" s="79"/>
      <c r="G388" s="79"/>
      <c r="I388" s="80"/>
      <c r="J388" s="79"/>
      <c r="K388" s="81"/>
      <c r="L388" s="81"/>
    </row>
    <row r="389" spans="2:16" ht="23.25" customHeight="1" x14ac:dyDescent="0.25">
      <c r="B389" s="82" t="s">
        <v>40</v>
      </c>
      <c r="C389" s="79"/>
      <c r="D389" s="79"/>
      <c r="E389" s="79"/>
      <c r="F389" s="79"/>
      <c r="G389" s="79"/>
      <c r="H389" s="79"/>
      <c r="I389" s="79"/>
      <c r="J389" s="79"/>
      <c r="K389" s="79"/>
      <c r="L389" s="79"/>
    </row>
    <row r="390" spans="2:16" ht="18" customHeight="1" x14ac:dyDescent="0.25">
      <c r="B390" s="9" t="s">
        <v>15</v>
      </c>
      <c r="C390" s="9" t="s">
        <v>0</v>
      </c>
      <c r="D390" s="228" t="s">
        <v>41</v>
      </c>
      <c r="E390" s="229"/>
      <c r="F390" s="229"/>
      <c r="G390" s="229"/>
      <c r="H390" s="229"/>
      <c r="I390" s="230"/>
      <c r="J390" s="9" t="s">
        <v>15</v>
      </c>
      <c r="K390" s="9" t="s">
        <v>0</v>
      </c>
      <c r="L390" s="79"/>
    </row>
    <row r="391" spans="2:16" ht="18" customHeight="1" x14ac:dyDescent="0.25">
      <c r="B391" s="15" t="str">
        <f>IF(H385=3,B385,"")</f>
        <v/>
      </c>
      <c r="C391" s="15" t="str">
        <f>IFERROR(IF(B391="","",VLOOKUP(B391,LISTAS!$F$5:$G$1004,2,0)),"0")</f>
        <v/>
      </c>
      <c r="D391" s="223"/>
      <c r="E391" s="224"/>
      <c r="F391" s="223" t="s">
        <v>38</v>
      </c>
      <c r="G391" s="224"/>
      <c r="H391" s="223"/>
      <c r="I391" s="224"/>
      <c r="J391" s="21" t="str">
        <f>IF(H385=3,B387,"")</f>
        <v/>
      </c>
      <c r="K391" s="15" t="str">
        <f>IFERROR(IF(J391="","",VLOOKUP(J391,LISTAS!$F$5:$G$1004,2,0)),"0")</f>
        <v/>
      </c>
      <c r="L391" s="81"/>
    </row>
    <row r="392" spans="2:16" ht="18" customHeight="1" x14ac:dyDescent="0.25">
      <c r="B392" s="15" t="str">
        <f>IF(H385=3,B386,"")</f>
        <v/>
      </c>
      <c r="C392" s="15" t="str">
        <f>IFERROR(IF(B392="","",VLOOKUP(B392,LISTAS!$F$5:$G$1004,2,0)),"0")</f>
        <v/>
      </c>
      <c r="D392" s="223"/>
      <c r="E392" s="224"/>
      <c r="F392" s="223" t="s">
        <v>38</v>
      </c>
      <c r="G392" s="224"/>
      <c r="H392" s="223"/>
      <c r="I392" s="224"/>
      <c r="J392" s="21" t="str">
        <f>IF(H385=3,B387,"")</f>
        <v/>
      </c>
      <c r="K392" s="15" t="str">
        <f>IFERROR(IF(J392="","",VLOOKUP(J392,LISTAS!$F$5:$G$1004,2,0)),"0")</f>
        <v/>
      </c>
      <c r="L392" s="79"/>
    </row>
    <row r="393" spans="2:16" ht="18" customHeight="1" x14ac:dyDescent="0.25">
      <c r="B393" s="15" t="str">
        <f>IF(H385=3,B385,"")</f>
        <v/>
      </c>
      <c r="C393" s="15" t="str">
        <f>IFERROR(IF(B393="","",VLOOKUP(B393,LISTAS!$F$5:$G$1004,2,0)),"0")</f>
        <v/>
      </c>
      <c r="D393" s="223"/>
      <c r="E393" s="224"/>
      <c r="F393" s="223" t="s">
        <v>38</v>
      </c>
      <c r="G393" s="224"/>
      <c r="H393" s="223"/>
      <c r="I393" s="224"/>
      <c r="J393" s="21" t="str">
        <f>IF(H385=3,B386,"")</f>
        <v/>
      </c>
      <c r="K393" s="15" t="str">
        <f>IFERROR(IF(J393="","",VLOOKUP(J393,LISTAS!$F$5:$G$1004,2,0)),"0")</f>
        <v/>
      </c>
      <c r="L393" s="81"/>
    </row>
    <row r="396" spans="2:16" ht="30" customHeight="1" x14ac:dyDescent="0.25">
      <c r="B396" s="161" t="s">
        <v>74</v>
      </c>
      <c r="C396" s="79"/>
      <c r="D396" s="225" t="s">
        <v>42</v>
      </c>
      <c r="E396" s="226"/>
      <c r="F396" s="226"/>
      <c r="G396" s="227"/>
      <c r="H396" s="113"/>
      <c r="I396" s="225" t="s">
        <v>3</v>
      </c>
      <c r="J396" s="226"/>
      <c r="K396" s="226"/>
      <c r="L396" s="226"/>
    </row>
    <row r="397" spans="2:16" ht="18" customHeight="1" x14ac:dyDescent="0.25">
      <c r="B397" s="9" t="s">
        <v>15</v>
      </c>
      <c r="C397" s="9" t="s">
        <v>0</v>
      </c>
      <c r="D397" s="9" t="s">
        <v>43</v>
      </c>
      <c r="E397" s="9" t="s">
        <v>44</v>
      </c>
      <c r="F397" s="9" t="s">
        <v>77</v>
      </c>
      <c r="G397" s="9" t="s">
        <v>78</v>
      </c>
      <c r="H397" s="114"/>
      <c r="I397" s="9" t="s">
        <v>18</v>
      </c>
      <c r="J397" s="9" t="s">
        <v>15</v>
      </c>
      <c r="K397" s="9" t="s">
        <v>0</v>
      </c>
      <c r="L397" s="9" t="s">
        <v>45</v>
      </c>
    </row>
    <row r="398" spans="2:16" ht="18" customHeight="1" x14ac:dyDescent="0.25">
      <c r="B398" s="15"/>
      <c r="C398" s="15" t="str">
        <f>IFERROR(IF(B398="","",VLOOKUP(B398,LISTAS!$F$5:$G$1004,2,0)),"0")</f>
        <v/>
      </c>
      <c r="D398" s="15" t="str">
        <f>IF(H398&lt;3,"",IF(H398=3,IF(D404&lt;&gt;"",IF(H404&lt;&gt;"",IF(D404&lt;&gt;H404,IF(D404&gt;H404,"V","D"),""),""),"")))</f>
        <v/>
      </c>
      <c r="E398" s="15" t="str">
        <f>IF(H398&lt;3,"",IF(H398=3,IF(D406&lt;&gt;"",IF(H406&lt;&gt;"",IF(D406&lt;&gt;H406,IF(D406&gt;H406,"V","D"),""),""),"")))</f>
        <v/>
      </c>
      <c r="F398" s="15" t="s">
        <v>81</v>
      </c>
      <c r="G398" s="15" t="s">
        <v>81</v>
      </c>
      <c r="H398" s="117">
        <f>COUNTA(B398:B400)</f>
        <v>0</v>
      </c>
      <c r="I398" s="15" t="str">
        <f>IF(B398&lt;&gt;"",1,"")</f>
        <v/>
      </c>
      <c r="J398" s="15" t="str">
        <f>IF(I398&lt;&gt;"",P398,"")</f>
        <v/>
      </c>
      <c r="K398" s="15" t="str">
        <f>IFERROR(IF(J398="","",VLOOKUP(J398,LISTAS!$F$5:$G$1004,2,0)),"0")</f>
        <v/>
      </c>
      <c r="L398" s="119" t="str">
        <f>IF(H398=3,"OURO",IF(H398=4,"OURO",IF(H398=5,"OURO","")))</f>
        <v/>
      </c>
      <c r="M398" s="20" t="str">
        <f>IF(B398&lt;&gt;"",COUNTIF(D398:G398,"V")+(SUMIF(B404:B406,B398,D404:E406)/1000)+(SUMIF(J404:J406,B398,H404:I406)/1000)-(SUMIF(B404:B406,B398,H404:I406)/1000)-(SUMIF(J404:J406,B398,D404:E406)/1000)+0.003,"")</f>
        <v/>
      </c>
      <c r="N398" s="20" t="str">
        <f>IF(B398="","",B398)</f>
        <v/>
      </c>
      <c r="O398" s="20" t="str">
        <f>IF(B398&lt;&gt;"",LARGE(M398:M400,1),"")</f>
        <v/>
      </c>
      <c r="P398" s="20" t="str">
        <f>VLOOKUP(O398,M398:N400,2,0)</f>
        <v/>
      </c>
    </row>
    <row r="399" spans="2:16" ht="18" customHeight="1" x14ac:dyDescent="0.25">
      <c r="B399" s="15"/>
      <c r="C399" s="15" t="str">
        <f>IFERROR(IF(B399="","",VLOOKUP(B399,LISTAS!$F$5:$G$1004,2,0)),"0")</f>
        <v/>
      </c>
      <c r="D399" s="15" t="str">
        <f>IF(H398&lt;3,"",IF(H398=3,IF(D405&lt;&gt;"",IF(H405&lt;&gt;"",IF(D405&lt;&gt;H405,IF(D405&gt;H405,"V","D"),""),""),"")))</f>
        <v/>
      </c>
      <c r="E399" s="15" t="str">
        <f>IF(H398&lt;3,"",IF(H398=3,IF(D406&lt;&gt;"",IF(H406&lt;&gt;"",IF(D406&lt;&gt;H406,IF(D406&gt;H406,"D","V"),""),""),"")))</f>
        <v/>
      </c>
      <c r="F399" s="15" t="s">
        <v>81</v>
      </c>
      <c r="G399" s="15" t="s">
        <v>81</v>
      </c>
      <c r="H399" s="115"/>
      <c r="I399" s="15" t="str">
        <f>IF(B399&lt;&gt;"",2,"")</f>
        <v/>
      </c>
      <c r="J399" s="15" t="str">
        <f>IF(I399&lt;&gt;"",P399,"")</f>
        <v/>
      </c>
      <c r="K399" s="15" t="str">
        <f>IFERROR(IF(J399="","",VLOOKUP(J399,LISTAS!$F$5:$G$1004,2,0)),"0")</f>
        <v/>
      </c>
      <c r="L399" s="119" t="str">
        <f>IF(H398=3,"PRATA",IF(H398=4,"OURO",IF(H398=5,"OURO","")))</f>
        <v/>
      </c>
      <c r="M399" s="20" t="str">
        <f>IF(B399&lt;&gt;"",COUNTIF(D399:G399,"V")+(SUMIF(B404:B406,B399,D404:E406)/1000)+(SUMIF(J404:J406,B399,H404:I406)/1000)-(SUMIF(B404:B406,B399,H404:I406)/1000)-(SUMIF(J404:J406,B399,D404:E406)/1000)+0.002,"")</f>
        <v/>
      </c>
      <c r="N399" s="20" t="str">
        <f t="shared" ref="N399" si="29">IF(B399="","",B399)</f>
        <v/>
      </c>
      <c r="O399" s="20" t="str">
        <f>IF(B399&lt;&gt;"",LARGE(M398:M400,2),"")</f>
        <v/>
      </c>
      <c r="P399" s="20" t="str">
        <f>VLOOKUP(O399,M398:N400,2,0)</f>
        <v/>
      </c>
    </row>
    <row r="400" spans="2:16" ht="18" customHeight="1" x14ac:dyDescent="0.25">
      <c r="B400" s="15"/>
      <c r="C400" s="15" t="str">
        <f>IFERROR(IF(B400="","",VLOOKUP(B400,LISTAS!$F$5:$G$1004,2,0)),"0")</f>
        <v/>
      </c>
      <c r="D400" s="15" t="str">
        <f>IF(H398&lt;3,"",IF(H398=3,IF(D404&lt;&gt;"",IF(H404&lt;&gt;"",IF(D404&lt;&gt;H404,IF(D404&gt;H404,"D","V"),""),""),"")))</f>
        <v/>
      </c>
      <c r="E400" s="15" t="str">
        <f>IF(H398&lt;3,"",IF(H398=3,IF(D405&lt;&gt;"",IF(H405&lt;&gt;"",IF(D405&lt;&gt;H405,IF(D405&gt;H405,"D","V"),""),""),"")))</f>
        <v/>
      </c>
      <c r="F400" s="15" t="s">
        <v>81</v>
      </c>
      <c r="G400" s="15" t="s">
        <v>81</v>
      </c>
      <c r="H400" s="115"/>
      <c r="I400" s="15" t="str">
        <f>IF(B400&lt;&gt;"",3,"")</f>
        <v/>
      </c>
      <c r="J400" s="15" t="str">
        <f>IF(I400&lt;&gt;"",P400,"")</f>
        <v/>
      </c>
      <c r="K400" s="15" t="str">
        <f>IFERROR(IF(J400="","",VLOOKUP(J400,LISTAS!$F$5:$G$1004,2,0)),"0")</f>
        <v/>
      </c>
      <c r="L400" s="119" t="str">
        <f>IF(H398=3,"BRONZE",IF(H398=4,"PRATA",IF(H398=5,"OURO","")))</f>
        <v/>
      </c>
      <c r="M400" s="20" t="str">
        <f>IF(B400&lt;&gt;"",COUNTIF(D400:G400,"V")+(SUMIF(B404:B406,B400,D404:E406)/1000)+(SUMIF(J404:J406,B400,H404:I406)/1000)-(SUMIF(B404:B406,B400,H404:I406)/1000)-(SUMIF(J404:J406,B400,D404:E406)/1000)+0.001,"")</f>
        <v/>
      </c>
      <c r="N400" s="20" t="str">
        <f>IF(B400="","",B400)</f>
        <v/>
      </c>
      <c r="O400" s="20" t="str">
        <f>IF(B400&lt;&gt;"",LARGE(M398:M400,3),"")</f>
        <v/>
      </c>
      <c r="P400" s="20" t="str">
        <f>VLOOKUP(O400,M398:N400,2,0)</f>
        <v/>
      </c>
    </row>
    <row r="401" spans="2:16" ht="18" customHeight="1" x14ac:dyDescent="0.25">
      <c r="B401" s="79"/>
      <c r="C401" s="79"/>
      <c r="D401" s="79"/>
      <c r="E401" s="79"/>
      <c r="F401" s="79"/>
      <c r="G401" s="79"/>
      <c r="I401" s="80"/>
      <c r="J401" s="79"/>
      <c r="K401" s="81"/>
      <c r="L401" s="81"/>
    </row>
    <row r="402" spans="2:16" ht="23.25" customHeight="1" x14ac:dyDescent="0.25">
      <c r="B402" s="82" t="s">
        <v>40</v>
      </c>
      <c r="C402" s="79"/>
      <c r="D402" s="79"/>
      <c r="E402" s="79"/>
      <c r="F402" s="79"/>
      <c r="G402" s="79"/>
      <c r="H402" s="79"/>
      <c r="I402" s="79"/>
      <c r="J402" s="79"/>
      <c r="K402" s="79"/>
      <c r="L402" s="79"/>
    </row>
    <row r="403" spans="2:16" ht="18" customHeight="1" x14ac:dyDescent="0.25">
      <c r="B403" s="9" t="s">
        <v>15</v>
      </c>
      <c r="C403" s="9" t="s">
        <v>0</v>
      </c>
      <c r="D403" s="228" t="s">
        <v>41</v>
      </c>
      <c r="E403" s="229"/>
      <c r="F403" s="229"/>
      <c r="G403" s="229"/>
      <c r="H403" s="229"/>
      <c r="I403" s="230"/>
      <c r="J403" s="9" t="s">
        <v>15</v>
      </c>
      <c r="K403" s="9" t="s">
        <v>0</v>
      </c>
      <c r="L403" s="79"/>
    </row>
    <row r="404" spans="2:16" ht="18" customHeight="1" x14ac:dyDescent="0.25">
      <c r="B404" s="15" t="str">
        <f>IF(H398=3,B398,"")</f>
        <v/>
      </c>
      <c r="C404" s="15" t="str">
        <f>IFERROR(IF(B404="","",VLOOKUP(B404,LISTAS!$F$5:$G$1004,2,0)),"0")</f>
        <v/>
      </c>
      <c r="D404" s="223"/>
      <c r="E404" s="224"/>
      <c r="F404" s="223" t="s">
        <v>38</v>
      </c>
      <c r="G404" s="224"/>
      <c r="H404" s="223"/>
      <c r="I404" s="224"/>
      <c r="J404" s="21" t="str">
        <f>IF(H398=3,B400,"")</f>
        <v/>
      </c>
      <c r="K404" s="15" t="str">
        <f>IFERROR(IF(J404="","",VLOOKUP(J404,LISTAS!$F$5:$G$1004,2,0)),"0")</f>
        <v/>
      </c>
      <c r="L404" s="81"/>
    </row>
    <row r="405" spans="2:16" ht="18" customHeight="1" x14ac:dyDescent="0.25">
      <c r="B405" s="15" t="str">
        <f>IF(H398=3,B399,"")</f>
        <v/>
      </c>
      <c r="C405" s="15" t="str">
        <f>IFERROR(IF(B405="","",VLOOKUP(B405,LISTAS!$F$5:$G$1004,2,0)),"0")</f>
        <v/>
      </c>
      <c r="D405" s="223"/>
      <c r="E405" s="224"/>
      <c r="F405" s="223" t="s">
        <v>38</v>
      </c>
      <c r="G405" s="224"/>
      <c r="H405" s="223"/>
      <c r="I405" s="224"/>
      <c r="J405" s="21" t="str">
        <f>IF(H398=3,B400,"")</f>
        <v/>
      </c>
      <c r="K405" s="15" t="str">
        <f>IFERROR(IF(J405="","",VLOOKUP(J405,LISTAS!$F$5:$G$1004,2,0)),"0")</f>
        <v/>
      </c>
      <c r="L405" s="79"/>
    </row>
    <row r="406" spans="2:16" ht="18" customHeight="1" x14ac:dyDescent="0.25">
      <c r="B406" s="15" t="str">
        <f>IF(H398=3,B398,"")</f>
        <v/>
      </c>
      <c r="C406" s="15" t="str">
        <f>IFERROR(IF(B406="","",VLOOKUP(B406,LISTAS!$F$5:$G$1004,2,0)),"0")</f>
        <v/>
      </c>
      <c r="D406" s="223"/>
      <c r="E406" s="224"/>
      <c r="F406" s="223" t="s">
        <v>38</v>
      </c>
      <c r="G406" s="224"/>
      <c r="H406" s="223"/>
      <c r="I406" s="224"/>
      <c r="J406" s="21" t="str">
        <f>IF(H398=3,B399,"")</f>
        <v/>
      </c>
      <c r="K406" s="15" t="str">
        <f>IFERROR(IF(J406="","",VLOOKUP(J406,LISTAS!$F$5:$G$1004,2,0)),"0")</f>
        <v/>
      </c>
      <c r="L406" s="81"/>
    </row>
    <row r="409" spans="2:16" ht="30" customHeight="1" x14ac:dyDescent="0.25">
      <c r="B409" s="161" t="s">
        <v>75</v>
      </c>
      <c r="C409" s="79"/>
      <c r="D409" s="225" t="s">
        <v>42</v>
      </c>
      <c r="E409" s="226"/>
      <c r="F409" s="226"/>
      <c r="G409" s="227"/>
      <c r="H409" s="113"/>
      <c r="I409" s="225" t="s">
        <v>3</v>
      </c>
      <c r="J409" s="226"/>
      <c r="K409" s="226"/>
      <c r="L409" s="226"/>
    </row>
    <row r="410" spans="2:16" ht="18" customHeight="1" x14ac:dyDescent="0.25">
      <c r="B410" s="9" t="s">
        <v>15</v>
      </c>
      <c r="C410" s="9" t="s">
        <v>0</v>
      </c>
      <c r="D410" s="9" t="s">
        <v>43</v>
      </c>
      <c r="E410" s="9" t="s">
        <v>44</v>
      </c>
      <c r="F410" s="9" t="s">
        <v>77</v>
      </c>
      <c r="G410" s="9" t="s">
        <v>78</v>
      </c>
      <c r="H410" s="114"/>
      <c r="I410" s="9" t="s">
        <v>18</v>
      </c>
      <c r="J410" s="9" t="s">
        <v>15</v>
      </c>
      <c r="K410" s="9" t="s">
        <v>0</v>
      </c>
      <c r="L410" s="9" t="s">
        <v>45</v>
      </c>
    </row>
    <row r="411" spans="2:16" ht="18" customHeight="1" x14ac:dyDescent="0.25">
      <c r="B411" s="15"/>
      <c r="C411" s="15" t="str">
        <f>IFERROR(IF(B411="","",VLOOKUP(B411,LISTAS!$F$5:$G$1004,2,0)),"0")</f>
        <v/>
      </c>
      <c r="D411" s="15" t="str">
        <f>IF(H411&lt;3,"",IF(H411=3,IF(D417&lt;&gt;"",IF(H417&lt;&gt;"",IF(D417&lt;&gt;H417,IF(D417&gt;H417,"V","D"),""),""),"")))</f>
        <v/>
      </c>
      <c r="E411" s="15" t="str">
        <f>IF(H411&lt;3,"",IF(H411=3,IF(D419&lt;&gt;"",IF(H419&lt;&gt;"",IF(D419&lt;&gt;H419,IF(D419&gt;H419,"V","D"),""),""),"")))</f>
        <v/>
      </c>
      <c r="F411" s="15" t="s">
        <v>81</v>
      </c>
      <c r="G411" s="15" t="s">
        <v>81</v>
      </c>
      <c r="H411" s="117">
        <f>COUNTA(B411:B413)</f>
        <v>0</v>
      </c>
      <c r="I411" s="15" t="str">
        <f>IF(B411&lt;&gt;"",1,"")</f>
        <v/>
      </c>
      <c r="J411" s="15" t="str">
        <f>IF(I411&lt;&gt;"",P411,"")</f>
        <v/>
      </c>
      <c r="K411" s="15" t="str">
        <f>IFERROR(IF(J411="","",VLOOKUP(J411,LISTAS!$F$5:$G$1004,2,0)),"0")</f>
        <v/>
      </c>
      <c r="L411" s="119" t="str">
        <f>IF(H411=3,"OURO",IF(H411=4,"OURO",IF(H411=5,"OURO","")))</f>
        <v/>
      </c>
      <c r="M411" s="20" t="str">
        <f>IF(B411&lt;&gt;"",COUNTIF(D411:G411,"V")+(SUMIF(B417:B419,B411,D417:E419)/1000)+(SUMIF(J417:J419,B411,H417:I419)/1000)-(SUMIF(B417:B419,B411,H417:I419)/1000)-(SUMIF(J417:J419,B411,D417:E419)/1000)+0.003,"")</f>
        <v/>
      </c>
      <c r="N411" s="20" t="str">
        <f>IF(B411="","",B411)</f>
        <v/>
      </c>
      <c r="O411" s="20" t="str">
        <f>IF(B411&lt;&gt;"",LARGE(M411:M413,1),"")</f>
        <v/>
      </c>
      <c r="P411" s="20" t="str">
        <f>VLOOKUP(O411,M411:N413,2,0)</f>
        <v/>
      </c>
    </row>
    <row r="412" spans="2:16" ht="18" customHeight="1" x14ac:dyDescent="0.25">
      <c r="B412" s="15"/>
      <c r="C412" s="15" t="str">
        <f>IFERROR(IF(B412="","",VLOOKUP(B412,LISTAS!$F$5:$G$1004,2,0)),"0")</f>
        <v/>
      </c>
      <c r="D412" s="15" t="str">
        <f>IF(H411&lt;3,"",IF(H411=3,IF(D418&lt;&gt;"",IF(H418&lt;&gt;"",IF(D418&lt;&gt;H418,IF(D418&gt;H418,"V","D"),""),""),"")))</f>
        <v/>
      </c>
      <c r="E412" s="15" t="str">
        <f>IF(H411&lt;3,"",IF(H411=3,IF(D419&lt;&gt;"",IF(H419&lt;&gt;"",IF(D419&lt;&gt;H419,IF(D419&gt;H419,"D","V"),""),""),"")))</f>
        <v/>
      </c>
      <c r="F412" s="15" t="s">
        <v>81</v>
      </c>
      <c r="G412" s="15" t="s">
        <v>81</v>
      </c>
      <c r="H412" s="115"/>
      <c r="I412" s="15" t="str">
        <f>IF(B412&lt;&gt;"",2,"")</f>
        <v/>
      </c>
      <c r="J412" s="15" t="str">
        <f>IF(I412&lt;&gt;"",P412,"")</f>
        <v/>
      </c>
      <c r="K412" s="15" t="str">
        <f>IFERROR(IF(J412="","",VLOOKUP(J412,LISTAS!$F$5:$G$1004,2,0)),"0")</f>
        <v/>
      </c>
      <c r="L412" s="119" t="str">
        <f>IF(H411=3,"PRATA",IF(H411=4,"OURO",IF(H411=5,"OURO","")))</f>
        <v/>
      </c>
      <c r="M412" s="20" t="str">
        <f>IF(B412&lt;&gt;"",COUNTIF(D412:G412,"V")+(SUMIF(B417:B419,B412,D417:E419)/1000)+(SUMIF(J417:J419,B412,H417:I419)/1000)-(SUMIF(B417:B419,B412,H417:I419)/1000)-(SUMIF(J417:J419,B412,D417:E419)/1000)+0.002,"")</f>
        <v/>
      </c>
      <c r="N412" s="20" t="str">
        <f t="shared" ref="N412" si="30">IF(B412="","",B412)</f>
        <v/>
      </c>
      <c r="O412" s="20" t="str">
        <f>IF(B412&lt;&gt;"",LARGE(M411:M413,2),"")</f>
        <v/>
      </c>
      <c r="P412" s="20" t="str">
        <f>VLOOKUP(O412,M411:N413,2,0)</f>
        <v/>
      </c>
    </row>
    <row r="413" spans="2:16" ht="18" customHeight="1" x14ac:dyDescent="0.25">
      <c r="B413" s="15"/>
      <c r="C413" s="15" t="str">
        <f>IFERROR(IF(B413="","",VLOOKUP(B413,LISTAS!$F$5:$G$1004,2,0)),"0")</f>
        <v/>
      </c>
      <c r="D413" s="15" t="str">
        <f>IF(H411&lt;3,"",IF(H411=3,IF(D417&lt;&gt;"",IF(H417&lt;&gt;"",IF(D417&lt;&gt;H417,IF(D417&gt;H417,"D","V"),""),""),"")))</f>
        <v/>
      </c>
      <c r="E413" s="15" t="str">
        <f>IF(H411&lt;3,"",IF(H411=3,IF(D418&lt;&gt;"",IF(H418&lt;&gt;"",IF(D418&lt;&gt;H418,IF(D418&gt;H418,"D","V"),""),""),"")))</f>
        <v/>
      </c>
      <c r="F413" s="15" t="s">
        <v>81</v>
      </c>
      <c r="G413" s="15" t="s">
        <v>81</v>
      </c>
      <c r="H413" s="115"/>
      <c r="I413" s="15" t="str">
        <f>IF(B413&lt;&gt;"",3,"")</f>
        <v/>
      </c>
      <c r="J413" s="15" t="str">
        <f>IF(I413&lt;&gt;"",P413,"")</f>
        <v/>
      </c>
      <c r="K413" s="15" t="str">
        <f>IFERROR(IF(J413="","",VLOOKUP(J413,LISTAS!$F$5:$G$1004,2,0)),"0")</f>
        <v/>
      </c>
      <c r="L413" s="119" t="str">
        <f>IF(H411=3,"BRONZE",IF(H411=4,"PRATA",IF(H411=5,"OURO","")))</f>
        <v/>
      </c>
      <c r="M413" s="20" t="str">
        <f>IF(B413&lt;&gt;"",COUNTIF(D413:G413,"V")+(SUMIF(B417:B419,B413,D417:E419)/1000)+(SUMIF(J417:J419,B413,H417:I419)/1000)-(SUMIF(B417:B419,B413,H417:I419)/1000)-(SUMIF(J417:J419,B413,D417:E419)/1000)+0.001,"")</f>
        <v/>
      </c>
      <c r="N413" s="20" t="str">
        <f>IF(B413="","",B413)</f>
        <v/>
      </c>
      <c r="O413" s="20" t="str">
        <f>IF(B413&lt;&gt;"",LARGE(M411:M413,3),"")</f>
        <v/>
      </c>
      <c r="P413" s="20" t="str">
        <f>VLOOKUP(O413,M411:N413,2,0)</f>
        <v/>
      </c>
    </row>
    <row r="414" spans="2:16" ht="18" customHeight="1" x14ac:dyDescent="0.25">
      <c r="B414" s="79"/>
      <c r="C414" s="79"/>
      <c r="D414" s="79"/>
      <c r="E414" s="79"/>
      <c r="F414" s="79"/>
      <c r="G414" s="79"/>
      <c r="I414" s="80"/>
      <c r="J414" s="79"/>
      <c r="K414" s="81"/>
      <c r="L414" s="81"/>
    </row>
    <row r="415" spans="2:16" ht="23.25" customHeight="1" x14ac:dyDescent="0.25">
      <c r="B415" s="82" t="s">
        <v>40</v>
      </c>
      <c r="C415" s="79"/>
      <c r="D415" s="79"/>
      <c r="E415" s="79"/>
      <c r="F415" s="79"/>
      <c r="G415" s="79"/>
      <c r="H415" s="79"/>
      <c r="I415" s="79"/>
      <c r="J415" s="79"/>
      <c r="K415" s="79"/>
      <c r="L415" s="79"/>
    </row>
    <row r="416" spans="2:16" ht="18" customHeight="1" x14ac:dyDescent="0.25">
      <c r="B416" s="9" t="s">
        <v>15</v>
      </c>
      <c r="C416" s="9" t="s">
        <v>0</v>
      </c>
      <c r="D416" s="228" t="s">
        <v>41</v>
      </c>
      <c r="E416" s="229"/>
      <c r="F416" s="229"/>
      <c r="G416" s="229"/>
      <c r="H416" s="229"/>
      <c r="I416" s="230"/>
      <c r="J416" s="9" t="s">
        <v>15</v>
      </c>
      <c r="K416" s="9" t="s">
        <v>0</v>
      </c>
      <c r="L416" s="79"/>
    </row>
    <row r="417" spans="2:16" ht="18" customHeight="1" x14ac:dyDescent="0.25">
      <c r="B417" s="15" t="str">
        <f>IF(H411=3,B411,"")</f>
        <v/>
      </c>
      <c r="C417" s="15" t="str">
        <f>IFERROR(IF(B417="","",VLOOKUP(B417,LISTAS!$F$5:$G$1004,2,0)),"0")</f>
        <v/>
      </c>
      <c r="D417" s="223"/>
      <c r="E417" s="224"/>
      <c r="F417" s="223" t="s">
        <v>38</v>
      </c>
      <c r="G417" s="224"/>
      <c r="H417" s="223"/>
      <c r="I417" s="224"/>
      <c r="J417" s="21" t="str">
        <f>IF(H411=3,B413,"")</f>
        <v/>
      </c>
      <c r="K417" s="15" t="str">
        <f>IFERROR(IF(J417="","",VLOOKUP(J417,LISTAS!$F$5:$G$1004,2,0)),"0")</f>
        <v/>
      </c>
      <c r="L417" s="81"/>
    </row>
    <row r="418" spans="2:16" ht="18" customHeight="1" x14ac:dyDescent="0.25">
      <c r="B418" s="15" t="str">
        <f>IF(H411=3,B412,"")</f>
        <v/>
      </c>
      <c r="C418" s="15" t="str">
        <f>IFERROR(IF(B418="","",VLOOKUP(B418,LISTAS!$F$5:$G$1004,2,0)),"0")</f>
        <v/>
      </c>
      <c r="D418" s="223"/>
      <c r="E418" s="224"/>
      <c r="F418" s="223" t="s">
        <v>38</v>
      </c>
      <c r="G418" s="224"/>
      <c r="H418" s="223"/>
      <c r="I418" s="224"/>
      <c r="J418" s="21" t="str">
        <f>IF(H411=3,B413,"")</f>
        <v/>
      </c>
      <c r="K418" s="15" t="str">
        <f>IFERROR(IF(J418="","",VLOOKUP(J418,LISTAS!$F$5:$G$1004,2,0)),"0")</f>
        <v/>
      </c>
      <c r="L418" s="79"/>
    </row>
    <row r="419" spans="2:16" ht="18" customHeight="1" x14ac:dyDescent="0.25">
      <c r="B419" s="15" t="str">
        <f>IF(H411=3,B411,"")</f>
        <v/>
      </c>
      <c r="C419" s="15" t="str">
        <f>IFERROR(IF(B419="","",VLOOKUP(B419,LISTAS!$F$5:$G$1004,2,0)),"0")</f>
        <v/>
      </c>
      <c r="D419" s="223"/>
      <c r="E419" s="224"/>
      <c r="F419" s="223" t="s">
        <v>38</v>
      </c>
      <c r="G419" s="224"/>
      <c r="H419" s="223"/>
      <c r="I419" s="224"/>
      <c r="J419" s="21" t="str">
        <f>IF(H411=3,B412,"")</f>
        <v/>
      </c>
      <c r="K419" s="15" t="str">
        <f>IFERROR(IF(J419="","",VLOOKUP(J419,LISTAS!$F$5:$G$1004,2,0)),"0")</f>
        <v/>
      </c>
      <c r="L419" s="81"/>
    </row>
    <row r="422" spans="2:16" ht="30" customHeight="1" x14ac:dyDescent="0.25">
      <c r="B422" s="161" t="s">
        <v>76</v>
      </c>
      <c r="C422" s="79"/>
      <c r="D422" s="225" t="s">
        <v>42</v>
      </c>
      <c r="E422" s="226"/>
      <c r="F422" s="226"/>
      <c r="G422" s="227"/>
      <c r="H422" s="113"/>
      <c r="I422" s="225" t="s">
        <v>3</v>
      </c>
      <c r="J422" s="226"/>
      <c r="K422" s="226"/>
      <c r="L422" s="226"/>
    </row>
    <row r="423" spans="2:16" ht="18" customHeight="1" x14ac:dyDescent="0.25">
      <c r="B423" s="9" t="s">
        <v>15</v>
      </c>
      <c r="C423" s="9" t="s">
        <v>0</v>
      </c>
      <c r="D423" s="9" t="s">
        <v>43</v>
      </c>
      <c r="E423" s="9" t="s">
        <v>44</v>
      </c>
      <c r="F423" s="9" t="s">
        <v>77</v>
      </c>
      <c r="G423" s="9" t="s">
        <v>78</v>
      </c>
      <c r="H423" s="114"/>
      <c r="I423" s="9" t="s">
        <v>18</v>
      </c>
      <c r="J423" s="9" t="s">
        <v>15</v>
      </c>
      <c r="K423" s="9" t="s">
        <v>0</v>
      </c>
      <c r="L423" s="9" t="s">
        <v>45</v>
      </c>
    </row>
    <row r="424" spans="2:16" ht="18" customHeight="1" x14ac:dyDescent="0.25">
      <c r="B424" s="15"/>
      <c r="C424" s="15" t="str">
        <f>IFERROR(IF(B424="","",VLOOKUP(B424,LISTAS!$F$5:$G$1004,2,0)),"0")</f>
        <v/>
      </c>
      <c r="D424" s="15" t="str">
        <f>IF(H424&lt;3,"",IF(H424=3,IF(D430&lt;&gt;"",IF(H430&lt;&gt;"",IF(D430&lt;&gt;H430,IF(D430&gt;H430,"V","D"),""),""),"")))</f>
        <v/>
      </c>
      <c r="E424" s="15" t="str">
        <f>IF(H424&lt;3,"",IF(H424=3,IF(D432&lt;&gt;"",IF(H432&lt;&gt;"",IF(D432&lt;&gt;H432,IF(D432&gt;H432,"V","D"),""),""),"")))</f>
        <v/>
      </c>
      <c r="F424" s="15" t="s">
        <v>81</v>
      </c>
      <c r="G424" s="15" t="s">
        <v>81</v>
      </c>
      <c r="H424" s="117">
        <f>COUNTA(B424:B426)</f>
        <v>0</v>
      </c>
      <c r="I424" s="15" t="str">
        <f>IF(B424&lt;&gt;"",1,"")</f>
        <v/>
      </c>
      <c r="J424" s="15" t="str">
        <f>IF(I424&lt;&gt;"",P424,"")</f>
        <v/>
      </c>
      <c r="K424" s="15" t="str">
        <f>IFERROR(IF(J424="","",VLOOKUP(J424,LISTAS!$F$5:$G$1004,2,0)),"0")</f>
        <v/>
      </c>
      <c r="L424" s="119" t="str">
        <f>IF(H424=3,"OURO",IF(H424=4,"OURO",IF(H424=5,"OURO","")))</f>
        <v/>
      </c>
      <c r="M424" s="20" t="str">
        <f>IF(B424&lt;&gt;"",COUNTIF(D424:G424,"V")+(SUMIF(B430:B432,B424,D430:E432)/1000)+(SUMIF(J430:J432,B424,H430:I432)/1000)-(SUMIF(B430:B432,B424,H430:I432)/1000)-(SUMIF(J430:J432,B424,D430:E432)/1000)+0.003,"")</f>
        <v/>
      </c>
      <c r="N424" s="20" t="str">
        <f>IF(B424="","",B424)</f>
        <v/>
      </c>
      <c r="O424" s="20" t="str">
        <f>IF(B424&lt;&gt;"",LARGE(M424:M426,1),"")</f>
        <v/>
      </c>
      <c r="P424" s="20" t="str">
        <f>VLOOKUP(O424,M424:N426,2,0)</f>
        <v/>
      </c>
    </row>
    <row r="425" spans="2:16" ht="18" customHeight="1" x14ac:dyDescent="0.25">
      <c r="B425" s="15"/>
      <c r="C425" s="15" t="str">
        <f>IFERROR(IF(B425="","",VLOOKUP(B425,LISTAS!$F$5:$G$1004,2,0)),"0")</f>
        <v/>
      </c>
      <c r="D425" s="15" t="str">
        <f>IF(H424&lt;3,"",IF(H424=3,IF(D431&lt;&gt;"",IF(H431&lt;&gt;"",IF(D431&lt;&gt;H431,IF(D431&gt;H431,"V","D"),""),""),"")))</f>
        <v/>
      </c>
      <c r="E425" s="15" t="str">
        <f>IF(H424&lt;3,"",IF(H424=3,IF(D432&lt;&gt;"",IF(H432&lt;&gt;"",IF(D432&lt;&gt;H432,IF(D432&gt;H432,"D","V"),""),""),"")))</f>
        <v/>
      </c>
      <c r="F425" s="15" t="s">
        <v>81</v>
      </c>
      <c r="G425" s="15" t="s">
        <v>81</v>
      </c>
      <c r="H425" s="115"/>
      <c r="I425" s="15" t="str">
        <f>IF(B425&lt;&gt;"",2,"")</f>
        <v/>
      </c>
      <c r="J425" s="15" t="str">
        <f>IF(I425&lt;&gt;"",P425,"")</f>
        <v/>
      </c>
      <c r="K425" s="15" t="str">
        <f>IFERROR(IF(J425="","",VLOOKUP(J425,LISTAS!$F$5:$G$1004,2,0)),"0")</f>
        <v/>
      </c>
      <c r="L425" s="119" t="str">
        <f>IF(H424=3,"PRATA",IF(H424=4,"OURO",IF(H424=5,"OURO","")))</f>
        <v/>
      </c>
      <c r="M425" s="20" t="str">
        <f>IF(B425&lt;&gt;"",COUNTIF(D425:G425,"V")+(SUMIF(B430:B432,B425,D430:E432)/1000)+(SUMIF(J430:J432,B425,H430:I432)/1000)-(SUMIF(B430:B432,B425,H430:I432)/1000)-(SUMIF(J430:J432,B425,D430:E432)/1000)+0.002,"")</f>
        <v/>
      </c>
      <c r="N425" s="20" t="str">
        <f t="shared" ref="N425" si="31">IF(B425="","",B425)</f>
        <v/>
      </c>
      <c r="O425" s="20" t="str">
        <f>IF(B425&lt;&gt;"",LARGE(M424:M426,2),"")</f>
        <v/>
      </c>
      <c r="P425" s="20" t="str">
        <f>VLOOKUP(O425,M424:N426,2,0)</f>
        <v/>
      </c>
    </row>
    <row r="426" spans="2:16" ht="18" customHeight="1" x14ac:dyDescent="0.25">
      <c r="B426" s="15"/>
      <c r="C426" s="15" t="str">
        <f>IFERROR(IF(B426="","",VLOOKUP(B426,LISTAS!$F$5:$G$1004,2,0)),"0")</f>
        <v/>
      </c>
      <c r="D426" s="15" t="str">
        <f>IF(H424&lt;3,"",IF(H424=3,IF(D430&lt;&gt;"",IF(H430&lt;&gt;"",IF(D430&lt;&gt;H430,IF(D430&gt;H430,"D","V"),""),""),"")))</f>
        <v/>
      </c>
      <c r="E426" s="15" t="str">
        <f>IF(H424&lt;3,"",IF(H424=3,IF(D431&lt;&gt;"",IF(H431&lt;&gt;"",IF(D431&lt;&gt;H431,IF(D431&gt;H431,"D","V"),""),""),"")))</f>
        <v/>
      </c>
      <c r="F426" s="15" t="s">
        <v>81</v>
      </c>
      <c r="G426" s="15" t="s">
        <v>81</v>
      </c>
      <c r="H426" s="115"/>
      <c r="I426" s="15" t="str">
        <f>IF(B426&lt;&gt;"",3,"")</f>
        <v/>
      </c>
      <c r="J426" s="15" t="str">
        <f>IF(I426&lt;&gt;"",P426,"")</f>
        <v/>
      </c>
      <c r="K426" s="15" t="str">
        <f>IFERROR(IF(J426="","",VLOOKUP(J426,LISTAS!$F$5:$G$1004,2,0)),"0")</f>
        <v/>
      </c>
      <c r="L426" s="119" t="str">
        <f>IF(H424=3,"BRONZE",IF(H424=4,"PRATA",IF(H424=5,"OURO","")))</f>
        <v/>
      </c>
      <c r="M426" s="20" t="str">
        <f>IF(B426&lt;&gt;"",COUNTIF(D426:G426,"V")+(SUMIF(B430:B432,B426,D430:E432)/1000)+(SUMIF(J430:J432,B426,H430:I432)/1000)-(SUMIF(B430:B432,B426,H430:I432)/1000)-(SUMIF(J430:J432,B426,D430:E432)/1000)+0.001,"")</f>
        <v/>
      </c>
      <c r="N426" s="20" t="str">
        <f>IF(B426="","",B426)</f>
        <v/>
      </c>
      <c r="O426" s="20" t="str">
        <f>IF(B426&lt;&gt;"",LARGE(M424:M426,3),"")</f>
        <v/>
      </c>
      <c r="P426" s="20" t="str">
        <f>VLOOKUP(O426,M424:N426,2,0)</f>
        <v/>
      </c>
    </row>
    <row r="427" spans="2:16" ht="18" customHeight="1" x14ac:dyDescent="0.25">
      <c r="B427" s="79"/>
      <c r="C427" s="79"/>
      <c r="D427" s="79"/>
      <c r="E427" s="79"/>
      <c r="F427" s="79"/>
      <c r="G427" s="79"/>
      <c r="I427" s="80"/>
      <c r="J427" s="79"/>
      <c r="K427" s="81"/>
      <c r="L427" s="81"/>
    </row>
    <row r="428" spans="2:16" ht="23.25" customHeight="1" x14ac:dyDescent="0.25">
      <c r="B428" s="82" t="s">
        <v>40</v>
      </c>
      <c r="C428" s="79"/>
      <c r="D428" s="79"/>
      <c r="E428" s="79"/>
      <c r="F428" s="79"/>
      <c r="G428" s="79"/>
      <c r="H428" s="79"/>
      <c r="I428" s="79"/>
      <c r="J428" s="79"/>
      <c r="K428" s="79"/>
      <c r="L428" s="79"/>
    </row>
    <row r="429" spans="2:16" ht="18" customHeight="1" x14ac:dyDescent="0.25">
      <c r="B429" s="9" t="s">
        <v>15</v>
      </c>
      <c r="C429" s="9" t="s">
        <v>0</v>
      </c>
      <c r="D429" s="228" t="s">
        <v>41</v>
      </c>
      <c r="E429" s="229"/>
      <c r="F429" s="229"/>
      <c r="G429" s="229"/>
      <c r="H429" s="229"/>
      <c r="I429" s="230"/>
      <c r="J429" s="9" t="s">
        <v>15</v>
      </c>
      <c r="K429" s="9" t="s">
        <v>0</v>
      </c>
      <c r="L429" s="79"/>
    </row>
    <row r="430" spans="2:16" ht="18" customHeight="1" x14ac:dyDescent="0.25">
      <c r="B430" s="15" t="str">
        <f>IF(H424=3,B424,"")</f>
        <v/>
      </c>
      <c r="C430" s="15" t="str">
        <f>IFERROR(IF(B430="","",VLOOKUP(B430,LISTAS!$F$5:$G$1004,2,0)),"0")</f>
        <v/>
      </c>
      <c r="D430" s="223"/>
      <c r="E430" s="224"/>
      <c r="F430" s="223" t="s">
        <v>38</v>
      </c>
      <c r="G430" s="224"/>
      <c r="H430" s="223"/>
      <c r="I430" s="224"/>
      <c r="J430" s="21" t="str">
        <f>IF(H424=3,B426,"")</f>
        <v/>
      </c>
      <c r="K430" s="15" t="str">
        <f>IFERROR(IF(J430="","",VLOOKUP(J430,LISTAS!$F$5:$G$1004,2,0)),"0")</f>
        <v/>
      </c>
      <c r="L430" s="81"/>
    </row>
    <row r="431" spans="2:16" ht="18" customHeight="1" x14ac:dyDescent="0.25">
      <c r="B431" s="15" t="str">
        <f>IF(H424=3,B425,"")</f>
        <v/>
      </c>
      <c r="C431" s="15" t="str">
        <f>IFERROR(IF(B431="","",VLOOKUP(B431,LISTAS!$F$5:$G$1004,2,0)),"0")</f>
        <v/>
      </c>
      <c r="D431" s="223"/>
      <c r="E431" s="224"/>
      <c r="F431" s="223" t="s">
        <v>38</v>
      </c>
      <c r="G431" s="224"/>
      <c r="H431" s="223"/>
      <c r="I431" s="224"/>
      <c r="J431" s="21" t="str">
        <f>IF(H424=3,B426,"")</f>
        <v/>
      </c>
      <c r="K431" s="15" t="str">
        <f>IFERROR(IF(J431="","",VLOOKUP(J431,LISTAS!$F$5:$G$1004,2,0)),"0")</f>
        <v/>
      </c>
      <c r="L431" s="79"/>
    </row>
    <row r="432" spans="2:16" ht="18" customHeight="1" x14ac:dyDescent="0.25">
      <c r="B432" s="15" t="str">
        <f>IF(H424=3,B424,"")</f>
        <v/>
      </c>
      <c r="C432" s="15" t="str">
        <f>IFERROR(IF(B432="","",VLOOKUP(B432,LISTAS!$F$5:$G$1004,2,0)),"0")</f>
        <v/>
      </c>
      <c r="D432" s="223"/>
      <c r="E432" s="224"/>
      <c r="F432" s="223" t="s">
        <v>38</v>
      </c>
      <c r="G432" s="224"/>
      <c r="H432" s="223"/>
      <c r="I432" s="224"/>
      <c r="J432" s="21" t="str">
        <f>IF(H424=3,B425,"")</f>
        <v/>
      </c>
      <c r="K432" s="15" t="str">
        <f>IFERROR(IF(J432="","",VLOOKUP(J432,LISTAS!$F$5:$G$1004,2,0)),"0")</f>
        <v/>
      </c>
      <c r="L432" s="81"/>
    </row>
  </sheetData>
  <mergeCells count="416">
    <mergeCell ref="B2:L4"/>
    <mergeCell ref="C5:F5"/>
    <mergeCell ref="D6:G6"/>
    <mergeCell ref="I6:L6"/>
    <mergeCell ref="D15:I15"/>
    <mergeCell ref="D16:E16"/>
    <mergeCell ref="F16:G16"/>
    <mergeCell ref="H16:I16"/>
    <mergeCell ref="D19:E19"/>
    <mergeCell ref="F19:G19"/>
    <mergeCell ref="H19:I19"/>
    <mergeCell ref="D20:E20"/>
    <mergeCell ref="F20:G20"/>
    <mergeCell ref="H20:I20"/>
    <mergeCell ref="D17:E17"/>
    <mergeCell ref="F17:G17"/>
    <mergeCell ref="H17:I17"/>
    <mergeCell ref="D18:E18"/>
    <mergeCell ref="F18:G18"/>
    <mergeCell ref="H18:I18"/>
    <mergeCell ref="D23:E23"/>
    <mergeCell ref="F23:G23"/>
    <mergeCell ref="H23:I23"/>
    <mergeCell ref="D24:E24"/>
    <mergeCell ref="F24:G24"/>
    <mergeCell ref="H24:I24"/>
    <mergeCell ref="D21:E21"/>
    <mergeCell ref="F21:G21"/>
    <mergeCell ref="H21:I21"/>
    <mergeCell ref="D22:E22"/>
    <mergeCell ref="F22:G22"/>
    <mergeCell ref="H22:I22"/>
    <mergeCell ref="D37:E37"/>
    <mergeCell ref="F37:G37"/>
    <mergeCell ref="H37:I37"/>
    <mergeCell ref="D38:E38"/>
    <mergeCell ref="F38:G38"/>
    <mergeCell ref="H38:I38"/>
    <mergeCell ref="D25:E25"/>
    <mergeCell ref="F25:G25"/>
    <mergeCell ref="H25:I25"/>
    <mergeCell ref="D28:G28"/>
    <mergeCell ref="I28:L28"/>
    <mergeCell ref="D36:I36"/>
    <mergeCell ref="D41:E41"/>
    <mergeCell ref="F41:G41"/>
    <mergeCell ref="H41:I41"/>
    <mergeCell ref="D42:E42"/>
    <mergeCell ref="F42:G42"/>
    <mergeCell ref="H42:I42"/>
    <mergeCell ref="D39:E39"/>
    <mergeCell ref="F39:G39"/>
    <mergeCell ref="H39:I39"/>
    <mergeCell ref="D40:E40"/>
    <mergeCell ref="F40:G40"/>
    <mergeCell ref="H40:I40"/>
    <mergeCell ref="D54:E54"/>
    <mergeCell ref="F54:G54"/>
    <mergeCell ref="H54:I54"/>
    <mergeCell ref="D55:E55"/>
    <mergeCell ref="F55:G55"/>
    <mergeCell ref="H55:I55"/>
    <mergeCell ref="D45:G45"/>
    <mergeCell ref="I45:L45"/>
    <mergeCell ref="D52:I52"/>
    <mergeCell ref="D53:E53"/>
    <mergeCell ref="F53:G53"/>
    <mergeCell ref="H53:I53"/>
    <mergeCell ref="D67:E67"/>
    <mergeCell ref="F67:G67"/>
    <mergeCell ref="H67:I67"/>
    <mergeCell ref="D68:E68"/>
    <mergeCell ref="F68:G68"/>
    <mergeCell ref="H68:I68"/>
    <mergeCell ref="D58:G58"/>
    <mergeCell ref="I58:L58"/>
    <mergeCell ref="D65:I65"/>
    <mergeCell ref="D66:E66"/>
    <mergeCell ref="F66:G66"/>
    <mergeCell ref="H66:I66"/>
    <mergeCell ref="D80:E80"/>
    <mergeCell ref="F80:G80"/>
    <mergeCell ref="H80:I80"/>
    <mergeCell ref="D81:E81"/>
    <mergeCell ref="F81:G81"/>
    <mergeCell ref="H81:I81"/>
    <mergeCell ref="D71:G71"/>
    <mergeCell ref="I71:L71"/>
    <mergeCell ref="D78:I78"/>
    <mergeCell ref="D79:E79"/>
    <mergeCell ref="F79:G79"/>
    <mergeCell ref="H79:I79"/>
    <mergeCell ref="D93:E93"/>
    <mergeCell ref="F93:G93"/>
    <mergeCell ref="H93:I93"/>
    <mergeCell ref="D94:E94"/>
    <mergeCell ref="F94:G94"/>
    <mergeCell ref="H94:I94"/>
    <mergeCell ref="D84:G84"/>
    <mergeCell ref="I84:L84"/>
    <mergeCell ref="D91:I91"/>
    <mergeCell ref="D92:E92"/>
    <mergeCell ref="F92:G92"/>
    <mergeCell ref="H92:I92"/>
    <mergeCell ref="D106:E106"/>
    <mergeCell ref="F106:G106"/>
    <mergeCell ref="H106:I106"/>
    <mergeCell ref="D107:E107"/>
    <mergeCell ref="F107:G107"/>
    <mergeCell ref="H107:I107"/>
    <mergeCell ref="D97:G97"/>
    <mergeCell ref="I97:L97"/>
    <mergeCell ref="D104:I104"/>
    <mergeCell ref="D105:E105"/>
    <mergeCell ref="F105:G105"/>
    <mergeCell ref="H105:I105"/>
    <mergeCell ref="D119:E119"/>
    <mergeCell ref="F119:G119"/>
    <mergeCell ref="H119:I119"/>
    <mergeCell ref="D120:E120"/>
    <mergeCell ref="F120:G120"/>
    <mergeCell ref="H120:I120"/>
    <mergeCell ref="D110:G110"/>
    <mergeCell ref="I110:L110"/>
    <mergeCell ref="D117:I117"/>
    <mergeCell ref="D118:E118"/>
    <mergeCell ref="F118:G118"/>
    <mergeCell ref="H118:I118"/>
    <mergeCell ref="D132:E132"/>
    <mergeCell ref="F132:G132"/>
    <mergeCell ref="H132:I132"/>
    <mergeCell ref="D133:E133"/>
    <mergeCell ref="F133:G133"/>
    <mergeCell ref="H133:I133"/>
    <mergeCell ref="D123:G123"/>
    <mergeCell ref="I123:L123"/>
    <mergeCell ref="D130:I130"/>
    <mergeCell ref="D131:E131"/>
    <mergeCell ref="F131:G131"/>
    <mergeCell ref="H131:I131"/>
    <mergeCell ref="D145:E145"/>
    <mergeCell ref="F145:G145"/>
    <mergeCell ref="H145:I145"/>
    <mergeCell ref="D146:E146"/>
    <mergeCell ref="F146:G146"/>
    <mergeCell ref="H146:I146"/>
    <mergeCell ref="D136:G136"/>
    <mergeCell ref="I136:L136"/>
    <mergeCell ref="D143:I143"/>
    <mergeCell ref="D144:E144"/>
    <mergeCell ref="F144:G144"/>
    <mergeCell ref="H144:I144"/>
    <mergeCell ref="D158:E158"/>
    <mergeCell ref="F158:G158"/>
    <mergeCell ref="H158:I158"/>
    <mergeCell ref="D159:E159"/>
    <mergeCell ref="F159:G159"/>
    <mergeCell ref="H159:I159"/>
    <mergeCell ref="D149:G149"/>
    <mergeCell ref="I149:L149"/>
    <mergeCell ref="D156:I156"/>
    <mergeCell ref="D157:E157"/>
    <mergeCell ref="F157:G157"/>
    <mergeCell ref="H157:I157"/>
    <mergeCell ref="D171:E171"/>
    <mergeCell ref="F171:G171"/>
    <mergeCell ref="H171:I171"/>
    <mergeCell ref="D172:E172"/>
    <mergeCell ref="F172:G172"/>
    <mergeCell ref="H172:I172"/>
    <mergeCell ref="D162:G162"/>
    <mergeCell ref="I162:L162"/>
    <mergeCell ref="D169:I169"/>
    <mergeCell ref="D170:E170"/>
    <mergeCell ref="F170:G170"/>
    <mergeCell ref="H170:I170"/>
    <mergeCell ref="D184:E184"/>
    <mergeCell ref="F184:G184"/>
    <mergeCell ref="H184:I184"/>
    <mergeCell ref="D185:E185"/>
    <mergeCell ref="F185:G185"/>
    <mergeCell ref="H185:I185"/>
    <mergeCell ref="D175:G175"/>
    <mergeCell ref="I175:L175"/>
    <mergeCell ref="D182:I182"/>
    <mergeCell ref="D183:E183"/>
    <mergeCell ref="F183:G183"/>
    <mergeCell ref="H183:I183"/>
    <mergeCell ref="D197:E197"/>
    <mergeCell ref="F197:G197"/>
    <mergeCell ref="H197:I197"/>
    <mergeCell ref="D198:E198"/>
    <mergeCell ref="F198:G198"/>
    <mergeCell ref="H198:I198"/>
    <mergeCell ref="D188:G188"/>
    <mergeCell ref="I188:L188"/>
    <mergeCell ref="D195:I195"/>
    <mergeCell ref="D196:E196"/>
    <mergeCell ref="F196:G196"/>
    <mergeCell ref="H196:I196"/>
    <mergeCell ref="D210:E210"/>
    <mergeCell ref="F210:G210"/>
    <mergeCell ref="H210:I210"/>
    <mergeCell ref="D211:E211"/>
    <mergeCell ref="F211:G211"/>
    <mergeCell ref="H211:I211"/>
    <mergeCell ref="D201:G201"/>
    <mergeCell ref="I201:L201"/>
    <mergeCell ref="D208:I208"/>
    <mergeCell ref="D209:E209"/>
    <mergeCell ref="F209:G209"/>
    <mergeCell ref="H209:I209"/>
    <mergeCell ref="D223:E223"/>
    <mergeCell ref="F223:G223"/>
    <mergeCell ref="H223:I223"/>
    <mergeCell ref="D224:E224"/>
    <mergeCell ref="F224:G224"/>
    <mergeCell ref="H224:I224"/>
    <mergeCell ref="D214:G214"/>
    <mergeCell ref="I214:L214"/>
    <mergeCell ref="D221:I221"/>
    <mergeCell ref="D222:E222"/>
    <mergeCell ref="F222:G222"/>
    <mergeCell ref="H222:I222"/>
    <mergeCell ref="D236:E236"/>
    <mergeCell ref="F236:G236"/>
    <mergeCell ref="H236:I236"/>
    <mergeCell ref="D237:E237"/>
    <mergeCell ref="F237:G237"/>
    <mergeCell ref="H237:I237"/>
    <mergeCell ref="D227:G227"/>
    <mergeCell ref="I227:L227"/>
    <mergeCell ref="D234:I234"/>
    <mergeCell ref="D235:E235"/>
    <mergeCell ref="F235:G235"/>
    <mergeCell ref="H235:I235"/>
    <mergeCell ref="D249:E249"/>
    <mergeCell ref="F249:G249"/>
    <mergeCell ref="H249:I249"/>
    <mergeCell ref="D250:E250"/>
    <mergeCell ref="F250:G250"/>
    <mergeCell ref="H250:I250"/>
    <mergeCell ref="D240:G240"/>
    <mergeCell ref="I240:L240"/>
    <mergeCell ref="D247:I247"/>
    <mergeCell ref="D248:E248"/>
    <mergeCell ref="F248:G248"/>
    <mergeCell ref="H248:I248"/>
    <mergeCell ref="D262:E262"/>
    <mergeCell ref="F262:G262"/>
    <mergeCell ref="H262:I262"/>
    <mergeCell ref="D263:E263"/>
    <mergeCell ref="F263:G263"/>
    <mergeCell ref="H263:I263"/>
    <mergeCell ref="D253:G253"/>
    <mergeCell ref="I253:L253"/>
    <mergeCell ref="D260:I260"/>
    <mergeCell ref="D261:E261"/>
    <mergeCell ref="F261:G261"/>
    <mergeCell ref="H261:I261"/>
    <mergeCell ref="D275:E275"/>
    <mergeCell ref="F275:G275"/>
    <mergeCell ref="H275:I275"/>
    <mergeCell ref="D276:E276"/>
    <mergeCell ref="F276:G276"/>
    <mergeCell ref="H276:I276"/>
    <mergeCell ref="D266:G266"/>
    <mergeCell ref="I266:L266"/>
    <mergeCell ref="D273:I273"/>
    <mergeCell ref="D274:E274"/>
    <mergeCell ref="F274:G274"/>
    <mergeCell ref="H274:I274"/>
    <mergeCell ref="D288:E288"/>
    <mergeCell ref="F288:G288"/>
    <mergeCell ref="H288:I288"/>
    <mergeCell ref="D289:E289"/>
    <mergeCell ref="F289:G289"/>
    <mergeCell ref="H289:I289"/>
    <mergeCell ref="D279:G279"/>
    <mergeCell ref="I279:L279"/>
    <mergeCell ref="D286:I286"/>
    <mergeCell ref="D287:E287"/>
    <mergeCell ref="F287:G287"/>
    <mergeCell ref="H287:I287"/>
    <mergeCell ref="D301:E301"/>
    <mergeCell ref="F301:G301"/>
    <mergeCell ref="H301:I301"/>
    <mergeCell ref="D302:E302"/>
    <mergeCell ref="F302:G302"/>
    <mergeCell ref="H302:I302"/>
    <mergeCell ref="D292:G292"/>
    <mergeCell ref="I292:L292"/>
    <mergeCell ref="D299:I299"/>
    <mergeCell ref="D300:E300"/>
    <mergeCell ref="F300:G300"/>
    <mergeCell ref="H300:I300"/>
    <mergeCell ref="D314:E314"/>
    <mergeCell ref="F314:G314"/>
    <mergeCell ref="H314:I314"/>
    <mergeCell ref="D315:E315"/>
    <mergeCell ref="F315:G315"/>
    <mergeCell ref="H315:I315"/>
    <mergeCell ref="D305:G305"/>
    <mergeCell ref="I305:L305"/>
    <mergeCell ref="D312:I312"/>
    <mergeCell ref="D313:E313"/>
    <mergeCell ref="F313:G313"/>
    <mergeCell ref="H313:I313"/>
    <mergeCell ref="D327:E327"/>
    <mergeCell ref="F327:G327"/>
    <mergeCell ref="H327:I327"/>
    <mergeCell ref="D328:E328"/>
    <mergeCell ref="F328:G328"/>
    <mergeCell ref="H328:I328"/>
    <mergeCell ref="D318:G318"/>
    <mergeCell ref="I318:L318"/>
    <mergeCell ref="D325:I325"/>
    <mergeCell ref="D326:E326"/>
    <mergeCell ref="F326:G326"/>
    <mergeCell ref="H326:I326"/>
    <mergeCell ref="D340:E340"/>
    <mergeCell ref="F340:G340"/>
    <mergeCell ref="H340:I340"/>
    <mergeCell ref="D341:E341"/>
    <mergeCell ref="F341:G341"/>
    <mergeCell ref="H341:I341"/>
    <mergeCell ref="D331:G331"/>
    <mergeCell ref="I331:L331"/>
    <mergeCell ref="D338:I338"/>
    <mergeCell ref="D339:E339"/>
    <mergeCell ref="F339:G339"/>
    <mergeCell ref="H339:I339"/>
    <mergeCell ref="D353:E353"/>
    <mergeCell ref="F353:G353"/>
    <mergeCell ref="H353:I353"/>
    <mergeCell ref="D354:E354"/>
    <mergeCell ref="F354:G354"/>
    <mergeCell ref="H354:I354"/>
    <mergeCell ref="D344:G344"/>
    <mergeCell ref="I344:L344"/>
    <mergeCell ref="D351:I351"/>
    <mergeCell ref="D352:E352"/>
    <mergeCell ref="F352:G352"/>
    <mergeCell ref="H352:I352"/>
    <mergeCell ref="D366:E366"/>
    <mergeCell ref="F366:G366"/>
    <mergeCell ref="H366:I366"/>
    <mergeCell ref="D367:E367"/>
    <mergeCell ref="F367:G367"/>
    <mergeCell ref="H367:I367"/>
    <mergeCell ref="D357:G357"/>
    <mergeCell ref="I357:L357"/>
    <mergeCell ref="D364:I364"/>
    <mergeCell ref="D365:E365"/>
    <mergeCell ref="F365:G365"/>
    <mergeCell ref="H365:I365"/>
    <mergeCell ref="D379:E379"/>
    <mergeCell ref="F379:G379"/>
    <mergeCell ref="H379:I379"/>
    <mergeCell ref="D380:E380"/>
    <mergeCell ref="F380:G380"/>
    <mergeCell ref="H380:I380"/>
    <mergeCell ref="D370:G370"/>
    <mergeCell ref="I370:L370"/>
    <mergeCell ref="D377:I377"/>
    <mergeCell ref="D378:E378"/>
    <mergeCell ref="F378:G378"/>
    <mergeCell ref="H378:I378"/>
    <mergeCell ref="D392:E392"/>
    <mergeCell ref="F392:G392"/>
    <mergeCell ref="H392:I392"/>
    <mergeCell ref="D393:E393"/>
    <mergeCell ref="F393:G393"/>
    <mergeCell ref="H393:I393"/>
    <mergeCell ref="D383:G383"/>
    <mergeCell ref="I383:L383"/>
    <mergeCell ref="D390:I390"/>
    <mergeCell ref="D391:E391"/>
    <mergeCell ref="F391:G391"/>
    <mergeCell ref="H391:I391"/>
    <mergeCell ref="D405:E405"/>
    <mergeCell ref="F405:G405"/>
    <mergeCell ref="H405:I405"/>
    <mergeCell ref="D406:E406"/>
    <mergeCell ref="F406:G406"/>
    <mergeCell ref="H406:I406"/>
    <mergeCell ref="D396:G396"/>
    <mergeCell ref="I396:L396"/>
    <mergeCell ref="D403:I403"/>
    <mergeCell ref="D404:E404"/>
    <mergeCell ref="F404:G404"/>
    <mergeCell ref="H404:I404"/>
    <mergeCell ref="D418:E418"/>
    <mergeCell ref="F418:G418"/>
    <mergeCell ref="H418:I418"/>
    <mergeCell ref="D419:E419"/>
    <mergeCell ref="F419:G419"/>
    <mergeCell ref="H419:I419"/>
    <mergeCell ref="D409:G409"/>
    <mergeCell ref="I409:L409"/>
    <mergeCell ref="D416:I416"/>
    <mergeCell ref="D417:E417"/>
    <mergeCell ref="F417:G417"/>
    <mergeCell ref="H417:I417"/>
    <mergeCell ref="D431:E431"/>
    <mergeCell ref="F431:G431"/>
    <mergeCell ref="H431:I431"/>
    <mergeCell ref="D432:E432"/>
    <mergeCell ref="F432:G432"/>
    <mergeCell ref="H432:I432"/>
    <mergeCell ref="D422:G422"/>
    <mergeCell ref="I422:L422"/>
    <mergeCell ref="D429:I429"/>
    <mergeCell ref="D430:E430"/>
    <mergeCell ref="F430:G430"/>
    <mergeCell ref="H430:I430"/>
  </mergeCells>
  <conditionalFormatting sqref="L8:L12">
    <cfRule type="cellIs" dxfId="383" priority="94" operator="equal">
      <formula>"BRONZE"</formula>
    </cfRule>
    <cfRule type="cellIs" dxfId="382" priority="95" operator="equal">
      <formula>"PRATA"</formula>
    </cfRule>
    <cfRule type="containsText" dxfId="381" priority="96" operator="containsText" text="OURO">
      <formula>NOT(ISERROR(SEARCH("OURO",L8)))</formula>
    </cfRule>
  </conditionalFormatting>
  <conditionalFormatting sqref="L30:L33">
    <cfRule type="cellIs" dxfId="380" priority="1" operator="equal">
      <formula>"BRONZE"</formula>
    </cfRule>
    <cfRule type="cellIs" dxfId="379" priority="2" operator="equal">
      <formula>"PRATA"</formula>
    </cfRule>
    <cfRule type="containsText" dxfId="378" priority="3" operator="containsText" text="OURO">
      <formula>NOT(ISERROR(SEARCH("OURO",L30)))</formula>
    </cfRule>
  </conditionalFormatting>
  <conditionalFormatting sqref="L47:L49">
    <cfRule type="cellIs" dxfId="377" priority="91" operator="equal">
      <formula>"BRONZE"</formula>
    </cfRule>
    <cfRule type="cellIs" dxfId="376" priority="92" operator="equal">
      <formula>"PRATA"</formula>
    </cfRule>
    <cfRule type="containsText" dxfId="375" priority="93" operator="containsText" text="OURO">
      <formula>NOT(ISERROR(SEARCH("OURO",L47)))</formula>
    </cfRule>
  </conditionalFormatting>
  <conditionalFormatting sqref="L60:L62">
    <cfRule type="cellIs" dxfId="374" priority="88" operator="equal">
      <formula>"BRONZE"</formula>
    </cfRule>
    <cfRule type="cellIs" dxfId="373" priority="89" operator="equal">
      <formula>"PRATA"</formula>
    </cfRule>
    <cfRule type="containsText" dxfId="372" priority="90" operator="containsText" text="OURO">
      <formula>NOT(ISERROR(SEARCH("OURO",L60)))</formula>
    </cfRule>
  </conditionalFormatting>
  <conditionalFormatting sqref="L73:L75">
    <cfRule type="cellIs" dxfId="371" priority="85" operator="equal">
      <formula>"BRONZE"</formula>
    </cfRule>
    <cfRule type="cellIs" dxfId="370" priority="86" operator="equal">
      <formula>"PRATA"</formula>
    </cfRule>
    <cfRule type="containsText" dxfId="369" priority="87" operator="containsText" text="OURO">
      <formula>NOT(ISERROR(SEARCH("OURO",L73)))</formula>
    </cfRule>
  </conditionalFormatting>
  <conditionalFormatting sqref="L86:L88">
    <cfRule type="cellIs" dxfId="368" priority="82" operator="equal">
      <formula>"BRONZE"</formula>
    </cfRule>
    <cfRule type="cellIs" dxfId="367" priority="83" operator="equal">
      <formula>"PRATA"</formula>
    </cfRule>
    <cfRule type="containsText" dxfId="366" priority="84" operator="containsText" text="OURO">
      <formula>NOT(ISERROR(SEARCH("OURO",L86)))</formula>
    </cfRule>
  </conditionalFormatting>
  <conditionalFormatting sqref="L99:L101">
    <cfRule type="cellIs" dxfId="365" priority="79" operator="equal">
      <formula>"BRONZE"</formula>
    </cfRule>
    <cfRule type="cellIs" dxfId="364" priority="80" operator="equal">
      <formula>"PRATA"</formula>
    </cfRule>
    <cfRule type="containsText" dxfId="363" priority="81" operator="containsText" text="OURO">
      <formula>NOT(ISERROR(SEARCH("OURO",L99)))</formula>
    </cfRule>
  </conditionalFormatting>
  <conditionalFormatting sqref="L112:L114">
    <cfRule type="cellIs" dxfId="362" priority="76" operator="equal">
      <formula>"BRONZE"</formula>
    </cfRule>
    <cfRule type="cellIs" dxfId="361" priority="77" operator="equal">
      <formula>"PRATA"</formula>
    </cfRule>
    <cfRule type="containsText" dxfId="360" priority="78" operator="containsText" text="OURO">
      <formula>NOT(ISERROR(SEARCH("OURO",L112)))</formula>
    </cfRule>
  </conditionalFormatting>
  <conditionalFormatting sqref="L125:L127">
    <cfRule type="cellIs" dxfId="359" priority="73" operator="equal">
      <formula>"BRONZE"</formula>
    </cfRule>
    <cfRule type="cellIs" dxfId="358" priority="74" operator="equal">
      <formula>"PRATA"</formula>
    </cfRule>
    <cfRule type="containsText" dxfId="357" priority="75" operator="containsText" text="OURO">
      <formula>NOT(ISERROR(SEARCH("OURO",L125)))</formula>
    </cfRule>
  </conditionalFormatting>
  <conditionalFormatting sqref="L138:L140">
    <cfRule type="cellIs" dxfId="356" priority="70" operator="equal">
      <formula>"BRONZE"</formula>
    </cfRule>
    <cfRule type="cellIs" dxfId="355" priority="71" operator="equal">
      <formula>"PRATA"</formula>
    </cfRule>
    <cfRule type="containsText" dxfId="354" priority="72" operator="containsText" text="OURO">
      <formula>NOT(ISERROR(SEARCH("OURO",L138)))</formula>
    </cfRule>
  </conditionalFormatting>
  <conditionalFormatting sqref="L151:L153">
    <cfRule type="cellIs" dxfId="353" priority="67" operator="equal">
      <formula>"BRONZE"</formula>
    </cfRule>
    <cfRule type="cellIs" dxfId="352" priority="68" operator="equal">
      <formula>"PRATA"</formula>
    </cfRule>
    <cfRule type="containsText" dxfId="351" priority="69" operator="containsText" text="OURO">
      <formula>NOT(ISERROR(SEARCH("OURO",L151)))</formula>
    </cfRule>
  </conditionalFormatting>
  <conditionalFormatting sqref="L164:L166">
    <cfRule type="cellIs" dxfId="350" priority="64" operator="equal">
      <formula>"BRONZE"</formula>
    </cfRule>
    <cfRule type="cellIs" dxfId="349" priority="65" operator="equal">
      <formula>"PRATA"</formula>
    </cfRule>
    <cfRule type="containsText" dxfId="348" priority="66" operator="containsText" text="OURO">
      <formula>NOT(ISERROR(SEARCH("OURO",L164)))</formula>
    </cfRule>
  </conditionalFormatting>
  <conditionalFormatting sqref="L177:L179">
    <cfRule type="cellIs" dxfId="347" priority="61" operator="equal">
      <formula>"BRONZE"</formula>
    </cfRule>
    <cfRule type="cellIs" dxfId="346" priority="62" operator="equal">
      <formula>"PRATA"</formula>
    </cfRule>
    <cfRule type="containsText" dxfId="345" priority="63" operator="containsText" text="OURO">
      <formula>NOT(ISERROR(SEARCH("OURO",L177)))</formula>
    </cfRule>
  </conditionalFormatting>
  <conditionalFormatting sqref="L190:L192">
    <cfRule type="cellIs" dxfId="344" priority="58" operator="equal">
      <formula>"BRONZE"</formula>
    </cfRule>
    <cfRule type="cellIs" dxfId="343" priority="59" operator="equal">
      <formula>"PRATA"</formula>
    </cfRule>
    <cfRule type="containsText" dxfId="342" priority="60" operator="containsText" text="OURO">
      <formula>NOT(ISERROR(SEARCH("OURO",L190)))</formula>
    </cfRule>
  </conditionalFormatting>
  <conditionalFormatting sqref="L203:L205">
    <cfRule type="cellIs" dxfId="341" priority="55" operator="equal">
      <formula>"BRONZE"</formula>
    </cfRule>
    <cfRule type="cellIs" dxfId="340" priority="56" operator="equal">
      <formula>"PRATA"</formula>
    </cfRule>
    <cfRule type="containsText" dxfId="339" priority="57" operator="containsText" text="OURO">
      <formula>NOT(ISERROR(SEARCH("OURO",L203)))</formula>
    </cfRule>
  </conditionalFormatting>
  <conditionalFormatting sqref="L216:L218">
    <cfRule type="cellIs" dxfId="338" priority="52" operator="equal">
      <formula>"BRONZE"</formula>
    </cfRule>
    <cfRule type="cellIs" dxfId="337" priority="53" operator="equal">
      <formula>"PRATA"</formula>
    </cfRule>
    <cfRule type="containsText" dxfId="336" priority="54" operator="containsText" text="OURO">
      <formula>NOT(ISERROR(SEARCH("OURO",L216)))</formula>
    </cfRule>
  </conditionalFormatting>
  <conditionalFormatting sqref="L229:L231">
    <cfRule type="cellIs" dxfId="335" priority="49" operator="equal">
      <formula>"BRONZE"</formula>
    </cfRule>
    <cfRule type="cellIs" dxfId="334" priority="50" operator="equal">
      <formula>"PRATA"</formula>
    </cfRule>
    <cfRule type="containsText" dxfId="333" priority="51" operator="containsText" text="OURO">
      <formula>NOT(ISERROR(SEARCH("OURO",L229)))</formula>
    </cfRule>
  </conditionalFormatting>
  <conditionalFormatting sqref="L242:L244">
    <cfRule type="cellIs" dxfId="332" priority="46" operator="equal">
      <formula>"BRONZE"</formula>
    </cfRule>
    <cfRule type="cellIs" dxfId="331" priority="47" operator="equal">
      <formula>"PRATA"</formula>
    </cfRule>
    <cfRule type="containsText" dxfId="330" priority="48" operator="containsText" text="OURO">
      <formula>NOT(ISERROR(SEARCH("OURO",L242)))</formula>
    </cfRule>
  </conditionalFormatting>
  <conditionalFormatting sqref="L255:L257">
    <cfRule type="cellIs" dxfId="329" priority="43" operator="equal">
      <formula>"BRONZE"</formula>
    </cfRule>
    <cfRule type="cellIs" dxfId="328" priority="44" operator="equal">
      <formula>"PRATA"</formula>
    </cfRule>
    <cfRule type="containsText" dxfId="327" priority="45" operator="containsText" text="OURO">
      <formula>NOT(ISERROR(SEARCH("OURO",L255)))</formula>
    </cfRule>
  </conditionalFormatting>
  <conditionalFormatting sqref="L268:L270">
    <cfRule type="cellIs" dxfId="326" priority="40" operator="equal">
      <formula>"BRONZE"</formula>
    </cfRule>
    <cfRule type="cellIs" dxfId="325" priority="41" operator="equal">
      <formula>"PRATA"</formula>
    </cfRule>
    <cfRule type="containsText" dxfId="324" priority="42" operator="containsText" text="OURO">
      <formula>NOT(ISERROR(SEARCH("OURO",L268)))</formula>
    </cfRule>
  </conditionalFormatting>
  <conditionalFormatting sqref="L281:L283">
    <cfRule type="cellIs" dxfId="323" priority="37" operator="equal">
      <formula>"BRONZE"</formula>
    </cfRule>
    <cfRule type="cellIs" dxfId="322" priority="38" operator="equal">
      <formula>"PRATA"</formula>
    </cfRule>
    <cfRule type="containsText" dxfId="321" priority="39" operator="containsText" text="OURO">
      <formula>NOT(ISERROR(SEARCH("OURO",L281)))</formula>
    </cfRule>
  </conditionalFormatting>
  <conditionalFormatting sqref="L294:L296">
    <cfRule type="cellIs" dxfId="320" priority="34" operator="equal">
      <formula>"BRONZE"</formula>
    </cfRule>
    <cfRule type="cellIs" dxfId="319" priority="35" operator="equal">
      <formula>"PRATA"</formula>
    </cfRule>
    <cfRule type="containsText" dxfId="318" priority="36" operator="containsText" text="OURO">
      <formula>NOT(ISERROR(SEARCH("OURO",L294)))</formula>
    </cfRule>
  </conditionalFormatting>
  <conditionalFormatting sqref="L307:L309">
    <cfRule type="cellIs" dxfId="317" priority="31" operator="equal">
      <formula>"BRONZE"</formula>
    </cfRule>
    <cfRule type="cellIs" dxfId="316" priority="32" operator="equal">
      <formula>"PRATA"</formula>
    </cfRule>
    <cfRule type="containsText" dxfId="315" priority="33" operator="containsText" text="OURO">
      <formula>NOT(ISERROR(SEARCH("OURO",L307)))</formula>
    </cfRule>
  </conditionalFormatting>
  <conditionalFormatting sqref="L320:L322">
    <cfRule type="cellIs" dxfId="314" priority="28" operator="equal">
      <formula>"BRONZE"</formula>
    </cfRule>
    <cfRule type="cellIs" dxfId="313" priority="29" operator="equal">
      <formula>"PRATA"</formula>
    </cfRule>
    <cfRule type="containsText" dxfId="312" priority="30" operator="containsText" text="OURO">
      <formula>NOT(ISERROR(SEARCH("OURO",L320)))</formula>
    </cfRule>
  </conditionalFormatting>
  <conditionalFormatting sqref="L333:L335">
    <cfRule type="cellIs" dxfId="311" priority="25" operator="equal">
      <formula>"BRONZE"</formula>
    </cfRule>
    <cfRule type="cellIs" dxfId="310" priority="26" operator="equal">
      <formula>"PRATA"</formula>
    </cfRule>
    <cfRule type="containsText" dxfId="309" priority="27" operator="containsText" text="OURO">
      <formula>NOT(ISERROR(SEARCH("OURO",L333)))</formula>
    </cfRule>
  </conditionalFormatting>
  <conditionalFormatting sqref="L346:L348">
    <cfRule type="cellIs" dxfId="308" priority="22" operator="equal">
      <formula>"BRONZE"</formula>
    </cfRule>
    <cfRule type="cellIs" dxfId="307" priority="23" operator="equal">
      <formula>"PRATA"</formula>
    </cfRule>
    <cfRule type="containsText" dxfId="306" priority="24" operator="containsText" text="OURO">
      <formula>NOT(ISERROR(SEARCH("OURO",L346)))</formula>
    </cfRule>
  </conditionalFormatting>
  <conditionalFormatting sqref="L359:L361">
    <cfRule type="cellIs" dxfId="305" priority="19" operator="equal">
      <formula>"BRONZE"</formula>
    </cfRule>
    <cfRule type="cellIs" dxfId="304" priority="20" operator="equal">
      <formula>"PRATA"</formula>
    </cfRule>
    <cfRule type="containsText" dxfId="303" priority="21" operator="containsText" text="OURO">
      <formula>NOT(ISERROR(SEARCH("OURO",L359)))</formula>
    </cfRule>
  </conditionalFormatting>
  <conditionalFormatting sqref="L372:L374">
    <cfRule type="cellIs" dxfId="302" priority="16" operator="equal">
      <formula>"BRONZE"</formula>
    </cfRule>
    <cfRule type="cellIs" dxfId="301" priority="17" operator="equal">
      <formula>"PRATA"</formula>
    </cfRule>
    <cfRule type="containsText" dxfId="300" priority="18" operator="containsText" text="OURO">
      <formula>NOT(ISERROR(SEARCH("OURO",L372)))</formula>
    </cfRule>
  </conditionalFormatting>
  <conditionalFormatting sqref="L385:L387">
    <cfRule type="cellIs" dxfId="299" priority="13" operator="equal">
      <formula>"BRONZE"</formula>
    </cfRule>
    <cfRule type="cellIs" dxfId="298" priority="14" operator="equal">
      <formula>"PRATA"</formula>
    </cfRule>
    <cfRule type="containsText" dxfId="297" priority="15" operator="containsText" text="OURO">
      <formula>NOT(ISERROR(SEARCH("OURO",L385)))</formula>
    </cfRule>
  </conditionalFormatting>
  <conditionalFormatting sqref="L398:L400">
    <cfRule type="cellIs" dxfId="296" priority="10" operator="equal">
      <formula>"BRONZE"</formula>
    </cfRule>
    <cfRule type="cellIs" dxfId="295" priority="11" operator="equal">
      <formula>"PRATA"</formula>
    </cfRule>
    <cfRule type="containsText" dxfId="294" priority="12" operator="containsText" text="OURO">
      <formula>NOT(ISERROR(SEARCH("OURO",L398)))</formula>
    </cfRule>
  </conditionalFormatting>
  <conditionalFormatting sqref="L411:L413">
    <cfRule type="cellIs" dxfId="293" priority="7" operator="equal">
      <formula>"BRONZE"</formula>
    </cfRule>
    <cfRule type="cellIs" dxfId="292" priority="8" operator="equal">
      <formula>"PRATA"</formula>
    </cfRule>
    <cfRule type="containsText" dxfId="291" priority="9" operator="containsText" text="OURO">
      <formula>NOT(ISERROR(SEARCH("OURO",L411)))</formula>
    </cfRule>
  </conditionalFormatting>
  <conditionalFormatting sqref="L424:L426">
    <cfRule type="cellIs" dxfId="290" priority="4" operator="equal">
      <formula>"BRONZE"</formula>
    </cfRule>
    <cfRule type="cellIs" dxfId="289" priority="5" operator="equal">
      <formula>"PRATA"</formula>
    </cfRule>
    <cfRule type="containsText" dxfId="288" priority="6" operator="containsText" text="OURO">
      <formula>NOT(ISERROR(SEARCH("OURO",L424)))</formula>
    </cfRule>
  </conditionalFormatting>
  <pageMargins left="0.51181102362204722" right="0.51181102362204722" top="0.78740157480314965" bottom="0.78740157480314965" header="0.31496062992125984" footer="0.31496062992125984"/>
  <pageSetup paperSize="9" scale="60" orientation="landscape"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LISTAS!$D$10:$D$41</xm:f>
          </x14:formula1>
          <xm:sqref>G5</xm:sqref>
        </x14:dataValidation>
        <x14:dataValidation type="list" allowBlank="1" showInputMessage="1" showErrorMessage="1" xr:uid="{00000000-0002-0000-0C00-000001000000}">
          <x14:formula1>
            <xm:f>LISTAS!$F$5:$F$1004</xm:f>
          </x14:formula1>
          <xm:sqref>B8:B12 B30:B33 B47:B49 B60:B62 B73:B75 B424:B426 B99:B101 B112:B114 B125:B127 B138:B140 B151:B153 B164:B166 B177:B179 B190:B192 B203:B205 B216:B218 B229:B231 B242:B244 B255:B257 B268:B270 B281:B283 B294:B296 B307:B309 B320:B322 B333:B335 B346:B348 B359:B361 B372:B374 B385:B387 B398:B400 B411:B413 B86 B88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26">
    <tabColor rgb="FFFF66FF"/>
    <pageSetUpPr fitToPage="1"/>
  </sheetPr>
  <dimension ref="B1:AW200"/>
  <sheetViews>
    <sheetView showGridLines="0" topLeftCell="AI1" zoomScale="85" zoomScaleNormal="85" workbookViewId="0">
      <selection activeCell="Q44" sqref="Q44"/>
    </sheetView>
  </sheetViews>
  <sheetFormatPr defaultColWidth="25.28515625" defaultRowHeight="16.5" x14ac:dyDescent="0.25"/>
  <cols>
    <col min="1" max="1" width="1.140625" style="1" customWidth="1"/>
    <col min="2" max="2" width="3.140625" style="1" customWidth="1"/>
    <col min="3" max="3" width="18.7109375" style="163" customWidth="1"/>
    <col min="4" max="4" width="5" style="1" customWidth="1"/>
    <col min="5" max="6" width="3.7109375" style="1" customWidth="1"/>
    <col min="7" max="7" width="18.7109375" style="173" customWidth="1"/>
    <col min="8" max="8" width="5" style="1" customWidth="1"/>
    <col min="9" max="9" width="3.7109375" style="1" customWidth="1"/>
    <col min="10" max="10" width="3.85546875" style="1" customWidth="1"/>
    <col min="11" max="11" width="33.28515625" style="173" customWidth="1"/>
    <col min="12" max="12" width="5" style="1" customWidth="1"/>
    <col min="13" max="14" width="3.7109375" style="1" customWidth="1"/>
    <col min="15" max="15" width="18.7109375" style="173" customWidth="1"/>
    <col min="16" max="16" width="5" style="1" customWidth="1"/>
    <col min="17" max="17" width="6.28515625" style="23" customWidth="1"/>
    <col min="18" max="18" width="18.7109375" style="183" customWidth="1"/>
    <col min="19" max="21" width="3.7109375" style="23" customWidth="1"/>
    <col min="22" max="22" width="18.5703125" style="183" customWidth="1"/>
    <col min="23" max="23" width="6.28515625" style="1" customWidth="1"/>
    <col min="24" max="24" width="5" style="2" customWidth="1"/>
    <col min="25" max="25" width="18.7109375" style="173" customWidth="1"/>
    <col min="26" max="27" width="3.7109375" style="1" customWidth="1"/>
    <col min="28" max="28" width="5" style="1" customWidth="1"/>
    <col min="29" max="29" width="25.85546875" style="173" customWidth="1"/>
    <col min="30" max="31" width="3.7109375" style="1" customWidth="1"/>
    <col min="32" max="32" width="5" style="1" customWidth="1"/>
    <col min="33" max="33" width="18.85546875" style="173" customWidth="1"/>
    <col min="34" max="34" width="3.7109375" style="1" customWidth="1"/>
    <col min="35" max="35" width="3.5703125" style="1" customWidth="1"/>
    <col min="36" max="36" width="5" style="1" customWidth="1"/>
    <col min="37" max="37" width="18.7109375" style="173" customWidth="1"/>
    <col min="38" max="38" width="3.28515625" style="23" customWidth="1"/>
    <col min="39" max="41" width="1.42578125" style="20" customWidth="1"/>
    <col min="42" max="42" width="9.7109375" style="1" customWidth="1"/>
    <col min="43" max="43" width="15.5703125" style="1" customWidth="1"/>
    <col min="44" max="44" width="57.28515625" style="1" customWidth="1"/>
    <col min="45" max="16384" width="25.28515625" style="1"/>
  </cols>
  <sheetData>
    <row r="1" spans="2:49" ht="6" customHeight="1" x14ac:dyDescent="0.25"/>
    <row r="2" spans="2:49" s="3" customFormat="1" ht="60.75" customHeight="1" x14ac:dyDescent="0.25">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5"/>
      <c r="AN2" s="25"/>
      <c r="AO2" s="25"/>
      <c r="AP2" s="233"/>
      <c r="AQ2" s="233"/>
      <c r="AR2" s="233"/>
      <c r="AS2" s="233"/>
      <c r="AT2" s="233"/>
      <c r="AU2" s="233"/>
    </row>
    <row r="3" spans="2:49" s="3" customFormat="1" ht="60.75" customHeight="1" x14ac:dyDescent="0.25">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5"/>
      <c r="AN3" s="25"/>
      <c r="AO3" s="25"/>
      <c r="AP3" s="233"/>
      <c r="AQ3" s="233"/>
      <c r="AR3" s="233"/>
      <c r="AS3" s="233"/>
      <c r="AT3" s="233"/>
      <c r="AU3" s="233"/>
      <c r="AV3" s="1"/>
      <c r="AW3" s="1"/>
    </row>
    <row r="4" spans="2:49" s="3" customFormat="1" ht="13.5" customHeight="1" x14ac:dyDescent="0.25">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5"/>
      <c r="AN4" s="25"/>
      <c r="AO4" s="25"/>
      <c r="AP4" s="4"/>
      <c r="AQ4" s="4"/>
      <c r="AR4" s="4"/>
      <c r="AS4" s="4"/>
      <c r="AT4" s="4"/>
      <c r="AU4" s="4"/>
    </row>
    <row r="5" spans="2:49" s="3" customFormat="1" ht="30" customHeight="1" x14ac:dyDescent="0.25">
      <c r="B5" s="242" t="s">
        <v>31</v>
      </c>
      <c r="C5" s="242"/>
      <c r="D5" s="243"/>
      <c r="E5" s="40"/>
      <c r="G5" s="174"/>
      <c r="H5" s="4"/>
      <c r="K5" s="178"/>
      <c r="O5" s="178"/>
      <c r="Q5" s="24"/>
      <c r="R5" s="184"/>
      <c r="S5" s="24"/>
      <c r="T5" s="24"/>
      <c r="U5" s="24"/>
      <c r="V5" s="184"/>
      <c r="W5" s="24"/>
      <c r="X5" s="24"/>
      <c r="Y5" s="184"/>
      <c r="Z5" s="5"/>
      <c r="AB5" s="4"/>
      <c r="AC5" s="174"/>
      <c r="AG5" s="178"/>
      <c r="AK5" s="178"/>
      <c r="AL5" s="24"/>
      <c r="AM5" s="25"/>
      <c r="AN5" s="25"/>
      <c r="AO5" s="25"/>
      <c r="AP5" s="244" t="s">
        <v>31</v>
      </c>
      <c r="AQ5" s="245"/>
      <c r="AR5" s="6" t="s">
        <v>13</v>
      </c>
      <c r="AS5" s="7" t="s">
        <v>14</v>
      </c>
      <c r="AT5" s="4"/>
      <c r="AU5" s="4"/>
    </row>
    <row r="6" spans="2:49" ht="30" customHeight="1" x14ac:dyDescent="0.25">
      <c r="B6" s="247" t="s">
        <v>21</v>
      </c>
      <c r="C6" s="248"/>
      <c r="D6" s="248"/>
      <c r="E6" s="248"/>
      <c r="F6" s="248"/>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P6" s="246" t="s">
        <v>21</v>
      </c>
      <c r="AQ6" s="246"/>
      <c r="AR6" s="246"/>
      <c r="AS6" s="246"/>
      <c r="AT6" s="246"/>
      <c r="AU6" s="246"/>
    </row>
    <row r="7" spans="2:49" ht="28.5" customHeight="1" thickBot="1" x14ac:dyDescent="0.3">
      <c r="B7" s="73"/>
      <c r="C7" s="164"/>
      <c r="D7" s="61"/>
      <c r="E7" s="61"/>
      <c r="F7" s="61"/>
      <c r="G7" s="175"/>
      <c r="H7" s="61"/>
      <c r="I7" s="61"/>
      <c r="J7" s="61"/>
      <c r="K7" s="179"/>
      <c r="L7" s="61"/>
      <c r="M7" s="61"/>
      <c r="N7" s="61"/>
      <c r="O7" s="179"/>
      <c r="P7" s="61"/>
      <c r="Q7" s="61"/>
      <c r="R7" s="179"/>
      <c r="S7" s="61"/>
      <c r="T7" s="61"/>
      <c r="U7" s="61"/>
      <c r="V7" s="179"/>
      <c r="W7" s="61"/>
      <c r="X7" s="74"/>
      <c r="Y7" s="179"/>
      <c r="Z7" s="61"/>
      <c r="AA7" s="61"/>
      <c r="AB7" s="75"/>
      <c r="AC7" s="179"/>
      <c r="AD7" s="61"/>
      <c r="AE7" s="61"/>
      <c r="AF7" s="61"/>
      <c r="AG7" s="186"/>
      <c r="AH7" s="129"/>
      <c r="AI7" s="129"/>
      <c r="AJ7" s="61"/>
      <c r="AK7" s="179"/>
      <c r="AL7" s="61"/>
      <c r="AP7" s="228" t="s">
        <v>3</v>
      </c>
      <c r="AQ7" s="230"/>
      <c r="AR7" s="9" t="s">
        <v>15</v>
      </c>
      <c r="AS7" s="9" t="s">
        <v>0</v>
      </c>
      <c r="AT7" s="9" t="s">
        <v>16</v>
      </c>
      <c r="AU7" s="9" t="s">
        <v>17</v>
      </c>
    </row>
    <row r="8" spans="2:49" ht="18" customHeight="1" x14ac:dyDescent="0.25">
      <c r="B8" s="10">
        <v>1</v>
      </c>
      <c r="C8" s="162" t="str">
        <f>IF('15F GRP'!G5&gt;=3,'15F GRP'!J8,IF('15F GRP'!G5=2,'15F GRP'!J8,IF('15F GRP'!G5=1,'15F GRP'!J8,"")))</f>
        <v>MARIA LETÍCIA FURUKAVA MONTEIRO</v>
      </c>
      <c r="D8" s="234">
        <v>2</v>
      </c>
      <c r="E8" s="51">
        <f>IF(D8&lt;&gt;"",D8,"")</f>
        <v>2</v>
      </c>
      <c r="F8" s="51" t="str">
        <f>IF(D8&lt;&gt;"",IF(C8="","",C8),"")</f>
        <v>MARIA LETÍCIA FURUKAVA MONTEIRO</v>
      </c>
      <c r="G8" s="176">
        <f>IF(E8&lt;&gt;"",IF(E10&lt;&gt;"",SMALL(E8:E10,1),""),"")</f>
        <v>0</v>
      </c>
      <c r="H8" s="11"/>
      <c r="I8" s="11"/>
      <c r="J8" s="11"/>
      <c r="K8" s="166"/>
      <c r="L8" s="11"/>
      <c r="M8" s="12"/>
      <c r="N8" s="12"/>
      <c r="O8" s="180"/>
      <c r="P8" s="12"/>
      <c r="Q8" s="8"/>
      <c r="R8" s="182"/>
      <c r="S8" s="8"/>
      <c r="T8" s="8"/>
      <c r="U8" s="8"/>
      <c r="V8" s="182"/>
      <c r="W8" s="8"/>
      <c r="X8" s="62"/>
      <c r="Y8" s="182"/>
      <c r="Z8" s="8"/>
      <c r="AA8" s="8"/>
      <c r="AB8" s="11"/>
      <c r="AC8" s="182"/>
      <c r="AD8" s="8"/>
      <c r="AE8" s="8"/>
      <c r="AF8" s="8"/>
      <c r="AG8" s="181">
        <f>IF(AJ8&lt;&gt;"",AJ8,"")</f>
        <v>2</v>
      </c>
      <c r="AH8" s="78" t="str">
        <f>IF(AJ8&lt;&gt;"",IF(AK8="","",AK8),"")</f>
        <v>RAFAELA ADILEU</v>
      </c>
      <c r="AI8" s="51">
        <f>IF(AG8&lt;&gt;"",IF(AG10&lt;&gt;"",SMALL(AG8:AG10,1),""),"")</f>
        <v>0</v>
      </c>
      <c r="AJ8" s="234">
        <v>2</v>
      </c>
      <c r="AK8" s="162" t="str">
        <f>IF('15F GRP'!G5&gt;=3,'15F GRP'!J47,IF('15F GRP'!G5=2,IF('15F GRP'!H8=3,"",'15F GRP'!J9),IF('15F GRP'!G5=1,'15F GRP'!J10,"")))</f>
        <v>RAFAELA ADILEU</v>
      </c>
      <c r="AL8" s="63">
        <v>3</v>
      </c>
      <c r="AP8" s="13">
        <f>IF(AR8&lt;&gt;"",1,"")</f>
        <v>1</v>
      </c>
      <c r="AQ8" s="14" t="str">
        <f>IF(AP8&lt;&gt;"","LUGAR","")</f>
        <v>LUGAR</v>
      </c>
      <c r="AR8" s="15" t="str">
        <f>IF(S36&lt;&gt;"",IF(U36&lt;&gt;"",IF(S36=U36,"",IF(S36&gt;U36,R36,V36)),""),"")</f>
        <v>RAFAELA ADILEU</v>
      </c>
      <c r="AS8" s="15" t="str">
        <f>IFERROR(IF(AR8="","",VLOOKUP(AR8,LISTAS!$F$5:$G$1004,2,0)),"0")</f>
        <v>COLÉGIO MARCONI - GRU</v>
      </c>
      <c r="AT8" s="15">
        <f t="shared" ref="AT8:AT38" si="0">IF(AP8="","",IF(AP8=1,400,IF(AP8=2,340,IF(AP8=3,300,IF(AP8=4,280,IF(AP8=5,270,IF(AP8=6,260,IF(AP8=7,250,IF(AP8=8,240,IF(AP8=9,200,IF(AP8=10,200,IF(AP8=11,200,IF(AP8=12,200,IF(AP8=13,200,IF(AP8=14,200,IF(AP8=15,200,IF(AP8=16,200,IF(AP8&gt;16,"",""))))))))))))))))))</f>
        <v>400</v>
      </c>
      <c r="AU8" s="15">
        <f>IF(AP8="","",IF($AS$5="NÃO","",IF(AP8=1,400,IF(AP8=2,340,IF(AP8=3,300,IF(AP8=4,280,IF(AP8=5,270,IF(AP8=6,260,IF(AP8=7,250,IF(AP8=8,240,IF(AP8=9,200,IF(AP8=10,200,IF(AP8=11,200,IF(AP8=12,200,IF(AP8=13,200,IF(AP8=14,200,IF(AP8=15,200,IF(AP8=16,200,IF(AP8&gt;16,"","")))))))))))))))))))</f>
        <v>400</v>
      </c>
    </row>
    <row r="9" spans="2:49" ht="18" customHeight="1" thickBot="1" x14ac:dyDescent="0.3">
      <c r="B9" s="10"/>
      <c r="C9" s="165" t="str">
        <f>IFERROR(IF(C8="","",VLOOKUP(C8,LISTAS!$F$5:$G$1004,2,0)),"0")</f>
        <v>COLÉGIO SÃO MAURO</v>
      </c>
      <c r="D9" s="235"/>
      <c r="E9" s="51"/>
      <c r="F9" s="51"/>
      <c r="G9" s="176"/>
      <c r="H9" s="11"/>
      <c r="I9" s="11"/>
      <c r="J9" s="11"/>
      <c r="K9" s="166"/>
      <c r="L9" s="11"/>
      <c r="M9" s="12"/>
      <c r="N9" s="12"/>
      <c r="O9" s="180"/>
      <c r="P9" s="12"/>
      <c r="Q9" s="8"/>
      <c r="R9" s="182"/>
      <c r="S9" s="8"/>
      <c r="T9" s="8"/>
      <c r="U9" s="8"/>
      <c r="V9" s="182"/>
      <c r="W9" s="8"/>
      <c r="X9" s="62"/>
      <c r="Y9" s="182"/>
      <c r="Z9" s="8"/>
      <c r="AA9" s="8"/>
      <c r="AB9" s="11"/>
      <c r="AC9" s="182"/>
      <c r="AD9" s="8"/>
      <c r="AE9" s="8"/>
      <c r="AF9" s="8"/>
      <c r="AG9" s="181"/>
      <c r="AH9" s="78"/>
      <c r="AI9" s="51"/>
      <c r="AJ9" s="235"/>
      <c r="AK9" s="165" t="str">
        <f>IFERROR(IF(AK8="","",VLOOKUP(AK8,LISTAS!$F$5:$G$1004,2,0)),"0")</f>
        <v>COLÉGIO MARCONI - GRU</v>
      </c>
      <c r="AL9" s="63"/>
      <c r="AP9" s="13">
        <f>IF(AR9&lt;&gt;"",1+COUNTIF(AP8,"1"),"")</f>
        <v>2</v>
      </c>
      <c r="AQ9" s="14" t="str">
        <f t="shared" ref="AQ9:AQ39" si="1">IF(AP9&lt;&gt;"","LUGAR","")</f>
        <v>LUGAR</v>
      </c>
      <c r="AR9" s="15" t="str">
        <f>IF(S36&lt;&gt;"",IF(U36&lt;&gt;"",IF(S36=U36,"",IF(S36&lt;U36,R36,V36)),""),"")</f>
        <v>ANA CAROLINA A HASEGAWA</v>
      </c>
      <c r="AS9" s="15" t="str">
        <f>IFERROR(IF(AR9="","",VLOOKUP(AR9,LISTAS!$F$5:$G$1004,2,0)),"0")</f>
        <v>ESCOLA VILLARE</v>
      </c>
      <c r="AT9" s="15">
        <f t="shared" si="0"/>
        <v>340</v>
      </c>
      <c r="AU9" s="15">
        <f t="shared" ref="AU9:AU38" si="2">IF(AP9="","",IF($AS$5="NÃO","",IF(AP9=1,400,IF(AP9=2,340,IF(AP9=3,300,IF(AP9=4,280,IF(AP9=5,270,IF(AP9=6,260,IF(AP9=7,250,IF(AP9=8,240,IF(AP9=9,200,IF(AP9=10,200,IF(AP9=11,200,IF(AP9=12,200,IF(AP9=13,200,IF(AP9=14,200,IF(AP9=15,200,IF(AP9=16,200,IF(AP9&gt;16,"","")))))))))))))))))))</f>
        <v>340</v>
      </c>
    </row>
    <row r="10" spans="2:49" ht="18" customHeight="1" x14ac:dyDescent="0.25">
      <c r="B10" s="16">
        <v>32</v>
      </c>
      <c r="C10" s="162" t="str">
        <f>IF('15F GRP'!G5&gt;=3,'15F GRP'!J424,IF('15F GRP'!G5=2,"",IF('15F GRP'!G5=1,"","")))</f>
        <v/>
      </c>
      <c r="D10" s="234">
        <v>0</v>
      </c>
      <c r="E10" s="52">
        <f>IF(D10&lt;&gt;"",D10,"")</f>
        <v>0</v>
      </c>
      <c r="F10" s="51" t="str">
        <f>IF(D10&lt;&gt;"",IF(C10="","",C10),"")</f>
        <v/>
      </c>
      <c r="G10" s="176" t="str">
        <f>VLOOKUP(G8,E8:F10,2,0)</f>
        <v/>
      </c>
      <c r="H10" s="11"/>
      <c r="I10" s="11"/>
      <c r="J10" s="11"/>
      <c r="K10" s="166"/>
      <c r="L10" s="11"/>
      <c r="M10" s="12"/>
      <c r="N10" s="12"/>
      <c r="O10" s="180"/>
      <c r="P10" s="12"/>
      <c r="Q10" s="8"/>
      <c r="R10" s="182"/>
      <c r="S10" s="8"/>
      <c r="T10" s="8"/>
      <c r="U10" s="8"/>
      <c r="V10" s="182"/>
      <c r="W10" s="8"/>
      <c r="X10" s="62"/>
      <c r="Y10" s="182"/>
      <c r="Z10" s="8"/>
      <c r="AA10" s="8"/>
      <c r="AB10" s="11"/>
      <c r="AC10" s="182"/>
      <c r="AD10" s="8"/>
      <c r="AE10" s="8"/>
      <c r="AF10" s="8"/>
      <c r="AG10" s="181">
        <f>IF(AJ10&lt;&gt;"",AJ10,"")</f>
        <v>0</v>
      </c>
      <c r="AH10" s="78" t="str">
        <f>IF(AJ10&lt;&gt;"",IF(AK10="","",AK10),"")</f>
        <v/>
      </c>
      <c r="AI10" s="55" t="str">
        <f>VLOOKUP(AI8,AG8:AH10,2,0)</f>
        <v/>
      </c>
      <c r="AJ10" s="234">
        <v>0</v>
      </c>
      <c r="AK10" s="162" t="str">
        <f>IF('15F GRP'!G5&gt;=3,'15F GRP'!J398,IF('15F GRP'!G5=2,"",IF('15F GRP'!G5=1,"","")))</f>
        <v/>
      </c>
      <c r="AL10" s="11">
        <v>30</v>
      </c>
      <c r="AP10" s="13">
        <f>IF(AR10&lt;&gt;"",1+COUNTIF(AP8:AP9,"1")+COUNTIF(AP8:AP9,"2"),"")</f>
        <v>3</v>
      </c>
      <c r="AQ10" s="14" t="str">
        <f t="shared" si="1"/>
        <v>LUGAR</v>
      </c>
      <c r="AR10" s="21" t="str">
        <f>IF(AR8&lt;&gt;"",IF(O35=AR8,O37,IF(O37=AR8,O35,IF(Y35=AR8,Y37,IF(Y37=AR8,Y35)))),"")</f>
        <v>BEATRIZ OTERO</v>
      </c>
      <c r="AS10" s="15" t="str">
        <f>IFERROR(IF(AR10="","",VLOOKUP(AR10,LISTAS!$F$5:$G$1004,2,0)),"0")</f>
        <v>COLÉGIO MARCONI - GRU</v>
      </c>
      <c r="AT10" s="15">
        <f t="shared" si="0"/>
        <v>300</v>
      </c>
      <c r="AU10" s="15">
        <f t="shared" si="2"/>
        <v>300</v>
      </c>
    </row>
    <row r="11" spans="2:49" ht="18" customHeight="1" thickBot="1" x14ac:dyDescent="0.3">
      <c r="B11" s="16"/>
      <c r="C11" s="165" t="str">
        <f>IF($C10="","",VLOOKUP($C10,LISTAS!$F$5:$G$964,2,0))</f>
        <v/>
      </c>
      <c r="D11" s="235"/>
      <c r="E11" s="128"/>
      <c r="F11" s="51"/>
      <c r="G11" s="176"/>
      <c r="H11" s="11"/>
      <c r="I11" s="11"/>
      <c r="J11" s="11"/>
      <c r="K11" s="166"/>
      <c r="L11" s="11"/>
      <c r="M11" s="12"/>
      <c r="N11" s="12"/>
      <c r="O11" s="180"/>
      <c r="P11" s="12"/>
      <c r="Q11" s="8"/>
      <c r="R11" s="182"/>
      <c r="S11" s="8"/>
      <c r="T11" s="8"/>
      <c r="U11" s="8"/>
      <c r="V11" s="182"/>
      <c r="W11" s="8"/>
      <c r="X11" s="62"/>
      <c r="Y11" s="182"/>
      <c r="Z11" s="8"/>
      <c r="AA11" s="8"/>
      <c r="AB11" s="11"/>
      <c r="AC11" s="182"/>
      <c r="AD11" s="8"/>
      <c r="AE11" s="8"/>
      <c r="AF11" s="8"/>
      <c r="AG11" s="181"/>
      <c r="AH11" s="78"/>
      <c r="AI11" s="123"/>
      <c r="AJ11" s="235"/>
      <c r="AK11" s="165" t="str">
        <f>IFERROR(IF(AK10="","",VLOOKUP(AK10,LISTAS!$F$5:$G$1004,2,0)),"0")</f>
        <v/>
      </c>
      <c r="AL11" s="11"/>
      <c r="AP11" s="13">
        <f>IF(AR11&lt;&gt;"",1+COUNTIF(AP8:AP10,"1")+COUNTIF(AP8:AP10,"2")+COUNTIF(AP8:AP10,"3"),"")</f>
        <v>4</v>
      </c>
      <c r="AQ11" s="14" t="str">
        <f t="shared" si="1"/>
        <v>LUGAR</v>
      </c>
      <c r="AR11" s="21" t="str">
        <f>IF(AR9&lt;&gt;"",IF(O35=AR9,O37,IF(O37=AR9,O35,IF(Y35=AR9,Y37,IF(Y37=AR9,Y35)))),"")</f>
        <v>MARIA LETÍCIA FURUKAVA MONTEIRO</v>
      </c>
      <c r="AS11" s="15" t="str">
        <f>IFERROR(IF(AR11="","",VLOOKUP(AR11,LISTAS!$F$5:$G$1004,2,0)),"0")</f>
        <v>COLÉGIO SÃO MAURO</v>
      </c>
      <c r="AT11" s="15">
        <f t="shared" si="0"/>
        <v>280</v>
      </c>
      <c r="AU11" s="15">
        <f t="shared" si="2"/>
        <v>280</v>
      </c>
    </row>
    <row r="12" spans="2:49" ht="18" customHeight="1" x14ac:dyDescent="0.25">
      <c r="B12" s="16"/>
      <c r="C12" s="166"/>
      <c r="D12" s="11"/>
      <c r="E12" s="11"/>
      <c r="F12" s="17"/>
      <c r="G12" s="162" t="str">
        <f>IF(D8&lt;&gt;"",IF(D10&lt;&gt;"",IF(D8=D10,"",IF(D8&gt;D10,C8,C10)),""),"")</f>
        <v>MARIA LETÍCIA FURUKAVA MONTEIRO</v>
      </c>
      <c r="H12" s="234">
        <v>2</v>
      </c>
      <c r="I12" s="51">
        <f>IF(H12&lt;&gt;"",H12,"")</f>
        <v>2</v>
      </c>
      <c r="J12" s="51" t="str">
        <f>IF(H12&lt;&gt;"",IF(G12="","",G12),"")</f>
        <v>MARIA LETÍCIA FURUKAVA MONTEIRO</v>
      </c>
      <c r="K12" s="176">
        <f>IF(I12&lt;&gt;"",IF(I14&lt;&gt;"",SMALL(I12:J14,1),""),"")</f>
        <v>0</v>
      </c>
      <c r="L12" s="11"/>
      <c r="M12" s="11"/>
      <c r="N12" s="11"/>
      <c r="O12" s="166"/>
      <c r="P12" s="11"/>
      <c r="Q12" s="8"/>
      <c r="R12" s="182"/>
      <c r="S12" s="8"/>
      <c r="T12" s="8"/>
      <c r="U12" s="8"/>
      <c r="V12" s="182"/>
      <c r="W12" s="8"/>
      <c r="X12" s="62"/>
      <c r="Y12" s="182"/>
      <c r="Z12" s="8"/>
      <c r="AA12" s="8"/>
      <c r="AB12" s="11"/>
      <c r="AC12" s="182"/>
      <c r="AD12" s="8"/>
      <c r="AE12" s="67"/>
      <c r="AF12" s="234">
        <v>2</v>
      </c>
      <c r="AG12" s="162" t="str">
        <f>IF(AJ8&lt;&gt;"",IF(AJ10&lt;&gt;"",IF(AJ8=AJ10,"",IF(AJ8&gt;AJ10,AK8,AK10)),""),"")</f>
        <v>RAFAELA ADILEU</v>
      </c>
      <c r="AH12" s="65"/>
      <c r="AI12" s="8"/>
      <c r="AJ12" s="11"/>
      <c r="AK12" s="166"/>
      <c r="AL12" s="11"/>
      <c r="AP12" s="13">
        <f>IF(AR12&lt;&gt;"",1+COUNTIF(AP8:AP11,"1")+COUNTIF(AP8:AP11,"2")+COUNTIF(AP8:AP11,"3")+COUNTIF(AP8:AP11,"4"),"")</f>
        <v>5</v>
      </c>
      <c r="AQ12" s="14" t="str">
        <f t="shared" si="1"/>
        <v>LUGAR</v>
      </c>
      <c r="AR12" s="21" t="str">
        <f>IF(AR8&lt;&gt;"",IF(K20=AR8,K22,IF(K22=AR8,K20,IF(K50=AR8,K52,IF(K52=AR8,K50,IF(AC20=AR8,AC22,IF(AC22=AR8,AC20,IF(AC50=AR8,AC52,IF(AC52=AR8,AC50)))))))),"")</f>
        <v>LAURA ROSSIN</v>
      </c>
      <c r="AS12" s="15" t="str">
        <f>IFERROR(IF(AR12="","",VLOOKUP(AR12,LISTAS!$F$5:$G$1004,2,0)),"0")</f>
        <v>COLEGIO PETROPOLIS</v>
      </c>
      <c r="AT12" s="15">
        <f t="shared" si="0"/>
        <v>270</v>
      </c>
      <c r="AU12" s="15">
        <f t="shared" si="2"/>
        <v>270</v>
      </c>
    </row>
    <row r="13" spans="2:49" ht="18" customHeight="1" thickBot="1" x14ac:dyDescent="0.3">
      <c r="B13" s="16"/>
      <c r="C13" s="166"/>
      <c r="D13" s="11"/>
      <c r="E13" s="11"/>
      <c r="F13" s="17"/>
      <c r="G13" s="165" t="str">
        <f>IFERROR(IF(G12="","",VLOOKUP(G12,LISTAS!$F$5:$G$1004,2,0)),"0")</f>
        <v>COLÉGIO SÃO MAURO</v>
      </c>
      <c r="H13" s="235"/>
      <c r="I13" s="51"/>
      <c r="J13" s="51"/>
      <c r="K13" s="176"/>
      <c r="L13" s="11"/>
      <c r="M13" s="11"/>
      <c r="N13" s="11"/>
      <c r="O13" s="166"/>
      <c r="P13" s="11"/>
      <c r="Q13" s="8"/>
      <c r="R13" s="182"/>
      <c r="S13" s="8"/>
      <c r="T13" s="8"/>
      <c r="U13" s="8"/>
      <c r="V13" s="182"/>
      <c r="W13" s="8"/>
      <c r="X13" s="62"/>
      <c r="Y13" s="182"/>
      <c r="Z13" s="8"/>
      <c r="AA13" s="8"/>
      <c r="AB13" s="11"/>
      <c r="AC13" s="182"/>
      <c r="AD13" s="8"/>
      <c r="AE13" s="67"/>
      <c r="AF13" s="235"/>
      <c r="AG13" s="165" t="str">
        <f>IFERROR(IF(AG12="","",VLOOKUP(AG12,LISTAS!$F$5:$G$1004,2,0)),"0")</f>
        <v>COLÉGIO MARCONI - GRU</v>
      </c>
      <c r="AH13" s="65"/>
      <c r="AI13" s="8"/>
      <c r="AJ13" s="11"/>
      <c r="AK13" s="166"/>
      <c r="AL13" s="11"/>
      <c r="AP13" s="13">
        <f>IF(AR13&lt;&gt;"",1+COUNTIF(AP8:AP12,"1")+COUNTIF(AP8:AP12,"2")+COUNTIF(AP8:AP12,"3")+COUNTIF(AP8:AP12,"4")+COUNTIF(AP8:AP12,"5"),"")</f>
        <v>6</v>
      </c>
      <c r="AQ13" s="14" t="str">
        <f t="shared" si="1"/>
        <v>LUGAR</v>
      </c>
      <c r="AR13" s="21" t="str">
        <f>IF(AR9&lt;&gt;"",IF(K20=AR9,K22,IF(K22=AR9,K20,IF(K50=AR9,K52,IF(K52=AR9,K50,IF(AC20=AR9,AC22,IF(AC22=AR9,AC20,IF(AC50=AR9,AC52,IF(AC52=AR9,AC50)))))))),"")</f>
        <v>AGHATA LIKA IKEDA SHIMABUKU</v>
      </c>
      <c r="AS13" s="15" t="str">
        <f>IFERROR(IF(AR13="","",VLOOKUP(AR13,LISTAS!$F$5:$G$1004,2,0)),"0")</f>
        <v>COLÉGIO ARBOS SÃO CAETANO DO SUL</v>
      </c>
      <c r="AT13" s="15">
        <f t="shared" si="0"/>
        <v>260</v>
      </c>
      <c r="AU13" s="15">
        <f t="shared" si="2"/>
        <v>260</v>
      </c>
    </row>
    <row r="14" spans="2:49" ht="18" customHeight="1" x14ac:dyDescent="0.25">
      <c r="B14" s="16"/>
      <c r="C14" s="166"/>
      <c r="D14" s="11"/>
      <c r="E14" s="18"/>
      <c r="F14" s="19"/>
      <c r="G14" s="162" t="str">
        <f>IF(D16&lt;&gt;"",IF(D18&lt;&gt;"",IF(D16=D18,"",IF(D16&gt;D18,C16,C18)),""),"")</f>
        <v/>
      </c>
      <c r="H14" s="234">
        <v>0</v>
      </c>
      <c r="I14" s="52">
        <f>IF(H14&lt;&gt;"",H14,"")</f>
        <v>0</v>
      </c>
      <c r="J14" s="51" t="str">
        <f>IF(H14&lt;&gt;"",IF(G14="","",G14),"")</f>
        <v/>
      </c>
      <c r="K14" s="176" t="str">
        <f>VLOOKUP(K12,I12:J14,2,0)</f>
        <v/>
      </c>
      <c r="L14" s="11"/>
      <c r="M14" s="11"/>
      <c r="N14" s="11"/>
      <c r="O14" s="166"/>
      <c r="P14" s="11"/>
      <c r="Q14" s="8"/>
      <c r="R14" s="182"/>
      <c r="S14" s="8"/>
      <c r="T14" s="8"/>
      <c r="U14" s="8"/>
      <c r="V14" s="182"/>
      <c r="W14" s="8"/>
      <c r="X14" s="62"/>
      <c r="Y14" s="182"/>
      <c r="Z14" s="8"/>
      <c r="AA14" s="8"/>
      <c r="AB14" s="11"/>
      <c r="AC14" s="182"/>
      <c r="AD14" s="65"/>
      <c r="AE14" s="68"/>
      <c r="AF14" s="234">
        <v>0</v>
      </c>
      <c r="AG14" s="162" t="str">
        <f>IF(AJ16&lt;&gt;"",IF(AJ18&lt;&gt;"",IF(AJ16=AJ18,"",IF(AJ16&gt;AJ18,AK16,AK18)),""),"")</f>
        <v/>
      </c>
      <c r="AH14" s="66"/>
      <c r="AI14" s="8"/>
      <c r="AJ14" s="11"/>
      <c r="AK14" s="166"/>
      <c r="AL14" s="11"/>
      <c r="AP14" s="13" t="str">
        <f>IF(AR14&lt;&gt;"",1+COUNTIF(AP8:AP13,"1")+COUNTIF(AP8:AP13,"2")+COUNTIF(AP8:AP13,"3")+COUNTIF(AP8:AP13,"4")+COUNTIF(AP8:AP13,"5")+COUNTIF(AP8:AP13,"6"),"")</f>
        <v/>
      </c>
      <c r="AQ14" s="14" t="str">
        <f t="shared" si="1"/>
        <v/>
      </c>
      <c r="AR14" s="21" t="str">
        <f>IF(AR10&lt;&gt;"",IF(K20=AR10,K22,IF(K22=AR10,K20,IF(K50=AR10,K52,IF(K52=AR10,K50,IF(AC20=AR10,AC22,IF(AC22=AR10,AC20,IF(AC50=AR10,AC52,IF(AC52=AR10,AC50)))))))),"")</f>
        <v/>
      </c>
      <c r="AS14" s="15" t="str">
        <f>IFERROR(IF(AR14="","",VLOOKUP(AR14,LISTAS!$F$5:$G$1004,2,0)),"0")</f>
        <v/>
      </c>
      <c r="AT14" s="15" t="str">
        <f t="shared" si="0"/>
        <v/>
      </c>
      <c r="AU14" s="15" t="str">
        <f t="shared" si="2"/>
        <v/>
      </c>
    </row>
    <row r="15" spans="2:49" ht="18" customHeight="1" thickBot="1" x14ac:dyDescent="0.3">
      <c r="B15" s="16"/>
      <c r="C15" s="166"/>
      <c r="D15" s="11"/>
      <c r="E15" s="18"/>
      <c r="F15" s="11"/>
      <c r="G15" s="165" t="str">
        <f>IFERROR(IF(G14="","",VLOOKUP(G14,LISTAS!$F$5:$G$1004,2,0)),"0")</f>
        <v/>
      </c>
      <c r="H15" s="235"/>
      <c r="I15" s="54"/>
      <c r="J15" s="51"/>
      <c r="K15" s="176"/>
      <c r="L15" s="11"/>
      <c r="M15" s="11"/>
      <c r="N15" s="11"/>
      <c r="O15" s="166"/>
      <c r="P15" s="11"/>
      <c r="Q15" s="8"/>
      <c r="R15" s="182"/>
      <c r="S15" s="8"/>
      <c r="T15" s="8"/>
      <c r="U15" s="8"/>
      <c r="V15" s="182"/>
      <c r="W15" s="8"/>
      <c r="X15" s="62"/>
      <c r="Y15" s="182"/>
      <c r="Z15" s="8"/>
      <c r="AA15" s="8"/>
      <c r="AB15" s="11"/>
      <c r="AC15" s="182"/>
      <c r="AD15" s="65"/>
      <c r="AE15" s="8"/>
      <c r="AF15" s="235"/>
      <c r="AG15" s="165" t="str">
        <f>IFERROR(IF(AG14="","",VLOOKUP(AG14,LISTAS!$F$5:$G$1004,2,0)),"0")</f>
        <v/>
      </c>
      <c r="AH15" s="8"/>
      <c r="AI15" s="69"/>
      <c r="AJ15" s="11"/>
      <c r="AK15" s="166"/>
      <c r="AL15" s="11"/>
      <c r="AP15" s="13" t="str">
        <f>IF(AR15&lt;&gt;"",1+COUNTIF(AP8:AP14,"1")+COUNTIF(AP8:AP14,"2")+COUNTIF(AP8:AP14,"3")+COUNTIF(AP8:AP14,"4")+COUNTIF(AP8:AP14,"5")+COUNTIF(AP8:AP14,"6")+COUNTIF(AP8:AP14,"7"),"")</f>
        <v/>
      </c>
      <c r="AQ15" s="14" t="str">
        <f t="shared" si="1"/>
        <v/>
      </c>
      <c r="AR15" s="21" t="str">
        <f>IF(AR11&lt;&gt;"",IF(K20=AR11,K22,IF(K22=AR11,K20,IF(K50=AR11,K52,IF(K52=AR11,K50,IF(AC20=AR11,AC22,IF(AC22=AR11,AC20,IF(AC50=AR11,AC52,IF(AC52=AR11,AC50)))))))),"")</f>
        <v/>
      </c>
      <c r="AS15" s="15" t="str">
        <f>IFERROR(IF(AR15="","",VLOOKUP(AR15,LISTAS!$F$5:$G$1004,2,0)),"0")</f>
        <v/>
      </c>
      <c r="AT15" s="15" t="str">
        <f t="shared" si="0"/>
        <v/>
      </c>
      <c r="AU15" s="15" t="str">
        <f t="shared" si="2"/>
        <v/>
      </c>
    </row>
    <row r="16" spans="2:49" ht="18" customHeight="1" x14ac:dyDescent="0.25">
      <c r="B16" s="16">
        <v>17</v>
      </c>
      <c r="C16" s="162" t="str">
        <f>IF('15F GRP'!G5&gt;=3,'15F GRP'!J229,IF('15F GRP'!G5=2,"",IF('15F GRP'!G5=1,"","")))</f>
        <v/>
      </c>
      <c r="D16" s="234">
        <v>0</v>
      </c>
      <c r="E16" s="56">
        <f>IF(D16&lt;&gt;"",D16,"")</f>
        <v>0</v>
      </c>
      <c r="F16" s="51" t="str">
        <f>IF(D16&lt;&gt;"",IF(C16="","",C16),"")</f>
        <v/>
      </c>
      <c r="G16" s="176">
        <f>IF(E16&lt;&gt;"",IF(E18&lt;&gt;"",SMALL(E16:E18,1),""),"")</f>
        <v>0</v>
      </c>
      <c r="H16" s="11"/>
      <c r="I16" s="18"/>
      <c r="J16" s="11"/>
      <c r="K16" s="166"/>
      <c r="L16" s="11"/>
      <c r="M16" s="11"/>
      <c r="N16" s="11"/>
      <c r="O16" s="166"/>
      <c r="P16" s="11"/>
      <c r="Q16" s="8"/>
      <c r="R16" s="182"/>
      <c r="S16" s="8"/>
      <c r="T16" s="8"/>
      <c r="U16" s="8"/>
      <c r="V16" s="182"/>
      <c r="W16" s="8"/>
      <c r="X16" s="62"/>
      <c r="Y16" s="182"/>
      <c r="Z16" s="8"/>
      <c r="AA16" s="8"/>
      <c r="AB16" s="11"/>
      <c r="AC16" s="182"/>
      <c r="AD16" s="65"/>
      <c r="AE16" s="8"/>
      <c r="AF16" s="8"/>
      <c r="AG16" s="181">
        <f>IF(AJ16&lt;&gt;"",AJ16,"")</f>
        <v>0</v>
      </c>
      <c r="AH16" s="78" t="str">
        <f>IF(AJ16&lt;&gt;"",IF(AK16="","",AK16),"")</f>
        <v/>
      </c>
      <c r="AI16" s="53">
        <f>IF(AG16&lt;&gt;"",IF(AG18&lt;&gt;"",SMALL(AG16:AG18,1),""),"")</f>
        <v>0</v>
      </c>
      <c r="AJ16" s="234">
        <v>0</v>
      </c>
      <c r="AK16" s="162" t="str">
        <f>IF('15F GRP'!G5&gt;=3,'15F GRP'!J190,IF('15F GRP'!G5=2,"",IF('15F GRP'!G5=1,"","")))</f>
        <v/>
      </c>
      <c r="AL16" s="11">
        <v>14</v>
      </c>
      <c r="AP16" s="13" t="str">
        <f>IF(AR16&lt;&gt;"",1+COUNTIF(AP8:AP15,"1")+COUNTIF(AP8:AP15,"2")+COUNTIF(AP8:AP15,"3")+COUNTIF(AP8:AP15,"4")+COUNTIF(AP8:AP15,"5")+COUNTIF(AP8:AP15,"6")+COUNTIF(AP8:AP15,"7")+COUNTIF(AP8:AP15,"8"),"")</f>
        <v/>
      </c>
      <c r="AQ16" s="14" t="str">
        <f t="shared" si="1"/>
        <v/>
      </c>
      <c r="AR16" s="21" t="str">
        <f>IF(AR8&lt;&gt;"",IF(G12=AR8,G14,IF(G14=AR8,G12,IF(G28=AR8,G30,IF(G30=AR8,G28,IF(AG12=AR8,AG14,IF(AG14=AR8,AG12,IF(AG28=AR8,AG30,IF(AG30=AR8,AG28,IF(G42=AR8,G44,IF(G44=AR8,G42,IF(G58=AR8,G60,IF(G60=AR8,G58,IF(AG42=AR8,AG44,IF(AG44=AR8,AG42,IF(AG58=AR8,AG60,IF(AG60=AR8,AG58)))))))))))))))),"")</f>
        <v/>
      </c>
      <c r="AS16" s="15" t="str">
        <f>IFERROR(IF(AR16="","",VLOOKUP(AR16,LISTAS!$F$5:$G$1004,2,0)),"0")</f>
        <v/>
      </c>
      <c r="AT16" s="15" t="str">
        <f t="shared" si="0"/>
        <v/>
      </c>
      <c r="AU16" s="15" t="str">
        <f t="shared" si="2"/>
        <v/>
      </c>
    </row>
    <row r="17" spans="2:47" ht="18" customHeight="1" thickBot="1" x14ac:dyDescent="0.3">
      <c r="B17" s="16"/>
      <c r="C17" s="165" t="str">
        <f>IFERROR(IF(C16="","",VLOOKUP(C16,LISTAS!$F$5:$G$1004,2,0)),"0")</f>
        <v/>
      </c>
      <c r="D17" s="235"/>
      <c r="E17" s="57"/>
      <c r="F17" s="51"/>
      <c r="G17" s="176"/>
      <c r="H17" s="11"/>
      <c r="I17" s="18"/>
      <c r="J17" s="11"/>
      <c r="K17" s="166"/>
      <c r="L17" s="11"/>
      <c r="M17" s="11"/>
      <c r="N17" s="11"/>
      <c r="O17" s="166"/>
      <c r="P17" s="11"/>
      <c r="Q17" s="8"/>
      <c r="R17" s="182"/>
      <c r="S17" s="8"/>
      <c r="T17" s="8"/>
      <c r="U17" s="8"/>
      <c r="V17" s="182"/>
      <c r="W17" s="8"/>
      <c r="X17" s="62"/>
      <c r="Y17" s="182"/>
      <c r="Z17" s="8"/>
      <c r="AA17" s="8"/>
      <c r="AB17" s="11"/>
      <c r="AC17" s="182"/>
      <c r="AD17" s="65"/>
      <c r="AE17" s="8"/>
      <c r="AF17" s="8"/>
      <c r="AG17" s="181"/>
      <c r="AH17" s="78"/>
      <c r="AI17" s="124"/>
      <c r="AJ17" s="235"/>
      <c r="AK17" s="165" t="str">
        <f>IFERROR(IF(AK16="","",VLOOKUP(AK16,LISTAS!$F$5:$G$1004,2,0)),"0")</f>
        <v/>
      </c>
      <c r="AL17" s="11"/>
      <c r="AP17" s="13" t="str">
        <f>IF(AR17&lt;&gt;"",1+COUNTIF(AP8:AP16,"1")+COUNTIF(AP8:AP16,"2")+COUNTIF(AP8:AP16,"3")+COUNTIF(AP8:AP16,"4")+COUNTIF(AP8:AP16,"5")+COUNTIF(AP8:AP16,"6")+COUNTIF(AP8:AP16,"7")+COUNTIF(AP8:AP16,"8")+COUNTIF(AP8:AP16,"9"),"")</f>
        <v/>
      </c>
      <c r="AQ17" s="14" t="str">
        <f t="shared" si="1"/>
        <v/>
      </c>
      <c r="AR17" s="21" t="str">
        <f>IF(AR9&lt;&gt;"",IF(G12=AR9,G14,IF(G14=AR9,G12,IF(G28=AR9,G30,IF(G30=AR9,G28,IF(AG12=AR9,AG14,IF(AG14=AR9,AG12,IF(AG28=AR9,AG30,IF(AG30=AR9,AG28,IF(G42=AR9,G44,IF(G44=AR9,G42,IF(G58=AR9,G60,IF(G60=AR9,G58,IF(AG42=AR9,AG44,IF(AG44=AR9,AG42,IF(AG58=AR9,AG60,IF(AG60=AR9,AG58)))))))))))))))),"")</f>
        <v/>
      </c>
      <c r="AS17" s="15" t="str">
        <f>IFERROR(IF(AR17="","",VLOOKUP(AR17,LISTAS!$F$5:$G$1004,2,0)),"0")</f>
        <v/>
      </c>
      <c r="AT17" s="15" t="str">
        <f t="shared" si="0"/>
        <v/>
      </c>
      <c r="AU17" s="15" t="str">
        <f t="shared" si="2"/>
        <v/>
      </c>
    </row>
    <row r="18" spans="2:47" ht="18" customHeight="1" x14ac:dyDescent="0.25">
      <c r="B18" s="16">
        <v>16</v>
      </c>
      <c r="C18" s="162" t="str">
        <f>IF('15F GRP'!G5&gt;=3,'15F GRP'!J216,IF('15F GRP'!G5=2,"",IF('15F GRP'!G5=1,"","")))</f>
        <v/>
      </c>
      <c r="D18" s="234">
        <v>0</v>
      </c>
      <c r="E18" s="57">
        <f>IF(D18&lt;&gt;"",D18,"")</f>
        <v>0</v>
      </c>
      <c r="F18" s="51" t="str">
        <f>IF(D18&lt;&gt;"",IF(C18="","",C18),"")</f>
        <v/>
      </c>
      <c r="G18" s="176" t="str">
        <f>VLOOKUP(G16,E16:F18,2,0)</f>
        <v/>
      </c>
      <c r="H18" s="11"/>
      <c r="I18" s="18"/>
      <c r="J18" s="11"/>
      <c r="K18" s="166"/>
      <c r="L18" s="11"/>
      <c r="M18" s="11"/>
      <c r="N18" s="11"/>
      <c r="O18" s="166"/>
      <c r="P18" s="11"/>
      <c r="Q18" s="8"/>
      <c r="R18" s="182"/>
      <c r="S18" s="8"/>
      <c r="T18" s="8"/>
      <c r="U18" s="8"/>
      <c r="V18" s="182"/>
      <c r="W18" s="8"/>
      <c r="X18" s="62"/>
      <c r="Y18" s="182"/>
      <c r="Z18" s="8"/>
      <c r="AA18" s="8"/>
      <c r="AB18" s="11"/>
      <c r="AC18" s="182"/>
      <c r="AD18" s="65"/>
      <c r="AE18" s="8"/>
      <c r="AF18" s="8"/>
      <c r="AG18" s="181">
        <f>IF(AJ18&lt;&gt;"",AJ18,"")</f>
        <v>0</v>
      </c>
      <c r="AH18" s="78" t="str">
        <f>IF(AJ18&lt;&gt;"",IF(AK18="","",AK18),"")</f>
        <v/>
      </c>
      <c r="AI18" s="76" t="str">
        <f>VLOOKUP(AI16,AG16:AH18,2,0)</f>
        <v/>
      </c>
      <c r="AJ18" s="234">
        <v>0</v>
      </c>
      <c r="AK18" s="162" t="str">
        <f>IF('15F GRP'!G5&gt;=3,'15F GRP'!J255,IF('15F GRP'!G5=2,"",IF('15F GRP'!G5=1,"","")))</f>
        <v/>
      </c>
      <c r="AL18" s="11">
        <v>19</v>
      </c>
      <c r="AP18" s="13" t="str">
        <f>IF(AR18&lt;&gt;"",1+COUNTIF(AP8:AP17,"1")+COUNTIF(AP8:AP17,"2")+COUNTIF(AP8:AP17,"3")+COUNTIF(AP8:AP17,"4")+COUNTIF(AP8:AP17,"5")+COUNTIF(AP8:AP17,"6")+COUNTIF(AP8:AP17,"7")+COUNTIF(AP8:AP17,"8")+COUNTIF(AP8:AP17,"9")+COUNTIF(AP8:AP17,"10"),"")</f>
        <v/>
      </c>
      <c r="AQ18" s="14" t="str">
        <f t="shared" si="1"/>
        <v/>
      </c>
      <c r="AR18" s="21" t="str">
        <f>IF(AR10&lt;&gt;"",IF(G12=AR10,G14,IF(G14=AR10,G12,IF(G28=AR10,G30,IF(G30=AR10,G28,IF(AG12=AR10,AG14,IF(AG14=AR10,AG12,IF(AG28=AR10,AG30,IF(AG30=AR10,AG28,IF(G42=AR10,G44,IF(G44=AR10,G42,IF(G58=AR10,G60,IF(G60=AR10,G58,IF(AG42=AR10,AG44,IF(AG44=AR10,AG42,IF(AG58=AR10,AG60,IF(AG60=AR10,AG58)))))))))))))))),"")</f>
        <v/>
      </c>
      <c r="AS18" s="15" t="str">
        <f>IFERROR(IF(AR18="","",VLOOKUP(AR18,LISTAS!$F$5:$G$1004,2,0)),"0")</f>
        <v/>
      </c>
      <c r="AT18" s="15" t="str">
        <f t="shared" si="0"/>
        <v/>
      </c>
      <c r="AU18" s="15" t="str">
        <f t="shared" si="2"/>
        <v/>
      </c>
    </row>
    <row r="19" spans="2:47" ht="18" customHeight="1" thickBot="1" x14ac:dyDescent="0.3">
      <c r="B19" s="16"/>
      <c r="C19" s="165" t="str">
        <f>IFERROR(IF(C18="","",VLOOKUP(C18,LISTAS!$F$5:$G$1004,2,0)),"0")</f>
        <v/>
      </c>
      <c r="D19" s="235"/>
      <c r="E19" s="51"/>
      <c r="F19" s="51"/>
      <c r="G19" s="176"/>
      <c r="H19" s="11"/>
      <c r="I19" s="18"/>
      <c r="J19" s="11"/>
      <c r="K19" s="166"/>
      <c r="L19" s="11"/>
      <c r="M19" s="11"/>
      <c r="N19" s="11"/>
      <c r="O19" s="166"/>
      <c r="P19" s="11"/>
      <c r="Q19" s="8"/>
      <c r="R19" s="182"/>
      <c r="S19" s="8"/>
      <c r="T19" s="8"/>
      <c r="U19" s="8"/>
      <c r="V19" s="182"/>
      <c r="W19" s="8"/>
      <c r="X19" s="62"/>
      <c r="Y19" s="182"/>
      <c r="Z19" s="8"/>
      <c r="AA19" s="8"/>
      <c r="AB19" s="11"/>
      <c r="AC19" s="182"/>
      <c r="AD19" s="65"/>
      <c r="AE19" s="8"/>
      <c r="AF19" s="8"/>
      <c r="AG19" s="181"/>
      <c r="AH19" s="78"/>
      <c r="AI19" s="51"/>
      <c r="AJ19" s="235"/>
      <c r="AK19" s="165" t="str">
        <f>IFERROR(IF(AK18="","",VLOOKUP(AK18,LISTAS!$F$5:$G$1004,2,0)),"0")</f>
        <v/>
      </c>
      <c r="AL19" s="11"/>
      <c r="AP19" s="13" t="str">
        <f>IF(AR19&lt;&gt;"",1+COUNTIF(AP8:AP18,"1")+COUNTIF(AP8:AP18,"2")+COUNTIF(AP8:AP18,"3")+COUNTIF(AP8:AP18,"4")+COUNTIF(AP8:AP18,"5")+COUNTIF(AP8:AP18,"6")+COUNTIF(AP8:AP18,"7")+COUNTIF(AP8:AP18,"8")+COUNTIF(AP8:AP18,"9")+COUNTIF(AP8:AP18,"10")+COUNTIF(AP8:AP18,"11"),"")</f>
        <v/>
      </c>
      <c r="AQ19" s="14" t="str">
        <f t="shared" si="1"/>
        <v/>
      </c>
      <c r="AR19" s="21" t="str">
        <f>IF(AR11&lt;&gt;"",IF(G12=AR11,G14,IF(G14=AR11,G12,IF(G28=AR11,G30,IF(G30=AR11,G28,IF(AG12=AR11,AG14,IF(AG14=AR11,AG12,IF(AG28=AR11,AG30,IF(AG30=AR11,AG28,IF(G42=AR11,G44,IF(G44=AR11,G42,IF(G58=AR11,G60,IF(G60=AR11,G58,IF(AG42=AR11,AG44,IF(AG44=AR11,AG42,IF(AG58=AR11,AG60,IF(AG60=AR11,AG58)))))))))))))))),"")</f>
        <v/>
      </c>
      <c r="AS19" s="15" t="str">
        <f>IFERROR(IF(AR19="","",VLOOKUP(AR19,LISTAS!$F$5:$G$1004,2,0)),"0")</f>
        <v/>
      </c>
      <c r="AT19" s="15" t="str">
        <f t="shared" si="0"/>
        <v/>
      </c>
      <c r="AU19" s="15" t="str">
        <f t="shared" si="2"/>
        <v/>
      </c>
    </row>
    <row r="20" spans="2:47" ht="18" customHeight="1" x14ac:dyDescent="0.25">
      <c r="B20" s="16"/>
      <c r="C20" s="166"/>
      <c r="D20" s="11"/>
      <c r="E20" s="51"/>
      <c r="F20" s="51"/>
      <c r="G20" s="176"/>
      <c r="H20" s="11"/>
      <c r="I20" s="18"/>
      <c r="J20" s="11"/>
      <c r="K20" s="162" t="str">
        <f>IF(H12&lt;&gt;"",IF(H14&lt;&gt;"",IF(H12=H14,"",IF(H12&gt;H14,G12,G14)),""),"")</f>
        <v>MARIA LETÍCIA FURUKAVA MONTEIRO</v>
      </c>
      <c r="L20" s="234">
        <v>2</v>
      </c>
      <c r="M20" s="51">
        <f>IF(L20&lt;&gt;"",L20,"")</f>
        <v>2</v>
      </c>
      <c r="N20" s="51" t="str">
        <f>IF(L20&lt;&gt;"",IF(K20="","",K20),"")</f>
        <v>MARIA LETÍCIA FURUKAVA MONTEIRO</v>
      </c>
      <c r="O20" s="176">
        <f>IF(M20&lt;&gt;"",IF(M22&lt;&gt;"",SMALL(M20:N22,1),""),"")</f>
        <v>0</v>
      </c>
      <c r="P20" s="11"/>
      <c r="Q20" s="8"/>
      <c r="R20" s="202"/>
      <c r="S20" s="202"/>
      <c r="T20" s="202" t="s">
        <v>21</v>
      </c>
      <c r="U20" s="202"/>
      <c r="V20" s="202"/>
      <c r="W20" s="8"/>
      <c r="X20" s="62"/>
      <c r="Y20" s="182"/>
      <c r="Z20" s="8"/>
      <c r="AA20" s="8"/>
      <c r="AB20" s="234">
        <v>1</v>
      </c>
      <c r="AC20" s="162" t="str">
        <f>IF(AF12&lt;&gt;"",IF(AF14&lt;&gt;"",IF(AF12=AF14,"",IF(AF12&gt;AF14,AG12,AG14)),""),"")</f>
        <v>RAFAELA ADILEU</v>
      </c>
      <c r="AD20" s="112"/>
      <c r="AE20" s="8"/>
      <c r="AF20" s="8"/>
      <c r="AG20" s="182"/>
      <c r="AH20" s="8"/>
      <c r="AI20" s="8"/>
      <c r="AJ20" s="11"/>
      <c r="AK20" s="166"/>
      <c r="AL20" s="11"/>
      <c r="AM20" s="23"/>
      <c r="AN20" s="23"/>
      <c r="AO20" s="23"/>
      <c r="AP20" s="13" t="str">
        <f>IF(AR20&lt;&gt;"",1+COUNTIF(AP8:AP19,"1")+COUNTIF(AP8:AP19,"2")+COUNTIF(AP8:AP19,"3")+COUNTIF(AP8:AP19,"4")+COUNTIF(AP8:AP19,"5")+COUNTIF(AP8:AP19,"6")+COUNTIF(AP8:AP19,"7")+COUNTIF(AP8:AP19,"8")+COUNTIF(AP8:AP19,"9")+COUNTIF(AP8:AP19,"10")+COUNTIF(AP8:AP19,"11")+COUNTIF(AP8:AP19,"12"),"")</f>
        <v/>
      </c>
      <c r="AQ20" s="14" t="str">
        <f t="shared" si="1"/>
        <v/>
      </c>
      <c r="AR20" s="21" t="str">
        <f>IF(AR12&lt;&gt;"",IF(G12=AR12,G14,IF(G14=AR12,G12,IF(G28=AR12,G30,IF(G30=AR12,G28,IF(AG12=AR12,AG14,IF(AG14=AR12,AG12,IF(AG28=AR12,AG30,IF(AG30=AR12,AG28,IF(G42=AR12,G44,IF(G44=AR12,G42,IF(G58=AR12,G60,IF(G60=AR12,G58,IF(AG42=AR12,AG44,IF(AG44=AR12,AG42,IF(AG58=AR12,AG60,IF(AG60=AR12,AG58)))))))))))))))),"")</f>
        <v/>
      </c>
      <c r="AS20" s="15" t="str">
        <f>IFERROR(IF(AR20="","",VLOOKUP(AR20,LISTAS!$F$5:$G$1004,2,0)),"0")</f>
        <v/>
      </c>
      <c r="AT20" s="15" t="str">
        <f t="shared" si="0"/>
        <v/>
      </c>
      <c r="AU20" s="15" t="str">
        <f t="shared" si="2"/>
        <v/>
      </c>
    </row>
    <row r="21" spans="2:47" ht="18" customHeight="1" thickBot="1" x14ac:dyDescent="0.3">
      <c r="B21" s="16"/>
      <c r="C21" s="166"/>
      <c r="D21" s="11"/>
      <c r="E21" s="11"/>
      <c r="F21" s="11"/>
      <c r="G21" s="166"/>
      <c r="H21" s="11"/>
      <c r="I21" s="18"/>
      <c r="J21" s="11"/>
      <c r="K21" s="165" t="str">
        <f>IFERROR(IF(K20="","",VLOOKUP(K20,LISTAS!$F$5:$G$1004,2,0)),"0")</f>
        <v>COLÉGIO SÃO MAURO</v>
      </c>
      <c r="L21" s="235"/>
      <c r="M21" s="51"/>
      <c r="N21" s="51"/>
      <c r="O21" s="176"/>
      <c r="P21" s="11"/>
      <c r="Q21" s="8"/>
      <c r="R21" s="202"/>
      <c r="S21" s="202"/>
      <c r="T21" s="202" t="s">
        <v>31</v>
      </c>
      <c r="U21" s="202"/>
      <c r="V21" s="202"/>
      <c r="W21" s="8"/>
      <c r="X21" s="62"/>
      <c r="Y21" s="182"/>
      <c r="Z21" s="8"/>
      <c r="AA21" s="8"/>
      <c r="AB21" s="235"/>
      <c r="AC21" s="165" t="str">
        <f>IFERROR(IF(AC20="","",VLOOKUP(AC20,LISTAS!$F$5:$G$1004,2,0)),"0")</f>
        <v>COLÉGIO MARCONI - GRU</v>
      </c>
      <c r="AD21" s="8"/>
      <c r="AE21" s="69"/>
      <c r="AF21" s="8"/>
      <c r="AG21" s="182"/>
      <c r="AH21" s="8"/>
      <c r="AI21" s="8"/>
      <c r="AJ21" s="11"/>
      <c r="AK21" s="166"/>
      <c r="AL21" s="11"/>
      <c r="AM21" s="23"/>
      <c r="AN21" s="23"/>
      <c r="AO21" s="23"/>
      <c r="AP21" s="13" t="str">
        <f>IF(AR21&lt;&gt;"",1+COUNTIF(AP8:AP20,"1")+COUNTIF(AP8:AP20,"2")+COUNTIF(AP8:AP20,"3")+COUNTIF(AP8:AP20,"4")+COUNTIF(AP8:AP20,"5")+COUNTIF(AP8:AP20,"6")+COUNTIF(AP8:AP20,"7")+COUNTIF(AP8:AP20,"8")+COUNTIF(AP8:AP20,"9")+COUNTIF(AP8:AP20,"10")+COUNTIF(AP8:AP20,"11")+COUNTIF(AP8:AP20,"12")+COUNTIF(AP8:AP20,"13"),"")</f>
        <v/>
      </c>
      <c r="AQ21" s="14" t="str">
        <f t="shared" si="1"/>
        <v/>
      </c>
      <c r="AR21" s="21" t="str">
        <f>IF(AR13&lt;&gt;"",IF(G12=AR13,G14,IF(G14=AR13,G12,IF(G28=AR13,G30,IF(G30=AR13,G28,IF(AG12=AR13,AG14,IF(AG14=AR13,AG12,IF(AG28=AR13,AG30,IF(AG30=AR13,AG28,IF(G42=AR13,G44,IF(G44=AR13,G42,IF(G58=AR13,G60,IF(G60=AR13,G58,IF(AG42=AR13,AG44,IF(AG44=AR13,AG42,IF(AG58=AR13,AG60,IF(AG60=AR13,AG58)))))))))))))))),"")</f>
        <v/>
      </c>
      <c r="AS21" s="15" t="str">
        <f>IFERROR(IF(AR21="","",VLOOKUP(AR21,LISTAS!$F$5:$G$1004,2,0)),"0")</f>
        <v/>
      </c>
      <c r="AT21" s="15" t="str">
        <f t="shared" si="0"/>
        <v/>
      </c>
      <c r="AU21" s="15" t="str">
        <f t="shared" si="2"/>
        <v/>
      </c>
    </row>
    <row r="22" spans="2:47" ht="18" customHeight="1" x14ac:dyDescent="0.25">
      <c r="B22" s="16"/>
      <c r="C22" s="166"/>
      <c r="D22" s="11"/>
      <c r="E22" s="11"/>
      <c r="F22" s="11"/>
      <c r="G22" s="166"/>
      <c r="H22" s="11"/>
      <c r="I22" s="18"/>
      <c r="J22" s="19"/>
      <c r="K22" s="162" t="str">
        <f>IF(H28&lt;&gt;"",IF(H30&lt;&gt;"",IF(H28=H30,"",IF(H28&gt;H30,G28,G30)),""),"")</f>
        <v/>
      </c>
      <c r="L22" s="234">
        <v>0</v>
      </c>
      <c r="M22" s="52">
        <f>IF(L22&lt;&gt;"",L22,"")</f>
        <v>0</v>
      </c>
      <c r="N22" s="51" t="str">
        <f>IF(L22&lt;&gt;"",IF(K22="","",K22),"")</f>
        <v/>
      </c>
      <c r="O22" s="176" t="str">
        <f>VLOOKUP(O20,M20:N22,2,0)</f>
        <v/>
      </c>
      <c r="P22" s="11"/>
      <c r="Q22" s="8"/>
      <c r="R22" s="182"/>
      <c r="S22" s="8"/>
      <c r="T22" s="8"/>
      <c r="U22" s="8"/>
      <c r="V22" s="182"/>
      <c r="W22" s="8"/>
      <c r="X22" s="62"/>
      <c r="Y22" s="182"/>
      <c r="Z22" s="65"/>
      <c r="AA22" s="68"/>
      <c r="AB22" s="234">
        <v>0</v>
      </c>
      <c r="AC22" s="162" t="str">
        <f>IF(AF28&lt;&gt;"",IF(AF30&lt;&gt;"",IF(AF28=AF30,"",IF(AF28&gt;AF30,AG28,AG30)),""),"")</f>
        <v>LAURA ROSSIN</v>
      </c>
      <c r="AD22" s="8"/>
      <c r="AE22" s="69"/>
      <c r="AF22" s="8"/>
      <c r="AG22" s="182"/>
      <c r="AH22" s="8"/>
      <c r="AI22" s="8"/>
      <c r="AJ22" s="11"/>
      <c r="AK22" s="166"/>
      <c r="AL22" s="11"/>
      <c r="AP22" s="13" t="str">
        <f>IF(AR22&lt;&gt;"",1+COUNTIF(AP8:AP21,"1")+COUNTIF(AP8:AP21,"2")+COUNTIF(AP8:AP21,"3")+COUNTIF(AP8:AP21,"4")+COUNTIF(AP8:AP21,"5")+COUNTIF(AP8:AP21,"6")+COUNTIF(AP8:AP21,"7")+COUNTIF(AP8:AP21,"8")+COUNTIF(AP8:AP21,"9")+COUNTIF(AP8:AP21,"10")+COUNTIF(AP8:AP21,"11")+COUNTIF(AP8:AP21,"12")+COUNTIF(AP8:AP21,"13")+COUNTIF(AP8:AP21,"14"),"")</f>
        <v/>
      </c>
      <c r="AQ22" s="14" t="str">
        <f t="shared" si="1"/>
        <v/>
      </c>
      <c r="AR22" s="21" t="str">
        <f>IF(AR14&lt;&gt;"",IF(G12=AR14,G14,IF(G14=AR14,G12,IF(G28=AR14,G30,IF(G30=AR14,G28,IF(AG12=AR14,AG14,IF(AG14=AR14,AG12,IF(AG28=AR14,AG30,IF(AG30=AR14,AG28,IF(G42=AR14,G44,IF(G44=AR14,G42,IF(G58=AR14,G60,IF(G60=AR14,G58,IF(AG42=AR14,AG44,IF(AG44=AR14,AG42,IF(AG58=AR14,AG60,IF(AG60=AR14,AG58)))))))))))))))),"")</f>
        <v/>
      </c>
      <c r="AS22" s="15" t="str">
        <f>IFERROR(IF(AR22="","",VLOOKUP(AR22,LISTAS!$F$5:$G$1004,2,0)),"0")</f>
        <v/>
      </c>
      <c r="AT22" s="15" t="str">
        <f t="shared" si="0"/>
        <v/>
      </c>
      <c r="AU22" s="15" t="str">
        <f t="shared" si="2"/>
        <v/>
      </c>
    </row>
    <row r="23" spans="2:47" ht="18" customHeight="1" thickBot="1" x14ac:dyDescent="0.3">
      <c r="B23" s="16"/>
      <c r="C23" s="166"/>
      <c r="D23" s="11"/>
      <c r="E23" s="11"/>
      <c r="F23" s="11"/>
      <c r="G23" s="166"/>
      <c r="H23" s="11"/>
      <c r="I23" s="18"/>
      <c r="J23" s="11"/>
      <c r="K23" s="165" t="str">
        <f>IFERROR(IF(K22="","",VLOOKUP(K22,LISTAS!$F$5:$G$1004,2,0)),"0")</f>
        <v/>
      </c>
      <c r="L23" s="235"/>
      <c r="M23" s="54"/>
      <c r="N23" s="51"/>
      <c r="O23" s="176"/>
      <c r="P23" s="11"/>
      <c r="Q23" s="8"/>
      <c r="R23" s="182"/>
      <c r="S23" s="8"/>
      <c r="T23" s="8"/>
      <c r="U23" s="8"/>
      <c r="V23" s="182"/>
      <c r="W23" s="8"/>
      <c r="X23" s="62"/>
      <c r="Y23" s="182"/>
      <c r="Z23" s="65"/>
      <c r="AA23" s="8"/>
      <c r="AB23" s="235"/>
      <c r="AC23" s="165" t="str">
        <f>IFERROR(IF(AC22="","",VLOOKUP(AC22,LISTAS!$F$5:$G$1004,2,0)),"0")</f>
        <v>COLEGIO PETROPOLIS</v>
      </c>
      <c r="AD23" s="8"/>
      <c r="AE23" s="69"/>
      <c r="AF23" s="8"/>
      <c r="AG23" s="182"/>
      <c r="AH23" s="8"/>
      <c r="AI23" s="8"/>
      <c r="AJ23" s="11"/>
      <c r="AK23" s="166"/>
      <c r="AL23" s="11"/>
      <c r="AP23" s="13" t="str">
        <f>IF(AR23&lt;&gt;"",1+COUNTIF(AP8:AP22,"1")+COUNTIF(AP8:AP22,"2")+COUNTIF(AP8:AP22,"3")+COUNTIF(AP8:AP22,"4")+COUNTIF(AP8:AP22,"5")+COUNTIF(AP8:AP22,"6")+COUNTIF(AP8:AP22,"7")+COUNTIF(AP8:AP22,"8")+COUNTIF(AP8:AP22,"9")+COUNTIF(AP8:AP22,"10")+COUNTIF(AP8:AP22,"11")+COUNTIF(AP8:AP22,"12")+COUNTIF(AP8:AP22,"13")+COUNTIF(AP8:AP22,"14")+COUNTIF(AP8:AP22,"15"),"")</f>
        <v/>
      </c>
      <c r="AQ23" s="14" t="str">
        <f t="shared" si="1"/>
        <v/>
      </c>
      <c r="AR23" s="21" t="str">
        <f>IF(AR15&lt;&gt;"",IF(G12=AR15,G14,IF(G14=AR15,G12,IF(G28=AR15,G30,IF(G30=AR15,G28,IF(AG12=AR15,AG14,IF(AG14=AR15,AG12,IF(AG28=AR15,AG30,IF(AG30=AR15,AG28,IF(G42=AR15,G44,IF(G44=AR15,G42,IF(G58=AR15,G60,IF(G60=AR15,G58,IF(AG42=AR15,AG44,IF(AG44=AR15,AG42,IF(AG58=AR15,AG60,IF(AG60=AR15,AG58)))))))))))))))),"")</f>
        <v/>
      </c>
      <c r="AS23" s="15" t="str">
        <f>IFERROR(IF(AR23="","",VLOOKUP(AR23,LISTAS!$F$5:$G$1004,2,0)),"0")</f>
        <v/>
      </c>
      <c r="AT23" s="15" t="str">
        <f t="shared" si="0"/>
        <v/>
      </c>
      <c r="AU23" s="15" t="str">
        <f t="shared" si="2"/>
        <v/>
      </c>
    </row>
    <row r="24" spans="2:47" ht="18" customHeight="1" x14ac:dyDescent="0.25">
      <c r="B24" s="16">
        <v>9</v>
      </c>
      <c r="C24" s="162" t="str">
        <f>IF('15F GRP'!G5&gt;=3,'15F GRP'!J125,IF('15F GRP'!G5=2,"",IF('15F GRP'!G5=1,"","")))</f>
        <v/>
      </c>
      <c r="D24" s="234">
        <v>0</v>
      </c>
      <c r="E24" s="51">
        <f>IF(D24&lt;&gt;"",D24,"")</f>
        <v>0</v>
      </c>
      <c r="F24" s="51" t="str">
        <f>IF(D24&lt;&gt;"",IF(C24="","",C24),"")</f>
        <v/>
      </c>
      <c r="G24" s="176">
        <f>IF(E24&lt;&gt;"",IF(E26&lt;&gt;"",SMALL(E24:E26,1),""),"")</f>
        <v>0</v>
      </c>
      <c r="H24" s="11"/>
      <c r="I24" s="18"/>
      <c r="J24" s="11"/>
      <c r="K24" s="166"/>
      <c r="L24" s="11"/>
      <c r="M24" s="54"/>
      <c r="N24" s="51"/>
      <c r="O24" s="176"/>
      <c r="P24" s="11"/>
      <c r="Q24" s="8"/>
      <c r="R24" s="182"/>
      <c r="S24" s="8"/>
      <c r="T24" s="8"/>
      <c r="U24" s="8"/>
      <c r="V24" s="182"/>
      <c r="W24" s="8"/>
      <c r="X24" s="62"/>
      <c r="Y24" s="182"/>
      <c r="Z24" s="65"/>
      <c r="AA24" s="8"/>
      <c r="AB24" s="11"/>
      <c r="AC24" s="182"/>
      <c r="AD24" s="8"/>
      <c r="AE24" s="69"/>
      <c r="AF24" s="8"/>
      <c r="AG24" s="181">
        <f>IF(AJ24&lt;&gt;"",AJ24,"")</f>
        <v>0</v>
      </c>
      <c r="AH24" s="78" t="str">
        <f>IF(AJ24&lt;&gt;"",IF(AK24="","",AK24),"")</f>
        <v/>
      </c>
      <c r="AI24" s="51">
        <f>IF(AG24&lt;&gt;"",IF(AG26&lt;&gt;"",SMALL(AG24:AG26,1),""),"")</f>
        <v>0</v>
      </c>
      <c r="AJ24" s="234">
        <v>0</v>
      </c>
      <c r="AK24" s="162" t="str">
        <f>IF('15F GRP'!G5&gt;=3,'15F GRP'!J294,IF('15F GRP'!G5=2,"",IF('15F GRP'!G5=1,"","")))</f>
        <v/>
      </c>
      <c r="AL24" s="11">
        <v>22</v>
      </c>
      <c r="AP24" s="13" t="str">
        <f>IF(AR24&lt;&gt;"",1+COUNTIF(AP8:AP23,"1")+COUNTIF(AP8:AP23,"2")+COUNTIF(AP8:AP23,"3")+COUNTIF(AP8:AP23,"4")+COUNTIF(AP8:AP23,"5")+COUNTIF(AP8:AP23,"6")+COUNTIF(AP8:AP23,"7")+COUNTIF(AP8:AP23,"8")+COUNTIF(AP8:AP23,"9")+COUNTIF(AP8:AP23,"10")+COUNTIF(AP8:AP23,"11")+COUNTIF(AP8:AP23,"12")+COUNTIF(AP8:AP23,"13")+COUNTIF(AP8:AP23,"14")+COUNTIF(AP8:AP23,"15")+COUNTIF(AP8:AP23,"16"),"")</f>
        <v/>
      </c>
      <c r="AQ24" s="14" t="str">
        <f t="shared" si="1"/>
        <v/>
      </c>
      <c r="AR24" s="21" t="str">
        <f>IF(AR8&lt;&gt;"",IF(C8=AR8,G10,IF(C10=AR8,G10,IF(C16=AR8,G18,IF(C18=AR8,G18,IF(C38=AR8,G40,IF(C40=AR8,G40,IF(C46=AR8,G48,IF(C48=AR8,G48,IF(C24=AR8,G26,IF(C26=AR8,G26,IF(C32=AR8,G34,IF(C34=AR8,G34,IF(C54=AR8,G56,IF(C56=AR8,G56,IF(C62=AR8,G64,IF(C64=AR8,G64,IF(AK8=AR8,AI10,IF(AK10=AR8,AI10,IF(AK16=AR8,AI18,IF(AK18=AR8,AI18,IF(AK38=AR8,AI40,IF(AK40=AR8,AI40,IF(AK46=AR8,AI48,IF(AK48=AR8,AI48,IF(AK24=AR8,AI26,IF(AK26=AR8,AI26,IF(AK32=AR8,AI34,IF(AK34=AR8,AI34,IF(AK54=AR8,AI56,IF(AK56=AR8,AI56,IF(AK62=AR8,AI64,IF(AK64=AR8,AI64)))))))))))))))))))))))))))))))),"")</f>
        <v/>
      </c>
      <c r="AS24" s="15" t="str">
        <f>IFERROR(IF(AR24="","",VLOOKUP(AR24,LISTAS!$F$5:$G$1004,2,0)),"0")</f>
        <v/>
      </c>
      <c r="AT24" s="15" t="str">
        <f t="shared" si="0"/>
        <v/>
      </c>
      <c r="AU24" s="15" t="str">
        <f t="shared" si="2"/>
        <v/>
      </c>
    </row>
    <row r="25" spans="2:47" ht="18" customHeight="1" thickBot="1" x14ac:dyDescent="0.3">
      <c r="B25" s="16"/>
      <c r="C25" s="165" t="str">
        <f>IFERROR(IF(C24="","",VLOOKUP(C24,LISTAS!$F$5:$G$1004,2,0)),"0")</f>
        <v/>
      </c>
      <c r="D25" s="235"/>
      <c r="E25" s="51"/>
      <c r="F25" s="51"/>
      <c r="G25" s="176"/>
      <c r="H25" s="11"/>
      <c r="I25" s="18"/>
      <c r="J25" s="11"/>
      <c r="K25" s="166"/>
      <c r="L25" s="11"/>
      <c r="M25" s="18"/>
      <c r="N25" s="11"/>
      <c r="O25" s="166"/>
      <c r="P25" s="11"/>
      <c r="Q25" s="8"/>
      <c r="R25" s="182"/>
      <c r="S25" s="8"/>
      <c r="T25" s="8"/>
      <c r="U25" s="8"/>
      <c r="V25" s="182"/>
      <c r="W25" s="8"/>
      <c r="X25" s="62"/>
      <c r="Y25" s="182"/>
      <c r="Z25" s="65"/>
      <c r="AA25" s="8"/>
      <c r="AB25" s="11"/>
      <c r="AC25" s="182"/>
      <c r="AD25" s="8"/>
      <c r="AE25" s="69"/>
      <c r="AF25" s="8"/>
      <c r="AG25" s="181"/>
      <c r="AH25" s="78"/>
      <c r="AI25" s="51"/>
      <c r="AJ25" s="235"/>
      <c r="AK25" s="165" t="str">
        <f>IFERROR(IF(AK24="","",VLOOKUP(AK24,LISTAS!$F$5:$G$1004,2,0)),"0")</f>
        <v/>
      </c>
      <c r="AL25" s="11"/>
      <c r="AP25" s="13" t="str">
        <f>IF(AR25&lt;&gt;"",1+COUNTIF(AP8:AP24,"1")+COUNTIF(AP8:AP24,"2")+COUNTIF(AP8:AP24,"3")+COUNTIF(AP8:AP24,"4")+COUNTIF(AP8:AP24,"5")+COUNTIF(AP8:AP24,"6")+COUNTIF(AP8:AP24,"7")+COUNTIF(AP8:AP24,"8")+COUNTIF(AP8:AP24,"9")+COUNTIF(AP8:AP24,"10")+COUNTIF(AP8:AP24,"11")+COUNTIF(AP8:AP24,"12")+COUNTIF(AP8:AP24,"13")+COUNTIF(AP8:AP24,"14")+COUNTIF(AP8:AP24,"15")+COUNTIF(AP8:AP24,"16")+COUNTIF(AP8:AP24,"17"),"")</f>
        <v/>
      </c>
      <c r="AQ25" s="14" t="str">
        <f t="shared" si="1"/>
        <v/>
      </c>
      <c r="AR25" s="21" t="str">
        <f>IF(AR9&lt;&gt;"",IF(C8=AR9,G10,IF(C10=AR9,G10,IF(C16=AR9,G18,IF(C18=AR9,G18,IF(C38=AR9,G40,IF(C40=AR9,G40,IF(C46=AR9,G48,IF(C48=AR9,G48,IF(C24=AR9,G26,IF(C26=AR9,G26,IF(C32=AR9,G34,IF(C34=AR9,G34,IF(C54=AR9,G56,IF(C56=AR9,G56,IF(C62=AR9,G64,IF(C64=AR9,G64,IF(AK8=AR9,AI10,IF(AK10=AR9,AI10,IF(AK16=AR9,AI18,IF(AK18=AR9,AI18,IF(AK38=AR9,AI40,IF(AK40=AR9,AI40,IF(AK46=AR9,AI48,IF(AK48=AR9,AI48,IF(AK24=AR9,AI26,IF(AK26=AR9,AI26,IF(AK32=AR9,AI34,IF(AK34=AR9,AI34,IF(AK54=AR9,AI56,IF(AK56=AR9,AI56,IF(AK62=AR9,AI64,IF(AK64=AR9,AI64)))))))))))))))))))))))))))))))),"")</f>
        <v/>
      </c>
      <c r="AS25" s="15" t="str">
        <f>IFERROR(IF(AR25="","",VLOOKUP(AR25,LISTAS!$F$5:$G$1004,2,0)),"0")</f>
        <v/>
      </c>
      <c r="AT25" s="15" t="str">
        <f t="shared" si="0"/>
        <v/>
      </c>
      <c r="AU25" s="15" t="str">
        <f t="shared" si="2"/>
        <v/>
      </c>
    </row>
    <row r="26" spans="2:47" ht="18" customHeight="1" x14ac:dyDescent="0.25">
      <c r="B26" s="16">
        <v>24</v>
      </c>
      <c r="C26" s="162" t="str">
        <f>IF('15F GRP'!G5&gt;=3,'15F GRP'!J320,IF('15F GRP'!G5=2,"",IF('15F GRP'!G5=1,"","")))</f>
        <v/>
      </c>
      <c r="D26" s="234">
        <v>0</v>
      </c>
      <c r="E26" s="52">
        <f>IF(D26&lt;&gt;"",D26,"")</f>
        <v>0</v>
      </c>
      <c r="F26" s="51" t="str">
        <f>IF(D26&lt;&gt;"",IF(C26="","",C26),"")</f>
        <v/>
      </c>
      <c r="G26" s="176" t="str">
        <f>VLOOKUP(G24,E24:F26,2,0)</f>
        <v/>
      </c>
      <c r="H26" s="11"/>
      <c r="I26" s="18"/>
      <c r="J26" s="11"/>
      <c r="K26" s="166"/>
      <c r="L26" s="11"/>
      <c r="M26" s="18"/>
      <c r="N26" s="11"/>
      <c r="O26" s="166"/>
      <c r="P26" s="11"/>
      <c r="Q26" s="8"/>
      <c r="R26" s="182"/>
      <c r="S26" s="8"/>
      <c r="T26" s="8"/>
      <c r="U26" s="8"/>
      <c r="V26" s="182"/>
      <c r="W26" s="8"/>
      <c r="X26" s="62"/>
      <c r="Y26" s="182"/>
      <c r="Z26" s="65"/>
      <c r="AA26" s="8"/>
      <c r="AB26" s="11"/>
      <c r="AC26" s="182"/>
      <c r="AD26" s="8"/>
      <c r="AE26" s="69"/>
      <c r="AF26" s="8"/>
      <c r="AG26" s="181">
        <f>IF(AJ26&lt;&gt;"",AJ26,"")</f>
        <v>0</v>
      </c>
      <c r="AH26" s="78" t="str">
        <f>IF(AJ26&lt;&gt;"",IF(AK26="","",AK26),"")</f>
        <v/>
      </c>
      <c r="AI26" s="55" t="str">
        <f>VLOOKUP(AI24,AG24:AH26,2,0)</f>
        <v/>
      </c>
      <c r="AJ26" s="234">
        <v>0</v>
      </c>
      <c r="AK26" s="162" t="str">
        <f>IF('15F GRP'!G5&gt;=3,'15F GRP'!J151,IF('15F GRP'!G5=2,"",IF('15F GRP'!G5=1,"","")))</f>
        <v/>
      </c>
      <c r="AL26" s="11">
        <v>11</v>
      </c>
      <c r="AM26" s="23"/>
      <c r="AN26" s="23"/>
      <c r="AO26" s="23"/>
      <c r="AP26" s="13" t="str">
        <f>IF(AR26&lt;&gt;"",1+COUNTIF(AP8:AP25,"1")+COUNTIF(AP8:AP25,"2")+COUNTIF(AP8:AP25,"3")+COUNTIF(AP8:AP25,"4")+COUNTIF(AP8:AP25,"5")+COUNTIF(AP8:AP25,"6")+COUNTIF(AP8:AP25,"7")+COUNTIF(AP8:AP25,"8")+COUNTIF(AP8:AP25,"9")+COUNTIF(AP8:AP25,"10")+COUNTIF(AP8:AP25,"11")+COUNTIF(AP8:AP25,"12")+COUNTIF(AP8:AP25,"13")+COUNTIF(AP8:AP25,"14")+COUNTIF(AP8:AP25,"15")+COUNTIF(AP8:AP25,"16")+COUNTIF(AP8:AP25,"17")+COUNTIF(AP8:AP25,"18"),"")</f>
        <v/>
      </c>
      <c r="AQ26" s="14" t="str">
        <f t="shared" si="1"/>
        <v/>
      </c>
      <c r="AR26" s="21" t="str">
        <f>IF(AR10&lt;&gt;"",IF(C8=AR10,G10,IF(C10=AR10,G10,IF(C16=AR10,G18,IF(C18=AR10,G18,IF(C38=AR10,G40,IF(C40=AR10,G40,IF(C46=AR10,G48,IF(C48=AR10,G48,IF(C24=AR10,G26,IF(C26=AR10,G26,IF(C32=AR10,G34,IF(C34=AR10,G34,IF(C54=AR10,G56,IF(C56=AR10,G56,IF(C62=AR10,G64,IF(C64=AR10,G64,IF(AK8=AR10,AI10,IF(AK10=AR10,AI10,IF(AK16=AR10,AI18,IF(AK18=AR10,AI18,IF(AK38=AR10,AI40,IF(AK40=AR10,AI40,IF(AK46=AR10,AI48,IF(AK48=AR10,AI48,IF(AK24=AR10,AI26,IF(AK26=AR10,AI26,IF(AK32=AR10,AI34,IF(AK34=AR10,AI34,IF(AK54=AR10,AI56,IF(AK56=AR10,AI56,IF(AK62=AR10,AI64,IF(AK64=AR10,AI64)))))))))))))))))))))))))))))))),"")</f>
        <v/>
      </c>
      <c r="AS26" s="15" t="str">
        <f>IFERROR(IF(AR26="","",VLOOKUP(AR26,LISTAS!$F$5:$G$1004,2,0)),"0")</f>
        <v/>
      </c>
      <c r="AT26" s="15" t="str">
        <f t="shared" si="0"/>
        <v/>
      </c>
      <c r="AU26" s="15" t="str">
        <f t="shared" si="2"/>
        <v/>
      </c>
    </row>
    <row r="27" spans="2:47" ht="18" customHeight="1" thickBot="1" x14ac:dyDescent="0.3">
      <c r="B27" s="16"/>
      <c r="C27" s="165" t="str">
        <f>IFERROR(IF(C26="","",VLOOKUP(C26,LISTAS!$F$5:$G$1004,2,0)),"0")</f>
        <v/>
      </c>
      <c r="D27" s="235"/>
      <c r="E27" s="128"/>
      <c r="F27" s="51"/>
      <c r="G27" s="176"/>
      <c r="H27" s="11"/>
      <c r="I27" s="18"/>
      <c r="J27" s="11"/>
      <c r="K27" s="166"/>
      <c r="L27" s="11"/>
      <c r="M27" s="18"/>
      <c r="N27" s="11"/>
      <c r="O27" s="166"/>
      <c r="P27" s="11"/>
      <c r="Q27" s="8"/>
      <c r="R27" s="182"/>
      <c r="S27" s="8"/>
      <c r="T27" s="8"/>
      <c r="U27" s="8"/>
      <c r="V27" s="182"/>
      <c r="W27" s="8"/>
      <c r="X27" s="62"/>
      <c r="Y27" s="182"/>
      <c r="Z27" s="65"/>
      <c r="AA27" s="8"/>
      <c r="AB27" s="11"/>
      <c r="AC27" s="182"/>
      <c r="AD27" s="8"/>
      <c r="AE27" s="69"/>
      <c r="AF27" s="8"/>
      <c r="AG27" s="181"/>
      <c r="AH27" s="78"/>
      <c r="AI27" s="123"/>
      <c r="AJ27" s="235"/>
      <c r="AK27" s="165" t="str">
        <f>IFERROR(IF(AK26="","",VLOOKUP(AK26,LISTAS!$F$5:$G$1004,2,0)),"0")</f>
        <v/>
      </c>
      <c r="AL27" s="11"/>
      <c r="AP27" s="13" t="str">
        <f>IF(AR27&lt;&gt;"",1+COUNTIF(AP8:AP26,"1")+COUNTIF(AP8:AP26,"2")+COUNTIF(AP8:AP26,"3")+COUNTIF(AP8:AP26,"4")+COUNTIF(AP8:AP26,"5")+COUNTIF(AP8:AP26,"6")+COUNTIF(AP8:AP26,"7")+COUNTIF(AP8:AP26,"8")+COUNTIF(AP8:AP26,"9")+COUNTIF(AP8:AP26,"10")+COUNTIF(AP8:AP26,"11")+COUNTIF(AP8:AP26,"12")+COUNTIF(AP8:AP26,"13")+COUNTIF(AP8:AP26,"14")+COUNTIF(AP8:AP26,"15")+COUNTIF(AP8:AP26,"16")+COUNTIF(AP8:AP26,"17")+COUNTIF(AP8:AP26,"18")+COUNTIF(AP8:AP26,"19"),"")</f>
        <v/>
      </c>
      <c r="AQ27" s="14" t="str">
        <f t="shared" si="1"/>
        <v/>
      </c>
      <c r="AR27" s="21" t="str">
        <f>IF(AR11&lt;&gt;"",IF(C8=AR11,G10,IF(C10=AR11,G10,IF(C16=AR11,G18,IF(C18=AR11,G18,IF(C38=AR11,G40,IF(C40=AR11,G40,IF(C46=AR11,G48,IF(C48=AR11,G48,IF(C24=AR11,G26,IF(C26=AR11,G26,IF(C32=AR11,G34,IF(C34=AR11,G34,IF(C54=AR11,G56,IF(C56=AR11,G56,IF(C62=AR11,G64,IF(C64=AR11,G64,IF(AK8=AR11,AI10,IF(AK10=AR11,AI10,IF(AK16=AR11,AI18,IF(AK18=AR11,AI18,IF(AK38=AR11,AI40,IF(AK40=AR11,AI40,IF(AK46=AR11,AI48,IF(AK48=AR11,AI48,IF(AK24=AR11,AI26,IF(AK26=AR11,AI26,IF(AK32=AR11,AI34,IF(AK34=AR11,AI34,IF(AK54=AR11,AI56,IF(AK56=AR11,AI56,IF(AK62=AR11,AI64,IF(AK64=AR11,AI64)))))))))))))))))))))))))))))))),"")</f>
        <v/>
      </c>
      <c r="AS27" s="15" t="str">
        <f>IFERROR(IF(AR27="","",VLOOKUP(AR27,LISTAS!$F$5:$G$1004,2,0)),"0")</f>
        <v/>
      </c>
      <c r="AT27" s="15" t="str">
        <f t="shared" si="0"/>
        <v/>
      </c>
      <c r="AU27" s="15" t="str">
        <f t="shared" si="2"/>
        <v/>
      </c>
    </row>
    <row r="28" spans="2:47" ht="18" customHeight="1" x14ac:dyDescent="0.25">
      <c r="B28" s="16"/>
      <c r="C28" s="166"/>
      <c r="D28" s="11"/>
      <c r="E28" s="11"/>
      <c r="F28" s="17"/>
      <c r="G28" s="162" t="str">
        <f>IF(D24&lt;&gt;"",IF(D26&lt;&gt;"",IF(D24=D26,"",IF(D24&gt;D26,C24,C26)),""),"")</f>
        <v/>
      </c>
      <c r="H28" s="234">
        <v>0</v>
      </c>
      <c r="I28" s="56">
        <f>IF(H28&lt;&gt;"",H28,"")</f>
        <v>0</v>
      </c>
      <c r="J28" s="51" t="str">
        <f>IF(H28&lt;&gt;"",IF(G28="","",G28),"")</f>
        <v/>
      </c>
      <c r="K28" s="176">
        <f>IF(I28&lt;&gt;"",IF(I30&lt;&gt;"",SMALL(I28:J30,1),""),"")</f>
        <v>0</v>
      </c>
      <c r="L28" s="11"/>
      <c r="M28" s="18"/>
      <c r="N28" s="11"/>
      <c r="O28" s="166"/>
      <c r="P28" s="11"/>
      <c r="Q28" s="8"/>
      <c r="R28" s="182"/>
      <c r="S28" s="8"/>
      <c r="T28" s="8"/>
      <c r="U28" s="8"/>
      <c r="V28" s="182"/>
      <c r="W28" s="8"/>
      <c r="X28" s="62"/>
      <c r="Y28" s="182"/>
      <c r="Z28" s="65"/>
      <c r="AA28" s="8"/>
      <c r="AB28" s="11"/>
      <c r="AC28" s="182"/>
      <c r="AD28" s="8"/>
      <c r="AE28" s="17"/>
      <c r="AF28" s="234">
        <v>0</v>
      </c>
      <c r="AG28" s="162" t="str">
        <f>IF(AJ24&lt;&gt;"",IF(AJ26&lt;&gt;"",IF(AJ24=AJ26,"",IF(AJ24&gt;AJ26,AK24,AK26)),""),"")</f>
        <v/>
      </c>
      <c r="AH28" s="65"/>
      <c r="AI28" s="8"/>
      <c r="AJ28" s="11"/>
      <c r="AK28" s="166"/>
      <c r="AL28" s="11"/>
      <c r="AP28" s="13" t="str">
        <f>IF(AR28&lt;&gt;"",1+COUNTIF(AP8:AP27,"1")+COUNTIF(AP8:AP27,"2")+COUNTIF(AP8:AP27,"3")+COUNTIF(AP8:AP27,"4")+COUNTIF(AP8:AP27,"5")+COUNTIF(AP8:AP27,"6")+COUNTIF(AP8:AP27,"7")+COUNTIF(AP8:AP27,"8")+COUNTIF(AP8:AP27,"9")+COUNTIF(AP8:AP27,"10")+COUNTIF(AP8:AP27,"11")+COUNTIF(AP8:AP27,"12")+COUNTIF(AP8:AP27,"13")+COUNTIF(AP8:AP27,"14")+COUNTIF(AP8:AP27,"15")+COUNTIF(AP8:AP27,"16")+COUNTIF(AP8:AP27,"17")+COUNTIF(AP8:AP27,"18")+COUNTIF(AP8:AP27,"19")+COUNTIF(AP8:AP27,"20"),"")</f>
        <v/>
      </c>
      <c r="AQ28" s="14" t="str">
        <f t="shared" si="1"/>
        <v/>
      </c>
      <c r="AR28" s="21" t="str">
        <f>IF(AR12&lt;&gt;"",IF(C8=AR12,G10,IF(C10=AR12,G10,IF(C16=AR12,G18,IF(C18=AR12,G18,IF(C38=AR12,G40,IF(C40=AR12,G40,IF(C46=AR12,G48,IF(C48=AR12,G48,IF(C24=AR12,G26,IF(C26=AR12,G26,IF(C32=AR12,G34,IF(C34=AR12,G34,IF(C54=AR12,G56,IF(C56=AR12,G56,IF(C62=AR12,G64,IF(C64=AR12,G64,IF(AK8=AR12,AI10,IF(AK10=AR12,AI10,IF(AK16=AR12,AI18,IF(AK18=AR12,AI18,IF(AK38=AR12,AI40,IF(AK40=AR12,AI40,IF(AK46=AR12,AI48,IF(AK48=AR12,AI48,IF(AK24=AR12,AI26,IF(AK26=AR12,AI26,IF(AK32=AR12,AI34,IF(AK34=AR12,AI34,IF(AK54=AR12,AI56,IF(AK56=AR12,AI56,IF(AK62=AR12,AI64,IF(AK64=AR12,AI64)))))))))))))))))))))))))))))))),"")</f>
        <v/>
      </c>
      <c r="AS28" s="15" t="str">
        <f>IFERROR(IF(AR28="","",VLOOKUP(AR28,LISTAS!$F$5:$G$1004,2,0)),"0")</f>
        <v/>
      </c>
      <c r="AT28" s="15" t="str">
        <f t="shared" si="0"/>
        <v/>
      </c>
      <c r="AU28" s="15" t="str">
        <f t="shared" si="2"/>
        <v/>
      </c>
    </row>
    <row r="29" spans="2:47" ht="18" customHeight="1" thickBot="1" x14ac:dyDescent="0.3">
      <c r="B29" s="16"/>
      <c r="C29" s="166"/>
      <c r="D29" s="11"/>
      <c r="E29" s="11"/>
      <c r="F29" s="17"/>
      <c r="G29" s="165" t="str">
        <f>IFERROR(IF(G28="","",VLOOKUP(G28,LISTAS!$F$5:$G$1004,2,0)),"0")</f>
        <v/>
      </c>
      <c r="H29" s="235"/>
      <c r="I29" s="57"/>
      <c r="J29" s="51"/>
      <c r="K29" s="176"/>
      <c r="L29" s="11"/>
      <c r="M29" s="18"/>
      <c r="N29" s="11"/>
      <c r="O29" s="166"/>
      <c r="P29" s="11"/>
      <c r="Q29" s="8"/>
      <c r="R29" s="182"/>
      <c r="S29" s="8"/>
      <c r="T29" s="8"/>
      <c r="U29" s="8"/>
      <c r="V29" s="182"/>
      <c r="W29" s="8"/>
      <c r="X29" s="62"/>
      <c r="Y29" s="182"/>
      <c r="Z29" s="65"/>
      <c r="AA29" s="8"/>
      <c r="AB29" s="11"/>
      <c r="AC29" s="182"/>
      <c r="AD29" s="8"/>
      <c r="AE29" s="122"/>
      <c r="AF29" s="235"/>
      <c r="AG29" s="165" t="str">
        <f>IFERROR(IF(AG28="","",VLOOKUP(AG28,LISTAS!$F$5:$G$1004,2,0)),"0")</f>
        <v/>
      </c>
      <c r="AH29" s="65"/>
      <c r="AI29" s="8"/>
      <c r="AJ29" s="11"/>
      <c r="AK29" s="166"/>
      <c r="AL29" s="11"/>
      <c r="AP29" s="13" t="str">
        <f>IF(AR29&lt;&gt;"",1+COUNTIF(AP8:AP28,"1")+COUNTIF(AP8:AP28,"2")+COUNTIF(AP8:AP28,"3")+COUNTIF(AP8:AP28,"4")+COUNTIF(AP8:AP28,"5")+COUNTIF(AP8:AP28,"6")+COUNTIF(AP8:AP28,"7")+COUNTIF(AP8:AP28,"8")+COUNTIF(AP8:AP28,"9")+COUNTIF(AP8:AP28,"10")+COUNTIF(AP8:AP28,"11")+COUNTIF(AP8:AP28,"12")+COUNTIF(AP8:AP28,"13")+COUNTIF(AP8:AP28,"14")+COUNTIF(AP8:AP28,"15")+COUNTIF(AP8:AP28,"16")+COUNTIF(AP8:AP28,"17")+COUNTIF(AP8:AP28,"18")+COUNTIF(AP8:AP28,"19")+COUNTIF(AP8:AP28,"20")+COUNTIF(AP8:AP28,"21"),"")</f>
        <v/>
      </c>
      <c r="AQ29" s="14" t="str">
        <f t="shared" si="1"/>
        <v/>
      </c>
      <c r="AR29" s="21" t="str">
        <f>IF(AR13&lt;&gt;"",IF(C8=AR13,G10,IF(C10=AR13,G10,IF(C16=AR13,G18,IF(C18=AR13,G18,IF(C38=AR13,G40,IF(C40=AR13,G40,IF(C46=AR13,G48,IF(C48=AR13,G48,IF(C24=AR13,G26,IF(C26=AR13,G26,IF(C32=AR13,G34,IF(C34=AR13,G34,IF(C54=AR13,G56,IF(C56=AR13,G56,IF(C62=AR13,G64,IF(C64=AR13,G64,IF(AK8=AR13,AI10,IF(AK10=AR13,AI10,IF(AK16=AR13,AI18,IF(AK18=AR13,AI18,IF(AK38=AR13,AI40,IF(AK40=AR13,AI40,IF(AK46=AR13,AI48,IF(AK48=AR13,AI48,IF(AK24=AR13,AI26,IF(AK26=AR13,AI26,IF(AK32=AR13,AI34,IF(AK34=AR13,AI34,IF(AK54=AR13,AI56,IF(AK56=AR13,AI56,IF(AK62=AR13,AI64,IF(AK64=AR13,AI64)))))))))))))))))))))))))))))))),"")</f>
        <v/>
      </c>
      <c r="AS29" s="15" t="str">
        <f>IFERROR(IF(AR29="","",VLOOKUP(AR29,LISTAS!$F$5:$G$1004,2,0)),"0")</f>
        <v/>
      </c>
      <c r="AT29" s="15" t="str">
        <f t="shared" si="0"/>
        <v/>
      </c>
      <c r="AU29" s="15" t="str">
        <f t="shared" si="2"/>
        <v/>
      </c>
    </row>
    <row r="30" spans="2:47" ht="18" customHeight="1" x14ac:dyDescent="0.25">
      <c r="B30" s="16"/>
      <c r="C30" s="166"/>
      <c r="D30" s="11"/>
      <c r="E30" s="18"/>
      <c r="F30" s="19"/>
      <c r="G30" s="162" t="str">
        <f>IF(D32&lt;&gt;"",IF(D34&lt;&gt;"",IF(D32=D34,"",IF(D32&gt;D34,C32,C34)),""),"")</f>
        <v/>
      </c>
      <c r="H30" s="234">
        <v>0</v>
      </c>
      <c r="I30" s="57">
        <f>IF(H30&lt;&gt;"",H30,"")</f>
        <v>0</v>
      </c>
      <c r="J30" s="51" t="str">
        <f>IF(H30&lt;&gt;"",IF(G30="","",G30),"")</f>
        <v/>
      </c>
      <c r="K30" s="176" t="str">
        <f>VLOOKUP(K28,I28:J30,2,0)</f>
        <v/>
      </c>
      <c r="L30" s="11"/>
      <c r="M30" s="18"/>
      <c r="N30" s="11"/>
      <c r="O30" s="166"/>
      <c r="P30" s="11"/>
      <c r="Q30" s="8"/>
      <c r="R30" s="182"/>
      <c r="S30" s="8"/>
      <c r="T30" s="8"/>
      <c r="U30" s="8"/>
      <c r="V30" s="182"/>
      <c r="W30" s="8"/>
      <c r="X30" s="62"/>
      <c r="Y30" s="182"/>
      <c r="Z30" s="65"/>
      <c r="AA30" s="8"/>
      <c r="AB30" s="11"/>
      <c r="AC30" s="182"/>
      <c r="AD30" s="8"/>
      <c r="AE30" s="64"/>
      <c r="AF30" s="234">
        <v>2</v>
      </c>
      <c r="AG30" s="162" t="str">
        <f>IF(AJ32&lt;&gt;"",IF(AJ34&lt;&gt;"",IF(AJ32=AJ34,"",IF(AJ32&gt;AJ34,AK32,AK34)),""),"")</f>
        <v>LAURA ROSSIN</v>
      </c>
      <c r="AH30" s="66"/>
      <c r="AI30" s="8"/>
      <c r="AJ30" s="11"/>
      <c r="AK30" s="166"/>
      <c r="AL30" s="11"/>
      <c r="AP30" s="13" t="str">
        <f>IF(AR30&lt;&gt;"",1+COUNTIF(AP8:AP29,"1")+COUNTIF(AP8:AP29,"2")+COUNTIF(AP8:AP29,"3")+COUNTIF(AP8:AP29,"4")+COUNTIF(AP8:AP29,"5")+COUNTIF(AP8:AP29,"6")+COUNTIF(AP8:AP29,"7")+COUNTIF(AP8:AP29,"8")+COUNTIF(AP8:AP29,"9")+COUNTIF(AP8:AP29,"10")+COUNTIF(AP8:AP29,"11")+COUNTIF(AP8:AP29,"12")+COUNTIF(AP8:AP29,"13")+COUNTIF(AP8:AP29,"14")+COUNTIF(AP8:AP29,"15")+COUNTIF(AP8:AP29,"16")+COUNTIF(AP8:AP29,"17")+COUNTIF(AP8:AP29,"18")+COUNTIF(AP8:AP29,"19")+COUNTIF(AP8:AP29,"20")+COUNTIF(AP8:AP29,"21")+COUNTIF(AP8:AP29,"22"),"")</f>
        <v/>
      </c>
      <c r="AQ30" s="14" t="str">
        <f t="shared" si="1"/>
        <v/>
      </c>
      <c r="AR30" s="21" t="str">
        <f>IF(AR14&lt;&gt;"",IF(C8=AR14,G10,IF(C10=AR14,G10,IF(C16=AR14,G18,IF(C18=AR14,G18,IF(C38=AR14,G40,IF(C40=AR14,G40,IF(C46=AR14,G48,IF(C48=AR14,G48,IF(C24=AR14,G26,IF(C26=AR14,G26,IF(C32=AR14,G34,IF(C34=AR14,G34,IF(C54=AR14,G56,IF(C56=AR14,G56,IF(C62=AR14,G64,IF(C64=AR14,G64,IF(AK8=AR14,AI10,IF(AK10=AR14,AI10,IF(AK16=AR14,AI18,IF(AK18=AR14,AI18,IF(AK38=AR14,AI40,IF(AK40=AR14,AI40,IF(AK46=AR14,AI48,IF(AK48=AR14,AI48,IF(AK24=AR14,AI26,IF(AK26=AR14,AI26,IF(AK32=AR14,AI34,IF(AK34=AR14,AI34,IF(AK54=AR14,AI56,IF(AK56=AR14,AI56,IF(AK62=AR14,AI64,IF(AK64=AR14,AI64)))))))))))))))))))))))))))))))),"")</f>
        <v/>
      </c>
      <c r="AS30" s="15" t="str">
        <f>IFERROR(IF(AR30="","",VLOOKUP(AR30,LISTAS!$F$5:$G$1004,2,0)),"0")</f>
        <v/>
      </c>
      <c r="AT30" s="15" t="str">
        <f t="shared" si="0"/>
        <v/>
      </c>
      <c r="AU30" s="15" t="str">
        <f t="shared" si="2"/>
        <v/>
      </c>
    </row>
    <row r="31" spans="2:47" ht="18" customHeight="1" thickBot="1" x14ac:dyDescent="0.3">
      <c r="B31" s="16"/>
      <c r="C31" s="166"/>
      <c r="D31" s="11"/>
      <c r="E31" s="18"/>
      <c r="F31" s="11"/>
      <c r="G31" s="165" t="str">
        <f>IFERROR(IF(G30="","",VLOOKUP(G30,LISTAS!$F$5:$G$1004,2,0)),"0")</f>
        <v/>
      </c>
      <c r="H31" s="235"/>
      <c r="I31" s="51"/>
      <c r="J31" s="51"/>
      <c r="K31" s="176"/>
      <c r="L31" s="11"/>
      <c r="M31" s="18"/>
      <c r="N31" s="11"/>
      <c r="O31" s="166"/>
      <c r="P31" s="11"/>
      <c r="Q31" s="8"/>
      <c r="R31" s="182"/>
      <c r="S31" s="8"/>
      <c r="T31" s="8"/>
      <c r="U31" s="8"/>
      <c r="V31" s="182"/>
      <c r="W31" s="8"/>
      <c r="X31" s="62"/>
      <c r="Y31" s="182"/>
      <c r="Z31" s="65"/>
      <c r="AA31" s="8"/>
      <c r="AB31" s="11"/>
      <c r="AC31" s="182"/>
      <c r="AD31" s="8"/>
      <c r="AE31" s="8"/>
      <c r="AF31" s="235"/>
      <c r="AG31" s="165" t="str">
        <f>IFERROR(IF(AG30="","",VLOOKUP(AG30,LISTAS!$F$5:$G$1004,2,0)),"0")</f>
        <v>COLEGIO PETROPOLIS</v>
      </c>
      <c r="AH31" s="8"/>
      <c r="AI31" s="69"/>
      <c r="AJ31" s="11"/>
      <c r="AK31" s="166"/>
      <c r="AL31" s="11"/>
      <c r="AP31" s="13" t="str">
        <f>IF(AR31&lt;&gt;"",1+COUNTIF(AP8:AP30,"1")+COUNTIF(AP8:AP30,"2")+COUNTIF(AP8:AP30,"3")+COUNTIF(AP8:AP30,"4")+COUNTIF(AP8:AP30,"5")+COUNTIF(AP8:AP30,"6")+COUNTIF(AP8:AP30,"7")+COUNTIF(AP8:AP30,"8")+COUNTIF(AP8:AP30,"9")+COUNTIF(AP8:AP30,"10")+COUNTIF(AP8:AP30,"11")+COUNTIF(AP8:AP30,"12")+COUNTIF(AP8:AP30,"13")+COUNTIF(AP8:AP30,"14")+COUNTIF(AP8:AP30,"15")+COUNTIF(AP8:AP30,"16")+COUNTIF(AP8:AP30,"17")+COUNTIF(AP8:AP30,"18")+COUNTIF(AP8:AP30,"19")+COUNTIF(AP8:AP30,"20")+COUNTIF(AP8:AP30,"21")+COUNTIF(AP8:AP30,"22")+COUNTIF(AP8:AP30,"23"),"")</f>
        <v/>
      </c>
      <c r="AQ31" s="14" t="str">
        <f t="shared" si="1"/>
        <v/>
      </c>
      <c r="AR31" s="21" t="str">
        <f>IF(AR15&lt;&gt;"",IF(C8=AR15,G10,IF(C10=AR15,G10,IF(C16=AR15,G18,IF(C18=AR15,G18,IF(C38=AR15,G40,IF(C40=AR15,G40,IF(C46=AR15,G48,IF(C48=AR15,G48,IF(C24=AR15,G26,IF(C26=AR15,G26,IF(C32=AR15,G34,IF(C34=AR15,G34,IF(C54=AR15,G56,IF(C56=AR15,G56,IF(C62=AR15,G64,IF(C64=AR15,G64,IF(AK8=AR15,AI10,IF(AK10=AR15,AI10,IF(AK16=AR15,AI18,IF(AK18=AR15,AI18,IF(AK38=AR15,AI40,IF(AK40=AR15,AI40,IF(AK46=AR15,AI48,IF(AK48=AR15,AI48,IF(AK24=AR15,AI26,IF(AK26=AR15,AI26,IF(AK32=AR15,AI34,IF(AK34=AR15,AI34,IF(AK54=AR15,AI56,IF(AK56=AR15,AI56,IF(AK62=AR15,AI64,IF(AK64=AR15,AI64)))))))))))))))))))))))))))))))),"")</f>
        <v/>
      </c>
      <c r="AS31" s="15" t="str">
        <f>IFERROR(IF(AR31="","",VLOOKUP(AR31,LISTAS!$F$5:$G$1004,2,0)),"0")</f>
        <v/>
      </c>
      <c r="AT31" s="15" t="str">
        <f t="shared" si="0"/>
        <v/>
      </c>
      <c r="AU31" s="15" t="str">
        <f t="shared" si="2"/>
        <v/>
      </c>
    </row>
    <row r="32" spans="2:47" ht="18" customHeight="1" x14ac:dyDescent="0.25">
      <c r="B32" s="16">
        <v>25</v>
      </c>
      <c r="C32" s="162" t="str">
        <f>IF('15F GRP'!G5&gt;=3,'15F GRP'!J333,IF('15F GRP'!G5=2,"",IF('15F GRP'!G5=1,"","")))</f>
        <v/>
      </c>
      <c r="D32" s="234">
        <v>0</v>
      </c>
      <c r="E32" s="56">
        <f>IF(D32&lt;&gt;"",D32,"")</f>
        <v>0</v>
      </c>
      <c r="F32" s="51" t="str">
        <f>IF(D32&lt;&gt;"",IF(C32="","",C32),"")</f>
        <v/>
      </c>
      <c r="G32" s="176">
        <f>IF(E32&lt;&gt;"",IF(E34&lt;&gt;"",SMALL(E32:E34,1),""),"")</f>
        <v>0</v>
      </c>
      <c r="H32" s="11"/>
      <c r="I32" s="11"/>
      <c r="J32" s="11"/>
      <c r="K32" s="166"/>
      <c r="L32" s="11"/>
      <c r="M32" s="18"/>
      <c r="N32" s="11"/>
      <c r="O32" s="166"/>
      <c r="P32" s="11"/>
      <c r="Q32" s="8"/>
      <c r="R32" s="182"/>
      <c r="S32" s="8"/>
      <c r="T32" s="8"/>
      <c r="U32" s="8"/>
      <c r="V32" s="182"/>
      <c r="W32" s="8"/>
      <c r="X32" s="62"/>
      <c r="Y32" s="182"/>
      <c r="Z32" s="65"/>
      <c r="AA32" s="8"/>
      <c r="AB32" s="11"/>
      <c r="AC32" s="182"/>
      <c r="AD32" s="8"/>
      <c r="AE32" s="8"/>
      <c r="AF32" s="8"/>
      <c r="AG32" s="181">
        <f>IF(AJ32&lt;&gt;"",AJ32,"")</f>
        <v>0</v>
      </c>
      <c r="AH32" s="78" t="str">
        <f>IF(AJ32&lt;&gt;"",IF(AK32="","",AK32),"")</f>
        <v/>
      </c>
      <c r="AI32" s="53">
        <f>IF(AG32&lt;&gt;"",IF(AG34&lt;&gt;"",SMALL(AG32:AG34,1),""),"")</f>
        <v>0</v>
      </c>
      <c r="AJ32" s="234">
        <v>0</v>
      </c>
      <c r="AK32" s="162" t="str">
        <f>IF('15F GRP'!G5&gt;=3,'15F GRP'!J359,IF('15F GRP'!G5=2,"",IF('15F GRP'!G5=1,"","")))</f>
        <v/>
      </c>
      <c r="AL32" s="11">
        <v>27</v>
      </c>
      <c r="AP32" s="13" t="str">
        <f>IF(AR32&lt;&gt;"",1+COUNTIF(AP8:AP31,"1")+COUNTIF(AP8:AP31,"2")+COUNTIF(AP8:AP31,"3")+COUNTIF(AP8:AP31,"4")+COUNTIF(AP8:AP31,"5")+COUNTIF(AP8:AP31,"6")+COUNTIF(AP8:AP31,"7")+COUNTIF(AP8:AP31,"8")+COUNTIF(AP8:AP31,"9")+COUNTIF(AP8:AP31,"10")+COUNTIF(AP8:AP31,"11")+COUNTIF(AP8:AP31,"12")+COUNTIF(AP8:AP31,"13")+COUNTIF(AP8:AP31,"14")+COUNTIF(AP8:AP31,"15")+COUNTIF(AP8:AP31,"16")+COUNTIF(AP8:AP31,"17")+COUNTIF(AP8:AP31,"18")+COUNTIF(AP8:AP31,"19")+COUNTIF(AP8:AP31,"20")+COUNTIF(AP8:AP31,"21")+COUNTIF(AP8:AP31,"22")+COUNTIF(AP8:AP31,"23")+COUNTIF(AP8:AP31,"24"),"")</f>
        <v/>
      </c>
      <c r="AQ32" s="14" t="str">
        <f t="shared" si="1"/>
        <v/>
      </c>
      <c r="AR32" s="21" t="str">
        <f>IF(AR16&lt;&gt;"",IF(C8=AR16,G10,IF(C10=AR16,G10,IF(C16=AR16,G18,IF(C18=AR16,G18,IF(C38=AR16,G40,IF(C40=AR16,G40,IF(C46=AR16,G48,IF(C48=AR16,G48,IF(C24=AR16,G26,IF(C26=AR16,G26,IF(C32=AR16,G34,IF(C34=AR16,G34,IF(C54=AR16,G56,IF(C56=AR16,G56,IF(C62=AR16,G64,IF(C64=AR16,G64,IF(AK8=AR16,AI10,IF(AK10=AR16,AI10,IF(AK16=AR16,AI18,IF(AK18=AR16,AI18,IF(AK38=AR16,AI40,IF(AK40=AR16,AI40,IF(AK46=AR16,AI48,IF(AK48=AR16,AI48,IF(AK24=AR16,AI26,IF(AK26=AR16,AI26,IF(AK32=AR16,AI34,IF(AK34=AR16,AI34,IF(AK54=AR16,AI56,IF(AK56=AR16,AI56,IF(AK62=AR16,AI64,IF(AK64=AR16,AI64)))))))))))))))))))))))))))))))),"")</f>
        <v/>
      </c>
      <c r="AS32" s="15" t="str">
        <f>IFERROR(IF(AR32="","",VLOOKUP(AR32,LISTAS!$F$5:$G$1004,2,0)),"0")</f>
        <v/>
      </c>
      <c r="AT32" s="15" t="str">
        <f t="shared" si="0"/>
        <v/>
      </c>
      <c r="AU32" s="15" t="str">
        <f t="shared" si="2"/>
        <v/>
      </c>
    </row>
    <row r="33" spans="2:47" ht="18" customHeight="1" thickBot="1" x14ac:dyDescent="0.3">
      <c r="B33" s="16"/>
      <c r="C33" s="165" t="str">
        <f>IFERROR(IF(C32="","",VLOOKUP(C32,LISTAS!$F$5:$G$1004,2,0)),"0")</f>
        <v/>
      </c>
      <c r="D33" s="235"/>
      <c r="E33" s="57"/>
      <c r="F33" s="51"/>
      <c r="G33" s="176"/>
      <c r="H33" s="11"/>
      <c r="I33" s="11"/>
      <c r="J33" s="11"/>
      <c r="K33" s="166"/>
      <c r="L33" s="11"/>
      <c r="M33" s="18"/>
      <c r="N33" s="11"/>
      <c r="O33" s="166"/>
      <c r="P33" s="11"/>
      <c r="Q33" s="8"/>
      <c r="R33" s="182"/>
      <c r="S33" s="8"/>
      <c r="T33" s="8"/>
      <c r="U33" s="8"/>
      <c r="V33" s="182"/>
      <c r="W33" s="8"/>
      <c r="X33" s="62"/>
      <c r="Y33" s="182"/>
      <c r="Z33" s="65"/>
      <c r="AA33" s="8"/>
      <c r="AB33" s="11"/>
      <c r="AC33" s="182"/>
      <c r="AD33" s="8"/>
      <c r="AE33" s="8"/>
      <c r="AF33" s="8"/>
      <c r="AG33" s="181"/>
      <c r="AH33" s="78"/>
      <c r="AI33" s="124"/>
      <c r="AJ33" s="235"/>
      <c r="AK33" s="165" t="str">
        <f>IFERROR(IF(AK32="","",VLOOKUP(AK32,LISTAS!$F$5:$G$1004,2,0)),"0")</f>
        <v/>
      </c>
      <c r="AL33" s="11"/>
      <c r="AP33" s="13" t="str">
        <f>IF(AR33&lt;&gt;"",1+COUNTIF(AP8:AP32,"1")+COUNTIF(AP8:AP32,"2")+COUNTIF(AP8:AP32,"3")+COUNTIF(AP8:AP32,"4")+COUNTIF(AP8:AP32,"5")+COUNTIF(AP8:AP32,"6")+COUNTIF(AP8:AP32,"7")+COUNTIF(AP8:AP32,"8")+COUNTIF(AP8:AP32,"9")+COUNTIF(AP8:AP32,"10")+COUNTIF(AP8:AP32,"11")+COUNTIF(AP8:AP32,"12")+COUNTIF(AP8:AP32,"13")+COUNTIF(AP8:AP32,"14")+COUNTIF(AP8:AP32,"15")+COUNTIF(AP8:AP32,"16")+COUNTIF(AP8:AP32,"17")+COUNTIF(AP8:AP32,"18")+COUNTIF(AP8:AP32,"19")+COUNTIF(AP8:AP32,"20")+COUNTIF(AP8:AP32,"21")+COUNTIF(AP8:AP32,"22")+COUNTIF(AP8:AP32,"23")+COUNTIF(AP8:AP32,"24")+COUNTIF(AP8:AP32,"25"),"")</f>
        <v/>
      </c>
      <c r="AQ33" s="14" t="str">
        <f t="shared" si="1"/>
        <v/>
      </c>
      <c r="AR33" s="21" t="str">
        <f>IF(AR17&lt;&gt;"",IF(C8=AR17,G10,IF(C10=AR17,G10,IF(C16=AR17,G18,IF(C18=AR17,G18,IF(C38=AR17,G40,IF(C40=AR17,G40,IF(C46=AR17,G48,IF(C48=AR17,G48,IF(C24=AR17,G26,IF(C26=AR17,G26,IF(C32=AR17,G34,IF(C34=AR17,G34,IF(C54=AR17,G56,IF(C56=AR17,G56,IF(C62=AR17,G64,IF(C64=AR17,G64,IF(AK8=AR17,AI10,IF(AK10=AR17,AI10,IF(AK16=AR17,AI18,IF(AK18=AR17,AI18,IF(AK38=AR17,AI40,IF(AK40=AR17,AI40,IF(AK46=AR17,AI48,IF(AK48=AR17,AI48,IF(AK24=AR17,AI26,IF(AK26=AR17,AI26,IF(AK32=AR17,AI34,IF(AK34=AR17,AI34,IF(AK54=AR17,AI56,IF(AK56=AR17,AI56,IF(AK62=AR17,AI64,IF(AK64=AR17,AI64)))))))))))))))))))))))))))))))),"")</f>
        <v/>
      </c>
      <c r="AS33" s="15" t="str">
        <f>IFERROR(IF(AR33="","",VLOOKUP(AR33,LISTAS!$F$5:$G$1004,2,0)),"0")</f>
        <v/>
      </c>
      <c r="AT33" s="15" t="str">
        <f t="shared" si="0"/>
        <v/>
      </c>
      <c r="AU33" s="15" t="str">
        <f t="shared" si="2"/>
        <v/>
      </c>
    </row>
    <row r="34" spans="2:47" ht="18" customHeight="1" thickBot="1" x14ac:dyDescent="0.3">
      <c r="B34" s="16">
        <v>8</v>
      </c>
      <c r="C34" s="162" t="str">
        <f>IF('15F GRP'!G5&gt;=3,'15F GRP'!J112,IF('15F GRP'!G5=2,"",IF('15F GRP'!G5=1,"","")))</f>
        <v/>
      </c>
      <c r="D34" s="234">
        <v>0</v>
      </c>
      <c r="E34" s="57">
        <f>IF(D34&lt;&gt;"",D34,"")</f>
        <v>0</v>
      </c>
      <c r="F34" s="51" t="str">
        <f>IF(D34&lt;&gt;"",IF(C34="","",C34),"")</f>
        <v/>
      </c>
      <c r="G34" s="176" t="str">
        <f>VLOOKUP(G32,E32:F34,2,0)</f>
        <v/>
      </c>
      <c r="H34" s="11"/>
      <c r="I34" s="11"/>
      <c r="J34" s="11"/>
      <c r="K34" s="166"/>
      <c r="L34" s="11"/>
      <c r="M34" s="18"/>
      <c r="N34" s="11"/>
      <c r="O34" s="166"/>
      <c r="P34" s="11"/>
      <c r="Q34" s="8"/>
      <c r="R34" s="236" t="s">
        <v>37</v>
      </c>
      <c r="S34" s="236"/>
      <c r="T34" s="236"/>
      <c r="U34" s="236"/>
      <c r="V34" s="236"/>
      <c r="W34" s="8"/>
      <c r="X34" s="62"/>
      <c r="Y34" s="182"/>
      <c r="Z34" s="65"/>
      <c r="AA34" s="8"/>
      <c r="AB34" s="11"/>
      <c r="AC34" s="182"/>
      <c r="AD34" s="8"/>
      <c r="AE34" s="8"/>
      <c r="AF34" s="8"/>
      <c r="AG34" s="181">
        <f>IF(AJ34&lt;&gt;"",AJ34,"")</f>
        <v>2</v>
      </c>
      <c r="AH34" s="78" t="str">
        <f>IF(AJ34&lt;&gt;"",IF(AK34="","",AK34),"")</f>
        <v>LAURA ROSSIN</v>
      </c>
      <c r="AI34" s="125" t="str">
        <f>VLOOKUP(AI32,AG32:AH34,2,0)</f>
        <v/>
      </c>
      <c r="AJ34" s="234">
        <v>2</v>
      </c>
      <c r="AK34" s="162" t="str">
        <f>IF('15F GRP'!G5&gt;=3,'15F GRP'!J86,IF('15F GRP'!G5=2,"",IF('15F GRP'!G5=1,"","")))</f>
        <v>LAURA ROSSIN</v>
      </c>
      <c r="AL34" s="11">
        <v>6</v>
      </c>
      <c r="AP34" s="13" t="str">
        <f>IF(AR34&lt;&gt;"",1+COUNTIF(AP8:AP33,"1")+COUNTIF(AP8:AP33,"2")+COUNTIF(AP8:AP33,"3")+COUNTIF(AP8:AP33,"4")+COUNTIF(AP8:AP33,"5")+COUNTIF(AP8:AP33,"6")+COUNTIF(AP8:AP33,"7")+COUNTIF(AP8:AP33,"8")+COUNTIF(AP8:AP33,"9")+COUNTIF(AP8:AP33,"10")+COUNTIF(AP8:AP33,"11")+COUNTIF(AP8:AP33,"12")+COUNTIF(AP8:AP33,"13")+COUNTIF(AP8:AP33,"14")+COUNTIF(AP8:AP33,"15")+COUNTIF(AP8:AP33,"16")+COUNTIF(AP8:AP33,"17")+COUNTIF(AP8:AP33,"18")+COUNTIF(AP8:AP33,"19")+COUNTIF(AP8:AP33,"20")+COUNTIF(AP8:AP33,"21")+COUNTIF(AP8:AP33,"22")+COUNTIF(AP8:AP33,"23")+COUNTIF(AP8:AP33,"24")+COUNTIF(AP8:AP33,"25")+COUNTIF(AP8:AP33,"26"),"")</f>
        <v/>
      </c>
      <c r="AQ34" s="14" t="str">
        <f t="shared" si="1"/>
        <v/>
      </c>
      <c r="AR34" s="21" t="str">
        <f>IF(AR18&lt;&gt;"",IF(C8=AR18,G10,IF(C10=AR18,G10,IF(C16=AR18,G18,IF(C18=AR18,G18,IF(C38=AR18,G40,IF(C40=AR18,G40,IF(C46=AR18,G48,IF(C48=AR18,G48,IF(C24=AR18,G26,IF(C26=AR18,G26,IF(C32=AR18,G34,IF(C34=AR18,G34,IF(C54=AR18,G56,IF(C56=AR18,G56,IF(C62=AR18,G64,IF(C64=AR18,G64,IF(AK8=AR18,AI10,IF(AK10=AR18,AI10,IF(AK16=AR18,AI18,IF(AK18=AR18,AI18,IF(AK38=AR18,AI40,IF(AK40=AR18,AI40,IF(AK46=AR18,AI48,IF(AK48=AR18,AI48,IF(AK24=AR18,AI26,IF(AK26=AR18,AI26,IF(AK32=AR18,AI34,IF(AK34=AR18,AI34,IF(AK54=AR18,AI56,IF(AK56=AR18,AI56,IF(AK62=AR18,AI64,IF(AK64=AR18,AI64)))))))))))))))))))))))))))))))),"")</f>
        <v/>
      </c>
      <c r="AS34" s="15" t="str">
        <f>IFERROR(IF(AR34="","",VLOOKUP(AR34,LISTAS!$F$5:$G$1004,2,0)),"0")</f>
        <v/>
      </c>
      <c r="AT34" s="15" t="str">
        <f t="shared" si="0"/>
        <v/>
      </c>
      <c r="AU34" s="15" t="str">
        <f t="shared" si="2"/>
        <v/>
      </c>
    </row>
    <row r="35" spans="2:47" ht="18" customHeight="1" thickBot="1" x14ac:dyDescent="0.3">
      <c r="B35" s="16"/>
      <c r="C35" s="165" t="str">
        <f>IFERROR(IF(C34="","",VLOOKUP(C34,LISTAS!$F$5:$G$1004,2,0)),"0")</f>
        <v/>
      </c>
      <c r="D35" s="235"/>
      <c r="E35" s="51"/>
      <c r="F35" s="51"/>
      <c r="G35" s="176"/>
      <c r="H35" s="11"/>
      <c r="I35" s="11"/>
      <c r="J35" s="11"/>
      <c r="K35" s="166"/>
      <c r="L35" s="11"/>
      <c r="M35" s="18"/>
      <c r="N35" s="11"/>
      <c r="O35" s="162" t="str">
        <f>IF(L20&lt;&gt;"",IF(L22&lt;&gt;"",IF(L20=L22,"",IF(L20&gt;L22,K20,K22)),""),"")</f>
        <v>MARIA LETÍCIA FURUKAVA MONTEIRO</v>
      </c>
      <c r="P35" s="234">
        <v>0</v>
      </c>
      <c r="Q35" s="8"/>
      <c r="R35" s="167"/>
      <c r="S35" s="71"/>
      <c r="T35" s="71"/>
      <c r="U35" s="71"/>
      <c r="V35" s="167"/>
      <c r="W35" s="8"/>
      <c r="X35" s="234">
        <v>1</v>
      </c>
      <c r="Y35" s="162" t="str">
        <f>IF(AB20&lt;&gt;"",IF(AB22&lt;&gt;"",IF(AB20=AB22,"",IF(AB20&gt;AB22,AC20,AC22)),""),"")</f>
        <v>RAFAELA ADILEU</v>
      </c>
      <c r="Z35" s="65"/>
      <c r="AA35" s="8"/>
      <c r="AB35" s="11"/>
      <c r="AC35" s="182"/>
      <c r="AD35" s="8"/>
      <c r="AE35" s="8"/>
      <c r="AF35" s="8"/>
      <c r="AG35" s="181"/>
      <c r="AH35" s="78"/>
      <c r="AI35" s="51"/>
      <c r="AJ35" s="235"/>
      <c r="AK35" s="165" t="str">
        <f>IFERROR(IF(AK34="","",VLOOKUP(AK34,LISTAS!$F$5:$G$1004,2,0)),"0")</f>
        <v>COLEGIO PETROPOLIS</v>
      </c>
      <c r="AL35" s="11"/>
      <c r="AP35" s="13" t="str">
        <f>IF(AR35&lt;&gt;"",1+COUNTIF(AP8:AP34,"1")+COUNTIF(AP8:AP34,"2")+COUNTIF(AP8:AP34,"3")+COUNTIF(AP8:AP34,"4")+COUNTIF(AP8:AP34,"5")+COUNTIF(AP8:AP34,"6")+COUNTIF(AP8:AP34,"7")+COUNTIF(AP8:AP34,"8")+COUNTIF(AP8:AP34,"9")+COUNTIF(AP8:AP34,"10")+COUNTIF(AP8:AP34,"11")+COUNTIF(AP8:AP34,"12")+COUNTIF(AP8:AP34,"13")+COUNTIF(AP8:AP34,"14")+COUNTIF(AP8:AP34,"15")+COUNTIF(AP8:AP34,"16")+COUNTIF(AP8:AP34,"17")+COUNTIF(AP8:AP34,"18")+COUNTIF(AP8:AP34,"19")+COUNTIF(AP8:AP34,"20")+COUNTIF(AP8:AP34,"21")+COUNTIF(AP8:AP34,"22")+COUNTIF(AP8:AP34,"23")+COUNTIF(AP8:AP34,"24")+COUNTIF(AP8:AP34,"25")+COUNTIF(AP8:AP34,"26")+COUNTIF(AP8:AP34,"27"),"")</f>
        <v/>
      </c>
      <c r="AQ35" s="14" t="str">
        <f t="shared" si="1"/>
        <v/>
      </c>
      <c r="AR35" s="21" t="str">
        <f>IF(AR19&lt;&gt;"",IF(C8=AR19,G10,IF(C10=AR19,G10,IF(C16=AR19,G18,IF(C18=AR19,G18,IF(C38=AR19,G40,IF(C40=AR19,G40,IF(C46=AR19,G48,IF(C48=AR19,G48,IF(C24=AR19,G26,IF(C26=AR19,G26,IF(C32=AR19,G34,IF(C34=AR19,G34,IF(C54=AR19,G56,IF(C56=AR19,G56,IF(C62=AR19,G64,IF(C64=AR19,G64,IF(AK8=AR19,AI10,IF(AK10=AR19,AI10,IF(AK16=AR19,AI18,IF(AK18=AR19,AI18,IF(AK38=AR19,AI40,IF(AK40=AR19,AI40,IF(AK46=AR19,AI48,IF(AK48=AR19,AI48,IF(AK24=AR19,AI26,IF(AK26=AR19,AI26,IF(AK32=AR19,AI34,IF(AK34=AR19,AI34,IF(AK54=AR19,AI56,IF(AK56=AR19,AI56,IF(AK62=AR19,AI64,IF(AK64=AR19,AI64)))))))))))))))))))))))))))))))),"")</f>
        <v/>
      </c>
      <c r="AS35" s="15" t="str">
        <f>IFERROR(IF(AR35="","",VLOOKUP(AR35,LISTAS!$F$5:$G$1004,2,0)),"0")</f>
        <v/>
      </c>
      <c r="AT35" s="15" t="str">
        <f t="shared" si="0"/>
        <v/>
      </c>
      <c r="AU35" s="15" t="str">
        <f t="shared" si="2"/>
        <v/>
      </c>
    </row>
    <row r="36" spans="2:47" ht="18" customHeight="1" thickBot="1" x14ac:dyDescent="0.3">
      <c r="B36" s="16"/>
      <c r="C36" s="166"/>
      <c r="D36" s="11"/>
      <c r="E36" s="11"/>
      <c r="F36" s="11"/>
      <c r="G36" s="166"/>
      <c r="H36" s="11"/>
      <c r="I36" s="11"/>
      <c r="J36" s="11"/>
      <c r="K36" s="166"/>
      <c r="L36" s="11"/>
      <c r="M36" s="18"/>
      <c r="N36" s="11"/>
      <c r="O36" s="165" t="str">
        <f>IFERROR(IF(O35="","",VLOOKUP(O35,LISTAS!$F$5:$G$1004,2,0)),"0")</f>
        <v>COLÉGIO SÃO MAURO</v>
      </c>
      <c r="P36" s="235"/>
      <c r="Q36" s="8"/>
      <c r="R36" s="162" t="str">
        <f>IF(P35&lt;&gt;"",IF(P37&lt;&gt;"",IF(P35=P37,"",IF(P35&gt;P37,O35,O37)),""),"")</f>
        <v>ANA CAROLINA A HASEGAWA</v>
      </c>
      <c r="S36" s="234">
        <v>0</v>
      </c>
      <c r="T36" s="237" t="s">
        <v>38</v>
      </c>
      <c r="U36" s="234">
        <v>1</v>
      </c>
      <c r="V36" s="162" t="str">
        <f>IF(X35&lt;&gt;"",IF(X37&lt;&gt;"",IF(X35=X37,"",IF(X35&gt;X37,Y35,Y37)),""),"")</f>
        <v>RAFAELA ADILEU</v>
      </c>
      <c r="W36" s="112"/>
      <c r="X36" s="235"/>
      <c r="Y36" s="165" t="str">
        <f>IFERROR(IF(Y35="","",VLOOKUP(Y35,LISTAS!$F$5:$G$1004,2,0)),"0")</f>
        <v>COLÉGIO MARCONI - GRU</v>
      </c>
      <c r="Z36" s="112"/>
      <c r="AA36" s="8"/>
      <c r="AB36" s="11"/>
      <c r="AC36" s="182"/>
      <c r="AD36" s="8"/>
      <c r="AE36" s="8"/>
      <c r="AF36" s="8"/>
      <c r="AG36" s="182"/>
      <c r="AH36" s="8"/>
      <c r="AI36" s="8"/>
      <c r="AJ36" s="11"/>
      <c r="AK36" s="166"/>
      <c r="AL36" s="11"/>
      <c r="AP36" s="13" t="str">
        <f>IF(AR36&lt;&gt;"",1+COUNTIF(AP8:AP35,"1")+COUNTIF(AP8:AP35,"2")+COUNTIF(AP8:AP35,"3")+COUNTIF(AP8:AP35,"4")+COUNTIF(AP8:AP35,"5")+COUNTIF(AP8:AP35,"6")+COUNTIF(AP8:AP35,"7")+COUNTIF(AP8:AP35,"8")+COUNTIF(AP8:AP35,"9")+COUNTIF(AP8:AP35,"10")+COUNTIF(AP8:AP35,"11")+COUNTIF(AP8:AP35,"12")+COUNTIF(AP8:AP35,"13")+COUNTIF(AP8:AP35,"14")+COUNTIF(AP8:AP35,"15")+COUNTIF(AP8:AP35,"16")+COUNTIF(AP8:AP35,"17")+COUNTIF(AP8:AP35,"18")+COUNTIF(AP8:AP35,"19")+COUNTIF(AP8:AP35,"20")+COUNTIF(AP8:AP35,"21")+COUNTIF(AP8:AP35,"22")+COUNTIF(AP8:AP35,"23")+COUNTIF(AP8:AP35,"24")+COUNTIF(AP8:AP35,"25")+COUNTIF(AP8:AP35,"26")+COUNTIF(AP8:AP35,"27")+COUNTIF(AP8:AP35,"28"),"")</f>
        <v/>
      </c>
      <c r="AQ36" s="14" t="str">
        <f t="shared" si="1"/>
        <v/>
      </c>
      <c r="AR36" s="21" t="str">
        <f>IF(AR20&lt;&gt;"",IF(C8=AR20,G10,IF(C10=AR20,G10,IF(C16=AR20,G18,IF(C18=AR20,G18,IF(C38=AR20,G40,IF(C40=AR20,G40,IF(C46=AR20,G48,IF(C48=AR20,G48,IF(C24=AR20,G26,IF(C26=AR20,G26,IF(C32=AR20,G34,IF(C34=AR20,G34,IF(C54=AR20,G56,IF(C56=AR20,G56,IF(C62=AR20,G64,IF(C64=AR20,G64,IF(AK8=AR20,AI10,IF(AK10=AR20,AI10,IF(AK16=AR20,AI18,IF(AK18=AR20,AI18,IF(AK38=AR20,AI40,IF(AK40=AR20,AI40,IF(AK46=AR20,AI48,IF(AK48=AR20,AI48,IF(AK24=AR20,AI26,IF(AK26=AR20,AI26,IF(AK32=AR20,AI34,IF(AK34=AR20,AI34,IF(AK54=AR20,AI56,IF(AK56=AR20,AI56,IF(AK62=AR20,AI64,IF(AK64=AR20,AI64)))))))))))))))))))))))))))))))),"")</f>
        <v/>
      </c>
      <c r="AS36" s="15" t="str">
        <f>IFERROR(IF(AR36="","",VLOOKUP(AR36,LISTAS!$F$5:$G$1004,2,0)),"0")</f>
        <v/>
      </c>
      <c r="AT36" s="15" t="str">
        <f t="shared" si="0"/>
        <v/>
      </c>
      <c r="AU36" s="15" t="str">
        <f t="shared" si="2"/>
        <v/>
      </c>
    </row>
    <row r="37" spans="2:47" ht="18" customHeight="1" thickBot="1" x14ac:dyDescent="0.3">
      <c r="B37" s="16"/>
      <c r="C37" s="166"/>
      <c r="D37" s="11"/>
      <c r="E37" s="11"/>
      <c r="F37" s="11"/>
      <c r="G37" s="166"/>
      <c r="H37" s="11"/>
      <c r="I37" s="11"/>
      <c r="J37" s="11"/>
      <c r="K37" s="166"/>
      <c r="L37" s="11"/>
      <c r="M37" s="18"/>
      <c r="N37" s="19"/>
      <c r="O37" s="162" t="str">
        <f>IF(L50&lt;&gt;"",IF(L52&lt;&gt;"",IF(L50=L52,"",IF(L50&gt;L52,K50,K52)),""),"")</f>
        <v>ANA CAROLINA A HASEGAWA</v>
      </c>
      <c r="P37" s="234">
        <v>1</v>
      </c>
      <c r="Q37" s="72"/>
      <c r="R37" s="165" t="str">
        <f>IFERROR(IF(R36="","",VLOOKUP(R36,LISTAS!$F$5:$G$1004,2,0)),"0")</f>
        <v>ESCOLA VILLARE</v>
      </c>
      <c r="S37" s="235"/>
      <c r="T37" s="237"/>
      <c r="U37" s="235"/>
      <c r="V37" s="165" t="str">
        <f>IFERROR(IF(V36="","",VLOOKUP(V36,LISTAS!$F$5:$G$1004,2,0)),"0")</f>
        <v>COLÉGIO MARCONI - GRU</v>
      </c>
      <c r="W37" s="66"/>
      <c r="X37" s="234">
        <v>0</v>
      </c>
      <c r="Y37" s="162" t="str">
        <f>IF(AB50&lt;&gt;"",IF(AB52&lt;&gt;"",IF(AB50=AB52,"",IF(AB50&gt;AB52,AC50,AC52)),""),"")</f>
        <v>BEATRIZ OTERO</v>
      </c>
      <c r="Z37" s="66"/>
      <c r="AA37" s="8"/>
      <c r="AB37" s="11"/>
      <c r="AC37" s="182"/>
      <c r="AD37" s="8"/>
      <c r="AE37" s="8"/>
      <c r="AF37" s="8"/>
      <c r="AG37" s="182"/>
      <c r="AH37" s="8"/>
      <c r="AI37" s="8"/>
      <c r="AJ37" s="11"/>
      <c r="AK37" s="166"/>
      <c r="AL37" s="11"/>
      <c r="AP37" s="13" t="str">
        <f>IF(AR37&lt;&gt;"",1+COUNTIF(AP8:AP36,"1")+COUNTIF(AP8:AP36,"2")+COUNTIF(AP8:AP36,"3")+COUNTIF(AP8:AP36,"4")+COUNTIF(AP8:AP36,"5")+COUNTIF(AP8:AP36,"6")+COUNTIF(AP8:AP36,"7")+COUNTIF(AP8:AP36,"8")+COUNTIF(AP8:AP36,"9")+COUNTIF(AP8:AP36,"10")+COUNTIF(AP8:AP36,"11")+COUNTIF(AP8:AP36,"12")+COUNTIF(AP8:AP36,"13")+COUNTIF(AP8:AP36,"14")+COUNTIF(AP8:AP36,"15")+COUNTIF(AP8:AP36,"16")+COUNTIF(AP8:AP36,"17")+COUNTIF(AP8:AP36,"18")+COUNTIF(AP8:AP36,"19")+COUNTIF(AP8:AP36,"20")+COUNTIF(AP8:AP36,"21")+COUNTIF(AP8:AP36,"22")+COUNTIF(AP8:AP36,"23")+COUNTIF(AP8:AP36,"24")+COUNTIF(AP8:AP36,"25")+COUNTIF(AP8:AP36,"26")+COUNTIF(AP8:AP36,"27")+COUNTIF(AP8:AP36,"28")+COUNTIF(AP8:AP36,"29"),"")</f>
        <v/>
      </c>
      <c r="AQ37" s="14" t="str">
        <f t="shared" si="1"/>
        <v/>
      </c>
      <c r="AR37" s="21" t="str">
        <f>IF(AR21&lt;&gt;"",IF(C8=AR21,G10,IF(C10=AR21,G10,IF(C16=AR21,G18,IF(C18=AR21,G18,IF(C38=AR21,G40,IF(C40=AR21,G40,IF(C46=AR21,G48,IF(C48=AR21,G48,IF(C24=AR21,G26,IF(C26=AR21,G26,IF(C32=AR21,G34,IF(C34=AR21,G34,IF(C54=AR21,G56,IF(C56=AR21,G56,IF(C62=AR21,G64,IF(C64=AR21,G64,IF(AK8=AR21,AI10,IF(AK10=AR21,AI10,IF(AK16=AR21,AI18,IF(AK18=AR21,AI18,IF(AK38=AR21,AI40,IF(AK40=AR21,AI40,IF(AK46=AR21,AI48,IF(AK48=AR21,AI48,IF(AK24=AR21,AI26,IF(AK26=AR21,AI26,IF(AK32=AR21,AI34,IF(AK34=AR21,AI34,IF(AK54=AR21,AI56,IF(AK56=AR21,AI56,IF(AK62=AR21,AI64,IF(AK64=AR21,AI64)))))))))))))))))))))))))))))))),"")</f>
        <v/>
      </c>
      <c r="AS37" s="15" t="str">
        <f>IFERROR(IF(AR37="","",VLOOKUP(AR37,LISTAS!$F$5:$G$1004,2,0)),"0")</f>
        <v/>
      </c>
      <c r="AT37" s="15" t="str">
        <f t="shared" si="0"/>
        <v/>
      </c>
      <c r="AU37" s="15" t="str">
        <f t="shared" si="2"/>
        <v/>
      </c>
    </row>
    <row r="38" spans="2:47" ht="18" customHeight="1" thickBot="1" x14ac:dyDescent="0.3">
      <c r="B38" s="16">
        <v>5</v>
      </c>
      <c r="C38" s="162" t="str">
        <f>IF('15F GRP'!G5&gt;=3,'15F GRP'!J73,IF('15F GRP'!G5=2,"",IF('15F GRP'!G5=1,'15F GRP'!J12,"")))</f>
        <v>AGHATA LIKA IKEDA SHIMABUKU</v>
      </c>
      <c r="D38" s="234">
        <v>2</v>
      </c>
      <c r="E38" s="51">
        <f>IF(D38&lt;&gt;"",D38,"")</f>
        <v>2</v>
      </c>
      <c r="F38" s="51" t="str">
        <f>IF(D38&lt;&gt;"",IF(C38="","",C38),"")</f>
        <v>AGHATA LIKA IKEDA SHIMABUKU</v>
      </c>
      <c r="G38" s="176">
        <f>IF(E38&lt;&gt;"",IF(E40&lt;&gt;"",SMALL(E38:E40,1),""),"")</f>
        <v>0</v>
      </c>
      <c r="H38" s="11"/>
      <c r="I38" s="11"/>
      <c r="J38" s="11"/>
      <c r="K38" s="166"/>
      <c r="L38" s="11"/>
      <c r="M38" s="18"/>
      <c r="N38" s="8"/>
      <c r="O38" s="165" t="str">
        <f>IFERROR(IF(O37="","",VLOOKUP(O37,LISTAS!$F$5:$G$1004,2,0)),"0")</f>
        <v>ESCOLA VILLARE</v>
      </c>
      <c r="P38" s="235"/>
      <c r="Q38" s="60"/>
      <c r="R38" s="182"/>
      <c r="S38" s="8"/>
      <c r="T38" s="8"/>
      <c r="U38" s="8"/>
      <c r="V38" s="182"/>
      <c r="W38" s="8"/>
      <c r="X38" s="235"/>
      <c r="Y38" s="165" t="str">
        <f>IFERROR(IF(Y37="","",VLOOKUP(Y37,LISTAS!$F$5:$G$1004,2,0)),"0")</f>
        <v>COLÉGIO MARCONI - GRU</v>
      </c>
      <c r="Z38" s="65"/>
      <c r="AA38" s="8"/>
      <c r="AB38" s="11"/>
      <c r="AC38" s="182"/>
      <c r="AD38" s="8"/>
      <c r="AE38" s="8"/>
      <c r="AF38" s="8"/>
      <c r="AG38" s="181">
        <f>IF(AJ38&lt;&gt;"",AJ38,"")</f>
        <v>0</v>
      </c>
      <c r="AH38" s="78" t="str">
        <f>IF(AJ38&lt;&gt;"",IF(AK38="","",AK38),"")</f>
        <v/>
      </c>
      <c r="AI38" s="51">
        <f>IF(AG38&lt;&gt;"",IF(AG40&lt;&gt;"",SMALL(AG38:AG40,1),""),"")</f>
        <v>0</v>
      </c>
      <c r="AJ38" s="234">
        <v>0</v>
      </c>
      <c r="AK38" s="162" t="str">
        <f>IF('15F GRP'!G5&gt;=3,'15F GRP'!J99,IF('15F GRP'!G5=2,"",IF('15F GRP'!G5=1,"","")))</f>
        <v/>
      </c>
      <c r="AL38" s="11">
        <v>7</v>
      </c>
      <c r="AP38" s="13" t="str">
        <f>IF(AR38&lt;&gt;"",1+COUNTIF(AP8:AP37,"1")+COUNTIF(AP8:AP37,"2")+COUNTIF(AP8:AP37,"3")+COUNTIF(AP8:AP37,"4")+COUNTIF(AP8:AP37,"5")+COUNTIF(AP8:AP37,"6")+COUNTIF(AP8:AP37,"7")+COUNTIF(AP8:AP37,"8")+COUNTIF(AP8:AP37,"9")+COUNTIF(AP8:AP37,"10")+COUNTIF(AP8:AP37,"11")+COUNTIF(AP8:AP37,"12")+COUNTIF(AP8:AP37,"13")+COUNTIF(AP8:AP37,"14")+COUNTIF(AP8:AP37,"15")+COUNTIF(AP8:AP37,"16")+COUNTIF(AP8:AP37,"17")+COUNTIF(AP8:AP37,"18")+COUNTIF(AP8:AP37,"19")+COUNTIF(AP8:AP37,"20")+COUNTIF(AP8:AP37,"21")+COUNTIF(AP8:AP37,"22")+COUNTIF(AP8:AP37,"23")+COUNTIF(AP8:AP37,"24")+COUNTIF(AP8:AP37,"25")+COUNTIF(AP8:AP37,"26")+COUNTIF(AP8:AP37,"27")+COUNTIF(AP8:AP37,"28")+COUNTIF(AP8:AP37,"29")+COUNTIF(AP8:AP37,"30"),"")</f>
        <v/>
      </c>
      <c r="AQ38" s="14" t="str">
        <f t="shared" si="1"/>
        <v/>
      </c>
      <c r="AR38" s="21" t="str">
        <f>IF(AR22&lt;&gt;"",IF(C8=AR22,G10,IF(C10=AR22,G10,IF(C16=AR22,G18,IF(C18=AR22,G18,IF(C38=AR22,G40,IF(C40=AR22,G40,IF(C46=AR22,G48,IF(C48=AR22,G48,IF(C24=AR22,G26,IF(C26=AR22,G26,IF(C32=AR22,G34,IF(C34=AR22,G34,IF(C54=AR22,G56,IF(C56=AR22,G56,IF(C62=AR22,G64,IF(C64=AR22,G64,IF(AK8=AR22,AI10,IF(AK10=AR22,AI10,IF(AK16=AR22,AI18,IF(AK18=AR22,AI18,IF(AK38=AR22,AI40,IF(AK40=AR22,AI40,IF(AK46=AR22,AI48,IF(AK48=AR22,AI48,IF(AK24=AR22,AI26,IF(AK26=AR22,AI26,IF(AK32=AR22,AI34,IF(AK34=AR22,AI34,IF(AK54=AR22,AI56,IF(AK56=AR22,AI56,IF(AK62=AR22,AI64,IF(AK64=AR22,AI64)))))))))))))))))))))))))))))))),"")</f>
        <v/>
      </c>
      <c r="AS38" s="15" t="str">
        <f>IFERROR(IF(AR38="","",VLOOKUP(AR38,LISTAS!$F$5:$G$1004,2,0)),"0")</f>
        <v/>
      </c>
      <c r="AT38" s="15" t="str">
        <f t="shared" si="0"/>
        <v/>
      </c>
      <c r="AU38" s="15" t="str">
        <f t="shared" si="2"/>
        <v/>
      </c>
    </row>
    <row r="39" spans="2:47" ht="18" customHeight="1" thickBot="1" x14ac:dyDescent="0.3">
      <c r="B39" s="16"/>
      <c r="C39" s="165" t="str">
        <f>IFERROR(IF(C38="","",VLOOKUP(C38,LISTAS!$F$5:$G$1004,2,0)),"0")</f>
        <v>COLÉGIO ARBOS SÃO CAETANO DO SUL</v>
      </c>
      <c r="D39" s="235"/>
      <c r="E39" s="51"/>
      <c r="F39" s="51"/>
      <c r="G39" s="176"/>
      <c r="H39" s="11"/>
      <c r="I39" s="11"/>
      <c r="J39" s="11"/>
      <c r="K39" s="166"/>
      <c r="L39" s="11"/>
      <c r="M39" s="54"/>
      <c r="N39" s="78"/>
      <c r="O39" s="181"/>
      <c r="P39" s="78"/>
      <c r="Q39" s="78"/>
      <c r="R39" s="182"/>
      <c r="S39" s="8"/>
      <c r="T39" s="8"/>
      <c r="U39" s="8"/>
      <c r="V39" s="182"/>
      <c r="W39" s="8"/>
      <c r="X39" s="62"/>
      <c r="Y39" s="182"/>
      <c r="Z39" s="65"/>
      <c r="AA39" s="8"/>
      <c r="AB39" s="11"/>
      <c r="AC39" s="182"/>
      <c r="AD39" s="8"/>
      <c r="AE39" s="8"/>
      <c r="AF39" s="8"/>
      <c r="AG39" s="181"/>
      <c r="AH39" s="78"/>
      <c r="AI39" s="51"/>
      <c r="AJ39" s="235"/>
      <c r="AK39" s="165" t="str">
        <f>IFERROR(IF(AK38="","",VLOOKUP(AK38,LISTAS!$F$5:$G$1004,2,0)),"0")</f>
        <v/>
      </c>
      <c r="AL39" s="11"/>
      <c r="AP39" s="13" t="str">
        <f>IF(AR39&lt;&gt;"",1+COUNTIF(AP8:AP38,"1")+COUNTIF(AP8:AP38,"2")+COUNTIF(AP8:AP38,"3")+COUNTIF(AP8:AP38,"4")+COUNTIF(AP8:AP38,"5")+COUNTIF(AP8:AP38,"6")+COUNTIF(AP8:AP38,"7")+COUNTIF(AP8:AP38,"8")+COUNTIF(AP8:AP38,"9")+COUNTIF(AP8:AP38,"10")+COUNTIF(AP8:AP38,"11")+COUNTIF(AP8:AP38,"12")+COUNTIF(AP8:AP38,"13")+COUNTIF(AP8:AP38,"14")+COUNTIF(AP8:AP38,"15")+COUNTIF(AP8:AP38,"16")+COUNTIF(AP8:AP38,"17")+COUNTIF(AP8:AP38,"18")+COUNTIF(AP8:AP38,"19")+COUNTIF(AP8:AP38,"20")+COUNTIF(AP8:AP38,"21")+COUNTIF(AP8:AP38,"22")+COUNTIF(AP8:AP38,"23")+COUNTIF(AP8:AP38,"24")+COUNTIF(AP8:AP38,"25")+COUNTIF(AP8:AP38,"26")+COUNTIF(AP8:AP38,"27")+COUNTIF(AP8:AP38,"28")+COUNTIF(AP8:AP38,"29")+COUNTIF(AP8:AP38,"30")+COUNTIF(AP8:AP38,"31"),"")</f>
        <v/>
      </c>
      <c r="AQ39" s="14" t="str">
        <f t="shared" si="1"/>
        <v/>
      </c>
      <c r="AR39" s="21" t="str">
        <f>IF(AR23&lt;&gt;"",IF(C8=AR23,G10,IF(C10=AR23,G10,IF(C16=AR23,G18,IF(C18=AR23,G18,IF(C38=AR23,G40,IF(C40=AR23,G40,IF(C46=AR23,G48,IF(C48=AR23,G48,IF(C24=AR23,G26,IF(C26=AR23,G26,IF(C32=AR23,G34,IF(C34=AR23,G34,IF(C54=AR23,G56,IF(C56=AR23,G56,IF(C62=AR23,G64,IF(C64=AR23,G64,IF(AK8=AR23,AI10,IF(AK10=AR23,AI10,IF(AK16=AR23,AI18,IF(AK18=AR23,AI18,IF(AK38=AR23,AI40,IF(AK40=AR23,AI40,IF(AK46=AR23,AI48,IF(AK48=AR23,AI48,IF(AK24=AR23,AI26,IF(AK26=AR23,AI26,IF(AK32=AR23,AI34,IF(AK34=AR23,AI34,IF(AK54=AR23,AI56,IF(AK56=AR23,AI56,IF(AK62=AR23,AI64,IF(AK64=AR23,AI64)))))))))))))))))))))))))))))))),"")</f>
        <v/>
      </c>
      <c r="AS39" s="15" t="str">
        <f>IFERROR(IF(AR39="","",VLOOKUP(AR39,LISTAS!$F$5:$G$1004,2,0)),"0")</f>
        <v/>
      </c>
      <c r="AT39" s="15" t="str">
        <f>IF(AP39="","",IF(AP39=1,400,IF(AP39=2,340,IF(AP39=3,300,IF(AP39=4,280,IF(AP39=5,270,IF(AP39=6,260,IF(AP39=7,250,IF(AP39=8,240,IF(AP39=9,200,IF(AP39=10,200,IF(AP39=11,200,IF(AP39=12,200,IF(AP39=13,200,IF(AP39=14,200,IF(AP39=15,200,IF(AP39=16,200,IF(AP39&gt;16,"",""))))))))))))))))))</f>
        <v/>
      </c>
      <c r="AU39" s="15" t="str">
        <f>IF(AP39="","",IF($AS$5="NÃO","",IF(AP39=1,400,IF(AP39=2,340,IF(AP39=3,300,IF(AP39=4,280,IF(AP39=5,270,IF(AP39=6,260,IF(AP39=7,250,IF(AP39=8,240,IF(AP39=9,200,IF(AP39=10,200,IF(AP39=11,200,IF(AP39=12,200,IF(AP39=13,200,IF(AP39=14,200,IF(AP39=15,200,IF(AP39=16,200,IF(AP39&gt;16,"","")))))))))))))))))))</f>
        <v/>
      </c>
    </row>
    <row r="40" spans="2:47" ht="18" customHeight="1" x14ac:dyDescent="0.25">
      <c r="B40" s="16">
        <v>28</v>
      </c>
      <c r="C40" s="162" t="str">
        <f>IF('15F GRP'!G5&gt;=3,'15F GRP'!J372,IF('15F GRP'!G5=2,"",IF('15F GRP'!G5=1,"","")))</f>
        <v/>
      </c>
      <c r="D40" s="234">
        <v>0</v>
      </c>
      <c r="E40" s="52">
        <f>IF(D40&lt;&gt;"",D40,"")</f>
        <v>0</v>
      </c>
      <c r="F40" s="51" t="str">
        <f>IF(D40&lt;&gt;"",IF(C40="","",C40),"")</f>
        <v/>
      </c>
      <c r="G40" s="176" t="str">
        <f>VLOOKUP(G38,E38:F40,2,0)</f>
        <v/>
      </c>
      <c r="H40" s="11"/>
      <c r="I40" s="11"/>
      <c r="J40" s="11"/>
      <c r="K40" s="166"/>
      <c r="L40" s="11"/>
      <c r="M40" s="54"/>
      <c r="N40" s="51">
        <f>IF(P35&lt;&gt;"",P35,"")</f>
        <v>0</v>
      </c>
      <c r="O40" s="176" t="str">
        <f>IF(P35&lt;&gt;"",O35,"")</f>
        <v>MARIA LETÍCIA FURUKAVA MONTEIRO</v>
      </c>
      <c r="P40" s="51">
        <f>IF(N40&lt;&gt;"",IF(N42&lt;&gt;"",LARGE(N40:N42,1),""),"")</f>
        <v>1</v>
      </c>
      <c r="Q40" s="78"/>
      <c r="R40" s="182"/>
      <c r="S40" s="8"/>
      <c r="T40" s="8"/>
      <c r="U40" s="8"/>
      <c r="V40" s="182"/>
      <c r="W40" s="8"/>
      <c r="X40" s="62"/>
      <c r="Y40" s="182"/>
      <c r="Z40" s="65"/>
      <c r="AA40" s="8"/>
      <c r="AB40" s="11"/>
      <c r="AC40" s="182"/>
      <c r="AD40" s="8"/>
      <c r="AE40" s="8"/>
      <c r="AF40" s="8"/>
      <c r="AG40" s="181">
        <f>IF(AJ40&lt;&gt;"",AJ40,"")</f>
        <v>0</v>
      </c>
      <c r="AH40" s="78" t="str">
        <f>IF(AJ40&lt;&gt;"",IF(AK40="","",AK40),"")</f>
        <v/>
      </c>
      <c r="AI40" s="55" t="str">
        <f>VLOOKUP(AI38,AG38:AH40,2,0)</f>
        <v/>
      </c>
      <c r="AJ40" s="234">
        <v>0</v>
      </c>
      <c r="AK40" s="162" t="str">
        <f>IF('15F GRP'!G5&gt;=3,'15F GRP'!J346,IF('15F GRP'!G5=2,"",IF('15F GRP'!G5=1,"","")))</f>
        <v/>
      </c>
      <c r="AL40" s="11">
        <v>26</v>
      </c>
    </row>
    <row r="41" spans="2:47" ht="18" customHeight="1" thickBot="1" x14ac:dyDescent="0.3">
      <c r="B41" s="16"/>
      <c r="C41" s="165" t="str">
        <f>IFERROR(IF(C40="","",VLOOKUP(C40,LISTAS!$F$5:$G$1004,2,0)),"0")</f>
        <v/>
      </c>
      <c r="D41" s="235"/>
      <c r="E41" s="128"/>
      <c r="F41" s="51"/>
      <c r="G41" s="176"/>
      <c r="H41" s="11"/>
      <c r="I41" s="11"/>
      <c r="J41" s="11"/>
      <c r="K41" s="166"/>
      <c r="L41" s="11"/>
      <c r="M41" s="54"/>
      <c r="N41" s="51"/>
      <c r="O41" s="176"/>
      <c r="P41" s="51"/>
      <c r="Q41" s="78"/>
      <c r="R41" s="182"/>
      <c r="S41" s="8"/>
      <c r="T41" s="8"/>
      <c r="U41" s="8"/>
      <c r="V41" s="182"/>
      <c r="W41" s="8"/>
      <c r="X41" s="62"/>
      <c r="Y41" s="182"/>
      <c r="Z41" s="65"/>
      <c r="AA41" s="8"/>
      <c r="AB41" s="11"/>
      <c r="AC41" s="182"/>
      <c r="AD41" s="8"/>
      <c r="AE41" s="8"/>
      <c r="AF41" s="8"/>
      <c r="AG41" s="181"/>
      <c r="AH41" s="78"/>
      <c r="AI41" s="123"/>
      <c r="AJ41" s="235"/>
      <c r="AK41" s="165" t="str">
        <f>IFERROR(IF(AK40="","",VLOOKUP(AK40,LISTAS!$F$5:$G$1004,2,0)),"0")</f>
        <v/>
      </c>
      <c r="AL41" s="11"/>
    </row>
    <row r="42" spans="2:47" ht="30" x14ac:dyDescent="0.25">
      <c r="B42" s="16"/>
      <c r="C42" s="166"/>
      <c r="D42" s="11"/>
      <c r="E42" s="11"/>
      <c r="F42" s="17"/>
      <c r="G42" s="162" t="str">
        <f>IF(D38&lt;&gt;"",IF(D40&lt;&gt;"",IF(D38=D40,"",IF(D38&gt;D40,C38,C40)),""),"")</f>
        <v>AGHATA LIKA IKEDA SHIMABUKU</v>
      </c>
      <c r="H42" s="234">
        <v>2</v>
      </c>
      <c r="I42" s="51">
        <f>IF(H42&lt;&gt;"",H42,"")</f>
        <v>2</v>
      </c>
      <c r="J42" s="51" t="str">
        <f>IF(H42&lt;&gt;"",IF(G42="","",G42),"")</f>
        <v>AGHATA LIKA IKEDA SHIMABUKU</v>
      </c>
      <c r="K42" s="176">
        <f>IF(I42&lt;&gt;"",IF(I44&lt;&gt;"",SMALL(I42:J44,1),""),"")</f>
        <v>0</v>
      </c>
      <c r="L42" s="11"/>
      <c r="M42" s="54"/>
      <c r="N42" s="51">
        <f>IF(P37&lt;&gt;"",P37,"")</f>
        <v>1</v>
      </c>
      <c r="O42" s="176" t="str">
        <f>IF(P37&lt;&gt;"",O37,"")</f>
        <v>ANA CAROLINA A HASEGAWA</v>
      </c>
      <c r="P42" s="51" t="str">
        <f>VLOOKUP(P40,N40:O42,2,0)</f>
        <v>ANA CAROLINA A HASEGAWA</v>
      </c>
      <c r="Q42" s="78"/>
      <c r="R42" s="182"/>
      <c r="S42" s="8"/>
      <c r="T42" s="8"/>
      <c r="U42" s="8"/>
      <c r="V42" s="182"/>
      <c r="W42" s="8"/>
      <c r="X42" s="62"/>
      <c r="Y42" s="182"/>
      <c r="Z42" s="65"/>
      <c r="AA42" s="8"/>
      <c r="AB42" s="11"/>
      <c r="AC42" s="182"/>
      <c r="AD42" s="8"/>
      <c r="AE42" s="67"/>
      <c r="AF42" s="234">
        <v>0</v>
      </c>
      <c r="AG42" s="162" t="str">
        <f>IF(AJ38&lt;&gt;"",IF(AJ40&lt;&gt;"",IF(AJ38=AJ40,"",IF(AJ38&gt;AJ40,AK38,AK40)),""),"")</f>
        <v/>
      </c>
      <c r="AH42" s="65"/>
      <c r="AI42" s="8"/>
      <c r="AJ42" s="11"/>
      <c r="AK42" s="166"/>
      <c r="AL42" s="11"/>
    </row>
    <row r="43" spans="2:47" ht="45.75" thickBot="1" x14ac:dyDescent="0.3">
      <c r="B43" s="16"/>
      <c r="C43" s="166"/>
      <c r="D43" s="11"/>
      <c r="E43" s="11"/>
      <c r="F43" s="17"/>
      <c r="G43" s="165" t="str">
        <f>IFERROR(IF(G42="","",VLOOKUP(G42,LISTAS!$F$5:$G$1004,2,0)),"0")</f>
        <v>COLÉGIO ARBOS SÃO CAETANO DO SUL</v>
      </c>
      <c r="H43" s="235"/>
      <c r="I43" s="51"/>
      <c r="J43" s="51"/>
      <c r="K43" s="176"/>
      <c r="L43" s="11"/>
      <c r="M43" s="54"/>
      <c r="N43" s="51"/>
      <c r="O43" s="176"/>
      <c r="P43" s="51"/>
      <c r="Q43" s="78"/>
      <c r="R43" s="182"/>
      <c r="S43" s="8"/>
      <c r="T43" s="8"/>
      <c r="U43" s="8"/>
      <c r="V43" s="182"/>
      <c r="W43" s="8"/>
      <c r="X43" s="62"/>
      <c r="Y43" s="182"/>
      <c r="Z43" s="65"/>
      <c r="AA43" s="8"/>
      <c r="AB43" s="11"/>
      <c r="AC43" s="182"/>
      <c r="AD43" s="8"/>
      <c r="AE43" s="67"/>
      <c r="AF43" s="235"/>
      <c r="AG43" s="165" t="str">
        <f>IFERROR(IF(AG42="","",VLOOKUP(AG42,LISTAS!$F$5:$G$1004,2,0)),"0")</f>
        <v/>
      </c>
      <c r="AH43" s="65"/>
      <c r="AI43" s="8"/>
      <c r="AJ43" s="11"/>
      <c r="AK43" s="166"/>
      <c r="AL43" s="11"/>
    </row>
    <row r="44" spans="2:47" ht="18" customHeight="1" x14ac:dyDescent="0.25">
      <c r="B44" s="16"/>
      <c r="C44" s="166"/>
      <c r="D44" s="11"/>
      <c r="E44" s="18"/>
      <c r="F44" s="19"/>
      <c r="G44" s="162" t="str">
        <f>IF(D46&lt;&gt;"",IF(D48&lt;&gt;"",IF(D46=D48,"",IF(D46&gt;D48,C46,C48)),""),"")</f>
        <v/>
      </c>
      <c r="H44" s="234">
        <v>0</v>
      </c>
      <c r="I44" s="52">
        <f>IF(H44&lt;&gt;"",H44,"")</f>
        <v>0</v>
      </c>
      <c r="J44" s="51" t="str">
        <f>IF(H44&lt;&gt;"",IF(G44="","",G44),"")</f>
        <v/>
      </c>
      <c r="K44" s="176" t="str">
        <f>VLOOKUP(K42,I42:J44,2,0)</f>
        <v/>
      </c>
      <c r="L44" s="11"/>
      <c r="M44" s="54"/>
      <c r="N44" s="51">
        <f>IF(P35&lt;&gt;"",P35,"")</f>
        <v>0</v>
      </c>
      <c r="O44" s="176" t="str">
        <f>IF(P35&lt;&gt;"",O35,"")</f>
        <v>MARIA LETÍCIA FURUKAVA MONTEIRO</v>
      </c>
      <c r="P44" s="51">
        <f>IF(N44&lt;&gt;"",IF(N46&lt;&gt;"",SMALL(N44:N46,1),""),"")</f>
        <v>0</v>
      </c>
      <c r="Q44" s="78"/>
      <c r="R44" s="182"/>
      <c r="S44" s="8"/>
      <c r="T44" s="8"/>
      <c r="U44" s="8"/>
      <c r="V44" s="182"/>
      <c r="W44" s="8"/>
      <c r="X44" s="62"/>
      <c r="Y44" s="182"/>
      <c r="Z44" s="65"/>
      <c r="AA44" s="8"/>
      <c r="AB44" s="11"/>
      <c r="AC44" s="182"/>
      <c r="AD44" s="65"/>
      <c r="AE44" s="68"/>
      <c r="AF44" s="234">
        <v>0</v>
      </c>
      <c r="AG44" s="162" t="str">
        <f>IF(AJ46&lt;&gt;"",IF(AJ48&lt;&gt;"",IF(AJ46=AJ48,"",IF(AJ46&gt;AJ48,AK46,AK48)),""),"")</f>
        <v/>
      </c>
      <c r="AH44" s="66"/>
      <c r="AI44" s="8"/>
      <c r="AJ44" s="11"/>
      <c r="AK44" s="166"/>
      <c r="AL44" s="11"/>
    </row>
    <row r="45" spans="2:47" ht="18" customHeight="1" thickBot="1" x14ac:dyDescent="0.3">
      <c r="B45" s="16"/>
      <c r="C45" s="166"/>
      <c r="D45" s="11"/>
      <c r="E45" s="18"/>
      <c r="F45" s="11"/>
      <c r="G45" s="165" t="str">
        <f>IFERROR(IF(G44="","",VLOOKUP(G44,LISTAS!$F$5:$G$1004,2,0)),"0")</f>
        <v/>
      </c>
      <c r="H45" s="235"/>
      <c r="I45" s="54"/>
      <c r="J45" s="51"/>
      <c r="K45" s="176"/>
      <c r="L45" s="11"/>
      <c r="M45" s="54"/>
      <c r="N45" s="51"/>
      <c r="O45" s="176"/>
      <c r="P45" s="51"/>
      <c r="Q45" s="78"/>
      <c r="R45" s="182"/>
      <c r="S45" s="8"/>
      <c r="T45" s="8"/>
      <c r="U45" s="8"/>
      <c r="V45" s="182"/>
      <c r="W45" s="8"/>
      <c r="X45" s="62"/>
      <c r="Y45" s="182"/>
      <c r="Z45" s="8"/>
      <c r="AA45" s="69"/>
      <c r="AB45" s="11"/>
      <c r="AC45" s="182"/>
      <c r="AD45" s="65"/>
      <c r="AE45" s="8"/>
      <c r="AF45" s="235"/>
      <c r="AG45" s="165" t="str">
        <f>IFERROR(IF(AG44="","",VLOOKUP(AG44,LISTAS!$F$5:$G$1004,2,0)),"0")</f>
        <v/>
      </c>
      <c r="AH45" s="8"/>
      <c r="AI45" s="69"/>
      <c r="AJ45" s="11"/>
      <c r="AK45" s="166"/>
      <c r="AL45" s="11"/>
    </row>
    <row r="46" spans="2:47" ht="18" customHeight="1" x14ac:dyDescent="0.25">
      <c r="B46" s="16">
        <v>12</v>
      </c>
      <c r="C46" s="162" t="str">
        <f>IF('15F GRP'!G5&gt;=3,'15F GRP'!J164,IF('15F GRP'!G5=2,"",IF('15F GRP'!G5=1,"","")))</f>
        <v/>
      </c>
      <c r="D46" s="234">
        <v>0</v>
      </c>
      <c r="E46" s="56">
        <f>IF(D46&lt;&gt;"",D46,"")</f>
        <v>0</v>
      </c>
      <c r="F46" s="51" t="str">
        <f>IF(D46&lt;&gt;"",IF(C46="","",C46),"")</f>
        <v/>
      </c>
      <c r="G46" s="176">
        <f>IF(E46&lt;&gt;"",IF(E48&lt;&gt;"",SMALL(E46:E48,1),""),"")</f>
        <v>0</v>
      </c>
      <c r="H46" s="51"/>
      <c r="I46" s="54"/>
      <c r="J46" s="51"/>
      <c r="K46" s="176"/>
      <c r="L46" s="11"/>
      <c r="M46" s="54"/>
      <c r="N46" s="51">
        <f>IF(P37&lt;&gt;"",P37,"")</f>
        <v>1</v>
      </c>
      <c r="O46" s="176" t="str">
        <f>IF(P37&lt;&gt;"",O37,"")</f>
        <v>ANA CAROLINA A HASEGAWA</v>
      </c>
      <c r="P46" s="51" t="str">
        <f>VLOOKUP(P44,N44:O46,2,0)</f>
        <v>MARIA LETÍCIA FURUKAVA MONTEIRO</v>
      </c>
      <c r="Q46" s="78"/>
      <c r="R46" s="182"/>
      <c r="S46" s="8"/>
      <c r="T46" s="8"/>
      <c r="U46" s="8"/>
      <c r="V46" s="182"/>
      <c r="W46" s="8"/>
      <c r="X46" s="62"/>
      <c r="Y46" s="182"/>
      <c r="Z46" s="8"/>
      <c r="AA46" s="69"/>
      <c r="AB46" s="11"/>
      <c r="AC46" s="182"/>
      <c r="AD46" s="65"/>
      <c r="AE46" s="8"/>
      <c r="AF46" s="8"/>
      <c r="AG46" s="181">
        <f>IF(AJ46&lt;&gt;"",AJ46,"")</f>
        <v>0</v>
      </c>
      <c r="AH46" s="78" t="str">
        <f>IF(AJ46&lt;&gt;"",IF(AK46="","",AK46),"")</f>
        <v/>
      </c>
      <c r="AI46" s="53">
        <f>IF(AG46&lt;&gt;"",IF(AG48&lt;&gt;"",SMALL(AG46:AG48,1),""),"")</f>
        <v>0</v>
      </c>
      <c r="AJ46" s="234">
        <v>0</v>
      </c>
      <c r="AK46" s="162" t="str">
        <f>IF('15F GRP'!G5&gt;=3,'15F GRP'!J138,IF('15F GRP'!G5=2,"",IF('15F GRP'!G5=1,"","")))</f>
        <v/>
      </c>
      <c r="AL46" s="11">
        <v>10</v>
      </c>
    </row>
    <row r="47" spans="2:47" ht="18" customHeight="1" thickBot="1" x14ac:dyDescent="0.3">
      <c r="B47" s="16"/>
      <c r="C47" s="165" t="str">
        <f>IFERROR(IF(C46="","",VLOOKUP(C46,LISTAS!$F$5:$G$1004,2,0)),"0")</f>
        <v/>
      </c>
      <c r="D47" s="235"/>
      <c r="E47" s="57"/>
      <c r="F47" s="51"/>
      <c r="G47" s="176"/>
      <c r="H47" s="51"/>
      <c r="I47" s="54"/>
      <c r="J47" s="11"/>
      <c r="K47" s="166"/>
      <c r="L47" s="11"/>
      <c r="M47" s="54"/>
      <c r="N47" s="51"/>
      <c r="O47" s="176"/>
      <c r="P47" s="51"/>
      <c r="Q47" s="78"/>
      <c r="R47" s="182"/>
      <c r="S47" s="8"/>
      <c r="T47" s="8"/>
      <c r="U47" s="8"/>
      <c r="V47" s="182"/>
      <c r="W47" s="8"/>
      <c r="X47" s="62"/>
      <c r="Y47" s="182"/>
      <c r="Z47" s="8"/>
      <c r="AA47" s="69"/>
      <c r="AB47" s="11"/>
      <c r="AC47" s="182"/>
      <c r="AD47" s="65"/>
      <c r="AE47" s="8"/>
      <c r="AF47" s="8"/>
      <c r="AG47" s="181"/>
      <c r="AH47" s="78"/>
      <c r="AI47" s="124"/>
      <c r="AJ47" s="235"/>
      <c r="AK47" s="165" t="str">
        <f>IFERROR(IF(AK46="","",VLOOKUP(AK46,LISTAS!$F$5:$G$1004,2,0)),"0")</f>
        <v/>
      </c>
      <c r="AL47" s="11"/>
    </row>
    <row r="48" spans="2:47" ht="18" customHeight="1" x14ac:dyDescent="0.25">
      <c r="B48" s="16">
        <v>21</v>
      </c>
      <c r="C48" s="162" t="str">
        <f>IF('15F GRP'!G5&gt;=3,'15F GRP'!J281,IF('15F GRP'!G5=2,"",IF('15F GRP'!G5=1,"","")))</f>
        <v/>
      </c>
      <c r="D48" s="234">
        <v>0</v>
      </c>
      <c r="E48" s="57">
        <f>IF(D48&lt;&gt;"",D48,"")</f>
        <v>0</v>
      </c>
      <c r="F48" s="51" t="str">
        <f>IF(D48&lt;&gt;"",IF(C48="","",C48),"")</f>
        <v/>
      </c>
      <c r="G48" s="176" t="str">
        <f>VLOOKUP(G46,E46:F48,2,0)</f>
        <v/>
      </c>
      <c r="H48" s="51"/>
      <c r="I48" s="54"/>
      <c r="J48" s="11"/>
      <c r="K48" s="166"/>
      <c r="L48" s="11"/>
      <c r="M48" s="54"/>
      <c r="N48" s="51"/>
      <c r="O48" s="176"/>
      <c r="P48" s="51"/>
      <c r="Q48" s="78"/>
      <c r="R48" s="182"/>
      <c r="S48" s="8"/>
      <c r="T48" s="8"/>
      <c r="U48" s="8"/>
      <c r="V48" s="182"/>
      <c r="W48" s="8"/>
      <c r="X48" s="62"/>
      <c r="Y48" s="182"/>
      <c r="Z48" s="8"/>
      <c r="AA48" s="69"/>
      <c r="AB48" s="11"/>
      <c r="AC48" s="182"/>
      <c r="AD48" s="65"/>
      <c r="AE48" s="8"/>
      <c r="AF48" s="8"/>
      <c r="AG48" s="181">
        <f>IF(AJ48&lt;&gt;"",AJ48,"")</f>
        <v>0</v>
      </c>
      <c r="AH48" s="78" t="str">
        <f>IF(AJ48&lt;&gt;"",IF(AK48="","",AK48),"")</f>
        <v/>
      </c>
      <c r="AI48" s="125" t="str">
        <f>VLOOKUP(AI46,AG46:AH48,2,0)</f>
        <v/>
      </c>
      <c r="AJ48" s="234">
        <v>0</v>
      </c>
      <c r="AK48" s="162" t="str">
        <f>IF('15F GRP'!G5&gt;=3,'15F GRP'!J307,IF('15F GRP'!G5=2,"",IF('15F GRP'!G5=1,"","")))</f>
        <v/>
      </c>
      <c r="AL48" s="11">
        <v>23</v>
      </c>
    </row>
    <row r="49" spans="2:41" ht="18" customHeight="1" thickBot="1" x14ac:dyDescent="0.3">
      <c r="B49" s="16"/>
      <c r="C49" s="165" t="str">
        <f>IFERROR(IF(C48="","",VLOOKUP(C48,LISTAS!$F$5:$G$1004,2,0)),"0")</f>
        <v/>
      </c>
      <c r="D49" s="235"/>
      <c r="E49" s="51"/>
      <c r="F49" s="51"/>
      <c r="G49" s="176"/>
      <c r="H49" s="51"/>
      <c r="I49" s="54"/>
      <c r="J49" s="11"/>
      <c r="K49" s="166"/>
      <c r="L49" s="11"/>
      <c r="M49" s="54"/>
      <c r="N49" s="51"/>
      <c r="O49" s="176"/>
      <c r="P49" s="51"/>
      <c r="Q49" s="78"/>
      <c r="R49" s="182"/>
      <c r="S49" s="8"/>
      <c r="T49" s="8"/>
      <c r="U49" s="8"/>
      <c r="V49" s="182"/>
      <c r="W49" s="8"/>
      <c r="X49" s="62"/>
      <c r="Y49" s="182"/>
      <c r="Z49" s="8"/>
      <c r="AA49" s="69"/>
      <c r="AB49" s="11"/>
      <c r="AC49" s="182"/>
      <c r="AD49" s="65"/>
      <c r="AE49" s="8"/>
      <c r="AF49" s="8"/>
      <c r="AG49" s="181"/>
      <c r="AH49" s="78"/>
      <c r="AI49" s="51"/>
      <c r="AJ49" s="235"/>
      <c r="AK49" s="165" t="str">
        <f>IFERROR(IF(AK48="","",VLOOKUP(AK48,LISTAS!$F$5:$G$1004,2,0)),"0")</f>
        <v/>
      </c>
      <c r="AL49" s="11"/>
    </row>
    <row r="50" spans="2:41" ht="18" customHeight="1" x14ac:dyDescent="0.25">
      <c r="B50" s="16"/>
      <c r="C50" s="166"/>
      <c r="D50" s="11"/>
      <c r="E50" s="11"/>
      <c r="F50" s="11"/>
      <c r="G50" s="166"/>
      <c r="H50" s="11"/>
      <c r="I50" s="18"/>
      <c r="J50" s="11"/>
      <c r="K50" s="162" t="str">
        <f>IF(H42&lt;&gt;"",IF(H44&lt;&gt;"",IF(H42=H44,"",IF(H42&gt;H44,G42,G44)),""),"")</f>
        <v>AGHATA LIKA IKEDA SHIMABUKU</v>
      </c>
      <c r="L50" s="234">
        <v>0</v>
      </c>
      <c r="M50" s="56">
        <f>IF(L50&lt;&gt;"",L50,"")</f>
        <v>0</v>
      </c>
      <c r="N50" s="51" t="str">
        <f>IF(L50&lt;&gt;"",IF(K50="","",K50),"")</f>
        <v>AGHATA LIKA IKEDA SHIMABUKU</v>
      </c>
      <c r="O50" s="176">
        <f>IF(M50&lt;&gt;"",IF(M52&lt;&gt;"",SMALL(M50:N52,1),""),"")</f>
        <v>0</v>
      </c>
      <c r="P50" s="51"/>
      <c r="Q50" s="78"/>
      <c r="R50" s="182"/>
      <c r="S50" s="8"/>
      <c r="T50" s="8"/>
      <c r="U50" s="8"/>
      <c r="V50" s="182"/>
      <c r="W50" s="8"/>
      <c r="X50" s="62"/>
      <c r="Y50" s="182"/>
      <c r="Z50" s="8"/>
      <c r="AA50" s="70"/>
      <c r="AB50" s="234">
        <v>0</v>
      </c>
      <c r="AC50" s="162" t="str">
        <f>IF(AF42&lt;&gt;"",IF(AF44&lt;&gt;"",IF(AF42=AF44,"",IF(AF42&gt;AF44,AG42,AG44)),""),"")</f>
        <v/>
      </c>
      <c r="AD50" s="112"/>
      <c r="AE50" s="8"/>
      <c r="AF50" s="8"/>
      <c r="AG50" s="182"/>
      <c r="AH50" s="8"/>
      <c r="AI50" s="8"/>
      <c r="AJ50" s="11"/>
      <c r="AK50" s="166"/>
      <c r="AL50" s="11"/>
    </row>
    <row r="51" spans="2:41" ht="18" customHeight="1" thickBot="1" x14ac:dyDescent="0.3">
      <c r="B51" s="16"/>
      <c r="C51" s="166"/>
      <c r="D51" s="11"/>
      <c r="E51" s="11"/>
      <c r="F51" s="11"/>
      <c r="G51" s="166"/>
      <c r="H51" s="11"/>
      <c r="I51" s="18"/>
      <c r="J51" s="11"/>
      <c r="K51" s="165" t="str">
        <f>IFERROR(IF(K50="","",VLOOKUP(K50,LISTAS!$F$5:$G$1004,2,0)),"0")</f>
        <v>COLÉGIO ARBOS SÃO CAETANO DO SUL</v>
      </c>
      <c r="L51" s="235"/>
      <c r="M51" s="57"/>
      <c r="N51" s="51"/>
      <c r="O51" s="176"/>
      <c r="P51" s="51"/>
      <c r="Q51" s="78"/>
      <c r="R51" s="182"/>
      <c r="S51" s="8"/>
      <c r="T51" s="8"/>
      <c r="U51" s="8"/>
      <c r="V51" s="182"/>
      <c r="W51" s="8"/>
      <c r="X51" s="62"/>
      <c r="Y51" s="182"/>
      <c r="Z51" s="8"/>
      <c r="AA51" s="8"/>
      <c r="AB51" s="235"/>
      <c r="AC51" s="165" t="str">
        <f>IFERROR(IF(AC50="","",VLOOKUP(AC50,LISTAS!$F$5:$G$1004,2,0)),"0")</f>
        <v/>
      </c>
      <c r="AD51" s="8"/>
      <c r="AE51" s="69"/>
      <c r="AF51" s="8"/>
      <c r="AG51" s="182"/>
      <c r="AH51" s="8"/>
      <c r="AI51" s="8"/>
      <c r="AJ51" s="11"/>
      <c r="AK51" s="166"/>
      <c r="AL51" s="11"/>
    </row>
    <row r="52" spans="2:41" ht="18" customHeight="1" x14ac:dyDescent="0.25">
      <c r="B52" s="16"/>
      <c r="C52" s="166"/>
      <c r="D52" s="11"/>
      <c r="E52" s="11"/>
      <c r="F52" s="11"/>
      <c r="G52" s="166"/>
      <c r="H52" s="11"/>
      <c r="I52" s="18"/>
      <c r="J52" s="19"/>
      <c r="K52" s="162" t="str">
        <f>IF(H58&lt;&gt;"",IF(H60&lt;&gt;"",IF(H58=H60,"",IF(H58&gt;H60,G58,G60)),""),"")</f>
        <v>ANA CAROLINA A HASEGAWA</v>
      </c>
      <c r="L52" s="234">
        <v>1</v>
      </c>
      <c r="M52" s="57">
        <f>IF(L52&lt;&gt;"",L52,"")</f>
        <v>1</v>
      </c>
      <c r="N52" s="51" t="str">
        <f>IF(L52&lt;&gt;"",IF(K52="","",K52),"")</f>
        <v>ANA CAROLINA A HASEGAWA</v>
      </c>
      <c r="O52" s="176" t="str">
        <f>VLOOKUP(O50,M50:N52,2,0)</f>
        <v>AGHATA LIKA IKEDA SHIMABUKU</v>
      </c>
      <c r="P52" s="51"/>
      <c r="Q52" s="78"/>
      <c r="R52" s="182"/>
      <c r="S52" s="8"/>
      <c r="T52" s="8"/>
      <c r="U52" s="8"/>
      <c r="V52" s="182"/>
      <c r="W52" s="8"/>
      <c r="X52" s="62"/>
      <c r="Y52" s="182"/>
      <c r="Z52" s="8"/>
      <c r="AA52" s="8"/>
      <c r="AB52" s="234">
        <v>2</v>
      </c>
      <c r="AC52" s="162" t="str">
        <f>IF(AF58&lt;&gt;"",IF(AF60&lt;&gt;"",IF(AF58=AF60,"",IF(AF58&gt;AF60,AG58,AG60)),""),"")</f>
        <v>BEATRIZ OTERO</v>
      </c>
      <c r="AD52" s="8"/>
      <c r="AE52" s="69"/>
      <c r="AF52" s="8"/>
      <c r="AG52" s="182"/>
      <c r="AH52" s="8"/>
      <c r="AI52" s="8"/>
      <c r="AJ52" s="11"/>
      <c r="AK52" s="166"/>
      <c r="AL52" s="11"/>
    </row>
    <row r="53" spans="2:41" ht="18" customHeight="1" thickBot="1" x14ac:dyDescent="0.3">
      <c r="B53" s="16"/>
      <c r="C53" s="166"/>
      <c r="D53" s="11"/>
      <c r="E53" s="11"/>
      <c r="F53" s="11"/>
      <c r="G53" s="166"/>
      <c r="H53" s="11"/>
      <c r="I53" s="18"/>
      <c r="J53" s="11"/>
      <c r="K53" s="165" t="str">
        <f>IFERROR(IF(K52="","",VLOOKUP(K52,LISTAS!$F$5:$G$1004,2,0)),"0")</f>
        <v>ESCOLA VILLARE</v>
      </c>
      <c r="L53" s="235"/>
      <c r="M53" s="51"/>
      <c r="N53" s="51"/>
      <c r="O53" s="176"/>
      <c r="P53" s="51"/>
      <c r="Q53" s="78"/>
      <c r="R53" s="182"/>
      <c r="S53" s="8"/>
      <c r="T53" s="8"/>
      <c r="U53" s="8"/>
      <c r="V53" s="182"/>
      <c r="W53" s="8"/>
      <c r="X53" s="62"/>
      <c r="Y53" s="182"/>
      <c r="Z53" s="8"/>
      <c r="AA53" s="8"/>
      <c r="AB53" s="235"/>
      <c r="AC53" s="165" t="str">
        <f>IFERROR(IF(AC52="","",VLOOKUP(AC52,LISTAS!$F$5:$G$1004,2,0)),"0")</f>
        <v>COLÉGIO MARCONI - GRU</v>
      </c>
      <c r="AD53" s="8"/>
      <c r="AE53" s="69"/>
      <c r="AF53" s="8"/>
      <c r="AG53" s="182"/>
      <c r="AH53" s="8"/>
      <c r="AI53" s="8"/>
      <c r="AJ53" s="11"/>
      <c r="AK53" s="166"/>
      <c r="AL53" s="11"/>
    </row>
    <row r="54" spans="2:41" ht="18" customHeight="1" x14ac:dyDescent="0.25">
      <c r="B54" s="16">
        <v>20</v>
      </c>
      <c r="C54" s="162" t="str">
        <f>IF('15F GRP'!G5&gt;=3,'15F GRP'!J268,IF('15F GRP'!G5=2,"",IF('15F GRP'!G5=1,"","")))</f>
        <v/>
      </c>
      <c r="D54" s="234">
        <v>0</v>
      </c>
      <c r="E54" s="51">
        <f>IF(D54&lt;&gt;"",D54,"")</f>
        <v>0</v>
      </c>
      <c r="F54" s="51" t="str">
        <f>IF(D54&lt;&gt;"",IF(C54="","",C54),"")</f>
        <v/>
      </c>
      <c r="G54" s="176">
        <f>IF(E54&lt;&gt;"",IF(E56&lt;&gt;"",SMALL(E54:E56,1),""),"")</f>
        <v>0</v>
      </c>
      <c r="H54" s="51"/>
      <c r="I54" s="54"/>
      <c r="J54" s="51"/>
      <c r="K54" s="176"/>
      <c r="L54" s="51"/>
      <c r="M54" s="51"/>
      <c r="N54" s="11"/>
      <c r="O54" s="166"/>
      <c r="P54" s="11"/>
      <c r="Q54" s="8"/>
      <c r="R54" s="182"/>
      <c r="S54" s="8"/>
      <c r="T54" s="8"/>
      <c r="U54" s="8"/>
      <c r="V54" s="182"/>
      <c r="W54" s="8"/>
      <c r="X54" s="62"/>
      <c r="Y54" s="182"/>
      <c r="Z54" s="8"/>
      <c r="AA54" s="8"/>
      <c r="AB54" s="11"/>
      <c r="AC54" s="182"/>
      <c r="AD54" s="8"/>
      <c r="AE54" s="69"/>
      <c r="AF54" s="8"/>
      <c r="AG54" s="181">
        <f>IF(AJ54&lt;&gt;"",AJ54,"")</f>
        <v>0</v>
      </c>
      <c r="AH54" s="78" t="str">
        <f>IF(AJ54&lt;&gt;"",IF(AK54="","",AK54),"")</f>
        <v/>
      </c>
      <c r="AI54" s="51">
        <f>IF(AG54&lt;&gt;"",IF(AG56&lt;&gt;"",SMALL(AG54:AG56,1),""),"")</f>
        <v>0</v>
      </c>
      <c r="AJ54" s="234">
        <v>0</v>
      </c>
      <c r="AK54" s="162" t="str">
        <f>IF('15F GRP'!G5&gt;=3,'15F GRP'!J203,IF('15F GRP'!G5=2,"",IF('15F GRP'!G5=1,"","")))</f>
        <v/>
      </c>
      <c r="AL54" s="11">
        <v>15</v>
      </c>
    </row>
    <row r="55" spans="2:41" ht="18" customHeight="1" thickBot="1" x14ac:dyDescent="0.3">
      <c r="B55" s="16"/>
      <c r="C55" s="165" t="str">
        <f>IFERROR(IF(C54="","",VLOOKUP(C54,LISTAS!$F$5:$G$1004,2,0)),"0")</f>
        <v/>
      </c>
      <c r="D55" s="235"/>
      <c r="E55" s="51"/>
      <c r="F55" s="51"/>
      <c r="G55" s="176"/>
      <c r="H55" s="51"/>
      <c r="I55" s="54"/>
      <c r="J55" s="51"/>
      <c r="K55" s="176"/>
      <c r="L55" s="51"/>
      <c r="M55" s="51"/>
      <c r="N55" s="11"/>
      <c r="O55" s="166"/>
      <c r="P55" s="11"/>
      <c r="Q55" s="8"/>
      <c r="R55" s="182"/>
      <c r="S55" s="8"/>
      <c r="T55" s="8"/>
      <c r="U55" s="8"/>
      <c r="V55" s="182"/>
      <c r="W55" s="8"/>
      <c r="X55" s="62"/>
      <c r="Y55" s="182"/>
      <c r="Z55" s="8"/>
      <c r="AA55" s="8"/>
      <c r="AB55" s="11"/>
      <c r="AC55" s="182"/>
      <c r="AD55" s="8"/>
      <c r="AE55" s="69"/>
      <c r="AF55" s="8"/>
      <c r="AG55" s="181"/>
      <c r="AH55" s="78"/>
      <c r="AI55" s="51"/>
      <c r="AJ55" s="235"/>
      <c r="AK55" s="165" t="str">
        <f>IFERROR(IF(AK54="","",VLOOKUP(AK54,LISTAS!$F$5:$G$1004,2,0)),"0")</f>
        <v/>
      </c>
      <c r="AL55" s="11"/>
    </row>
    <row r="56" spans="2:41" ht="18" customHeight="1" x14ac:dyDescent="0.25">
      <c r="B56" s="16">
        <v>13</v>
      </c>
      <c r="C56" s="162" t="str">
        <f>IF('15F GRP'!G5&gt;=3,'15F GRP'!J177,IF('15F GRP'!G5=2,"",IF('15F GRP'!G5=1,"","")))</f>
        <v/>
      </c>
      <c r="D56" s="234">
        <v>0</v>
      </c>
      <c r="E56" s="52">
        <f>IF(D56&lt;&gt;"",D56,"")</f>
        <v>0</v>
      </c>
      <c r="F56" s="51" t="str">
        <f>IF(D56&lt;&gt;"",IF(C56="","",C56),"")</f>
        <v/>
      </c>
      <c r="G56" s="176" t="str">
        <f>VLOOKUP(G54,E54:F56,2,0)</f>
        <v/>
      </c>
      <c r="H56" s="51"/>
      <c r="I56" s="54"/>
      <c r="J56" s="51"/>
      <c r="K56" s="176"/>
      <c r="L56" s="51"/>
      <c r="M56" s="51"/>
      <c r="N56" s="11"/>
      <c r="O56" s="166"/>
      <c r="P56" s="11"/>
      <c r="Q56" s="8"/>
      <c r="R56" s="182"/>
      <c r="S56" s="8"/>
      <c r="T56" s="8"/>
      <c r="U56" s="8"/>
      <c r="V56" s="182"/>
      <c r="W56" s="8"/>
      <c r="X56" s="62"/>
      <c r="Y56" s="182"/>
      <c r="Z56" s="8"/>
      <c r="AA56" s="8"/>
      <c r="AB56" s="11"/>
      <c r="AC56" s="182"/>
      <c r="AD56" s="8"/>
      <c r="AE56" s="69"/>
      <c r="AF56" s="8"/>
      <c r="AG56" s="181">
        <f>IF(AJ56&lt;&gt;"",AJ56,"")</f>
        <v>0</v>
      </c>
      <c r="AH56" s="78" t="str">
        <f>IF(AJ56&lt;&gt;"",IF(AK56="","",AK56),"")</f>
        <v/>
      </c>
      <c r="AI56" s="55" t="str">
        <f>VLOOKUP(AI54,AG54:AH56,2,0)</f>
        <v/>
      </c>
      <c r="AJ56" s="234">
        <v>0</v>
      </c>
      <c r="AK56" s="162" t="str">
        <f>IF('15F GRP'!G5&gt;=3,'15F GRP'!J242,IF('15F GRP'!G5=2,"",IF('15F GRP'!G5=1,"","")))</f>
        <v/>
      </c>
      <c r="AL56" s="11">
        <v>18</v>
      </c>
      <c r="AN56" s="23"/>
      <c r="AO56" s="23"/>
    </row>
    <row r="57" spans="2:41" ht="18" customHeight="1" thickBot="1" x14ac:dyDescent="0.3">
      <c r="B57" s="16"/>
      <c r="C57" s="165" t="str">
        <f>IFERROR(IF(C56="","",VLOOKUP(C56,LISTAS!$F$5:$G$1004,2,0)),"0")</f>
        <v/>
      </c>
      <c r="D57" s="235"/>
      <c r="E57" s="128"/>
      <c r="F57" s="51"/>
      <c r="G57" s="176"/>
      <c r="H57" s="51"/>
      <c r="I57" s="54"/>
      <c r="J57" s="51"/>
      <c r="K57" s="176"/>
      <c r="L57" s="51"/>
      <c r="M57" s="51"/>
      <c r="N57" s="11"/>
      <c r="O57" s="166"/>
      <c r="P57" s="11"/>
      <c r="Q57" s="8"/>
      <c r="R57" s="182"/>
      <c r="S57" s="8"/>
      <c r="T57" s="8"/>
      <c r="U57" s="8"/>
      <c r="V57" s="182"/>
      <c r="W57" s="8"/>
      <c r="X57" s="62"/>
      <c r="Y57" s="182"/>
      <c r="Z57" s="8"/>
      <c r="AA57" s="8"/>
      <c r="AB57" s="11"/>
      <c r="AC57" s="182"/>
      <c r="AD57" s="8"/>
      <c r="AE57" s="69"/>
      <c r="AF57" s="8"/>
      <c r="AG57" s="181"/>
      <c r="AH57" s="126"/>
      <c r="AI57" s="51"/>
      <c r="AJ57" s="235"/>
      <c r="AK57" s="165" t="str">
        <f>IFERROR(IF(AK56="","",VLOOKUP(AK56,LISTAS!$F$5:$G$1004,2,0)),"0")</f>
        <v/>
      </c>
      <c r="AL57" s="11"/>
      <c r="AM57" s="23"/>
      <c r="AN57" s="23"/>
      <c r="AO57" s="23"/>
    </row>
    <row r="58" spans="2:41" ht="18" customHeight="1" x14ac:dyDescent="0.25">
      <c r="B58" s="16"/>
      <c r="C58" s="166"/>
      <c r="D58" s="11"/>
      <c r="E58" s="11"/>
      <c r="F58" s="17"/>
      <c r="G58" s="162" t="str">
        <f>IF(D54&lt;&gt;"",IF(D56&lt;&gt;"",IF(D54=D56,"",IF(D54&gt;D56,C54,C56)),""),"")</f>
        <v/>
      </c>
      <c r="H58" s="234">
        <v>0</v>
      </c>
      <c r="I58" s="56">
        <f>IF(H58&lt;&gt;"",H58,"")</f>
        <v>0</v>
      </c>
      <c r="J58" s="51" t="str">
        <f>IF(H58&lt;&gt;"",IF(G58="","",G58),"")</f>
        <v/>
      </c>
      <c r="K58" s="176">
        <f>IF(I58&lt;&gt;"",IF(I60&lt;&gt;"",SMALL(I58:J60,1),""),"")</f>
        <v>0</v>
      </c>
      <c r="L58" s="51"/>
      <c r="M58" s="51"/>
      <c r="N58" s="11"/>
      <c r="O58" s="166"/>
      <c r="P58" s="11"/>
      <c r="Q58" s="8"/>
      <c r="R58" s="182"/>
      <c r="S58" s="8"/>
      <c r="T58" s="8"/>
      <c r="U58" s="8"/>
      <c r="V58" s="182"/>
      <c r="W58" s="8"/>
      <c r="X58" s="62"/>
      <c r="Y58" s="182"/>
      <c r="Z58" s="8"/>
      <c r="AA58" s="8"/>
      <c r="AB58" s="11"/>
      <c r="AC58" s="182"/>
      <c r="AD58" s="8"/>
      <c r="AE58" s="69"/>
      <c r="AF58" s="234">
        <v>0</v>
      </c>
      <c r="AG58" s="162" t="str">
        <f>IF(AJ54&lt;&gt;"",IF(AJ56&lt;&gt;"",IF(AJ54=AJ56,"",IF(AJ54&gt;AJ56,AK54,AK56)),""),"")</f>
        <v/>
      </c>
      <c r="AH58" s="65"/>
      <c r="AI58" s="8"/>
      <c r="AJ58" s="11"/>
      <c r="AK58" s="166"/>
      <c r="AL58" s="11"/>
      <c r="AM58" s="23"/>
    </row>
    <row r="59" spans="2:41" ht="18" customHeight="1" thickBot="1" x14ac:dyDescent="0.3">
      <c r="B59" s="16"/>
      <c r="C59" s="166"/>
      <c r="D59" s="11"/>
      <c r="E59" s="11"/>
      <c r="F59" s="17"/>
      <c r="G59" s="165" t="str">
        <f>IFERROR(IF(G58="","",VLOOKUP(G58,LISTAS!$F$5:$G$1004,2,0)),"0")</f>
        <v/>
      </c>
      <c r="H59" s="235"/>
      <c r="I59" s="57"/>
      <c r="J59" s="51"/>
      <c r="K59" s="176"/>
      <c r="L59" s="51"/>
      <c r="M59" s="51"/>
      <c r="N59" s="11"/>
      <c r="O59" s="166"/>
      <c r="P59" s="11"/>
      <c r="Q59" s="8"/>
      <c r="R59" s="182"/>
      <c r="S59" s="8"/>
      <c r="T59" s="8"/>
      <c r="U59" s="8"/>
      <c r="V59" s="182"/>
      <c r="W59" s="8"/>
      <c r="X59" s="62"/>
      <c r="Y59" s="182"/>
      <c r="Z59" s="8"/>
      <c r="AA59" s="8"/>
      <c r="AB59" s="11"/>
      <c r="AC59" s="182"/>
      <c r="AD59" s="8"/>
      <c r="AE59" s="70"/>
      <c r="AF59" s="235"/>
      <c r="AG59" s="165" t="str">
        <f>IFERROR(IF(AG58="","",VLOOKUP(AG58,LISTAS!$F$5:$G$1004,2,0)),"0")</f>
        <v/>
      </c>
      <c r="AH59" s="65"/>
      <c r="AI59" s="8"/>
      <c r="AJ59" s="11"/>
      <c r="AK59" s="166"/>
      <c r="AL59" s="11"/>
    </row>
    <row r="60" spans="2:41" ht="18" customHeight="1" x14ac:dyDescent="0.25">
      <c r="B60" s="16"/>
      <c r="C60" s="166"/>
      <c r="D60" s="11"/>
      <c r="E60" s="18"/>
      <c r="F60" s="19"/>
      <c r="G60" s="162" t="str">
        <f>IF(D62&lt;&gt;"",IF(D64&lt;&gt;"",IF(D62=D64,"",IF(D62&gt;D64,C62,C64)),""),"")</f>
        <v>ANA CAROLINA A HASEGAWA</v>
      </c>
      <c r="H60" s="234">
        <v>2</v>
      </c>
      <c r="I60" s="57">
        <f>IF(H60&lt;&gt;"",H60,"")</f>
        <v>2</v>
      </c>
      <c r="J60" s="51" t="str">
        <f>IF(H60&lt;&gt;"",IF(G60="","",G60),"")</f>
        <v>ANA CAROLINA A HASEGAWA</v>
      </c>
      <c r="K60" s="176" t="str">
        <f>VLOOKUP(K58,I58:J60,2,0)</f>
        <v/>
      </c>
      <c r="L60" s="51"/>
      <c r="M60" s="51"/>
      <c r="N60" s="11"/>
      <c r="O60" s="166"/>
      <c r="P60" s="11"/>
      <c r="Q60" s="8"/>
      <c r="R60" s="182"/>
      <c r="S60" s="8"/>
      <c r="T60" s="8"/>
      <c r="U60" s="8"/>
      <c r="V60" s="182"/>
      <c r="W60" s="8"/>
      <c r="X60" s="62"/>
      <c r="Y60" s="182"/>
      <c r="Z60" s="8"/>
      <c r="AA60" s="8"/>
      <c r="AB60" s="11"/>
      <c r="AC60" s="182"/>
      <c r="AD60" s="8"/>
      <c r="AE60" s="64"/>
      <c r="AF60" s="234">
        <v>2</v>
      </c>
      <c r="AG60" s="162" t="str">
        <f>IF(AJ62&lt;&gt;"",IF(AJ64&lt;&gt;"",IF(AJ62=AJ64,"",IF(AJ62&gt;AJ64,AK62,AK64)),""),"")</f>
        <v>BEATRIZ OTERO</v>
      </c>
      <c r="AH60" s="66"/>
      <c r="AI60" s="8"/>
      <c r="AJ60" s="11"/>
      <c r="AK60" s="166"/>
      <c r="AL60" s="11"/>
    </row>
    <row r="61" spans="2:41" ht="18" customHeight="1" thickBot="1" x14ac:dyDescent="0.3">
      <c r="B61" s="16"/>
      <c r="C61" s="166"/>
      <c r="D61" s="11"/>
      <c r="E61" s="18"/>
      <c r="F61" s="11"/>
      <c r="G61" s="165" t="str">
        <f>IFERROR(IF(G60="","",VLOOKUP(G60,LISTAS!$F$5:$G$1004,2,0)),"0")</f>
        <v>ESCOLA VILLARE</v>
      </c>
      <c r="H61" s="235"/>
      <c r="I61" s="51"/>
      <c r="J61" s="51"/>
      <c r="K61" s="176"/>
      <c r="L61" s="51"/>
      <c r="M61" s="51"/>
      <c r="N61" s="11"/>
      <c r="O61" s="166"/>
      <c r="P61" s="11"/>
      <c r="Q61" s="8"/>
      <c r="R61" s="182"/>
      <c r="S61" s="8"/>
      <c r="T61" s="8"/>
      <c r="U61" s="8"/>
      <c r="V61" s="182"/>
      <c r="W61" s="8"/>
      <c r="X61" s="62"/>
      <c r="Y61" s="182"/>
      <c r="Z61" s="8"/>
      <c r="AA61" s="8"/>
      <c r="AB61" s="11"/>
      <c r="AC61" s="182"/>
      <c r="AD61" s="8"/>
      <c r="AE61" s="8"/>
      <c r="AF61" s="235"/>
      <c r="AG61" s="165" t="str">
        <f>IFERROR(IF(AG60="","",VLOOKUP(AG60,LISTAS!$F$5:$G$1004,2,0)),"0")</f>
        <v>COLÉGIO MARCONI - GRU</v>
      </c>
      <c r="AH61" s="8"/>
      <c r="AI61" s="69"/>
      <c r="AJ61" s="11"/>
      <c r="AK61" s="166"/>
      <c r="AL61" s="11"/>
    </row>
    <row r="62" spans="2:41" ht="18" customHeight="1" x14ac:dyDescent="0.25">
      <c r="B62" s="16">
        <v>29</v>
      </c>
      <c r="C62" s="162" t="str">
        <f>IF('15F GRP'!G5&gt;=3,'15F GRP'!J385,IF('15F GRP'!G5=2,"",IF('15F GRP'!G5=1,"","")))</f>
        <v/>
      </c>
      <c r="D62" s="234">
        <v>0</v>
      </c>
      <c r="E62" s="56">
        <f>IF(D62&lt;&gt;"",D62,"")</f>
        <v>0</v>
      </c>
      <c r="F62" s="51" t="str">
        <f>IF(D62&lt;&gt;"",IF(C62="","",C62),"")</f>
        <v/>
      </c>
      <c r="G62" s="176">
        <f>IF(E62&lt;&gt;"",IF(E64&lt;&gt;"",SMALL(E62:E64,1),""),"")</f>
        <v>0</v>
      </c>
      <c r="H62" s="51"/>
      <c r="I62" s="51"/>
      <c r="J62" s="51"/>
      <c r="K62" s="176"/>
      <c r="L62" s="51"/>
      <c r="M62" s="51"/>
      <c r="N62" s="11"/>
      <c r="O62" s="166"/>
      <c r="P62" s="11"/>
      <c r="Q62" s="8"/>
      <c r="R62" s="182"/>
      <c r="S62" s="8"/>
      <c r="T62" s="8"/>
      <c r="U62" s="8"/>
      <c r="V62" s="182"/>
      <c r="W62" s="8"/>
      <c r="X62" s="62"/>
      <c r="Y62" s="182"/>
      <c r="Z62" s="8"/>
      <c r="AA62" s="8"/>
      <c r="AB62" s="11"/>
      <c r="AC62" s="182"/>
      <c r="AD62" s="8"/>
      <c r="AE62" s="8"/>
      <c r="AF62" s="8"/>
      <c r="AG62" s="181">
        <f>IF(AJ62&lt;&gt;"",AJ62,"")</f>
        <v>0</v>
      </c>
      <c r="AH62" s="78" t="str">
        <f>IF(AJ62&lt;&gt;"",IF(AK62="","",AK62),"")</f>
        <v/>
      </c>
      <c r="AI62" s="53">
        <f>IF(AG62&lt;&gt;"",IF(AG64&lt;&gt;"",SMALL(AG62:AG64,1),""),"")</f>
        <v>0</v>
      </c>
      <c r="AJ62" s="234">
        <v>0</v>
      </c>
      <c r="AK62" s="185" t="str">
        <f>IF('15F GRP'!G5&gt;=3,'15F GRP'!J411,IF('15F GRP'!G5=2,"",IF('15F GRP'!G5=1,"","")))</f>
        <v/>
      </c>
      <c r="AL62" s="11">
        <v>31</v>
      </c>
    </row>
    <row r="63" spans="2:41" ht="18" customHeight="1" thickBot="1" x14ac:dyDescent="0.3">
      <c r="B63" s="16"/>
      <c r="C63" s="165" t="str">
        <f>IFERROR(IF(C62="","",VLOOKUP(C62,LISTAS!$F$5:$G$1004,2,0)),"0")</f>
        <v/>
      </c>
      <c r="D63" s="235"/>
      <c r="E63" s="57"/>
      <c r="F63" s="51"/>
      <c r="G63" s="176"/>
      <c r="H63" s="51"/>
      <c r="I63" s="51"/>
      <c r="J63" s="51"/>
      <c r="K63" s="166"/>
      <c r="L63" s="11"/>
      <c r="M63" s="11"/>
      <c r="N63" s="11"/>
      <c r="O63" s="166"/>
      <c r="P63" s="11"/>
      <c r="Q63" s="8"/>
      <c r="R63" s="182"/>
      <c r="S63" s="8"/>
      <c r="T63" s="8"/>
      <c r="U63" s="8"/>
      <c r="V63" s="182"/>
      <c r="W63" s="8"/>
      <c r="X63" s="62"/>
      <c r="Y63" s="182"/>
      <c r="Z63" s="8"/>
      <c r="AA63" s="8"/>
      <c r="AB63" s="11"/>
      <c r="AC63" s="182"/>
      <c r="AD63" s="8"/>
      <c r="AE63" s="8"/>
      <c r="AF63" s="8"/>
      <c r="AG63" s="181"/>
      <c r="AH63" s="78"/>
      <c r="AI63" s="77"/>
      <c r="AJ63" s="235"/>
      <c r="AK63" s="165" t="str">
        <f>IFERROR(IF(AK62="","",VLOOKUP(AK62,LISTAS!$F$5:$G$1004,2,0)),"0")</f>
        <v/>
      </c>
      <c r="AL63" s="11"/>
    </row>
    <row r="64" spans="2:41" ht="18" customHeight="1" x14ac:dyDescent="0.25">
      <c r="B64" s="16">
        <v>4</v>
      </c>
      <c r="C64" s="162" t="str">
        <f>IF('15F GRP'!G5&gt;=3,'15F GRP'!J60,IF('15F GRP'!G5=2,IF('15F GRP'!H8=3,"",'15F GRP'!J31),IF('15F GRP'!G5=1,'15F GRP'!J11,"")))</f>
        <v>ANA CAROLINA A HASEGAWA</v>
      </c>
      <c r="D64" s="234">
        <v>2</v>
      </c>
      <c r="E64" s="57">
        <f>IF(D64&lt;&gt;"",D64,"")</f>
        <v>2</v>
      </c>
      <c r="F64" s="51" t="str">
        <f>IF(D64&lt;&gt;"",IF(C64="","",C64),"")</f>
        <v>ANA CAROLINA A HASEGAWA</v>
      </c>
      <c r="G64" s="176" t="str">
        <f>VLOOKUP(G62,E62:F64,2,0)</f>
        <v/>
      </c>
      <c r="H64" s="51"/>
      <c r="I64" s="51"/>
      <c r="J64" s="51"/>
      <c r="K64" s="166"/>
      <c r="L64" s="11"/>
      <c r="M64" s="11"/>
      <c r="N64" s="11"/>
      <c r="O64" s="166"/>
      <c r="P64" s="11"/>
      <c r="Q64" s="8"/>
      <c r="R64" s="182"/>
      <c r="S64" s="8"/>
      <c r="T64" s="8"/>
      <c r="U64" s="8"/>
      <c r="V64" s="182"/>
      <c r="W64" s="8"/>
      <c r="X64" s="62"/>
      <c r="Y64" s="182"/>
      <c r="Z64" s="8"/>
      <c r="AA64" s="8"/>
      <c r="AB64" s="11"/>
      <c r="AC64" s="182"/>
      <c r="AD64" s="8"/>
      <c r="AE64" s="8"/>
      <c r="AF64" s="8"/>
      <c r="AG64" s="181">
        <f>IF(AJ64&lt;&gt;"",AJ64,"")</f>
        <v>2</v>
      </c>
      <c r="AH64" s="78" t="str">
        <f>IF(AJ64&lt;&gt;"",IF(AK64="","",AK64),"")</f>
        <v>BEATRIZ OTERO</v>
      </c>
      <c r="AI64" s="76" t="str">
        <f>VLOOKUP(AI62,AG62:AH64,2,0)</f>
        <v/>
      </c>
      <c r="AJ64" s="234">
        <v>2</v>
      </c>
      <c r="AK64" s="162" t="str">
        <f>IF('15F GRP'!G5&gt;=3,'15F GRP'!J30,IF('15F GRP'!G5=2,IF('15F GRP'!H8=3,'15F GRP'!J30,'15F GRP'!J30),IF('15F GRP'!G5=1,'15F GRP'!J9,"")))</f>
        <v>BEATRIZ OTERO</v>
      </c>
      <c r="AL64" s="11">
        <v>2</v>
      </c>
    </row>
    <row r="65" spans="2:47" ht="18" customHeight="1" thickBot="1" x14ac:dyDescent="0.3">
      <c r="B65" s="16"/>
      <c r="C65" s="165" t="str">
        <f>IFERROR(IF(C64="","",VLOOKUP(C64,LISTAS!$F$5:$G$1004,2,0)),"0")</f>
        <v>ESCOLA VILLARE</v>
      </c>
      <c r="D65" s="235"/>
      <c r="E65" s="51"/>
      <c r="F65" s="51"/>
      <c r="G65" s="176"/>
      <c r="H65" s="51"/>
      <c r="I65" s="51"/>
      <c r="J65" s="51"/>
      <c r="K65" s="166"/>
      <c r="L65" s="11"/>
      <c r="M65" s="11"/>
      <c r="N65" s="11"/>
      <c r="O65" s="166"/>
      <c r="P65" s="11"/>
      <c r="Q65" s="8"/>
      <c r="R65" s="182"/>
      <c r="S65" s="8"/>
      <c r="T65" s="8"/>
      <c r="U65" s="8"/>
      <c r="V65" s="182"/>
      <c r="W65" s="8"/>
      <c r="X65" s="62"/>
      <c r="Y65" s="182"/>
      <c r="Z65" s="8"/>
      <c r="AA65" s="8"/>
      <c r="AB65" s="11"/>
      <c r="AC65" s="182"/>
      <c r="AD65" s="8"/>
      <c r="AE65" s="8"/>
      <c r="AF65" s="8"/>
      <c r="AG65" s="181"/>
      <c r="AH65" s="78"/>
      <c r="AI65" s="51"/>
      <c r="AJ65" s="235"/>
      <c r="AK65" s="165" t="str">
        <f>IFERROR(IF(AK64="","",VLOOKUP(AK64,LISTAS!$F$5:$G$1004,2,0)),"0")</f>
        <v>COLÉGIO MARCONI - GRU</v>
      </c>
      <c r="AL65" s="11"/>
    </row>
    <row r="66" spans="2:47" ht="18" customHeight="1" x14ac:dyDescent="0.25">
      <c r="B66" s="16"/>
      <c r="C66" s="167"/>
      <c r="D66" s="71"/>
      <c r="E66" s="127"/>
      <c r="F66" s="127"/>
      <c r="G66" s="177"/>
      <c r="H66" s="127"/>
      <c r="I66" s="127"/>
      <c r="J66" s="127"/>
      <c r="K66" s="167"/>
      <c r="L66" s="71"/>
      <c r="M66" s="71"/>
      <c r="N66" s="71"/>
      <c r="O66" s="167"/>
      <c r="P66" s="71"/>
      <c r="Q66" s="8"/>
      <c r="R66" s="182"/>
      <c r="S66" s="8"/>
      <c r="T66" s="8"/>
      <c r="U66" s="8"/>
      <c r="V66" s="182"/>
      <c r="W66" s="8"/>
      <c r="X66" s="62"/>
      <c r="Y66" s="182"/>
      <c r="Z66" s="8"/>
      <c r="AA66" s="8"/>
      <c r="AB66" s="11"/>
      <c r="AC66" s="182"/>
      <c r="AD66" s="8"/>
      <c r="AE66" s="8"/>
      <c r="AF66" s="8"/>
      <c r="AG66" s="181"/>
      <c r="AH66" s="78"/>
      <c r="AI66" s="78"/>
      <c r="AJ66" s="71"/>
      <c r="AK66" s="167"/>
      <c r="AL66" s="11"/>
    </row>
    <row r="67" spans="2:47" ht="18" customHeight="1" x14ac:dyDescent="0.25">
      <c r="B67" s="11"/>
      <c r="C67" s="167"/>
      <c r="D67" s="71"/>
      <c r="E67" s="71"/>
      <c r="F67" s="71"/>
      <c r="G67" s="167"/>
      <c r="H67" s="71"/>
      <c r="I67" s="71"/>
      <c r="J67" s="71"/>
      <c r="K67" s="167"/>
      <c r="L67" s="71"/>
      <c r="M67" s="71"/>
      <c r="N67" s="71"/>
      <c r="O67" s="167"/>
      <c r="P67" s="71"/>
      <c r="Q67" s="8"/>
      <c r="R67" s="182"/>
      <c r="S67" s="8"/>
      <c r="T67" s="8"/>
      <c r="U67" s="8"/>
      <c r="V67" s="182"/>
      <c r="W67" s="8"/>
      <c r="X67" s="62"/>
      <c r="Y67" s="182"/>
      <c r="Z67" s="8"/>
      <c r="AA67" s="8"/>
      <c r="AB67" s="11"/>
      <c r="AC67" s="182"/>
      <c r="AD67" s="8"/>
      <c r="AE67" s="8"/>
      <c r="AF67" s="8"/>
      <c r="AG67" s="182"/>
      <c r="AH67" s="8"/>
      <c r="AI67" s="8"/>
      <c r="AJ67" s="71"/>
      <c r="AK67" s="167"/>
      <c r="AL67" s="11"/>
    </row>
    <row r="68" spans="2:47" ht="18" customHeight="1" x14ac:dyDescent="0.25">
      <c r="B68" s="22"/>
      <c r="C68" s="168"/>
      <c r="D68" s="22"/>
      <c r="E68" s="22"/>
      <c r="F68" s="22"/>
      <c r="G68" s="168"/>
      <c r="H68" s="22"/>
      <c r="I68" s="22"/>
      <c r="J68" s="22"/>
      <c r="K68" s="168"/>
      <c r="L68" s="22"/>
      <c r="M68" s="22"/>
      <c r="N68" s="22"/>
      <c r="O68" s="168"/>
      <c r="P68" s="22"/>
      <c r="W68" s="22"/>
      <c r="X68" s="22"/>
      <c r="Y68" s="168"/>
      <c r="Z68" s="22"/>
      <c r="AA68" s="22"/>
      <c r="AB68" s="22"/>
      <c r="AC68" s="168"/>
      <c r="AD68" s="22"/>
      <c r="AE68" s="22"/>
      <c r="AF68" s="22"/>
      <c r="AG68" s="168"/>
      <c r="AH68" s="22"/>
      <c r="AI68" s="22"/>
      <c r="AJ68" s="22"/>
      <c r="AK68" s="168"/>
    </row>
    <row r="69" spans="2:47" ht="18" customHeight="1" x14ac:dyDescent="0.25">
      <c r="B69" s="22"/>
      <c r="C69" s="168"/>
      <c r="D69" s="22"/>
      <c r="E69" s="22"/>
      <c r="F69" s="22"/>
      <c r="G69" s="168"/>
      <c r="H69" s="22"/>
      <c r="I69" s="22"/>
      <c r="J69" s="22"/>
      <c r="K69" s="168"/>
      <c r="L69" s="22"/>
      <c r="M69" s="22"/>
      <c r="N69" s="22"/>
      <c r="O69" s="168"/>
      <c r="P69" s="22"/>
      <c r="W69" s="22"/>
      <c r="X69" s="22"/>
      <c r="Y69" s="168"/>
      <c r="Z69" s="22"/>
      <c r="AA69" s="22"/>
      <c r="AB69" s="22"/>
      <c r="AC69" s="168"/>
      <c r="AD69" s="22"/>
      <c r="AE69" s="22"/>
      <c r="AF69" s="22"/>
      <c r="AG69" s="168"/>
      <c r="AH69" s="22"/>
      <c r="AI69" s="22"/>
      <c r="AJ69" s="22"/>
      <c r="AK69" s="168"/>
    </row>
    <row r="70" spans="2:47" ht="30" customHeight="1" x14ac:dyDescent="0.25">
      <c r="B70" s="249" t="s">
        <v>20</v>
      </c>
      <c r="C70" s="250"/>
      <c r="D70" s="250"/>
      <c r="E70" s="250"/>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0"/>
      <c r="AI70" s="250"/>
      <c r="AJ70" s="250"/>
      <c r="AK70" s="250"/>
      <c r="AL70" s="250"/>
      <c r="AP70" s="240" t="s">
        <v>4</v>
      </c>
      <c r="AQ70" s="240"/>
      <c r="AR70" s="240"/>
      <c r="AS70" s="240"/>
      <c r="AT70" s="240"/>
      <c r="AU70" s="240"/>
    </row>
    <row r="71" spans="2:47" ht="18" customHeight="1" thickBot="1" x14ac:dyDescent="0.3">
      <c r="B71" s="73"/>
      <c r="C71" s="164"/>
      <c r="D71" s="61"/>
      <c r="E71" s="61"/>
      <c r="F71" s="61"/>
      <c r="G71" s="175"/>
      <c r="H71" s="61"/>
      <c r="I71" s="61"/>
      <c r="J71" s="61"/>
      <c r="K71" s="179"/>
      <c r="L71" s="61"/>
      <c r="M71" s="61"/>
      <c r="N71" s="61"/>
      <c r="O71" s="179"/>
      <c r="P71" s="61"/>
      <c r="Q71" s="61"/>
      <c r="R71" s="179"/>
      <c r="S71" s="61"/>
      <c r="T71" s="61"/>
      <c r="U71" s="61"/>
      <c r="V71" s="179"/>
      <c r="W71" s="61"/>
      <c r="X71" s="74"/>
      <c r="Y71" s="179"/>
      <c r="Z71" s="61"/>
      <c r="AA71" s="61"/>
      <c r="AB71" s="75"/>
      <c r="AC71" s="179"/>
      <c r="AD71" s="61"/>
      <c r="AE71" s="61"/>
      <c r="AF71" s="61"/>
      <c r="AG71" s="179"/>
      <c r="AH71" s="61"/>
      <c r="AI71" s="61"/>
      <c r="AJ71" s="61"/>
      <c r="AK71" s="179"/>
      <c r="AL71" s="61"/>
      <c r="AP71" s="228" t="s">
        <v>3</v>
      </c>
      <c r="AQ71" s="230"/>
      <c r="AR71" s="9" t="s">
        <v>15</v>
      </c>
      <c r="AS71" s="9" t="s">
        <v>0</v>
      </c>
      <c r="AT71" s="9" t="s">
        <v>16</v>
      </c>
      <c r="AU71" s="9" t="s">
        <v>17</v>
      </c>
    </row>
    <row r="72" spans="2:47" ht="18" customHeight="1" x14ac:dyDescent="0.25">
      <c r="B72" s="10">
        <v>1</v>
      </c>
      <c r="C72" s="169" t="str">
        <f>IF('15F GRP'!G5&gt;=3,'15F GRP'!J9,IF('15F GRP'!G5=2,IF('15F GRP'!H8=3,'15F GRP'!J9,'15F GRP'!J10),IF('15F GRP'!G5=1,"","")))</f>
        <v>GABRIELA NETTO CARDOSO</v>
      </c>
      <c r="D72" s="234">
        <v>2</v>
      </c>
      <c r="E72" s="51">
        <f>IF(D72&lt;&gt;"",D72,"")</f>
        <v>2</v>
      </c>
      <c r="F72" s="51" t="str">
        <f>IF(D72&lt;&gt;"",IF(C72="","",C72),"")</f>
        <v>GABRIELA NETTO CARDOSO</v>
      </c>
      <c r="G72" s="176">
        <f>IF(E72&lt;&gt;"",IF(E74&lt;&gt;"",SMALL(E72:E74,1),""),"")</f>
        <v>0</v>
      </c>
      <c r="H72" s="11"/>
      <c r="I72" s="11"/>
      <c r="J72" s="11"/>
      <c r="K72" s="166"/>
      <c r="L72" s="11"/>
      <c r="M72" s="12"/>
      <c r="N72" s="12"/>
      <c r="O72" s="180"/>
      <c r="P72" s="12"/>
      <c r="Q72" s="8"/>
      <c r="R72" s="182"/>
      <c r="S72" s="8"/>
      <c r="T72" s="8"/>
      <c r="U72" s="8"/>
      <c r="V72" s="182"/>
      <c r="W72" s="8"/>
      <c r="X72" s="62"/>
      <c r="Y72" s="182"/>
      <c r="Z72" s="8"/>
      <c r="AA72" s="8"/>
      <c r="AB72" s="11"/>
      <c r="AC72" s="182"/>
      <c r="AD72" s="8"/>
      <c r="AE72" s="8"/>
      <c r="AF72" s="8"/>
      <c r="AG72" s="181">
        <f>IF(AJ72&lt;&gt;"",AJ72,"")</f>
        <v>2</v>
      </c>
      <c r="AH72" s="78" t="str">
        <f>IF(AJ72&lt;&gt;"",IF(AK72="","",AK72),"")</f>
        <v>MAISA DE SÁ</v>
      </c>
      <c r="AI72" s="51">
        <f>IF(AG72&lt;&gt;"",IF(AG74&lt;&gt;"",SMALL(AG72:AG74,1),""),"")</f>
        <v>0</v>
      </c>
      <c r="AJ72" s="234">
        <v>2</v>
      </c>
      <c r="AK72" s="169" t="str">
        <f>IF('15F GRP'!G5&gt;=3,'15F GRP'!J48,IF('15F GRP'!G5=2,IF('15F GRP'!H8=3,"",'15F GRP'!J11),IF('15F GRP'!G5=1,"","")))</f>
        <v>MAISA DE SÁ</v>
      </c>
      <c r="AL72" s="63">
        <v>3</v>
      </c>
      <c r="AP72" s="13">
        <f>IF(AR72&lt;&gt;"",1,"")</f>
        <v>1</v>
      </c>
      <c r="AQ72" s="14" t="str">
        <f>IF(AP72&lt;&gt;"","LUGAR","")</f>
        <v>LUGAR</v>
      </c>
      <c r="AR72" s="15" t="str">
        <f>IF(S100&lt;&gt;"",IF(U100&lt;&gt;"",IF(S100=U100,"",IF(S100&gt;U100,R100,V100)),""),"")</f>
        <v>MIRELA VIVANCO CARDOSO</v>
      </c>
      <c r="AS72" s="15" t="str">
        <f>IFERROR(IF(AR72="","",VLOOKUP(AR72,LISTAS!$F$5:$G$1004,2,0)),"0")</f>
        <v>COLÉGIO ARBOS - UNIDADE SANTO ANDRÉ</v>
      </c>
      <c r="AT72" s="15">
        <f>IF(AP72="","",IF(AP72=1,180,IF(AP72=2,170,IF(AP72=3,150,IF(AP72=4,140,IF(AP72=5,135,IF(AP72=6,130,IF(AP72=7,120,IF(AP72=8,110,IF(AP72=9,105,IF(AP72=10,105,IF(AP72=11,105,IF(AP72=12,105,IF(AP72=13,105,IF(AP72=14,105,IF(AP72=15,105,IF(AP72=16,105,IF(AP72&gt;16,"",""))))))))))))))))))</f>
        <v>180</v>
      </c>
      <c r="AU72" s="15">
        <f>IF(AP72="","",IF($AS$5="NÃO","",IF(AP72=1,180,IF(AP72=2,170,IF(AP72=3,150,IF(AP72=4,140,IF(AP72=5,135,IF(AP72=6,130,IF(AP72=7,120,IF(AP72=8,110,IF(AP72=9,105,IF(AP72=10,105,IF(AP72=11,105,IF(AP72=12,105,IF(AP72=13,105,IF(AP72=14,105,IF(AP72=15,105,IF(AP72=16,105,IF(AP72&gt;16,"","")))))))))))))))))))</f>
        <v>180</v>
      </c>
    </row>
    <row r="73" spans="2:47" ht="18" customHeight="1" thickBot="1" x14ac:dyDescent="0.3">
      <c r="B73" s="10"/>
      <c r="C73" s="170" t="str">
        <f>IFERROR(IF(C72="","",VLOOKUP(C72,LISTAS!$F$5:$G$1004,2,0)),"0")</f>
        <v>COLÉGIO ARBOS - UNIDADE SANTO ANDRÉ</v>
      </c>
      <c r="D73" s="235"/>
      <c r="E73" s="51"/>
      <c r="F73" s="51"/>
      <c r="G73" s="176"/>
      <c r="H73" s="11"/>
      <c r="I73" s="11"/>
      <c r="J73" s="11"/>
      <c r="K73" s="166"/>
      <c r="L73" s="11"/>
      <c r="M73" s="12"/>
      <c r="N73" s="12"/>
      <c r="O73" s="180"/>
      <c r="P73" s="12"/>
      <c r="Q73" s="8"/>
      <c r="R73" s="182"/>
      <c r="S73" s="8"/>
      <c r="T73" s="8"/>
      <c r="U73" s="8"/>
      <c r="V73" s="182"/>
      <c r="W73" s="8"/>
      <c r="X73" s="62"/>
      <c r="Y73" s="182"/>
      <c r="Z73" s="8"/>
      <c r="AA73" s="8"/>
      <c r="AB73" s="11"/>
      <c r="AC73" s="182"/>
      <c r="AD73" s="8"/>
      <c r="AE73" s="8"/>
      <c r="AF73" s="8"/>
      <c r="AG73" s="181"/>
      <c r="AH73" s="78"/>
      <c r="AI73" s="51"/>
      <c r="AJ73" s="235"/>
      <c r="AK73" s="170" t="str">
        <f>IFERROR(IF(AK72="","",VLOOKUP(AK72,LISTAS!$F$5:$G$1004,2,0)),"0")</f>
        <v>ESCOLA PRÓ CONHECER</v>
      </c>
      <c r="AL73" s="63"/>
      <c r="AP73" s="13">
        <f>IF(AR73&lt;&gt;"",1+COUNTIF(AP72,"1"),"")</f>
        <v>2</v>
      </c>
      <c r="AQ73" s="14" t="str">
        <f t="shared" ref="AQ73:AQ103" si="3">IF(AP73&lt;&gt;"","LUGAR","")</f>
        <v>LUGAR</v>
      </c>
      <c r="AR73" s="15" t="str">
        <f>IF(S100&lt;&gt;"",IF(U100&lt;&gt;"",IF(S100=U100,"",IF(S100&lt;U100,R100,V100)),""),"")</f>
        <v>ÁGATHA MARQUES TEIXEIRA VANINI</v>
      </c>
      <c r="AS73" s="15" t="str">
        <f>IFERROR(IF(AR73="","",VLOOKUP(AR73,LISTAS!$F$5:$G$1004,2,0)),"0")</f>
        <v>COLÉGIO SÃO MAURO</v>
      </c>
      <c r="AT73" s="15">
        <f t="shared" ref="AT73:AT102" si="4">IF(AP73="","",IF(AP73=1,180,IF(AP73=2,170,IF(AP73=3,150,IF(AP73=4,140,IF(AP73=5,135,IF(AP73=6,130,IF(AP73=7,120,IF(AP73=8,110,IF(AP73=9,105,IF(AP73=10,105,IF(AP73=11,105,IF(AP73=12,105,IF(AP73=13,105,IF(AP73=14,105,IF(AP73=15,105,IF(AP73=16,105,IF(AP73&gt;16,"",""))))))))))))))))))</f>
        <v>170</v>
      </c>
      <c r="AU73" s="15">
        <f t="shared" ref="AU73:AU102" si="5">IF(AP73="","",IF($AS$5="NÃO","",IF(AP73=1,180,IF(AP73=2,170,IF(AP73=3,150,IF(AP73=4,140,IF(AP73=5,135,IF(AP73=6,130,IF(AP73=7,120,IF(AP73=8,110,IF(AP73=9,105,IF(AP73=10,105,IF(AP73=11,105,IF(AP73=12,105,IF(AP73=13,105,IF(AP73=14,105,IF(AP73=15,105,IF(AP73=16,105,IF(AP73&gt;16,"","")))))))))))))))))))</f>
        <v>170</v>
      </c>
    </row>
    <row r="74" spans="2:47" ht="18" customHeight="1" x14ac:dyDescent="0.25">
      <c r="B74" s="16">
        <v>32</v>
      </c>
      <c r="C74" s="169" t="str">
        <f>IF('15F GRP'!G5&gt;=3,'15F GRP'!J425,IF('15F GRP'!G5=2,"",IF('15F GRP'!G5=1,"","")))</f>
        <v/>
      </c>
      <c r="D74" s="234">
        <v>0</v>
      </c>
      <c r="E74" s="52">
        <f>IF(D74&lt;&gt;"",D74,"")</f>
        <v>0</v>
      </c>
      <c r="F74" s="51" t="str">
        <f>IF(D74&lt;&gt;"",IF(C74="","",C74),"")</f>
        <v/>
      </c>
      <c r="G74" s="176" t="str">
        <f>VLOOKUP(G72,E72:F74,2,0)</f>
        <v/>
      </c>
      <c r="H74" s="11"/>
      <c r="I74" s="11"/>
      <c r="J74" s="11"/>
      <c r="K74" s="166"/>
      <c r="L74" s="11"/>
      <c r="M74" s="12"/>
      <c r="N74" s="12"/>
      <c r="O74" s="180"/>
      <c r="P74" s="12"/>
      <c r="Q74" s="8"/>
      <c r="R74" s="182"/>
      <c r="S74" s="8"/>
      <c r="T74" s="8"/>
      <c r="U74" s="8"/>
      <c r="V74" s="182"/>
      <c r="W74" s="8"/>
      <c r="X74" s="62"/>
      <c r="Y74" s="182"/>
      <c r="Z74" s="8"/>
      <c r="AA74" s="8"/>
      <c r="AB74" s="11"/>
      <c r="AC74" s="182"/>
      <c r="AD74" s="8"/>
      <c r="AE74" s="8"/>
      <c r="AF74" s="8"/>
      <c r="AG74" s="181">
        <f>IF(AJ74&lt;&gt;"",AJ74,"")</f>
        <v>0</v>
      </c>
      <c r="AH74" s="78" t="str">
        <f>IF(AJ74&lt;&gt;"",IF(AK74="","",AK74),"")</f>
        <v/>
      </c>
      <c r="AI74" s="55" t="str">
        <f>VLOOKUP(AI72,AG72:AH74,2,0)</f>
        <v/>
      </c>
      <c r="AJ74" s="234">
        <v>0</v>
      </c>
      <c r="AK74" s="169" t="str">
        <f>IF('15F GRP'!G5&gt;=3,'15F GRP'!J399,IF('15F GRP'!G5=2,"",IF('15F GRP'!G5=1,"","")))</f>
        <v/>
      </c>
      <c r="AL74" s="11">
        <v>30</v>
      </c>
      <c r="AP74" s="13">
        <f>IF(AR74&lt;&gt;"",1+COUNTIF(AP72:AP73,"1")+COUNTIF(AP72:AP73,"2"),"")</f>
        <v>3</v>
      </c>
      <c r="AQ74" s="14" t="str">
        <f t="shared" si="3"/>
        <v>LUGAR</v>
      </c>
      <c r="AR74" s="21" t="str">
        <f>IF(AR72&lt;&gt;"",IF(O99=AR72,O101,IF(O101=AR72,O99,IF(Y99=AR72,Y101,IF(Y101=AR72,Y99)))),"")</f>
        <v>GABRIELA NETTO CARDOSO</v>
      </c>
      <c r="AS74" s="15" t="str">
        <f>IFERROR(IF(AR74="","",VLOOKUP(AR74,LISTAS!$F$5:$G$1004,2,0)),"0")</f>
        <v>COLÉGIO ARBOS - UNIDADE SANTO ANDRÉ</v>
      </c>
      <c r="AT74" s="15">
        <f t="shared" si="4"/>
        <v>150</v>
      </c>
      <c r="AU74" s="15">
        <f t="shared" si="5"/>
        <v>150</v>
      </c>
    </row>
    <row r="75" spans="2:47" ht="18" customHeight="1" thickBot="1" x14ac:dyDescent="0.3">
      <c r="B75" s="16"/>
      <c r="C75" s="170" t="str">
        <f>IFERROR(IF(C74="","",VLOOKUP(C74,LISTAS!$F$5:$G$1004,2,0)),"0")</f>
        <v/>
      </c>
      <c r="D75" s="235"/>
      <c r="E75" s="128"/>
      <c r="F75" s="51"/>
      <c r="G75" s="176"/>
      <c r="H75" s="11"/>
      <c r="I75" s="11"/>
      <c r="J75" s="11"/>
      <c r="K75" s="166"/>
      <c r="L75" s="11"/>
      <c r="M75" s="12"/>
      <c r="N75" s="12"/>
      <c r="O75" s="180"/>
      <c r="P75" s="12"/>
      <c r="Q75" s="8"/>
      <c r="R75" s="182"/>
      <c r="S75" s="8"/>
      <c r="T75" s="8"/>
      <c r="U75" s="8"/>
      <c r="V75" s="182"/>
      <c r="W75" s="8"/>
      <c r="X75" s="62"/>
      <c r="Y75" s="182"/>
      <c r="Z75" s="8"/>
      <c r="AA75" s="8"/>
      <c r="AB75" s="11"/>
      <c r="AC75" s="182"/>
      <c r="AD75" s="8"/>
      <c r="AE75" s="8"/>
      <c r="AF75" s="8"/>
      <c r="AG75" s="181"/>
      <c r="AH75" s="78"/>
      <c r="AI75" s="123"/>
      <c r="AJ75" s="235"/>
      <c r="AK75" s="170" t="str">
        <f>IFERROR(IF(AK74="","",VLOOKUP(AK74,LISTAS!$F$5:$G$1004,2,0)),"0")</f>
        <v/>
      </c>
      <c r="AL75" s="11"/>
      <c r="AP75" s="13">
        <f>IF(AR75&lt;&gt;"",1+COUNTIF(AP72:AP74,"1")+COUNTIF(AP72:AP74,"2")+COUNTIF(AP72:AP74,"3"),"")</f>
        <v>4</v>
      </c>
      <c r="AQ75" s="14" t="str">
        <f t="shared" si="3"/>
        <v>LUGAR</v>
      </c>
      <c r="AR75" s="21" t="str">
        <f>IF(AR73&lt;&gt;"",IF(O99=AR73,O101,IF(O101=AR73,O99,IF(Y99=AR73,Y101,IF(Y101=AR73,Y99)))),"")</f>
        <v>JÚLIA ADRIANI GOMES NICOLA</v>
      </c>
      <c r="AS75" s="15" t="str">
        <f>IFERROR(IF(AR75="","",VLOOKUP(AR75,LISTAS!$F$5:$G$1004,2,0)),"0")</f>
        <v>COLÉGIO ENGENHEIRO SALVADOR ARENA</v>
      </c>
      <c r="AT75" s="15">
        <f t="shared" si="4"/>
        <v>140</v>
      </c>
      <c r="AU75" s="15">
        <f t="shared" si="5"/>
        <v>140</v>
      </c>
    </row>
    <row r="76" spans="2:47" ht="18" customHeight="1" x14ac:dyDescent="0.25">
      <c r="B76" s="16"/>
      <c r="C76" s="166"/>
      <c r="D76" s="11"/>
      <c r="E76" s="11"/>
      <c r="F76" s="17"/>
      <c r="G76" s="169" t="str">
        <f>IF(D72&lt;&gt;"",IF(D74&lt;&gt;"",IF(D72=D74,"",IF(D72&gt;D74,C72,C74)),""),"")</f>
        <v>GABRIELA NETTO CARDOSO</v>
      </c>
      <c r="H76" s="234">
        <v>2</v>
      </c>
      <c r="I76" s="51">
        <f>IF(H76&lt;&gt;"",H76,"")</f>
        <v>2</v>
      </c>
      <c r="J76" s="51" t="str">
        <f>IF(H76&lt;&gt;"",IF(G76="","",G76),"")</f>
        <v>GABRIELA NETTO CARDOSO</v>
      </c>
      <c r="K76" s="176">
        <f>IF(I76&lt;&gt;"",IF(I78&lt;&gt;"",SMALL(I76:J78,1),""),"")</f>
        <v>0</v>
      </c>
      <c r="L76" s="11"/>
      <c r="M76" s="11"/>
      <c r="N76" s="11"/>
      <c r="O76" s="166"/>
      <c r="P76" s="11"/>
      <c r="Q76" s="8"/>
      <c r="R76" s="182"/>
      <c r="S76" s="8"/>
      <c r="T76" s="8"/>
      <c r="U76" s="8"/>
      <c r="V76" s="182"/>
      <c r="W76" s="8"/>
      <c r="X76" s="62"/>
      <c r="Y76" s="182"/>
      <c r="Z76" s="8"/>
      <c r="AA76" s="8"/>
      <c r="AB76" s="11"/>
      <c r="AC76" s="182"/>
      <c r="AD76" s="8"/>
      <c r="AE76" s="67"/>
      <c r="AF76" s="234">
        <v>2</v>
      </c>
      <c r="AG76" s="169" t="str">
        <f>IF(AJ72&lt;&gt;"",IF(AJ74&lt;&gt;"",IF(AJ72=AJ74,"",IF(AJ72&gt;AJ74,AK72,AK74)),""),"")</f>
        <v>MAISA DE SÁ</v>
      </c>
      <c r="AH76" s="65"/>
      <c r="AI76" s="8"/>
      <c r="AJ76" s="11"/>
      <c r="AK76" s="166"/>
      <c r="AL76" s="11"/>
      <c r="AP76" s="13">
        <f>IF(AR76&lt;&gt;"",1+COUNTIF(AP72:AP75,"1")+COUNTIF(AP72:AP75,"2")+COUNTIF(AP72:AP75,"3")+COUNTIF(AP72:AP75,"4"),"")</f>
        <v>5</v>
      </c>
      <c r="AQ76" s="14" t="str">
        <f t="shared" si="3"/>
        <v>LUGAR</v>
      </c>
      <c r="AR76" s="21" t="str">
        <f>IF(AR72&lt;&gt;"",IF(K84=AR72,K86,IF(K86=AR72,K84,IF(K114=AR72,K116,IF(K116=AR72,K114,IF(AC84=AR72,AC86,IF(AC86=AR72,AC84,IF(AC114=AR72,AC116,IF(AC116=AR72,AC114)))))))),"")</f>
        <v>SOFIA MILLON DE LUCA</v>
      </c>
      <c r="AS76" s="15" t="str">
        <f>IFERROR(IF(AR76="","",VLOOKUP(AR76,LISTAS!$F$5:$G$1004,2,0)),"0")</f>
        <v>COLÉGIO ENGENHEIRO SALVADOR ARENA</v>
      </c>
      <c r="AT76" s="15">
        <f t="shared" si="4"/>
        <v>135</v>
      </c>
      <c r="AU76" s="15">
        <f t="shared" si="5"/>
        <v>135</v>
      </c>
    </row>
    <row r="77" spans="2:47" ht="18" customHeight="1" thickBot="1" x14ac:dyDescent="0.3">
      <c r="B77" s="16"/>
      <c r="C77" s="166"/>
      <c r="D77" s="11"/>
      <c r="E77" s="11"/>
      <c r="F77" s="17"/>
      <c r="G77" s="170" t="str">
        <f>IFERROR(IF(G76="","",VLOOKUP(G76,LISTAS!$F$5:$G$1004,2,0)),"0")</f>
        <v>COLÉGIO ARBOS - UNIDADE SANTO ANDRÉ</v>
      </c>
      <c r="H77" s="235"/>
      <c r="I77" s="51"/>
      <c r="J77" s="51"/>
      <c r="K77" s="176"/>
      <c r="L77" s="11"/>
      <c r="M77" s="11"/>
      <c r="N77" s="11"/>
      <c r="O77" s="166"/>
      <c r="P77" s="11"/>
      <c r="Q77" s="8"/>
      <c r="R77" s="182"/>
      <c r="S77" s="8"/>
      <c r="T77" s="8"/>
      <c r="U77" s="8"/>
      <c r="V77" s="182"/>
      <c r="W77" s="8"/>
      <c r="X77" s="62"/>
      <c r="Y77" s="182"/>
      <c r="Z77" s="8"/>
      <c r="AA77" s="8"/>
      <c r="AB77" s="11"/>
      <c r="AC77" s="182"/>
      <c r="AD77" s="8"/>
      <c r="AE77" s="67"/>
      <c r="AF77" s="235"/>
      <c r="AG77" s="170" t="str">
        <f>IFERROR(IF(AG76="","",VLOOKUP(AG76,LISTAS!$F$5:$G$1004,2,0)),"0")</f>
        <v>ESCOLA PRÓ CONHECER</v>
      </c>
      <c r="AH77" s="65"/>
      <c r="AI77" s="8"/>
      <c r="AJ77" s="11"/>
      <c r="AK77" s="166"/>
      <c r="AL77" s="11"/>
      <c r="AP77" s="13">
        <f>IF(AR77&lt;&gt;"",1+COUNTIF(AP72:AP76,"1")+COUNTIF(AP72:AP76,"2")+COUNTIF(AP72:AP76,"3")+COUNTIF(AP72:AP76,"4")+COUNTIF(AP72:AP76,"5"),"")</f>
        <v>6</v>
      </c>
      <c r="AQ77" s="14" t="str">
        <f t="shared" si="3"/>
        <v>LUGAR</v>
      </c>
      <c r="AR77" s="21" t="str">
        <f>IF(AR73&lt;&gt;"",IF(K84=AR73,K86,IF(K86=AR73,K84,IF(K114=AR73,K116,IF(K116=AR73,K114,IF(AC84=AR73,AC86,IF(AC86=AR73,AC84,IF(AC114=AR73,AC116,IF(AC116=AR73,AC114)))))))),"")</f>
        <v>MAISA DE SÁ</v>
      </c>
      <c r="AS77" s="15" t="str">
        <f>IFERROR(IF(AR77="","",VLOOKUP(AR77,LISTAS!$F$5:$G$1004,2,0)),"0")</f>
        <v>ESCOLA PRÓ CONHECER</v>
      </c>
      <c r="AT77" s="15">
        <f t="shared" si="4"/>
        <v>130</v>
      </c>
      <c r="AU77" s="15">
        <f t="shared" si="5"/>
        <v>130</v>
      </c>
    </row>
    <row r="78" spans="2:47" x14ac:dyDescent="0.25">
      <c r="B78" s="16"/>
      <c r="C78" s="166"/>
      <c r="D78" s="11"/>
      <c r="E78" s="18"/>
      <c r="F78" s="19"/>
      <c r="G78" s="169" t="str">
        <f>IF(D80&lt;&gt;"",IF(D82&lt;&gt;"",IF(D80=D82,"",IF(D80&gt;D82,C80,C82)),""),"")</f>
        <v/>
      </c>
      <c r="H78" s="234">
        <v>0</v>
      </c>
      <c r="I78" s="52">
        <f>IF(H78&lt;&gt;"",H78,"")</f>
        <v>0</v>
      </c>
      <c r="J78" s="51" t="str">
        <f>IF(H78&lt;&gt;"",IF(G78="","",G78),"")</f>
        <v/>
      </c>
      <c r="K78" s="176" t="str">
        <f>VLOOKUP(K76,I76:J78,2,0)</f>
        <v/>
      </c>
      <c r="L78" s="11"/>
      <c r="M78" s="11"/>
      <c r="N78" s="11"/>
      <c r="O78" s="166"/>
      <c r="P78" s="11"/>
      <c r="Q78" s="8"/>
      <c r="R78" s="182"/>
      <c r="S78" s="8"/>
      <c r="T78" s="8"/>
      <c r="U78" s="8"/>
      <c r="V78" s="182"/>
      <c r="W78" s="8"/>
      <c r="X78" s="62"/>
      <c r="Y78" s="182"/>
      <c r="Z78" s="8"/>
      <c r="AA78" s="8"/>
      <c r="AB78" s="11"/>
      <c r="AC78" s="182"/>
      <c r="AD78" s="65"/>
      <c r="AE78" s="68"/>
      <c r="AF78" s="234">
        <v>0</v>
      </c>
      <c r="AG78" s="169" t="str">
        <f>IF(AJ80&lt;&gt;"",IF(AJ82&lt;&gt;"",IF(AJ80=AJ82,"",IF(AJ80&gt;AJ82,AK80,AK82)),""),"")</f>
        <v/>
      </c>
      <c r="AH78" s="66"/>
      <c r="AI78" s="8"/>
      <c r="AJ78" s="11"/>
      <c r="AK78" s="166"/>
      <c r="AL78" s="11"/>
      <c r="AP78" s="13" t="str">
        <f>IF(AR78&lt;&gt;"",1+COUNTIF(AP72:AP77,"1")+COUNTIF(AP72:AP77,"2")+COUNTIF(AP72:AP77,"3")+COUNTIF(AP72:AP77,"4")+COUNTIF(AP72:AP77,"5")+COUNTIF(AP72:AP77,"6"),"")</f>
        <v/>
      </c>
      <c r="AQ78" s="14" t="str">
        <f t="shared" si="3"/>
        <v/>
      </c>
      <c r="AR78" s="21" t="str">
        <f>IF(AR74&lt;&gt;"",IF(K84=AR74,K86,IF(K86=AR74,K84,IF(K114=AR74,K116,IF(K116=AR74,K114,IF(AC84=AR74,AC86,IF(AC86=AR74,AC84,IF(AC114=AR74,AC116,IF(AC116=AR74,AC114)))))))),"")</f>
        <v/>
      </c>
      <c r="AS78" s="15" t="str">
        <f>IFERROR(IF(AR78="","",VLOOKUP(AR78,LISTAS!$F$5:$G$1004,2,0)),"0")</f>
        <v/>
      </c>
      <c r="AT78" s="15" t="str">
        <f t="shared" si="4"/>
        <v/>
      </c>
      <c r="AU78" s="15" t="str">
        <f t="shared" si="5"/>
        <v/>
      </c>
    </row>
    <row r="79" spans="2:47" ht="17.25" thickBot="1" x14ac:dyDescent="0.3">
      <c r="B79" s="16"/>
      <c r="C79" s="166"/>
      <c r="D79" s="11"/>
      <c r="E79" s="18"/>
      <c r="F79" s="11"/>
      <c r="G79" s="170" t="str">
        <f>IFERROR(IF(G78="","",VLOOKUP(G78,LISTAS!$F$5:$G$1004,2,0)),"0")</f>
        <v/>
      </c>
      <c r="H79" s="235"/>
      <c r="I79" s="54"/>
      <c r="J79" s="51"/>
      <c r="K79" s="176"/>
      <c r="L79" s="11"/>
      <c r="M79" s="11"/>
      <c r="N79" s="11"/>
      <c r="O79" s="166"/>
      <c r="P79" s="11"/>
      <c r="Q79" s="8"/>
      <c r="R79" s="182"/>
      <c r="S79" s="8"/>
      <c r="T79" s="8"/>
      <c r="U79" s="8"/>
      <c r="V79" s="182"/>
      <c r="W79" s="8"/>
      <c r="X79" s="62"/>
      <c r="Y79" s="182"/>
      <c r="Z79" s="8"/>
      <c r="AA79" s="8"/>
      <c r="AB79" s="11"/>
      <c r="AC79" s="182"/>
      <c r="AD79" s="65"/>
      <c r="AE79" s="8"/>
      <c r="AF79" s="235"/>
      <c r="AG79" s="170" t="str">
        <f>IFERROR(IF(AG78="","",VLOOKUP(AG78,LISTAS!$F$5:$G$1004,2,0)),"0")</f>
        <v/>
      </c>
      <c r="AH79" s="8"/>
      <c r="AI79" s="69"/>
      <c r="AJ79" s="11"/>
      <c r="AK79" s="166"/>
      <c r="AL79" s="11"/>
      <c r="AP79" s="13" t="str">
        <f>IF(AR79&lt;&gt;"",1+COUNTIF(AP72:AP78,"1")+COUNTIF(AP72:AP78,"2")+COUNTIF(AP72:AP78,"3")+COUNTIF(AP72:AP78,"4")+COUNTIF(AP72:AP78,"5")+COUNTIF(AP72:AP78,"6")+COUNTIF(AP72:AP78,"7"),"")</f>
        <v/>
      </c>
      <c r="AQ79" s="14" t="str">
        <f t="shared" si="3"/>
        <v/>
      </c>
      <c r="AR79" s="21" t="str">
        <f>IF(AR75&lt;&gt;"",IF(K84=AR75,K86,IF(K86=AR75,K84,IF(K114=AR75,K116,IF(K116=AR75,K114,IF(AC84=AR75,AC86,IF(AC86=AR75,AC84,IF(AC114=AR75,AC116,IF(AC116=AR75,AC114)))))))),"")</f>
        <v/>
      </c>
      <c r="AS79" s="15" t="str">
        <f>IFERROR(IF(AR79="","",VLOOKUP(AR79,LISTAS!$F$5:$G$1004,2,0)),"0")</f>
        <v/>
      </c>
      <c r="AT79" s="15" t="str">
        <f t="shared" si="4"/>
        <v/>
      </c>
      <c r="AU79" s="15" t="str">
        <f t="shared" si="5"/>
        <v/>
      </c>
    </row>
    <row r="80" spans="2:47" ht="18" customHeight="1" x14ac:dyDescent="0.25">
      <c r="B80" s="16">
        <v>17</v>
      </c>
      <c r="C80" s="169" t="str">
        <f>IF('15F GRP'!G5&gt;=3,'15F GRP'!J230,IF('15F GRP'!G5=2,"",IF('15F GRP'!G5=1,"","")))</f>
        <v/>
      </c>
      <c r="D80" s="234">
        <v>0</v>
      </c>
      <c r="E80" s="56">
        <f>IF(D80&lt;&gt;"",D80,"")</f>
        <v>0</v>
      </c>
      <c r="F80" s="51" t="str">
        <f>IF(D80&lt;&gt;"",IF(C80="","",C80),"")</f>
        <v/>
      </c>
      <c r="G80" s="176">
        <f>IF(E80&lt;&gt;"",IF(E82&lt;&gt;"",SMALL(E80:E82,1),""),"")</f>
        <v>0</v>
      </c>
      <c r="H80" s="11"/>
      <c r="I80" s="18"/>
      <c r="J80" s="11"/>
      <c r="K80" s="166"/>
      <c r="L80" s="11"/>
      <c r="M80" s="11"/>
      <c r="N80" s="11"/>
      <c r="O80" s="166"/>
      <c r="P80" s="11"/>
      <c r="Q80" s="8"/>
      <c r="R80" s="182"/>
      <c r="S80" s="8"/>
      <c r="T80" s="8"/>
      <c r="U80" s="8"/>
      <c r="V80" s="182"/>
      <c r="W80" s="8"/>
      <c r="X80" s="62"/>
      <c r="Y80" s="182"/>
      <c r="Z80" s="8"/>
      <c r="AA80" s="8"/>
      <c r="AB80" s="11"/>
      <c r="AC80" s="182"/>
      <c r="AD80" s="65"/>
      <c r="AE80" s="8"/>
      <c r="AF80" s="8"/>
      <c r="AG80" s="181">
        <f>IF(AJ80&lt;&gt;"",AJ80,"")</f>
        <v>0</v>
      </c>
      <c r="AH80" s="78" t="str">
        <f>IF(AJ80&lt;&gt;"",IF(AK80="","",AK80),"")</f>
        <v/>
      </c>
      <c r="AI80" s="53">
        <f>IF(AG80&lt;&gt;"",IF(AG82&lt;&gt;"",SMALL(AG80:AG82,1),""),"")</f>
        <v>0</v>
      </c>
      <c r="AJ80" s="234">
        <v>0</v>
      </c>
      <c r="AK80" s="169" t="str">
        <f>IF('15F GRP'!G5&gt;=3,'15F GRP'!J191,IF('15F GRP'!G5=2,"",IF('15F GRP'!G5=1,"","")))</f>
        <v/>
      </c>
      <c r="AL80" s="11">
        <v>14</v>
      </c>
      <c r="AP80" s="13" t="str">
        <f>IF(AR80&lt;&gt;"",1+COUNTIF(AP72:AP79,"1")+COUNTIF(AP72:AP79,"2")+COUNTIF(AP72:AP79,"3")+COUNTIF(AP72:AP79,"4")+COUNTIF(AP72:AP79,"5")+COUNTIF(AP72:AP79,"6")+COUNTIF(AP72:AP79,"7")+COUNTIF(AP72:AP79,"8"),"")</f>
        <v/>
      </c>
      <c r="AQ80" s="14" t="str">
        <f t="shared" si="3"/>
        <v/>
      </c>
      <c r="AR80" s="21" t="str">
        <f>IF(AR72&lt;&gt;"",IF(G76=AR72,G78,IF(G78=AR72,G76,IF(G92=AR72,G94,IF(G94=AR72,G92,IF(AG76=AR72,AG78,IF(AG78=AR72,AG76,IF(AG92=AR72,AG94,IF(AG94=AR72,AG92,IF(G106=AR72,G108,IF(G108=AR72,G106,IF(G122=AR72,G124,IF(G124=AR72,G122,IF(AG106=AR72,AG108,IF(AG108=AR72,AG106,IF(AG122=AR72,AG124,IF(AG124=AR72,AG122)))))))))))))))),"")</f>
        <v/>
      </c>
      <c r="AS80" s="15" t="str">
        <f>IFERROR(IF(AR80="","",VLOOKUP(AR80,LISTAS!$F$5:$G$1004,2,0)),"0")</f>
        <v/>
      </c>
      <c r="AT80" s="15" t="str">
        <f t="shared" si="4"/>
        <v/>
      </c>
      <c r="AU80" s="15" t="str">
        <f t="shared" si="5"/>
        <v/>
      </c>
    </row>
    <row r="81" spans="2:47" ht="18" customHeight="1" thickBot="1" x14ac:dyDescent="0.3">
      <c r="B81" s="16"/>
      <c r="C81" s="170" t="str">
        <f>IFERROR(IF(C80="","",VLOOKUP(C80,LISTAS!$F$5:$G$1004,2,0)),"0")</f>
        <v/>
      </c>
      <c r="D81" s="235"/>
      <c r="E81" s="57"/>
      <c r="F81" s="51"/>
      <c r="G81" s="176"/>
      <c r="H81" s="11"/>
      <c r="I81" s="18"/>
      <c r="J81" s="11"/>
      <c r="K81" s="166"/>
      <c r="L81" s="11"/>
      <c r="M81" s="11"/>
      <c r="N81" s="11"/>
      <c r="O81" s="166"/>
      <c r="P81" s="11"/>
      <c r="Q81" s="8"/>
      <c r="R81" s="182"/>
      <c r="S81" s="8"/>
      <c r="T81" s="8"/>
      <c r="U81" s="8"/>
      <c r="V81" s="182"/>
      <c r="W81" s="8"/>
      <c r="X81" s="62"/>
      <c r="Y81" s="182"/>
      <c r="Z81" s="8"/>
      <c r="AA81" s="8"/>
      <c r="AB81" s="11"/>
      <c r="AC81" s="182"/>
      <c r="AD81" s="65"/>
      <c r="AE81" s="8"/>
      <c r="AF81" s="8"/>
      <c r="AG81" s="181"/>
      <c r="AH81" s="78"/>
      <c r="AI81" s="124"/>
      <c r="AJ81" s="235"/>
      <c r="AK81" s="170" t="str">
        <f>IFERROR(IF(AK80="","",VLOOKUP(AK80,LISTAS!$F$5:$G$1004,2,0)),"0")</f>
        <v/>
      </c>
      <c r="AL81" s="11"/>
      <c r="AP81" s="13" t="str">
        <f>IF(AR81&lt;&gt;"",1+COUNTIF(AP72:AP80,"1")+COUNTIF(AP72:AP80,"2")+COUNTIF(AP72:AP80,"3")+COUNTIF(AP72:AP80,"4")+COUNTIF(AP72:AP80,"5")+COUNTIF(AP72:AP80,"6")+COUNTIF(AP72:AP80,"7")+COUNTIF(AP72:AP80,"8")+COUNTIF(AP72:AP80,"9"),"")</f>
        <v/>
      </c>
      <c r="AQ81" s="14" t="str">
        <f t="shared" si="3"/>
        <v/>
      </c>
      <c r="AR81" s="21" t="str">
        <f>IF(AR73&lt;&gt;"",IF(G76=AR73,G78,IF(G78=AR73,G76,IF(G92=AR73,G94,IF(G94=AR73,G92,IF(AG76=AR73,AG78,IF(AG78=AR73,AG76,IF(AG92=AR73,AG94,IF(AG94=AR73,AG92,IF(G106=AR73,G108,IF(G108=AR73,G106,IF(G122=AR73,G124,IF(G124=AR73,G122,IF(AG106=AR73,AG108,IF(AG108=AR73,AG106,IF(AG122=AR73,AG124,IF(AG124=AR73,AG122)))))))))))))))),"")</f>
        <v/>
      </c>
      <c r="AS81" s="15" t="str">
        <f>IFERROR(IF(AR81="","",VLOOKUP(AR81,LISTAS!$F$5:$G$1004,2,0)),"0")</f>
        <v/>
      </c>
      <c r="AT81" s="15" t="str">
        <f t="shared" si="4"/>
        <v/>
      </c>
      <c r="AU81" s="15" t="str">
        <f t="shared" si="5"/>
        <v/>
      </c>
    </row>
    <row r="82" spans="2:47" ht="18" customHeight="1" x14ac:dyDescent="0.25">
      <c r="B82" s="16">
        <v>16</v>
      </c>
      <c r="C82" s="169" t="str">
        <f>IF('15F GRP'!G5&gt;=3,'15F GRP'!J217,IF('15F GRP'!G5=2,"",IF('15F GRP'!G5=1,"","")))</f>
        <v/>
      </c>
      <c r="D82" s="234">
        <v>0</v>
      </c>
      <c r="E82" s="57">
        <f>IF(D82&lt;&gt;"",D82,"")</f>
        <v>0</v>
      </c>
      <c r="F82" s="51" t="str">
        <f>IF(D82&lt;&gt;"",IF(C82="","",C82),"")</f>
        <v/>
      </c>
      <c r="G82" s="176" t="str">
        <f>VLOOKUP(G80,E80:F82,2,0)</f>
        <v/>
      </c>
      <c r="H82" s="11"/>
      <c r="I82" s="18"/>
      <c r="J82" s="11"/>
      <c r="K82" s="166"/>
      <c r="L82" s="11"/>
      <c r="M82" s="11"/>
      <c r="N82" s="11"/>
      <c r="O82" s="166"/>
      <c r="P82" s="11"/>
      <c r="Q82" s="8"/>
      <c r="R82" s="182"/>
      <c r="S82" s="8"/>
      <c r="T82" s="8"/>
      <c r="U82" s="8"/>
      <c r="V82" s="182"/>
      <c r="W82" s="8"/>
      <c r="X82" s="62"/>
      <c r="Y82" s="182"/>
      <c r="Z82" s="8"/>
      <c r="AA82" s="8"/>
      <c r="AB82" s="11"/>
      <c r="AC82" s="182"/>
      <c r="AD82" s="65"/>
      <c r="AE82" s="8"/>
      <c r="AF82" s="8"/>
      <c r="AG82" s="181">
        <f>IF(AJ82&lt;&gt;"",AJ82,"")</f>
        <v>0</v>
      </c>
      <c r="AH82" s="78" t="str">
        <f>IF(AJ82&lt;&gt;"",IF(AK82="","",AK82),"")</f>
        <v/>
      </c>
      <c r="AI82" s="76" t="str">
        <f>VLOOKUP(AI80,AG80:AH82,2,0)</f>
        <v/>
      </c>
      <c r="AJ82" s="234">
        <v>0</v>
      </c>
      <c r="AK82" s="169" t="str">
        <f>IF('15F GRP'!G5&gt;=3,'15F GRP'!J256,IF('15F GRP'!G5=2,"",IF('15F GRP'!G5=1,"","")))</f>
        <v/>
      </c>
      <c r="AL82" s="11">
        <v>19</v>
      </c>
      <c r="AP82" s="13" t="str">
        <f>IF(AR82&lt;&gt;"",1+COUNTIF(AP72:AP81,"1")+COUNTIF(AP72:AP81,"2")+COUNTIF(AP72:AP81,"3")+COUNTIF(AP72:AP81,"4")+COUNTIF(AP72:AP81,"5")+COUNTIF(AP72:AP81,"6")+COUNTIF(AP72:AP81,"7")+COUNTIF(AP72:AP81,"8")+COUNTIF(AP72:AP81,"9")+COUNTIF(AP72:AP81,"10"),"")</f>
        <v/>
      </c>
      <c r="AQ82" s="14" t="str">
        <f t="shared" si="3"/>
        <v/>
      </c>
      <c r="AR82" s="21" t="str">
        <f>IF(AR74&lt;&gt;"",IF(G76=AR74,G78,IF(G78=AR74,G76,IF(G92=AR74,G94,IF(G94=AR74,G92,IF(AG76=AR74,AG78,IF(AG78=AR74,AG76,IF(AG92=AR74,AG94,IF(AG94=AR74,AG92,IF(G106=AR74,G108,IF(G108=AR74,G106,IF(G122=AR74,G124,IF(G124=AR74,G122,IF(AG106=AR74,AG108,IF(AG108=AR74,AG106,IF(AG122=AR74,AG124,IF(AG124=AR74,AG122)))))))))))))))),"")</f>
        <v/>
      </c>
      <c r="AS82" s="15" t="str">
        <f>IFERROR(IF(AR82="","",VLOOKUP(AR82,LISTAS!$F$5:$G$1004,2,0)),"0")</f>
        <v/>
      </c>
      <c r="AT82" s="15" t="str">
        <f t="shared" si="4"/>
        <v/>
      </c>
      <c r="AU82" s="15" t="str">
        <f t="shared" si="5"/>
        <v/>
      </c>
    </row>
    <row r="83" spans="2:47" ht="18" customHeight="1" thickBot="1" x14ac:dyDescent="0.3">
      <c r="B83" s="16"/>
      <c r="C83" s="170" t="str">
        <f>IFERROR(IF(C82="","",VLOOKUP(C82,LISTAS!$F$5:$G$1004,2,0)),"0")</f>
        <v/>
      </c>
      <c r="D83" s="235"/>
      <c r="E83" s="51"/>
      <c r="F83" s="51"/>
      <c r="G83" s="176"/>
      <c r="H83" s="11"/>
      <c r="I83" s="18"/>
      <c r="J83" s="11"/>
      <c r="K83" s="166"/>
      <c r="L83" s="11"/>
      <c r="M83" s="11"/>
      <c r="N83" s="11"/>
      <c r="O83" s="166"/>
      <c r="P83" s="11"/>
      <c r="Q83" s="8"/>
      <c r="R83" s="182"/>
      <c r="S83" s="8"/>
      <c r="T83" s="8"/>
      <c r="U83" s="8"/>
      <c r="V83" s="182"/>
      <c r="W83" s="8"/>
      <c r="X83" s="62"/>
      <c r="Y83" s="182"/>
      <c r="Z83" s="8"/>
      <c r="AA83" s="8"/>
      <c r="AB83" s="11"/>
      <c r="AC83" s="182"/>
      <c r="AD83" s="65"/>
      <c r="AE83" s="8"/>
      <c r="AF83" s="8"/>
      <c r="AG83" s="181"/>
      <c r="AH83" s="78"/>
      <c r="AI83" s="51"/>
      <c r="AJ83" s="235"/>
      <c r="AK83" s="170" t="str">
        <f>IFERROR(IF(AK82="","",VLOOKUP(AK82,LISTAS!$F$5:$G$1004,2,0)),"0")</f>
        <v/>
      </c>
      <c r="AL83" s="11"/>
      <c r="AP83" s="13" t="str">
        <f>IF(AR83&lt;&gt;"",1+COUNTIF(AP72:AP82,"1")+COUNTIF(AP72:AP82,"2")+COUNTIF(AP72:AP82,"3")+COUNTIF(AP72:AP82,"4")+COUNTIF(AP72:AP82,"5")+COUNTIF(AP72:AP82,"6")+COUNTIF(AP72:AP82,"7")+COUNTIF(AP72:AP82,"8")+COUNTIF(AP72:AP82,"9")+COUNTIF(AP72:AP82,"10")+COUNTIF(AP72:AP82,"11"),"")</f>
        <v/>
      </c>
      <c r="AQ83" s="14" t="str">
        <f t="shared" si="3"/>
        <v/>
      </c>
      <c r="AR83" s="21" t="str">
        <f>IF(AR75&lt;&gt;"",IF(G76=AR75,G78,IF(G78=AR75,G76,IF(G92=AR75,G94,IF(G94=AR75,G92,IF(AG76=AR75,AG78,IF(AG78=AR75,AG76,IF(AG92=AR75,AG94,IF(AG94=AR75,AG92,IF(G106=AR75,G108,IF(G108=AR75,G106,IF(G122=AR75,G124,IF(G124=AR75,G122,IF(AG106=AR75,AG108,IF(AG108=AR75,AG106,IF(AG122=AR75,AG124,IF(AG124=AR75,AG122)))))))))))))))),"")</f>
        <v/>
      </c>
      <c r="AS83" s="15" t="str">
        <f>IFERROR(IF(AR83="","",VLOOKUP(AR83,LISTAS!$F$5:$G$1004,2,0)),"0")</f>
        <v/>
      </c>
      <c r="AT83" s="15" t="str">
        <f t="shared" si="4"/>
        <v/>
      </c>
      <c r="AU83" s="15" t="str">
        <f t="shared" si="5"/>
        <v/>
      </c>
    </row>
    <row r="84" spans="2:47" ht="18" customHeight="1" x14ac:dyDescent="0.25">
      <c r="B84" s="16"/>
      <c r="C84" s="166"/>
      <c r="D84" s="11"/>
      <c r="E84" s="11"/>
      <c r="F84" s="11"/>
      <c r="G84" s="166"/>
      <c r="H84" s="11"/>
      <c r="I84" s="18"/>
      <c r="J84" s="11"/>
      <c r="K84" s="169" t="str">
        <f>IF(H76&lt;&gt;"",IF(H78&lt;&gt;"",IF(H76=H78,"",IF(H76&gt;H78,G76,G78)),""),"")</f>
        <v>GABRIELA NETTO CARDOSO</v>
      </c>
      <c r="L84" s="234">
        <v>2</v>
      </c>
      <c r="M84" s="51">
        <f>IF(L84&lt;&gt;"",L84,"")</f>
        <v>2</v>
      </c>
      <c r="N84" s="51" t="str">
        <f>IF(L84&lt;&gt;"",IF(K84="","",K84),"")</f>
        <v>GABRIELA NETTO CARDOSO</v>
      </c>
      <c r="O84" s="176">
        <f>IF(M84&lt;&gt;"",IF(M86&lt;&gt;"",SMALL(M84:N86,1),""),"")</f>
        <v>0</v>
      </c>
      <c r="P84" s="11"/>
      <c r="Q84" s="8"/>
      <c r="R84" s="202"/>
      <c r="S84" s="202"/>
      <c r="T84" s="202" t="s">
        <v>86</v>
      </c>
      <c r="U84" s="202"/>
      <c r="V84" s="202"/>
      <c r="W84" s="8"/>
      <c r="X84" s="62"/>
      <c r="Y84" s="182"/>
      <c r="Z84" s="8"/>
      <c r="AA84" s="8"/>
      <c r="AB84" s="234">
        <v>0</v>
      </c>
      <c r="AC84" s="169" t="str">
        <f>IF(AF76&lt;&gt;"",IF(AF78&lt;&gt;"",IF(AF76=AF78,"",IF(AF76&gt;AF78,AG76,AG78)),""),"")</f>
        <v>MAISA DE SÁ</v>
      </c>
      <c r="AD84" s="112"/>
      <c r="AE84" s="8"/>
      <c r="AF84" s="8"/>
      <c r="AG84" s="182"/>
      <c r="AH84" s="8"/>
      <c r="AI84" s="8"/>
      <c r="AJ84" s="11"/>
      <c r="AK84" s="166"/>
      <c r="AL84" s="11"/>
      <c r="AP84" s="13" t="str">
        <f>IF(AR84&lt;&gt;"",1+COUNTIF(AP72:AP83,"1")+COUNTIF(AP72:AP83,"2")+COUNTIF(AP72:AP83,"3")+COUNTIF(AP72:AP83,"4")+COUNTIF(AP72:AP83,"5")+COUNTIF(AP72:AP83,"6")+COUNTIF(AP72:AP83,"7")+COUNTIF(AP72:AP83,"8")+COUNTIF(AP72:AP83,"9")+COUNTIF(AP72:AP83,"10")+COUNTIF(AP72:AP83,"11")+COUNTIF(AP72:AP83,"12"),"")</f>
        <v/>
      </c>
      <c r="AQ84" s="14" t="str">
        <f t="shared" si="3"/>
        <v/>
      </c>
      <c r="AR84" s="21" t="str">
        <f>IF(AR76&lt;&gt;"",IF(G76=AR76,G78,IF(G78=AR76,G76,IF(G92=AR76,G94,IF(G94=AR76,G92,IF(AG76=AR76,AG78,IF(AG78=AR76,AG76,IF(AG92=AR76,AG94,IF(AG94=AR76,AG92,IF(G106=AR76,G108,IF(G108=AR76,G106,IF(G122=AR76,G124,IF(G124=AR76,G122,IF(AG106=AR76,AG108,IF(AG108=AR76,AG106,IF(AG122=AR76,AG124,IF(AG124=AR76,AG122)))))))))))))))),"")</f>
        <v/>
      </c>
      <c r="AS84" s="15" t="str">
        <f>IFERROR(IF(AR84="","",VLOOKUP(AR84,LISTAS!$F$5:$G$1004,2,0)),"0")</f>
        <v/>
      </c>
      <c r="AT84" s="15" t="str">
        <f t="shared" si="4"/>
        <v/>
      </c>
      <c r="AU84" s="15" t="str">
        <f t="shared" si="5"/>
        <v/>
      </c>
    </row>
    <row r="85" spans="2:47" ht="18" customHeight="1" thickBot="1" x14ac:dyDescent="0.3">
      <c r="B85" s="16"/>
      <c r="C85" s="166"/>
      <c r="D85" s="11"/>
      <c r="E85" s="11"/>
      <c r="F85" s="11"/>
      <c r="G85" s="166"/>
      <c r="H85" s="11"/>
      <c r="I85" s="18"/>
      <c r="J85" s="11"/>
      <c r="K85" s="170" t="str">
        <f>IFERROR(IF(K84="","",VLOOKUP(K84,LISTAS!$F$5:$G$1004,2,0)),"0")</f>
        <v>COLÉGIO ARBOS - UNIDADE SANTO ANDRÉ</v>
      </c>
      <c r="L85" s="235"/>
      <c r="M85" s="51"/>
      <c r="N85" s="51"/>
      <c r="O85" s="176"/>
      <c r="P85" s="11"/>
      <c r="Q85" s="8"/>
      <c r="R85" s="202"/>
      <c r="S85" s="202"/>
      <c r="T85" s="202" t="s">
        <v>31</v>
      </c>
      <c r="U85" s="202"/>
      <c r="V85" s="202"/>
      <c r="W85" s="8"/>
      <c r="X85" s="62"/>
      <c r="Y85" s="182"/>
      <c r="Z85" s="8"/>
      <c r="AA85" s="8"/>
      <c r="AB85" s="235"/>
      <c r="AC85" s="170" t="str">
        <f>IFERROR(IF(AC84="","",VLOOKUP(AC84,LISTAS!$F$5:$G$1004,2,0)),"0")</f>
        <v>ESCOLA PRÓ CONHECER</v>
      </c>
      <c r="AD85" s="8"/>
      <c r="AE85" s="69"/>
      <c r="AF85" s="8"/>
      <c r="AG85" s="182"/>
      <c r="AH85" s="8"/>
      <c r="AI85" s="8"/>
      <c r="AJ85" s="11"/>
      <c r="AK85" s="166"/>
      <c r="AL85" s="11"/>
      <c r="AP85" s="13" t="str">
        <f>IF(AR85&lt;&gt;"",1+COUNTIF(AP72:AP84,"1")+COUNTIF(AP72:AP84,"2")+COUNTIF(AP72:AP84,"3")+COUNTIF(AP72:AP84,"4")+COUNTIF(AP72:AP84,"5")+COUNTIF(AP72:AP84,"6")+COUNTIF(AP72:AP84,"7")+COUNTIF(AP72:AP84,"8")+COUNTIF(AP72:AP84,"9")+COUNTIF(AP72:AP84,"10")+COUNTIF(AP72:AP84,"11")+COUNTIF(AP72:AP84,"12")+COUNTIF(AP72:AP84,"13"),"")</f>
        <v/>
      </c>
      <c r="AQ85" s="14" t="str">
        <f t="shared" si="3"/>
        <v/>
      </c>
      <c r="AR85" s="21" t="str">
        <f>IF(AR77&lt;&gt;"",IF(G76=AR77,G78,IF(G78=AR77,G76,IF(G92=AR77,G94,IF(G94=AR77,G92,IF(AG76=AR77,AG78,IF(AG78=AR77,AG76,IF(AG92=AR77,AG94,IF(AG94=AR77,AG92,IF(G106=AR77,G108,IF(G108=AR77,G106,IF(G122=AR77,G124,IF(G124=AR77,G122,IF(AG106=AR77,AG108,IF(AG108=AR77,AG106,IF(AG122=AR77,AG124,IF(AG124=AR77,AG122)))))))))))))))),"")</f>
        <v/>
      </c>
      <c r="AS85" s="15" t="str">
        <f>IFERROR(IF(AR85="","",VLOOKUP(AR85,LISTAS!$F$5:$G$1004,2,0)),"0")</f>
        <v/>
      </c>
      <c r="AT85" s="15" t="str">
        <f t="shared" si="4"/>
        <v/>
      </c>
      <c r="AU85" s="15" t="str">
        <f t="shared" si="5"/>
        <v/>
      </c>
    </row>
    <row r="86" spans="2:47" ht="18" customHeight="1" x14ac:dyDescent="0.25">
      <c r="B86" s="16"/>
      <c r="C86" s="166"/>
      <c r="D86" s="11"/>
      <c r="E86" s="11"/>
      <c r="F86" s="11"/>
      <c r="G86" s="166"/>
      <c r="H86" s="11"/>
      <c r="I86" s="18"/>
      <c r="J86" s="19"/>
      <c r="K86" s="169" t="str">
        <f>IF(H92&lt;&gt;"",IF(H94&lt;&gt;"",IF(H92=H94,"",IF(H92&gt;H94,G92,G94)),""),"")</f>
        <v/>
      </c>
      <c r="L86" s="234">
        <v>0</v>
      </c>
      <c r="M86" s="52">
        <f>IF(L86&lt;&gt;"",L86,"")</f>
        <v>0</v>
      </c>
      <c r="N86" s="51" t="str">
        <f>IF(L86&lt;&gt;"",IF(K86="","",K86),"")</f>
        <v/>
      </c>
      <c r="O86" s="176" t="str">
        <f>VLOOKUP(O84,M84:N86,2,0)</f>
        <v/>
      </c>
      <c r="P86" s="11"/>
      <c r="Q86" s="8"/>
      <c r="R86" s="182"/>
      <c r="S86" s="8"/>
      <c r="T86" s="8"/>
      <c r="U86" s="8"/>
      <c r="V86" s="182"/>
      <c r="W86" s="8"/>
      <c r="X86" s="62"/>
      <c r="Y86" s="182"/>
      <c r="Z86" s="65"/>
      <c r="AA86" s="68"/>
      <c r="AB86" s="234">
        <v>1</v>
      </c>
      <c r="AC86" s="169" t="str">
        <f>IF(AF92&lt;&gt;"",IF(AF94&lt;&gt;"",IF(AF92=AF94,"",IF(AF92&gt;AF94,AG92,AG94)),""),"")</f>
        <v>ÁGATHA MARQUES TEIXEIRA VANINI</v>
      </c>
      <c r="AD86" s="8"/>
      <c r="AE86" s="69"/>
      <c r="AF86" s="8"/>
      <c r="AG86" s="182"/>
      <c r="AH86" s="8"/>
      <c r="AI86" s="8"/>
      <c r="AJ86" s="11"/>
      <c r="AK86" s="166"/>
      <c r="AL86" s="11"/>
      <c r="AP86" s="13" t="str">
        <f>IF(AR86&lt;&gt;"",1+COUNTIF(AP72:AP85,"1")+COUNTIF(AP72:AP85,"2")+COUNTIF(AP72:AP85,"3")+COUNTIF(AP72:AP85,"4")+COUNTIF(AP72:AP85,"5")+COUNTIF(AP72:AP85,"6")+COUNTIF(AP72:AP85,"7")+COUNTIF(AP72:AP85,"8")+COUNTIF(AP72:AP85,"9")+COUNTIF(AP72:AP85,"10")+COUNTIF(AP72:AP85,"11")+COUNTIF(AP72:AP85,"12")+COUNTIF(AP72:AP85,"13")+COUNTIF(AP72:AP85,"14"),"")</f>
        <v/>
      </c>
      <c r="AQ86" s="14" t="str">
        <f t="shared" si="3"/>
        <v/>
      </c>
      <c r="AR86" s="21" t="str">
        <f>IF(AR78&lt;&gt;"",IF(G76=AR78,G78,IF(G78=AR78,G76,IF(G92=AR78,G94,IF(G94=AR78,G92,IF(AG76=AR78,AG78,IF(AG78=AR78,AG76,IF(AG92=AR78,AG94,IF(AG94=AR78,AG92,IF(G106=AR78,G108,IF(G108=AR78,G106,IF(G122=AR78,G124,IF(G124=AR78,G122,IF(AG106=AR78,AG108,IF(AG108=AR78,AG106,IF(AG122=AR78,AG124,IF(AG124=AR78,AG122)))))))))))))))),"")</f>
        <v/>
      </c>
      <c r="AS86" s="15" t="str">
        <f>IFERROR(IF(AR86="","",VLOOKUP(AR86,LISTAS!$F$5:$G$1004,2,0)),"0")</f>
        <v/>
      </c>
      <c r="AT86" s="15" t="str">
        <f t="shared" si="4"/>
        <v/>
      </c>
      <c r="AU86" s="15" t="str">
        <f t="shared" si="5"/>
        <v/>
      </c>
    </row>
    <row r="87" spans="2:47" ht="18" customHeight="1" thickBot="1" x14ac:dyDescent="0.3">
      <c r="B87" s="16"/>
      <c r="C87" s="166"/>
      <c r="D87" s="11"/>
      <c r="E87" s="11"/>
      <c r="F87" s="11"/>
      <c r="G87" s="166"/>
      <c r="H87" s="11"/>
      <c r="I87" s="18"/>
      <c r="J87" s="11"/>
      <c r="K87" s="170" t="str">
        <f>IFERROR(IF(K86="","",VLOOKUP(K86,LISTAS!$F$5:$G$1004,2,0)),"0")</f>
        <v/>
      </c>
      <c r="L87" s="235"/>
      <c r="M87" s="54"/>
      <c r="N87" s="51"/>
      <c r="O87" s="176"/>
      <c r="P87" s="11"/>
      <c r="Q87" s="8"/>
      <c r="R87" s="182"/>
      <c r="S87" s="8"/>
      <c r="T87" s="8"/>
      <c r="U87" s="8"/>
      <c r="V87" s="182"/>
      <c r="W87" s="8"/>
      <c r="X87" s="62"/>
      <c r="Y87" s="182"/>
      <c r="Z87" s="65"/>
      <c r="AA87" s="8"/>
      <c r="AB87" s="235"/>
      <c r="AC87" s="170" t="str">
        <f>IFERROR(IF(AC86="","",VLOOKUP(AC86,LISTAS!$F$5:$G$1004,2,0)),"0")</f>
        <v>COLÉGIO SÃO MAURO</v>
      </c>
      <c r="AD87" s="8"/>
      <c r="AE87" s="69"/>
      <c r="AF87" s="8"/>
      <c r="AG87" s="182"/>
      <c r="AH87" s="8"/>
      <c r="AI87" s="8"/>
      <c r="AJ87" s="11"/>
      <c r="AK87" s="166"/>
      <c r="AL87" s="11"/>
      <c r="AP87" s="13" t="str">
        <f>IF(AR87&lt;&gt;"",1+COUNTIF(AP72:AP86,"1")+COUNTIF(AP72:AP86,"2")+COUNTIF(AP72:AP86,"3")+COUNTIF(AP72:AP86,"4")+COUNTIF(AP72:AP86,"5")+COUNTIF(AP72:AP86,"6")+COUNTIF(AP72:AP86,"7")+COUNTIF(AP72:AP86,"8")+COUNTIF(AP72:AP86,"9")+COUNTIF(AP72:AP86,"10")+COUNTIF(AP72:AP86,"11")+COUNTIF(AP72:AP86,"12")+COUNTIF(AP72:AP86,"13")+COUNTIF(AP72:AP86,"14")+COUNTIF(AP72:AP86,"15"),"")</f>
        <v/>
      </c>
      <c r="AQ87" s="14" t="str">
        <f t="shared" si="3"/>
        <v/>
      </c>
      <c r="AR87" s="21" t="str">
        <f>IF(AR79&lt;&gt;"",IF(G76=AR79,G78,IF(G78=AR79,G76,IF(G92=AR79,G94,IF(G94=AR79,G92,IF(AG76=AR79,AG78,IF(AG78=AR79,AG76,IF(AG92=AR79,AG94,IF(AG94=AR79,AG92,IF(G106=AR79,G108,IF(G108=AR79,G106,IF(G122=AR79,G124,IF(G124=AR79,G122,IF(AG106=AR79,AG108,IF(AG108=AR79,AG106,IF(AG122=AR79,AG124,IF(AG124=AR79,AG122)))))))))))))))),"")</f>
        <v/>
      </c>
      <c r="AS87" s="15" t="str">
        <f>IFERROR(IF(AR87="","",VLOOKUP(AR87,LISTAS!$F$5:$G$1004,2,0)),"0")</f>
        <v/>
      </c>
      <c r="AT87" s="15" t="str">
        <f t="shared" si="4"/>
        <v/>
      </c>
      <c r="AU87" s="15" t="str">
        <f t="shared" si="5"/>
        <v/>
      </c>
    </row>
    <row r="88" spans="2:47" ht="18" customHeight="1" x14ac:dyDescent="0.25">
      <c r="B88" s="16">
        <v>9</v>
      </c>
      <c r="C88" s="169" t="str">
        <f>IF('15F GRP'!G5&gt;=3,'15F GRP'!J126,IF('15F GRP'!G5=2,"",IF('15F GRP'!G5=1,"","")))</f>
        <v/>
      </c>
      <c r="D88" s="234">
        <v>0</v>
      </c>
      <c r="E88" s="51">
        <f>IF(D88&lt;&gt;"",D88,"")</f>
        <v>0</v>
      </c>
      <c r="F88" s="51" t="str">
        <f>IF(D88&lt;&gt;"",IF(C88="","",C88),"")</f>
        <v/>
      </c>
      <c r="G88" s="176">
        <f>IF(E88&lt;&gt;"",IF(E90&lt;&gt;"",SMALL(E88:E90,1),""),"")</f>
        <v>0</v>
      </c>
      <c r="H88" s="51"/>
      <c r="I88" s="18"/>
      <c r="J88" s="11"/>
      <c r="K88" s="166"/>
      <c r="L88" s="11"/>
      <c r="M88" s="54"/>
      <c r="N88" s="51"/>
      <c r="O88" s="176"/>
      <c r="P88" s="11"/>
      <c r="Q88" s="8"/>
      <c r="R88" s="182"/>
      <c r="S88" s="8"/>
      <c r="T88" s="8"/>
      <c r="U88" s="8"/>
      <c r="V88" s="182"/>
      <c r="W88" s="8"/>
      <c r="X88" s="62"/>
      <c r="Y88" s="182"/>
      <c r="Z88" s="65"/>
      <c r="AA88" s="8"/>
      <c r="AB88" s="11"/>
      <c r="AC88" s="182"/>
      <c r="AD88" s="8"/>
      <c r="AE88" s="69"/>
      <c r="AF88" s="78"/>
      <c r="AG88" s="181">
        <f>IF(AJ88&lt;&gt;"",AJ88,"")</f>
        <v>0</v>
      </c>
      <c r="AH88" s="78" t="str">
        <f>IF(AJ88&lt;&gt;"",IF(AK88="","",AK88),"")</f>
        <v/>
      </c>
      <c r="AI88" s="51">
        <f>IF(AG88&lt;&gt;"",IF(AG90&lt;&gt;"",SMALL(AG88:AG90,1),""),"")</f>
        <v>0</v>
      </c>
      <c r="AJ88" s="234">
        <v>0</v>
      </c>
      <c r="AK88" s="169" t="str">
        <f>IF('15F GRP'!G5&gt;=3,'15F GRP'!J295,IF('15F GRP'!G5=2,"",IF('15F GRP'!G5=1,"","")))</f>
        <v/>
      </c>
      <c r="AL88" s="11">
        <v>22</v>
      </c>
      <c r="AP88" s="13" t="str">
        <f>IF(AR88&lt;&gt;"",1+COUNTIF(AP72:AP87,"1")+COUNTIF(AP72:AP87,"2")+COUNTIF(AP72:AP87,"3")+COUNTIF(AP72:AP87,"4")+COUNTIF(AP72:AP87,"5")+COUNTIF(AP72:AP87,"6")+COUNTIF(AP72:AP87,"7")+COUNTIF(AP72:AP87,"8")+COUNTIF(AP72:AP87,"9")+COUNTIF(AP72:AP87,"10")+COUNTIF(AP72:AP87,"11")+COUNTIF(AP72:AP87,"12")+COUNTIF(AP72:AP87,"13")+COUNTIF(AP72:AP87,"14")+COUNTIF(AP72:AP87,"15")+COUNTIF(AP72:AP87,"16"),"")</f>
        <v/>
      </c>
      <c r="AQ88" s="14" t="str">
        <f t="shared" si="3"/>
        <v/>
      </c>
      <c r="AR88" s="21" t="str">
        <f>IF(AR72&lt;&gt;"",IF(C72=AR72,G74,IF(C74=AR72,G74,IF(C80=AR72,G82,IF(C82=AR72,G82,IF(C102=AR72,G104,IF(C104=AR72,G104,IF(C110=AR72,G112,IF(C112=AR72,G112,IF(C88=AR72,G90,IF(C90=AR72,G90,IF(C96=AR72,G98,IF(C98=AR72,G98,IF(C118=AR72,G120,IF(C120=AR72,G120,IF(C126=AR72,G128,IF(C128=AR72,G128,IF(AK72=AR72,AI74,IF(AK74=AR72,AI74,IF(AK80=AR72,AI82,IF(AK82=AR72,AI82,IF(AK102=AR72,AI104,IF(AK104=AR72,AI104,IF(AK110=AR72,AI112,IF(AK112=AR72,AI112,IF(AK88=AR72,AI90,IF(AK90=AR72,AI90,IF(AK96=AR72,AI98,IF(AK98=AR72,AI98,IF(AK118=AR72,AI120,IF(AK120=AR72,AI120,IF(AK126=AR72,AI128,IF(AK128=AR72,AI128)))))))))))))))))))))))))))))))),"")</f>
        <v/>
      </c>
      <c r="AS88" s="15" t="str">
        <f>IFERROR(IF(AR88="","",VLOOKUP(AR88,LISTAS!$F$5:$G$1004,2,0)),"0")</f>
        <v/>
      </c>
      <c r="AT88" s="15" t="str">
        <f t="shared" si="4"/>
        <v/>
      </c>
      <c r="AU88" s="15" t="str">
        <f t="shared" si="5"/>
        <v/>
      </c>
    </row>
    <row r="89" spans="2:47" ht="18" customHeight="1" thickBot="1" x14ac:dyDescent="0.3">
      <c r="B89" s="16"/>
      <c r="C89" s="170" t="str">
        <f>IFERROR(IF(C88="","",VLOOKUP(C88,LISTAS!$F$5:$G$1004,2,0)),"0")</f>
        <v/>
      </c>
      <c r="D89" s="235"/>
      <c r="E89" s="51"/>
      <c r="F89" s="51"/>
      <c r="G89" s="176"/>
      <c r="H89" s="51"/>
      <c r="I89" s="18"/>
      <c r="J89" s="11"/>
      <c r="K89" s="166"/>
      <c r="L89" s="11"/>
      <c r="M89" s="18"/>
      <c r="N89" s="11"/>
      <c r="O89" s="166"/>
      <c r="P89" s="11"/>
      <c r="Q89" s="8"/>
      <c r="R89" s="182"/>
      <c r="S89" s="8"/>
      <c r="T89" s="8"/>
      <c r="U89" s="8"/>
      <c r="V89" s="182"/>
      <c r="W89" s="8"/>
      <c r="X89" s="62"/>
      <c r="Y89" s="182"/>
      <c r="Z89" s="65"/>
      <c r="AA89" s="8"/>
      <c r="AB89" s="11"/>
      <c r="AC89" s="182"/>
      <c r="AD89" s="8"/>
      <c r="AE89" s="69"/>
      <c r="AF89" s="78"/>
      <c r="AG89" s="181"/>
      <c r="AH89" s="78"/>
      <c r="AI89" s="51"/>
      <c r="AJ89" s="235"/>
      <c r="AK89" s="170" t="str">
        <f>IFERROR(IF(AK88="","",VLOOKUP(AK88,LISTAS!$F$5:$G$1004,2,0)),"0")</f>
        <v/>
      </c>
      <c r="AL89" s="11"/>
      <c r="AP89" s="13" t="str">
        <f>IF(AR89&lt;&gt;"",1+COUNTIF(AP72:AP88,"1")+COUNTIF(AP72:AP88,"2")+COUNTIF(AP72:AP88,"3")+COUNTIF(AP72:AP88,"4")+COUNTIF(AP72:AP88,"5")+COUNTIF(AP72:AP88,"6")+COUNTIF(AP72:AP88,"7")+COUNTIF(AP72:AP88,"8")+COUNTIF(AP72:AP88,"9")+COUNTIF(AP72:AP88,"10")+COUNTIF(AP72:AP88,"11")+COUNTIF(AP72:AP88,"12")+COUNTIF(AP72:AP88,"13")+COUNTIF(AP72:AP88,"14")+COUNTIF(AP72:AP88,"15")+COUNTIF(AP72:AP88,"16")+COUNTIF(AP72:AP88,"17"),"")</f>
        <v/>
      </c>
      <c r="AQ89" s="14" t="str">
        <f t="shared" si="3"/>
        <v/>
      </c>
      <c r="AR89" s="21" t="str">
        <f>IF(AR73&lt;&gt;"",IF(C72=AR73,G74,IF(C74=AR73,G74,IF(C80=AR73,G82,IF(C82=AR73,G82,IF(C102=AR73,G104,IF(C104=AR73,G104,IF(C110=AR73,G112,IF(C112=AR73,G112,IF(C88=AR73,G90,IF(C90=AR73,G90,IF(C96=AR73,G98,IF(C98=AR73,G98,IF(C118=AR73,G120,IF(C120=AR73,G120,IF(C126=AR73,G128,IF(C128=AR73,G128,IF(AK72=AR73,AI74,IF(AK74=AR73,AI74,IF(AK80=AR73,AI82,IF(AK82=AR73,AI82,IF(AK102=AR73,AI104,IF(AK104=AR73,AI104,IF(AK110=AR73,AI112,IF(AK112=AR73,AI112,IF(AK88=AR73,AI90,IF(AK90=AR73,AI90,IF(AK96=AR73,AI98,IF(AK98=AR73,AI98,IF(AK118=AR73,AI120,IF(AK120=AR73,AI120,IF(AK126=AR73,AI128,IF(AK128=AR73,AI128)))))))))))))))))))))))))))))))),"")</f>
        <v/>
      </c>
      <c r="AS89" s="15" t="str">
        <f>IFERROR(IF(AR89="","",VLOOKUP(AR89,LISTAS!$F$5:$G$1004,2,0)),"0")</f>
        <v/>
      </c>
      <c r="AT89" s="15" t="str">
        <f t="shared" si="4"/>
        <v/>
      </c>
      <c r="AU89" s="15" t="str">
        <f t="shared" si="5"/>
        <v/>
      </c>
    </row>
    <row r="90" spans="2:47" ht="18" customHeight="1" x14ac:dyDescent="0.25">
      <c r="B90" s="16">
        <v>24</v>
      </c>
      <c r="C90" s="169" t="str">
        <f>IF('15F GRP'!G5&gt;=3,'15F GRP'!J321,IF('15F GRP'!G5=2,"",IF('15F GRP'!G5=1,"","")))</f>
        <v/>
      </c>
      <c r="D90" s="234">
        <v>0</v>
      </c>
      <c r="E90" s="52">
        <f>IF(D90&lt;&gt;"",D90,"")</f>
        <v>0</v>
      </c>
      <c r="F90" s="51" t="str">
        <f>IF(D90&lt;&gt;"",IF(C90="","",C90),"")</f>
        <v/>
      </c>
      <c r="G90" s="176" t="str">
        <f>VLOOKUP(G88,E88:F90,2,0)</f>
        <v/>
      </c>
      <c r="H90" s="51"/>
      <c r="I90" s="18"/>
      <c r="J90" s="11"/>
      <c r="K90" s="166"/>
      <c r="L90" s="11"/>
      <c r="M90" s="18"/>
      <c r="N90" s="11"/>
      <c r="O90" s="166"/>
      <c r="P90" s="11"/>
      <c r="Q90" s="8"/>
      <c r="R90" s="182"/>
      <c r="S90" s="8"/>
      <c r="T90" s="8"/>
      <c r="U90" s="8"/>
      <c r="V90" s="182"/>
      <c r="W90" s="8"/>
      <c r="X90" s="62"/>
      <c r="Y90" s="182"/>
      <c r="Z90" s="65"/>
      <c r="AA90" s="8"/>
      <c r="AB90" s="11"/>
      <c r="AC90" s="182"/>
      <c r="AD90" s="8"/>
      <c r="AE90" s="69"/>
      <c r="AF90" s="78"/>
      <c r="AG90" s="181">
        <f>IF(AJ90&lt;&gt;"",AJ90,"")</f>
        <v>0</v>
      </c>
      <c r="AH90" s="78" t="str">
        <f>IF(AJ90&lt;&gt;"",IF(AK90="","",AK90),"")</f>
        <v/>
      </c>
      <c r="AI90" s="55" t="str">
        <f>VLOOKUP(AI88,AG88:AH90,2,0)</f>
        <v/>
      </c>
      <c r="AJ90" s="234">
        <v>0</v>
      </c>
      <c r="AK90" s="169" t="str">
        <f>IF('15F GRP'!G5&gt;=3,'15F GRP'!J152,IF('15F GRP'!G5=2,"",IF('15F GRP'!G5=1,"","")))</f>
        <v/>
      </c>
      <c r="AL90" s="11">
        <v>11</v>
      </c>
      <c r="AP90" s="13" t="str">
        <f>IF(AR90&lt;&gt;"",1+COUNTIF(AP72:AP89,"1")+COUNTIF(AP72:AP89,"2")+COUNTIF(AP72:AP89,"3")+COUNTIF(AP72:AP89,"4")+COUNTIF(AP72:AP89,"5")+COUNTIF(AP72:AP89,"6")+COUNTIF(AP72:AP89,"7")+COUNTIF(AP72:AP89,"8")+COUNTIF(AP72:AP89,"9")+COUNTIF(AP72:AP89,"10")+COUNTIF(AP72:AP89,"11")+COUNTIF(AP72:AP89,"12")+COUNTIF(AP72:AP89,"13")+COUNTIF(AP72:AP89,"14")+COUNTIF(AP72:AP89,"15")+COUNTIF(AP72:AP89,"16")+COUNTIF(AP72:AP89,"17")+COUNTIF(AP72:AP89,"18"),"")</f>
        <v/>
      </c>
      <c r="AQ90" s="14" t="str">
        <f t="shared" si="3"/>
        <v/>
      </c>
      <c r="AR90" s="21" t="str">
        <f>IF(AR74&lt;&gt;"",IF(C72=AR74,G74,IF(C74=AR74,G74,IF(C80=AR74,G82,IF(C82=AR74,G82,IF(C102=AR74,G104,IF(C104=AR74,G104,IF(C110=AR74,G112,IF(C112=AR74,G112,IF(C88=AR74,G90,IF(C90=AR74,G90,IF(C96=AR74,G98,IF(C98=AR74,G98,IF(C118=AR74,G120,IF(C120=AR74,G120,IF(C126=AR74,G128,IF(C128=AR74,G128,IF(AK72=AR74,AI74,IF(AK74=AR74,AI74,IF(AK80=AR74,AI82,IF(AK82=AR74,AI82,IF(AK102=AR74,AI104,IF(AK104=AR74,AI104,IF(AK110=AR74,AI112,IF(AK112=AR74,AI112,IF(AK88=AR74,AI90,IF(AK90=AR74,AI90,IF(AK96=AR74,AI98,IF(AK98=AR74,AI98,IF(AK118=AR74,AI120,IF(AK120=AR74,AI120,IF(AK126=AR74,AI128,IF(AK128=AR74,AI128)))))))))))))))))))))))))))))))),"")</f>
        <v/>
      </c>
      <c r="AS90" s="15" t="str">
        <f>IFERROR(IF(AR90="","",VLOOKUP(AR90,LISTAS!$F$5:$G$1004,2,0)),"0")</f>
        <v/>
      </c>
      <c r="AT90" s="15" t="str">
        <f t="shared" si="4"/>
        <v/>
      </c>
      <c r="AU90" s="15" t="str">
        <f t="shared" si="5"/>
        <v/>
      </c>
    </row>
    <row r="91" spans="2:47" ht="18" customHeight="1" thickBot="1" x14ac:dyDescent="0.3">
      <c r="B91" s="16"/>
      <c r="C91" s="170" t="str">
        <f>IFERROR(IF(C90="","",VLOOKUP(C90,LISTAS!$F$5:$G$1004,2,0)),"0")</f>
        <v/>
      </c>
      <c r="D91" s="235"/>
      <c r="E91" s="128"/>
      <c r="F91" s="51"/>
      <c r="G91" s="176"/>
      <c r="H91" s="51"/>
      <c r="I91" s="18"/>
      <c r="J91" s="11"/>
      <c r="K91" s="166"/>
      <c r="L91" s="11"/>
      <c r="M91" s="18"/>
      <c r="N91" s="11"/>
      <c r="O91" s="166"/>
      <c r="P91" s="11"/>
      <c r="Q91" s="8"/>
      <c r="R91" s="182"/>
      <c r="S91" s="8"/>
      <c r="T91" s="8"/>
      <c r="U91" s="8"/>
      <c r="V91" s="182"/>
      <c r="W91" s="8"/>
      <c r="X91" s="62"/>
      <c r="Y91" s="182"/>
      <c r="Z91" s="65"/>
      <c r="AA91" s="8"/>
      <c r="AB91" s="11"/>
      <c r="AC91" s="182"/>
      <c r="AD91" s="8"/>
      <c r="AE91" s="69"/>
      <c r="AF91" s="78"/>
      <c r="AG91" s="181"/>
      <c r="AH91" s="78"/>
      <c r="AI91" s="123"/>
      <c r="AJ91" s="235"/>
      <c r="AK91" s="170" t="str">
        <f>IFERROR(IF(AK90="","",VLOOKUP(AK90,LISTAS!$F$5:$G$1004,2,0)),"0")</f>
        <v/>
      </c>
      <c r="AL91" s="11"/>
      <c r="AP91" s="13" t="str">
        <f>IF(AR91&lt;&gt;"",1+COUNTIF(AP72:AP90,"1")+COUNTIF(AP72:AP90,"2")+COUNTIF(AP72:AP90,"3")+COUNTIF(AP72:AP90,"4")+COUNTIF(AP72:AP90,"5")+COUNTIF(AP72:AP90,"6")+COUNTIF(AP72:AP90,"7")+COUNTIF(AP72:AP90,"8")+COUNTIF(AP72:AP90,"9")+COUNTIF(AP72:AP90,"10")+COUNTIF(AP72:AP90,"11")+COUNTIF(AP72:AP90,"12")+COUNTIF(AP72:AP90,"13")+COUNTIF(AP72:AP90,"14")+COUNTIF(AP72:AP90,"15")+COUNTIF(AP72:AP90,"16")+COUNTIF(AP72:AP90,"17")+COUNTIF(AP72:AP90,"18")+COUNTIF(AP72:AP90,"19"),"")</f>
        <v/>
      </c>
      <c r="AQ91" s="14" t="str">
        <f t="shared" si="3"/>
        <v/>
      </c>
      <c r="AR91" s="21" t="str">
        <f>IF(AR75&lt;&gt;"",IF(C72=AR75,G74,IF(C74=AR75,G74,IF(C80=AR75,G82,IF(C82=AR75,G82,IF(C102=AR75,G104,IF(C104=AR75,G104,IF(C110=AR75,G112,IF(C112=AR75,G112,IF(C88=AR75,G90,IF(C90=AR75,G90,IF(C96=AR75,G98,IF(C98=AR75,G98,IF(C118=AR75,G120,IF(C120=AR75,G120,IF(C126=AR75,G128,IF(C128=AR75,G128,IF(AK72=AR75,AI74,IF(AK74=AR75,AI74,IF(AK80=AR75,AI82,IF(AK82=AR75,AI82,IF(AK102=AR75,AI104,IF(AK104=AR75,AI104,IF(AK110=AR75,AI112,IF(AK112=AR75,AI112,IF(AK88=AR75,AI90,IF(AK90=AR75,AI90,IF(AK96=AR75,AI98,IF(AK98=AR75,AI98,IF(AK118=AR75,AI120,IF(AK120=AR75,AI120,IF(AK126=AR75,AI128,IF(AK128=AR75,AI128)))))))))))))))))))))))))))))))),"")</f>
        <v/>
      </c>
      <c r="AS91" s="15" t="str">
        <f>IFERROR(IF(AR91="","",VLOOKUP(AR91,LISTAS!$F$5:$G$1004,2,0)),"0")</f>
        <v/>
      </c>
      <c r="AT91" s="15" t="str">
        <f t="shared" si="4"/>
        <v/>
      </c>
      <c r="AU91" s="15" t="str">
        <f t="shared" si="5"/>
        <v/>
      </c>
    </row>
    <row r="92" spans="2:47" ht="18" customHeight="1" x14ac:dyDescent="0.25">
      <c r="B92" s="16"/>
      <c r="C92" s="166"/>
      <c r="D92" s="11"/>
      <c r="E92" s="11"/>
      <c r="F92" s="17"/>
      <c r="G92" s="169" t="str">
        <f>IF(D88&lt;&gt;"",IF(D90&lt;&gt;"",IF(D88=D90,"",IF(D88&gt;D90,C88,C90)),""),"")</f>
        <v/>
      </c>
      <c r="H92" s="234">
        <v>0</v>
      </c>
      <c r="I92" s="56">
        <f>IF(H92&lt;&gt;"",H92,"")</f>
        <v>0</v>
      </c>
      <c r="J92" s="51" t="str">
        <f>IF(H92&lt;&gt;"",IF(G92="","",G92),"")</f>
        <v/>
      </c>
      <c r="K92" s="176">
        <f>IF(I92&lt;&gt;"",IF(I94&lt;&gt;"",SMALL(I92:J94,1),""),"")</f>
        <v>0</v>
      </c>
      <c r="L92" s="51"/>
      <c r="M92" s="18"/>
      <c r="N92" s="11"/>
      <c r="O92" s="166"/>
      <c r="P92" s="11"/>
      <c r="Q92" s="8"/>
      <c r="R92" s="182"/>
      <c r="S92" s="8"/>
      <c r="T92" s="8"/>
      <c r="U92" s="8"/>
      <c r="V92" s="182"/>
      <c r="W92" s="8"/>
      <c r="X92" s="62"/>
      <c r="Y92" s="182"/>
      <c r="Z92" s="65"/>
      <c r="AA92" s="8"/>
      <c r="AB92" s="11"/>
      <c r="AC92" s="182"/>
      <c r="AD92" s="8"/>
      <c r="AE92" s="17"/>
      <c r="AF92" s="234">
        <v>0</v>
      </c>
      <c r="AG92" s="169" t="str">
        <f>IF(AJ88&lt;&gt;"",IF(AJ90&lt;&gt;"",IF(AJ88=AJ90,"",IF(AJ88&gt;AJ90,AK88,AK90)),""),"")</f>
        <v/>
      </c>
      <c r="AH92" s="65"/>
      <c r="AI92" s="8"/>
      <c r="AJ92" s="11"/>
      <c r="AK92" s="166"/>
      <c r="AL92" s="11"/>
      <c r="AN92" s="23"/>
      <c r="AO92" s="23"/>
      <c r="AP92" s="13" t="str">
        <f>IF(AR92&lt;&gt;"",1+COUNTIF(AP72:AP91,"1")+COUNTIF(AP72:AP91,"2")+COUNTIF(AP72:AP91,"3")+COUNTIF(AP72:AP91,"4")+COUNTIF(AP72:AP91,"5")+COUNTIF(AP72:AP91,"6")+COUNTIF(AP72:AP91,"7")+COUNTIF(AP72:AP91,"8")+COUNTIF(AP72:AP91,"9")+COUNTIF(AP72:AP91,"10")+COUNTIF(AP72:AP91,"11")+COUNTIF(AP72:AP91,"12")+COUNTIF(AP72:AP91,"13")+COUNTIF(AP72:AP91,"14")+COUNTIF(AP72:AP91,"15")+COUNTIF(AP72:AP91,"16")+COUNTIF(AP72:AP91,"17")+COUNTIF(AP72:AP91,"18")+COUNTIF(AP72:AP91,"19")+COUNTIF(AP72:AP91,"20"),"")</f>
        <v/>
      </c>
      <c r="AQ92" s="14" t="str">
        <f t="shared" si="3"/>
        <v/>
      </c>
      <c r="AR92" s="21" t="str">
        <f>IF(AR76&lt;&gt;"",IF(C72=AR76,G74,IF(C74=AR76,G74,IF(C80=AR76,G82,IF(C82=AR76,G82,IF(C102=AR76,G104,IF(C104=AR76,G104,IF(C110=AR76,G112,IF(C112=AR76,G112,IF(C88=AR76,G90,IF(C90=AR76,G90,IF(C96=AR76,G98,IF(C98=AR76,G98,IF(C118=AR76,G120,IF(C120=AR76,G120,IF(C126=AR76,G128,IF(C128=AR76,G128,IF(AK72=AR76,AI74,IF(AK74=AR76,AI74,IF(AK80=AR76,AI82,IF(AK82=AR76,AI82,IF(AK102=AR76,AI104,IF(AK104=AR76,AI104,IF(AK110=AR76,AI112,IF(AK112=AR76,AI112,IF(AK88=AR76,AI90,IF(AK90=AR76,AI90,IF(AK96=AR76,AI98,IF(AK98=AR76,AI98,IF(AK118=AR76,AI120,IF(AK120=AR76,AI120,IF(AK126=AR76,AI128,IF(AK128=AR76,AI128)))))))))))))))))))))))))))))))),"")</f>
        <v/>
      </c>
      <c r="AS92" s="15" t="str">
        <f>IFERROR(IF(AR92="","",VLOOKUP(AR92,LISTAS!$F$5:$G$1004,2,0)),"0")</f>
        <v/>
      </c>
      <c r="AT92" s="15" t="str">
        <f t="shared" si="4"/>
        <v/>
      </c>
      <c r="AU92" s="15" t="str">
        <f t="shared" si="5"/>
        <v/>
      </c>
    </row>
    <row r="93" spans="2:47" ht="18" customHeight="1" thickBot="1" x14ac:dyDescent="0.3">
      <c r="B93" s="16"/>
      <c r="C93" s="166"/>
      <c r="D93" s="11"/>
      <c r="E93" s="11"/>
      <c r="F93" s="17"/>
      <c r="G93" s="170" t="str">
        <f>IFERROR(IF(G92="","",VLOOKUP(G92,LISTAS!$F$5:$G$1004,2,0)),"0")</f>
        <v/>
      </c>
      <c r="H93" s="235"/>
      <c r="I93" s="57"/>
      <c r="J93" s="51"/>
      <c r="K93" s="176"/>
      <c r="L93" s="51"/>
      <c r="M93" s="18"/>
      <c r="N93" s="11"/>
      <c r="O93" s="166"/>
      <c r="P93" s="11"/>
      <c r="Q93" s="8"/>
      <c r="R93" s="182"/>
      <c r="S93" s="8"/>
      <c r="T93" s="8"/>
      <c r="U93" s="8"/>
      <c r="V93" s="182"/>
      <c r="W93" s="8"/>
      <c r="X93" s="62"/>
      <c r="Y93" s="182"/>
      <c r="Z93" s="65"/>
      <c r="AA93" s="8"/>
      <c r="AB93" s="11"/>
      <c r="AC93" s="182"/>
      <c r="AD93" s="8"/>
      <c r="AE93" s="122"/>
      <c r="AF93" s="235"/>
      <c r="AG93" s="170" t="str">
        <f>IFERROR(IF(AG92="","",VLOOKUP(AG92,LISTAS!$F$5:$G$1004,2,0)),"0")</f>
        <v/>
      </c>
      <c r="AH93" s="65"/>
      <c r="AI93" s="8"/>
      <c r="AJ93" s="11"/>
      <c r="AK93" s="166"/>
      <c r="AL93" s="11"/>
      <c r="AM93" s="23"/>
      <c r="AN93" s="23"/>
      <c r="AO93" s="23"/>
      <c r="AP93" s="13" t="str">
        <f>IF(AR93&lt;&gt;"",1+COUNTIF(AP72:AP92,"1")+COUNTIF(AP72:AP92,"2")+COUNTIF(AP72:AP92,"3")+COUNTIF(AP72:AP92,"4")+COUNTIF(AP72:AP92,"5")+COUNTIF(AP72:AP92,"6")+COUNTIF(AP72:AP92,"7")+COUNTIF(AP72:AP92,"8")+COUNTIF(AP72:AP92,"9")+COUNTIF(AP72:AP92,"10")+COUNTIF(AP72:AP92,"11")+COUNTIF(AP72:AP92,"12")+COUNTIF(AP72:AP92,"13")+COUNTIF(AP72:AP92,"14")+COUNTIF(AP72:AP92,"15")+COUNTIF(AP72:AP92,"16")+COUNTIF(AP72:AP92,"17")+COUNTIF(AP72:AP92,"18")+COUNTIF(AP72:AP92,"19")+COUNTIF(AP72:AP92,"20")+COUNTIF(AP72:AP92,"21"),"")</f>
        <v/>
      </c>
      <c r="AQ93" s="14" t="str">
        <f t="shared" si="3"/>
        <v/>
      </c>
      <c r="AR93" s="21" t="str">
        <f>IF(AR77&lt;&gt;"",IF(C72=AR77,G74,IF(C74=AR77,G74,IF(C80=AR77,G82,IF(C82=AR77,G82,IF(C102=AR77,G104,IF(C104=AR77,G104,IF(C110=AR77,G112,IF(C112=AR77,G112,IF(C88=AR77,G90,IF(C90=AR77,G90,IF(C96=AR77,G98,IF(C98=AR77,G98,IF(C118=AR77,G120,IF(C120=AR77,G120,IF(C126=AR77,G128,IF(C128=AR77,G128,IF(AK72=AR77,AI74,IF(AK74=AR77,AI74,IF(AK80=AR77,AI82,IF(AK82=AR77,AI82,IF(AK102=AR77,AI104,IF(AK104=AR77,AI104,IF(AK110=AR77,AI112,IF(AK112=AR77,AI112,IF(AK88=AR77,AI90,IF(AK90=AR77,AI90,IF(AK96=AR77,AI98,IF(AK98=AR77,AI98,IF(AK118=AR77,AI120,IF(AK120=AR77,AI120,IF(AK126=AR77,AI128,IF(AK128=AR77,AI128)))))))))))))))))))))))))))))))),"")</f>
        <v/>
      </c>
      <c r="AS93" s="15" t="str">
        <f>IFERROR(IF(AR93="","",VLOOKUP(AR93,LISTAS!$F$5:$G$1004,2,0)),"0")</f>
        <v/>
      </c>
      <c r="AT93" s="15" t="str">
        <f t="shared" si="4"/>
        <v/>
      </c>
      <c r="AU93" s="15" t="str">
        <f t="shared" si="5"/>
        <v/>
      </c>
    </row>
    <row r="94" spans="2:47" ht="18" customHeight="1" x14ac:dyDescent="0.25">
      <c r="B94" s="16"/>
      <c r="C94" s="166"/>
      <c r="D94" s="11"/>
      <c r="E94" s="18"/>
      <c r="F94" s="19"/>
      <c r="G94" s="169" t="str">
        <f>IF(D96&lt;&gt;"",IF(D98&lt;&gt;"",IF(D96=D98,"",IF(D96&gt;D98,C96,C98)),""),"")</f>
        <v/>
      </c>
      <c r="H94" s="234">
        <v>0</v>
      </c>
      <c r="I94" s="57">
        <f>IF(H94&lt;&gt;"",H94,"")</f>
        <v>0</v>
      </c>
      <c r="J94" s="51" t="str">
        <f>IF(H94&lt;&gt;"",IF(G94="","",G94),"")</f>
        <v/>
      </c>
      <c r="K94" s="176" t="str">
        <f>VLOOKUP(K92,I92:J94,2,0)</f>
        <v/>
      </c>
      <c r="L94" s="51"/>
      <c r="M94" s="18"/>
      <c r="N94" s="11"/>
      <c r="O94" s="166"/>
      <c r="P94" s="11"/>
      <c r="Q94" s="8"/>
      <c r="R94" s="182"/>
      <c r="S94" s="8"/>
      <c r="T94" s="8"/>
      <c r="U94" s="8"/>
      <c r="V94" s="182"/>
      <c r="W94" s="8"/>
      <c r="X94" s="62"/>
      <c r="Y94" s="182"/>
      <c r="Z94" s="65"/>
      <c r="AA94" s="8"/>
      <c r="AB94" s="11"/>
      <c r="AC94" s="182"/>
      <c r="AD94" s="8"/>
      <c r="AE94" s="64"/>
      <c r="AF94" s="234">
        <v>2</v>
      </c>
      <c r="AG94" s="169" t="str">
        <f>IF(AJ96&lt;&gt;"",IF(AJ98&lt;&gt;"",IF(AJ96=AJ98,"",IF(AJ96&gt;AJ98,AK96,AK98)),""),"")</f>
        <v>ÁGATHA MARQUES TEIXEIRA VANINI</v>
      </c>
      <c r="AH94" s="66"/>
      <c r="AI94" s="8"/>
      <c r="AJ94" s="11"/>
      <c r="AK94" s="166"/>
      <c r="AL94" s="11"/>
      <c r="AM94" s="23"/>
      <c r="AP94" s="13" t="str">
        <f>IF(AR94&lt;&gt;"",1+COUNTIF(AP72:AP93,"1")+COUNTIF(AP72:AP93,"2")+COUNTIF(AP72:AP93,"3")+COUNTIF(AP72:AP93,"4")+COUNTIF(AP72:AP93,"5")+COUNTIF(AP72:AP93,"6")+COUNTIF(AP72:AP93,"7")+COUNTIF(AP72:AP93,"8")+COUNTIF(AP72:AP93,"9")+COUNTIF(AP72:AP93,"10")+COUNTIF(AP72:AP93,"11")+COUNTIF(AP72:AP93,"12")+COUNTIF(AP72:AP93,"13")+COUNTIF(AP72:AP93,"14")+COUNTIF(AP72:AP93,"15")+COUNTIF(AP72:AP93,"16")+COUNTIF(AP72:AP93,"17")+COUNTIF(AP72:AP93,"18")+COUNTIF(AP72:AP93,"19")+COUNTIF(AP72:AP93,"20")+COUNTIF(AP72:AP93,"21")+COUNTIF(AP72:AP93,"22"),"")</f>
        <v/>
      </c>
      <c r="AQ94" s="14" t="str">
        <f t="shared" si="3"/>
        <v/>
      </c>
      <c r="AR94" s="21" t="str">
        <f>IF(AR78&lt;&gt;"",IF(C72=AR78,G74,IF(C74=AR78,G74,IF(C80=AR78,G82,IF(C82=AR78,G82,IF(C102=AR78,G104,IF(C104=AR78,G104,IF(C110=AR78,G112,IF(C112=AR78,G112,IF(C88=AR78,G90,IF(C90=AR78,G90,IF(C96=AR78,G98,IF(C98=AR78,G98,IF(C118=AR78,G120,IF(C120=AR78,G120,IF(C126=AR78,G128,IF(C128=AR78,G128,IF(AK72=AR78,AI74,IF(AK74=AR78,AI74,IF(AK80=AR78,AI82,IF(AK82=AR78,AI82,IF(AK102=AR78,AI104,IF(AK104=AR78,AI104,IF(AK110=AR78,AI112,IF(AK112=AR78,AI112,IF(AK88=AR78,AI90,IF(AK90=AR78,AI90,IF(AK96=AR78,AI98,IF(AK98=AR78,AI98,IF(AK118=AR78,AI120,IF(AK120=AR78,AI120,IF(AK126=AR78,AI128,IF(AK128=AR78,AI128)))))))))))))))))))))))))))))))),"")</f>
        <v/>
      </c>
      <c r="AS94" s="15" t="str">
        <f>IFERROR(IF(AR94="","",VLOOKUP(AR94,LISTAS!$F$5:$G$1004,2,0)),"0")</f>
        <v/>
      </c>
      <c r="AT94" s="15" t="str">
        <f t="shared" si="4"/>
        <v/>
      </c>
      <c r="AU94" s="15" t="str">
        <f t="shared" si="5"/>
        <v/>
      </c>
    </row>
    <row r="95" spans="2:47" ht="18" customHeight="1" thickBot="1" x14ac:dyDescent="0.3">
      <c r="B95" s="16"/>
      <c r="C95" s="166"/>
      <c r="D95" s="11"/>
      <c r="E95" s="18"/>
      <c r="F95" s="11"/>
      <c r="G95" s="170" t="str">
        <f>IFERROR(IF(G94="","",VLOOKUP(G94,LISTAS!$F$5:$G$1004,2,0)),"0")</f>
        <v/>
      </c>
      <c r="H95" s="235"/>
      <c r="I95" s="51"/>
      <c r="J95" s="51"/>
      <c r="K95" s="176"/>
      <c r="L95" s="51"/>
      <c r="M95" s="18"/>
      <c r="N95" s="11"/>
      <c r="O95" s="166"/>
      <c r="P95" s="11"/>
      <c r="Q95" s="8"/>
      <c r="R95" s="182"/>
      <c r="S95" s="8"/>
      <c r="T95" s="8"/>
      <c r="U95" s="8"/>
      <c r="V95" s="182"/>
      <c r="W95" s="8"/>
      <c r="X95" s="62"/>
      <c r="Y95" s="182"/>
      <c r="Z95" s="65"/>
      <c r="AA95" s="8"/>
      <c r="AB95" s="11"/>
      <c r="AC95" s="182"/>
      <c r="AD95" s="8"/>
      <c r="AE95" s="8"/>
      <c r="AF95" s="235"/>
      <c r="AG95" s="170" t="str">
        <f>IFERROR(IF(AG94="","",VLOOKUP(AG94,LISTAS!$F$5:$G$1004,2,0)),"0")</f>
        <v>COLÉGIO SÃO MAURO</v>
      </c>
      <c r="AH95" s="8"/>
      <c r="AI95" s="69"/>
      <c r="AJ95" s="11"/>
      <c r="AK95" s="166"/>
      <c r="AL95" s="11"/>
      <c r="AP95" s="13" t="str">
        <f>IF(AR95&lt;&gt;"",1+COUNTIF(AP72:AP94,"1")+COUNTIF(AP72:AP94,"2")+COUNTIF(AP72:AP94,"3")+COUNTIF(AP72:AP94,"4")+COUNTIF(AP72:AP94,"5")+COUNTIF(AP72:AP94,"6")+COUNTIF(AP72:AP94,"7")+COUNTIF(AP72:AP94,"8")+COUNTIF(AP72:AP94,"9")+COUNTIF(AP72:AP94,"10")+COUNTIF(AP72:AP94,"11")+COUNTIF(AP72:AP94,"12")+COUNTIF(AP72:AP94,"13")+COUNTIF(AP72:AP94,"14")+COUNTIF(AP72:AP94,"15")+COUNTIF(AP72:AP94,"16")+COUNTIF(AP72:AP94,"17")+COUNTIF(AP72:AP94,"18")+COUNTIF(AP72:AP94,"19")+COUNTIF(AP72:AP94,"20")+COUNTIF(AP72:AP94,"21")+COUNTIF(AP72:AP94,"22")+COUNTIF(AP72:AP94,"23"),"")</f>
        <v/>
      </c>
      <c r="AQ95" s="14" t="str">
        <f t="shared" si="3"/>
        <v/>
      </c>
      <c r="AR95" s="21" t="str">
        <f>IF(AR79&lt;&gt;"",IF(C72=AR79,G74,IF(C74=AR79,G74,IF(C80=AR79,G82,IF(C82=AR79,G82,IF(C102=AR79,G104,IF(C104=AR79,G104,IF(C110=AR79,G112,IF(C112=AR79,G112,IF(C88=AR79,G90,IF(C90=AR79,G90,IF(C96=AR79,G98,IF(C98=AR79,G98,IF(C118=AR79,G120,IF(C120=AR79,G120,IF(C126=AR79,G128,IF(C128=AR79,G128,IF(AK72=AR79,AI74,IF(AK74=AR79,AI74,IF(AK80=AR79,AI82,IF(AK82=AR79,AI82,IF(AK102=AR79,AI104,IF(AK104=AR79,AI104,IF(AK110=AR79,AI112,IF(AK112=AR79,AI112,IF(AK88=AR79,AI90,IF(AK90=AR79,AI90,IF(AK96=AR79,AI98,IF(AK98=AR79,AI98,IF(AK118=AR79,AI120,IF(AK120=AR79,AI120,IF(AK126=AR79,AI128,IF(AK128=AR79,AI128)))))))))))))))))))))))))))))))),"")</f>
        <v/>
      </c>
      <c r="AS95" s="15" t="str">
        <f>IFERROR(IF(AR95="","",VLOOKUP(AR95,LISTAS!$F$5:$G$1004,2,0)),"0")</f>
        <v/>
      </c>
      <c r="AT95" s="15" t="str">
        <f t="shared" si="4"/>
        <v/>
      </c>
      <c r="AU95" s="15" t="str">
        <f t="shared" si="5"/>
        <v/>
      </c>
    </row>
    <row r="96" spans="2:47" ht="18" customHeight="1" x14ac:dyDescent="0.25">
      <c r="B96" s="16">
        <v>25</v>
      </c>
      <c r="C96" s="169" t="str">
        <f>IF('15F GRP'!G5&gt;=3,'15F GRP'!J334,IF('15F GRP'!G5=2,"",IF('15F GRP'!G5=1,"","")))</f>
        <v/>
      </c>
      <c r="D96" s="234">
        <v>0</v>
      </c>
      <c r="E96" s="56">
        <f>IF(D96&lt;&gt;"",D96,"")</f>
        <v>0</v>
      </c>
      <c r="F96" s="51" t="str">
        <f>IF(D96&lt;&gt;"",IF(C96="","",C96),"")</f>
        <v/>
      </c>
      <c r="G96" s="176">
        <f>IF(E96&lt;&gt;"",IF(E98&lt;&gt;"",SMALL(E96:E98,1),""),"")</f>
        <v>0</v>
      </c>
      <c r="H96" s="51"/>
      <c r="I96" s="51"/>
      <c r="J96" s="51"/>
      <c r="K96" s="176"/>
      <c r="L96" s="51"/>
      <c r="M96" s="18"/>
      <c r="N96" s="11"/>
      <c r="O96" s="166"/>
      <c r="P96" s="11"/>
      <c r="Q96" s="8"/>
      <c r="R96" s="182"/>
      <c r="S96" s="8"/>
      <c r="T96" s="8"/>
      <c r="U96" s="8"/>
      <c r="V96" s="182"/>
      <c r="W96" s="8"/>
      <c r="X96" s="62"/>
      <c r="Y96" s="182"/>
      <c r="Z96" s="65"/>
      <c r="AA96" s="8"/>
      <c r="AB96" s="11"/>
      <c r="AC96" s="182"/>
      <c r="AD96" s="8"/>
      <c r="AE96" s="8"/>
      <c r="AF96" s="78"/>
      <c r="AG96" s="181">
        <f>IF(AJ96&lt;&gt;"",AJ96,"")</f>
        <v>0</v>
      </c>
      <c r="AH96" s="78" t="str">
        <f>IF(AJ96&lt;&gt;"",IF(AK96="","",AK96),"")</f>
        <v/>
      </c>
      <c r="AI96" s="53">
        <f>IF(AG96&lt;&gt;"",IF(AG98&lt;&gt;"",SMALL(AG96:AG98,1),""),"")</f>
        <v>0</v>
      </c>
      <c r="AJ96" s="234">
        <v>0</v>
      </c>
      <c r="AK96" s="169" t="str">
        <f>IF('15F GRP'!G5&gt;=3,'15F GRP'!J360,IF('15F GRP'!G5=2,"",IF('15F GRP'!G5=1,"","")))</f>
        <v/>
      </c>
      <c r="AL96" s="11">
        <v>27</v>
      </c>
      <c r="AP96" s="13" t="str">
        <f>IF(AR96&lt;&gt;"",1+COUNTIF(AP72:AP95,"1")+COUNTIF(AP72:AP95,"2")+COUNTIF(AP72:AP95,"3")+COUNTIF(AP72:AP95,"4")+COUNTIF(AP72:AP95,"5")+COUNTIF(AP72:AP95,"6")+COUNTIF(AP72:AP95,"7")+COUNTIF(AP72:AP95,"8")+COUNTIF(AP72:AP95,"9")+COUNTIF(AP72:AP95,"10")+COUNTIF(AP72:AP95,"11")+COUNTIF(AP72:AP95,"12")+COUNTIF(AP72:AP95,"13")+COUNTIF(AP72:AP95,"14")+COUNTIF(AP72:AP95,"15")+COUNTIF(AP72:AP95,"16")+COUNTIF(AP72:AP95,"17")+COUNTIF(AP72:AP95,"18")+COUNTIF(AP72:AP95,"19")+COUNTIF(AP72:AP95,"20")+COUNTIF(AP72:AP95,"21")+COUNTIF(AP72:AP95,"22")+COUNTIF(AP72:AP95,"23")+COUNTIF(AP72:AP95,"24"),"")</f>
        <v/>
      </c>
      <c r="AQ96" s="14" t="str">
        <f t="shared" si="3"/>
        <v/>
      </c>
      <c r="AR96" s="21" t="str">
        <f>IF(AR80&lt;&gt;"",IF(C72=AR80,G74,IF(C74=AR80,G74,IF(C80=AR80,G82,IF(C82=AR80,G82,IF(C102=AR80,G104,IF(C104=AR80,G104,IF(C110=AR80,G112,IF(C112=AR80,G112,IF(C88=AR80,G90,IF(C90=AR80,G90,IF(C96=AR80,G98,IF(C98=AR80,G98,IF(C118=AR80,G120,IF(C120=AR80,G120,IF(C126=AR80,G128,IF(C128=AR80,G128,IF(AK72=AR80,AI74,IF(AK74=AR80,AI74,IF(AK80=AR80,AI82,IF(AK82=AR80,AI82,IF(AK102=AR80,AI104,IF(AK104=AR80,AI104,IF(AK110=AR80,AI112,IF(AK112=AR80,AI112,IF(AK88=AR80,AI90,IF(AK90=AR80,AI90,IF(AK96=AR80,AI98,IF(AK98=AR80,AI98,IF(AK118=AR80,AI120,IF(AK120=AR80,AI120,IF(AK126=AR80,AI128,IF(AK128=AR80,AI128)))))))))))))))))))))))))))))))),"")</f>
        <v/>
      </c>
      <c r="AS96" s="15" t="str">
        <f>IFERROR(IF(AR96="","",VLOOKUP(AR96,LISTAS!$F$5:$G$1004,2,0)),"0")</f>
        <v/>
      </c>
      <c r="AT96" s="15" t="str">
        <f t="shared" si="4"/>
        <v/>
      </c>
      <c r="AU96" s="15" t="str">
        <f t="shared" si="5"/>
        <v/>
      </c>
    </row>
    <row r="97" spans="2:47" ht="18" customHeight="1" thickBot="1" x14ac:dyDescent="0.3">
      <c r="B97" s="16"/>
      <c r="C97" s="170" t="str">
        <f>IFERROR(IF(C96="","",VLOOKUP(C96,LISTAS!$F$5:$G$1004,2,0)),"0")</f>
        <v/>
      </c>
      <c r="D97" s="235"/>
      <c r="E97" s="57"/>
      <c r="F97" s="51"/>
      <c r="G97" s="176"/>
      <c r="H97" s="51"/>
      <c r="I97" s="11"/>
      <c r="J97" s="11"/>
      <c r="K97" s="166"/>
      <c r="L97" s="11"/>
      <c r="M97" s="18"/>
      <c r="N97" s="11"/>
      <c r="O97" s="166"/>
      <c r="P97" s="11"/>
      <c r="Q97" s="8"/>
      <c r="R97" s="182"/>
      <c r="S97" s="8"/>
      <c r="T97" s="8"/>
      <c r="U97" s="8"/>
      <c r="V97" s="182"/>
      <c r="W97" s="8"/>
      <c r="X97" s="62"/>
      <c r="Y97" s="182"/>
      <c r="Z97" s="65"/>
      <c r="AA97" s="8"/>
      <c r="AB97" s="11"/>
      <c r="AC97" s="182"/>
      <c r="AD97" s="8"/>
      <c r="AE97" s="8"/>
      <c r="AF97" s="78"/>
      <c r="AG97" s="181"/>
      <c r="AH97" s="78"/>
      <c r="AI97" s="124"/>
      <c r="AJ97" s="235"/>
      <c r="AK97" s="170" t="str">
        <f>IFERROR(IF(AK96="","",VLOOKUP(AK96,LISTAS!$F$5:$G$1004,2,0)),"0")</f>
        <v/>
      </c>
      <c r="AL97" s="11"/>
      <c r="AP97" s="13" t="str">
        <f>IF(AR97&lt;&gt;"",1+COUNTIF(AP72:AP96,"1")+COUNTIF(AP72:AP96,"2")+COUNTIF(AP72:AP96,"3")+COUNTIF(AP72:AP96,"4")+COUNTIF(AP72:AP96,"5")+COUNTIF(AP72:AP96,"6")+COUNTIF(AP72:AP96,"7")+COUNTIF(AP72:AP96,"8")+COUNTIF(AP72:AP96,"9")+COUNTIF(AP72:AP96,"10")+COUNTIF(AP72:AP96,"11")+COUNTIF(AP72:AP96,"12")+COUNTIF(AP72:AP96,"13")+COUNTIF(AP72:AP96,"14")+COUNTIF(AP72:AP96,"15")+COUNTIF(AP72:AP96,"16")+COUNTIF(AP72:AP96,"17")+COUNTIF(AP72:AP96,"18")+COUNTIF(AP72:AP96,"19")+COUNTIF(AP72:AP96,"20")+COUNTIF(AP72:AP96,"21")+COUNTIF(AP72:AP96,"22")+COUNTIF(AP72:AP96,"23")+COUNTIF(AP72:AP96,"24")+COUNTIF(AP72:AP96,"25"),"")</f>
        <v/>
      </c>
      <c r="AQ97" s="14" t="str">
        <f t="shared" si="3"/>
        <v/>
      </c>
      <c r="AR97" s="21" t="str">
        <f>IF(AR81&lt;&gt;"",IF(C72=AR81,G74,IF(C74=AR81,G74,IF(C80=AR81,G82,IF(C82=AR81,G82,IF(C102=AR81,G104,IF(C104=AR81,G104,IF(C110=AR81,G112,IF(C112=AR81,G112,IF(C88=AR81,G90,IF(C90=AR81,G90,IF(C96=AR81,G98,IF(C98=AR81,G98,IF(C118=AR81,G120,IF(C120=AR81,G120,IF(C126=AR81,G128,IF(C128=AR81,G128,IF(AK72=AR81,AI74,IF(AK74=AR81,AI74,IF(AK80=AR81,AI82,IF(AK82=AR81,AI82,IF(AK102=AR81,AI104,IF(AK104=AR81,AI104,IF(AK110=AR81,AI112,IF(AK112=AR81,AI112,IF(AK88=AR81,AI90,IF(AK90=AR81,AI90,IF(AK96=AR81,AI98,IF(AK98=AR81,AI98,IF(AK118=AR81,AI120,IF(AK120=AR81,AI120,IF(AK126=AR81,AI128,IF(AK128=AR81,AI128)))))))))))))))))))))))))))))))),"")</f>
        <v/>
      </c>
      <c r="AS97" s="15" t="str">
        <f>IFERROR(IF(AR97="","",VLOOKUP(AR97,LISTAS!$F$5:$G$1004,2,0)),"0")</f>
        <v/>
      </c>
      <c r="AT97" s="15" t="str">
        <f t="shared" si="4"/>
        <v/>
      </c>
      <c r="AU97" s="15" t="str">
        <f t="shared" si="5"/>
        <v/>
      </c>
    </row>
    <row r="98" spans="2:47" ht="18" customHeight="1" thickBot="1" x14ac:dyDescent="0.3">
      <c r="B98" s="16">
        <v>8</v>
      </c>
      <c r="C98" s="169" t="str">
        <f>IF('15F GRP'!G5&gt;=3,'15F GRP'!J113,IF('15F GRP'!G5=2,"",IF('15F GRP'!G5=1,"","")))</f>
        <v/>
      </c>
      <c r="D98" s="234">
        <v>0</v>
      </c>
      <c r="E98" s="57">
        <f>IF(D98&lt;&gt;"",D98,"")</f>
        <v>0</v>
      </c>
      <c r="F98" s="51" t="str">
        <f>IF(D98&lt;&gt;"",IF(C98="","",C98),"")</f>
        <v/>
      </c>
      <c r="G98" s="176" t="str">
        <f>VLOOKUP(G96,E96:F98,2,0)</f>
        <v/>
      </c>
      <c r="H98" s="51"/>
      <c r="I98" s="11"/>
      <c r="J98" s="11"/>
      <c r="K98" s="166"/>
      <c r="L98" s="11"/>
      <c r="M98" s="18"/>
      <c r="N98" s="11"/>
      <c r="O98" s="166"/>
      <c r="P98" s="11"/>
      <c r="Q98" s="8"/>
      <c r="R98" s="236" t="s">
        <v>37</v>
      </c>
      <c r="S98" s="236"/>
      <c r="T98" s="236"/>
      <c r="U98" s="236"/>
      <c r="V98" s="236"/>
      <c r="W98" s="8"/>
      <c r="X98" s="62"/>
      <c r="Y98" s="182"/>
      <c r="Z98" s="65"/>
      <c r="AA98" s="8"/>
      <c r="AB98" s="11"/>
      <c r="AC98" s="182"/>
      <c r="AD98" s="8"/>
      <c r="AE98" s="8"/>
      <c r="AF98" s="78"/>
      <c r="AG98" s="181">
        <f>IF(AJ98&lt;&gt;"",AJ98,"")</f>
        <v>2</v>
      </c>
      <c r="AH98" s="78" t="str">
        <f>IF(AJ98&lt;&gt;"",IF(AK98="","",AK98),"")</f>
        <v>ÁGATHA MARQUES TEIXEIRA VANINI</v>
      </c>
      <c r="AI98" s="125" t="str">
        <f>VLOOKUP(AI96,AG96:AH98,2,0)</f>
        <v/>
      </c>
      <c r="AJ98" s="234">
        <v>2</v>
      </c>
      <c r="AK98" s="169" t="str">
        <f>IF('15F GRP'!G5&gt;=3,'15F GRP'!J87,IF('15F GRP'!G5=2,"",IF('15F GRP'!G5=1,"","")))</f>
        <v>ÁGATHA MARQUES TEIXEIRA VANINI</v>
      </c>
      <c r="AL98" s="11">
        <v>6</v>
      </c>
      <c r="AN98" s="23"/>
      <c r="AO98" s="23"/>
      <c r="AP98" s="13" t="str">
        <f>IF(AR98&lt;&gt;"",1+COUNTIF(AP72:AP97,"1")+COUNTIF(AP72:AP97,"2")+COUNTIF(AP72:AP97,"3")+COUNTIF(AP72:AP97,"4")+COUNTIF(AP72:AP97,"5")+COUNTIF(AP72:AP97,"6")+COUNTIF(AP72:AP97,"7")+COUNTIF(AP72:AP97,"8")+COUNTIF(AP72:AP97,"9")+COUNTIF(AP72:AP97,"10")+COUNTIF(AP72:AP97,"11")+COUNTIF(AP72:AP97,"12")+COUNTIF(AP72:AP97,"13")+COUNTIF(AP72:AP97,"14")+COUNTIF(AP72:AP97,"15")+COUNTIF(AP72:AP97,"16")+COUNTIF(AP72:AP97,"17")+COUNTIF(AP72:AP97,"18")+COUNTIF(AP72:AP97,"19")+COUNTIF(AP72:AP97,"20")+COUNTIF(AP72:AP97,"21")+COUNTIF(AP72:AP97,"22")+COUNTIF(AP72:AP97,"23")+COUNTIF(AP72:AP97,"24")+COUNTIF(AP72:AP97,"25")+COUNTIF(AP72:AP97,"26"),"")</f>
        <v/>
      </c>
      <c r="AQ98" s="14" t="str">
        <f t="shared" si="3"/>
        <v/>
      </c>
      <c r="AR98" s="21" t="str">
        <f>IF(AR82&lt;&gt;"",IF(C72=AR82,G74,IF(C74=AR82,G74,IF(C80=AR82,G82,IF(C82=AR82,G82,IF(C102=AR82,G104,IF(C104=AR82,G104,IF(C110=AR82,G112,IF(C112=AR82,G112,IF(C88=AR82,G90,IF(C90=AR82,G90,IF(C96=AR82,G98,IF(C98=AR82,G98,IF(C118=AR82,G120,IF(C120=AR82,G120,IF(C126=AR82,G128,IF(C128=AR82,G128,IF(AK72=AR82,AI74,IF(AK74=AR82,AI74,IF(AK80=AR82,AI82,IF(AK82=AR82,AI82,IF(AK102=AR82,AI104,IF(AK104=AR82,AI104,IF(AK110=AR82,AI112,IF(AK112=AR82,AI112,IF(AK88=AR82,AI90,IF(AK90=AR82,AI90,IF(AK96=AR82,AI98,IF(AK98=AR82,AI98,IF(AK118=AR82,AI120,IF(AK120=AR82,AI120,IF(AK126=AR82,AI128,IF(AK128=AR82,AI128)))))))))))))))))))))))))))))))),"")</f>
        <v/>
      </c>
      <c r="AS98" s="15" t="str">
        <f>IFERROR(IF(AR98="","",VLOOKUP(AR98,LISTAS!$F$5:$G$1004,2,0)),"0")</f>
        <v/>
      </c>
      <c r="AT98" s="15" t="str">
        <f t="shared" si="4"/>
        <v/>
      </c>
      <c r="AU98" s="15" t="str">
        <f t="shared" si="5"/>
        <v/>
      </c>
    </row>
    <row r="99" spans="2:47" ht="18" customHeight="1" thickBot="1" x14ac:dyDescent="0.3">
      <c r="B99" s="16"/>
      <c r="C99" s="170" t="str">
        <f>IFERROR(IF(C98="","",VLOOKUP(C98,LISTAS!$F$5:$G$1004,2,0)),"0")</f>
        <v/>
      </c>
      <c r="D99" s="235"/>
      <c r="E99" s="51"/>
      <c r="F99" s="51"/>
      <c r="G99" s="176"/>
      <c r="H99" s="51"/>
      <c r="I99" s="11"/>
      <c r="J99" s="11"/>
      <c r="K99" s="166"/>
      <c r="L99" s="11"/>
      <c r="M99" s="18"/>
      <c r="N99" s="11"/>
      <c r="O99" s="169" t="str">
        <f>IF(L84&lt;&gt;"",IF(L86&lt;&gt;"",IF(L84=L86,"",IF(L84&gt;L86,K84,K86)),""),"")</f>
        <v>GABRIELA NETTO CARDOSO</v>
      </c>
      <c r="P99" s="234">
        <v>0</v>
      </c>
      <c r="Q99" s="8"/>
      <c r="R99" s="167"/>
      <c r="S99" s="71"/>
      <c r="T99" s="71"/>
      <c r="U99" s="71"/>
      <c r="V99" s="167"/>
      <c r="W99" s="8"/>
      <c r="X99" s="234">
        <v>1</v>
      </c>
      <c r="Y99" s="169" t="str">
        <f>IF(AB84&lt;&gt;"",IF(AB86&lt;&gt;"",IF(AB84=AB86,"",IF(AB84&gt;AB86,AC84,AC86)),""),"")</f>
        <v>ÁGATHA MARQUES TEIXEIRA VANINI</v>
      </c>
      <c r="Z99" s="65"/>
      <c r="AA99" s="8"/>
      <c r="AB99" s="11"/>
      <c r="AC99" s="182"/>
      <c r="AD99" s="8"/>
      <c r="AE99" s="8"/>
      <c r="AF99" s="78"/>
      <c r="AG99" s="181"/>
      <c r="AH99" s="78"/>
      <c r="AI99" s="51"/>
      <c r="AJ99" s="235"/>
      <c r="AK99" s="170" t="str">
        <f>IFERROR(IF(AK98="","",VLOOKUP(AK98,LISTAS!$F$5:$G$1004,2,0)),"0")</f>
        <v>COLÉGIO SÃO MAURO</v>
      </c>
      <c r="AL99" s="11"/>
      <c r="AM99" s="23"/>
      <c r="AP99" s="13" t="str">
        <f>IF(AR99&lt;&gt;"",1+COUNTIF(AP72:AP98,"1")+COUNTIF(AP72:AP98,"2")+COUNTIF(AP72:AP98,"3")+COUNTIF(AP72:AP98,"4")+COUNTIF(AP72:AP98,"5")+COUNTIF(AP72:AP98,"6")+COUNTIF(AP72:AP98,"7")+COUNTIF(AP72:AP98,"8")+COUNTIF(AP72:AP98,"9")+COUNTIF(AP72:AP98,"10")+COUNTIF(AP72:AP98,"11")+COUNTIF(AP72:AP98,"12")+COUNTIF(AP72:AP98,"13")+COUNTIF(AP72:AP98,"14")+COUNTIF(AP72:AP98,"15")+COUNTIF(AP72:AP98,"16")+COUNTIF(AP72:AP98,"17")+COUNTIF(AP72:AP98,"18")+COUNTIF(AP72:AP98,"19")+COUNTIF(AP72:AP98,"20")+COUNTIF(AP72:AP98,"21")+COUNTIF(AP72:AP98,"22")+COUNTIF(AP72:AP98,"23")+COUNTIF(AP72:AP98,"24")+COUNTIF(AP72:AP98,"25")+COUNTIF(AP72:AP98,"26")+COUNTIF(AP72:AP98,"27"),"")</f>
        <v/>
      </c>
      <c r="AQ99" s="14" t="str">
        <f t="shared" si="3"/>
        <v/>
      </c>
      <c r="AR99" s="21" t="str">
        <f>IF(AR83&lt;&gt;"",IF(C72=AR83,G74,IF(C74=AR83,G74,IF(C80=AR83,G82,IF(C82=AR83,G82,IF(C102=AR83,G104,IF(C104=AR83,G104,IF(C110=AR83,G112,IF(C112=AR83,G112,IF(C88=AR83,G90,IF(C90=AR83,G90,IF(C96=AR83,G98,IF(C98=AR83,G98,IF(C118=AR83,G120,IF(C120=AR83,G120,IF(C126=AR83,G128,IF(C128=AR83,G128,IF(AK72=AR83,AI74,IF(AK74=AR83,AI74,IF(AK80=AR83,AI82,IF(AK82=AR83,AI82,IF(AK102=AR83,AI104,IF(AK104=AR83,AI104,IF(AK110=AR83,AI112,IF(AK112=AR83,AI112,IF(AK88=AR83,AI90,IF(AK90=AR83,AI90,IF(AK96=AR83,AI98,IF(AK98=AR83,AI98,IF(AK118=AR83,AI120,IF(AK120=AR83,AI120,IF(AK126=AR83,AI128,IF(AK128=AR83,AI128)))))))))))))))))))))))))))))))),"")</f>
        <v/>
      </c>
      <c r="AS99" s="15" t="str">
        <f>IFERROR(IF(AR99="","",VLOOKUP(AR99,LISTAS!$F$5:$G$1004,2,0)),"0")</f>
        <v/>
      </c>
      <c r="AT99" s="15" t="str">
        <f t="shared" si="4"/>
        <v/>
      </c>
      <c r="AU99" s="15" t="str">
        <f t="shared" si="5"/>
        <v/>
      </c>
    </row>
    <row r="100" spans="2:47" ht="18" customHeight="1" thickBot="1" x14ac:dyDescent="0.3">
      <c r="B100" s="16"/>
      <c r="C100" s="166"/>
      <c r="D100" s="11"/>
      <c r="E100" s="51"/>
      <c r="F100" s="51"/>
      <c r="G100" s="176"/>
      <c r="H100" s="51"/>
      <c r="I100" s="11"/>
      <c r="J100" s="11"/>
      <c r="K100" s="166"/>
      <c r="L100" s="11"/>
      <c r="M100" s="18"/>
      <c r="N100" s="11"/>
      <c r="O100" s="170" t="str">
        <f>IFERROR(IF(O99="","",VLOOKUP(O99,LISTAS!$F$5:$G$1004,2,0)),"0")</f>
        <v>COLÉGIO ARBOS - UNIDADE SANTO ANDRÉ</v>
      </c>
      <c r="P100" s="235"/>
      <c r="Q100" s="8"/>
      <c r="R100" s="169" t="str">
        <f>IF(P99&lt;&gt;"",IF(P101&lt;&gt;"",IF(P99=P101,"",IF(P99&gt;P101,O99,O101)),""),"")</f>
        <v>MIRELA VIVANCO CARDOSO</v>
      </c>
      <c r="S100" s="234">
        <v>1</v>
      </c>
      <c r="T100" s="237" t="s">
        <v>38</v>
      </c>
      <c r="U100" s="234">
        <v>0</v>
      </c>
      <c r="V100" s="169" t="str">
        <f>IF(X99&lt;&gt;"",IF(X101&lt;&gt;"",IF(X99=X101,"",IF(X99&gt;X101,Y99,Y101)),""),"")</f>
        <v>ÁGATHA MARQUES TEIXEIRA VANINI</v>
      </c>
      <c r="W100" s="112"/>
      <c r="X100" s="235"/>
      <c r="Y100" s="170" t="str">
        <f>IFERROR(IF(Y99="","",VLOOKUP(Y99,LISTAS!$F$5:$G$1004,2,0)),"0")</f>
        <v>COLÉGIO SÃO MAURO</v>
      </c>
      <c r="Z100" s="112"/>
      <c r="AA100" s="8"/>
      <c r="AB100" s="11"/>
      <c r="AC100" s="182"/>
      <c r="AD100" s="8"/>
      <c r="AE100" s="8"/>
      <c r="AF100" s="78"/>
      <c r="AG100" s="181"/>
      <c r="AH100" s="78"/>
      <c r="AI100" s="78"/>
      <c r="AJ100" s="11"/>
      <c r="AK100" s="166"/>
      <c r="AL100" s="11"/>
      <c r="AP100" s="13" t="str">
        <f>IF(AR100&lt;&gt;"",1+COUNTIF(AP72:AP99,"1")+COUNTIF(AP72:AP99,"2")+COUNTIF(AP72:AP99,"3")+COUNTIF(AP72:AP99,"4")+COUNTIF(AP72:AP99,"5")+COUNTIF(AP72:AP99,"6")+COUNTIF(AP72:AP99,"7")+COUNTIF(AP72:AP99,"8")+COUNTIF(AP72:AP99,"9")+COUNTIF(AP72:AP99,"10")+COUNTIF(AP72:AP99,"11")+COUNTIF(AP72:AP99,"12")+COUNTIF(AP72:AP99,"13")+COUNTIF(AP72:AP99,"14")+COUNTIF(AP72:AP99,"15")+COUNTIF(AP72:AP99,"16")+COUNTIF(AP72:AP99,"17")+COUNTIF(AP72:AP99,"18")+COUNTIF(AP72:AP99,"19")+COUNTIF(AP72:AP99,"20")+COUNTIF(AP72:AP99,"21")+COUNTIF(AP72:AP99,"22")+COUNTIF(AP72:AP99,"23")+COUNTIF(AP72:AP99,"24")+COUNTIF(AP72:AP99,"25")+COUNTIF(AP72:AP99,"26")+COUNTIF(AP72:AP99,"27")+COUNTIF(AP72:AP99,"28"),"")</f>
        <v/>
      </c>
      <c r="AQ100" s="14" t="str">
        <f t="shared" si="3"/>
        <v/>
      </c>
      <c r="AR100" s="21" t="str">
        <f>IF(AR84&lt;&gt;"",IF(C72=AR84,G74,IF(C74=AR84,G74,IF(C80=AR84,G82,IF(C82=AR84,G82,IF(C102=AR84,G104,IF(C104=AR84,G104,IF(C110=AR84,G112,IF(C112=AR84,G112,IF(C88=AR84,G90,IF(C90=AR84,G90,IF(C96=AR84,G98,IF(C98=AR84,G98,IF(C118=AR84,G120,IF(C120=AR84,G120,IF(C126=AR84,G128,IF(C128=AR84,G128,IF(AK72=AR84,AI74,IF(AK74=AR84,AI74,IF(AK80=AR84,AI82,IF(AK82=AR84,AI82,IF(AK102=AR84,AI104,IF(AK104=AR84,AI104,IF(AK110=AR84,AI112,IF(AK112=AR84,AI112,IF(AK88=AR84,AI90,IF(AK90=AR84,AI90,IF(AK96=AR84,AI98,IF(AK98=AR84,AI98,IF(AK118=AR84,AI120,IF(AK120=AR84,AI120,IF(AK126=AR84,AI128,IF(AK128=AR84,AI128)))))))))))))))))))))))))))))))),"")</f>
        <v/>
      </c>
      <c r="AS100" s="15" t="str">
        <f>IFERROR(IF(AR100="","",VLOOKUP(AR100,LISTAS!$F$5:$G$1004,2,0)),"0")</f>
        <v/>
      </c>
      <c r="AT100" s="15" t="str">
        <f t="shared" si="4"/>
        <v/>
      </c>
      <c r="AU100" s="15" t="str">
        <f t="shared" si="5"/>
        <v/>
      </c>
    </row>
    <row r="101" spans="2:47" ht="18" customHeight="1" thickBot="1" x14ac:dyDescent="0.3">
      <c r="B101" s="16"/>
      <c r="C101" s="166"/>
      <c r="D101" s="11"/>
      <c r="E101" s="11"/>
      <c r="F101" s="11"/>
      <c r="G101" s="166"/>
      <c r="H101" s="11"/>
      <c r="I101" s="11"/>
      <c r="J101" s="11"/>
      <c r="K101" s="166"/>
      <c r="L101" s="11"/>
      <c r="M101" s="18"/>
      <c r="N101" s="19"/>
      <c r="O101" s="169" t="str">
        <f>IF(L114&lt;&gt;"",IF(L116&lt;&gt;"",IF(L114=L116,"",IF(L114&gt;L116,K114,K116)),""),"")</f>
        <v>MIRELA VIVANCO CARDOSO</v>
      </c>
      <c r="P101" s="234">
        <v>1</v>
      </c>
      <c r="Q101" s="72"/>
      <c r="R101" s="170" t="str">
        <f>IFERROR(IF(R100="","",VLOOKUP(R100,LISTAS!$F$5:$G$1004,2,0)),"0")</f>
        <v>COLÉGIO ARBOS - UNIDADE SANTO ANDRÉ</v>
      </c>
      <c r="S101" s="235"/>
      <c r="T101" s="237"/>
      <c r="U101" s="235"/>
      <c r="V101" s="170" t="str">
        <f>IFERROR(IF(V100="","",VLOOKUP(V100,LISTAS!$F$5:$G$1004,2,0)),"0")</f>
        <v>COLÉGIO SÃO MAURO</v>
      </c>
      <c r="W101" s="66"/>
      <c r="X101" s="234">
        <v>0</v>
      </c>
      <c r="Y101" s="169" t="str">
        <f>IF(AB114&lt;&gt;"",IF(AB116&lt;&gt;"",IF(AB114=AB116,"",IF(AB114&gt;AB116,AC114,AC116)),""),"")</f>
        <v>JÚLIA ADRIANI GOMES NICOLA</v>
      </c>
      <c r="Z101" s="66"/>
      <c r="AA101" s="8"/>
      <c r="AB101" s="11"/>
      <c r="AC101" s="182"/>
      <c r="AD101" s="8"/>
      <c r="AE101" s="8"/>
      <c r="AF101" s="78"/>
      <c r="AG101" s="181"/>
      <c r="AH101" s="78"/>
      <c r="AI101" s="78"/>
      <c r="AJ101" s="11"/>
      <c r="AK101" s="166"/>
      <c r="AL101" s="11"/>
      <c r="AP101" s="13" t="str">
        <f>IF(AR101&lt;&gt;"",1+COUNTIF(AP72:AP100,"1")+COUNTIF(AP72:AP100,"2")+COUNTIF(AP72:AP100,"3")+COUNTIF(AP72:AP100,"4")+COUNTIF(AP72:AP100,"5")+COUNTIF(AP72:AP100,"6")+COUNTIF(AP72:AP100,"7")+COUNTIF(AP72:AP100,"8")+COUNTIF(AP72:AP100,"9")+COUNTIF(AP72:AP100,"10")+COUNTIF(AP72:AP100,"11")+COUNTIF(AP72:AP100,"12")+COUNTIF(AP72:AP100,"13")+COUNTIF(AP72:AP100,"14")+COUNTIF(AP72:AP100,"15")+COUNTIF(AP72:AP100,"16")+COUNTIF(AP72:AP100,"17")+COUNTIF(AP72:AP100,"18")+COUNTIF(AP72:AP100,"19")+COUNTIF(AP72:AP100,"20")+COUNTIF(AP72:AP100,"21")+COUNTIF(AP72:AP100,"22")+COUNTIF(AP72:AP100,"23")+COUNTIF(AP72:AP100,"24")+COUNTIF(AP72:AP100,"25")+COUNTIF(AP72:AP100,"26")+COUNTIF(AP72:AP100,"27")+COUNTIF(AP72:AP100,"28")+COUNTIF(AP72:AP100,"29"),"")</f>
        <v/>
      </c>
      <c r="AQ101" s="14" t="str">
        <f t="shared" si="3"/>
        <v/>
      </c>
      <c r="AR101" s="21" t="str">
        <f>IF(AR85&lt;&gt;"",IF(C72=AR85,G74,IF(C74=AR85,G74,IF(C80=AR85,G82,IF(C82=AR85,G82,IF(C102=AR85,G104,IF(C104=AR85,G104,IF(C110=AR85,G112,IF(C112=AR85,G112,IF(C88=AR85,G90,IF(C90=AR85,G90,IF(C96=AR85,G98,IF(C98=AR85,G98,IF(C118=AR85,G120,IF(C120=AR85,G120,IF(C126=AR85,G128,IF(C128=AR85,G128,IF(AK72=AR85,AI74,IF(AK74=AR85,AI74,IF(AK80=AR85,AI82,IF(AK82=AR85,AI82,IF(AK102=AR85,AI104,IF(AK104=AR85,AI104,IF(AK110=AR85,AI112,IF(AK112=AR85,AI112,IF(AK88=AR85,AI90,IF(AK90=AR85,AI90,IF(AK96=AR85,AI98,IF(AK98=AR85,AI98,IF(AK118=AR85,AI120,IF(AK120=AR85,AI120,IF(AK126=AR85,AI128,IF(AK128=AR85,AI128)))))))))))))))))))))))))))))))),"")</f>
        <v/>
      </c>
      <c r="AS101" s="15" t="str">
        <f>IFERROR(IF(AR101="","",VLOOKUP(AR101,LISTAS!$F$5:$G$1004,2,0)),"0")</f>
        <v/>
      </c>
      <c r="AT101" s="15" t="str">
        <f t="shared" si="4"/>
        <v/>
      </c>
      <c r="AU101" s="15" t="str">
        <f t="shared" si="5"/>
        <v/>
      </c>
    </row>
    <row r="102" spans="2:47" ht="18" customHeight="1" thickBot="1" x14ac:dyDescent="0.3">
      <c r="B102" s="16">
        <v>5</v>
      </c>
      <c r="C102" s="169" t="str">
        <f>IF('15F GRP'!G5&gt;=3,'15F GRP'!J74,IF('15F GRP'!G5=2,"",IF('15F GRP'!G5=1,"","")))</f>
        <v>SOFIA MILLON DE LUCA</v>
      </c>
      <c r="D102" s="234">
        <v>2</v>
      </c>
      <c r="E102" s="51">
        <f>IF(D102&lt;&gt;"",D102,"")</f>
        <v>2</v>
      </c>
      <c r="F102" s="51" t="str">
        <f>IF(D102&lt;&gt;"",IF(C102="","",C102),"")</f>
        <v>SOFIA MILLON DE LUCA</v>
      </c>
      <c r="G102" s="176">
        <f>IF(E102&lt;&gt;"",IF(E104&lt;&gt;"",SMALL(E102:E104,1),""),"")</f>
        <v>0</v>
      </c>
      <c r="H102" s="11"/>
      <c r="I102" s="11"/>
      <c r="J102" s="11"/>
      <c r="K102" s="166"/>
      <c r="L102" s="11"/>
      <c r="M102" s="18"/>
      <c r="N102" s="8"/>
      <c r="O102" s="170" t="str">
        <f>IFERROR(IF(O101="","",VLOOKUP(O101,LISTAS!$F$5:$G$1004,2,0)),"0")</f>
        <v>COLÉGIO ARBOS - UNIDADE SANTO ANDRÉ</v>
      </c>
      <c r="P102" s="235"/>
      <c r="Q102" s="60"/>
      <c r="R102" s="182"/>
      <c r="S102" s="8"/>
      <c r="T102" s="8"/>
      <c r="U102" s="8"/>
      <c r="V102" s="182"/>
      <c r="W102" s="8"/>
      <c r="X102" s="235"/>
      <c r="Y102" s="170" t="str">
        <f>IFERROR(IF(Y101="","",VLOOKUP(Y101,LISTAS!$F$5:$G$1004,2,0)),"0")</f>
        <v>COLÉGIO ENGENHEIRO SALVADOR ARENA</v>
      </c>
      <c r="Z102" s="65"/>
      <c r="AA102" s="8"/>
      <c r="AB102" s="11"/>
      <c r="AC102" s="182"/>
      <c r="AD102" s="8"/>
      <c r="AE102" s="8"/>
      <c r="AF102" s="78"/>
      <c r="AG102" s="181">
        <f>IF(AJ102&lt;&gt;"",AJ102,"")</f>
        <v>0</v>
      </c>
      <c r="AH102" s="78" t="str">
        <f>IF(AJ102&lt;&gt;"",IF(AK102="","",AK102),"")</f>
        <v/>
      </c>
      <c r="AI102" s="51">
        <f>IF(AG102&lt;&gt;"",IF(AG104&lt;&gt;"",SMALL(AG102:AG104,1),""),"")</f>
        <v>0</v>
      </c>
      <c r="AJ102" s="234">
        <v>0</v>
      </c>
      <c r="AK102" s="169" t="str">
        <f>IF('15F GRP'!G5&gt;=3,'15F GRP'!J100,IF('15F GRP'!G5=2,"",IF('15F GRP'!G5=1,"","")))</f>
        <v/>
      </c>
      <c r="AL102" s="11">
        <v>7</v>
      </c>
      <c r="AP102" s="13" t="str">
        <f>IF(AR102&lt;&gt;"",1+COUNTIF(AP72:AP101,"1")+COUNTIF(AP72:AP101,"2")+COUNTIF(AP72:AP101,"3")+COUNTIF(AP72:AP101,"4")+COUNTIF(AP72:AP101,"5")+COUNTIF(AP72:AP101,"6")+COUNTIF(AP72:AP101,"7")+COUNTIF(AP72:AP101,"8")+COUNTIF(AP72:AP101,"9")+COUNTIF(AP72:AP101,"10")+COUNTIF(AP72:AP101,"11")+COUNTIF(AP72:AP101,"12")+COUNTIF(AP72:AP101,"13")+COUNTIF(AP72:AP101,"14")+COUNTIF(AP72:AP101,"15")+COUNTIF(AP72:AP101,"16")+COUNTIF(AP72:AP101,"17")+COUNTIF(AP72:AP101,"18")+COUNTIF(AP72:AP101,"19")+COUNTIF(AP72:AP101,"20")+COUNTIF(AP72:AP101,"21")+COUNTIF(AP72:AP101,"22")+COUNTIF(AP72:AP101,"23")+COUNTIF(AP72:AP101,"24")+COUNTIF(AP72:AP101,"25")+COUNTIF(AP72:AP101,"26")+COUNTIF(AP72:AP101,"27")+COUNTIF(AP72:AP101,"28")+COUNTIF(AP72:AP101,"29")+COUNTIF(AP72:AP101,"30"),"")</f>
        <v/>
      </c>
      <c r="AQ102" s="14" t="str">
        <f t="shared" si="3"/>
        <v/>
      </c>
      <c r="AR102" s="21" t="str">
        <f>IF(AR86&lt;&gt;"",IF(C72=AR86,G74,IF(C74=AR86,G74,IF(C80=AR86,G82,IF(C82=AR86,G82,IF(C102=AR86,G104,IF(C104=AR86,G104,IF(C110=AR86,G112,IF(C112=AR86,G112,IF(C88=AR86,G90,IF(C90=AR86,G90,IF(C96=AR86,G98,IF(C98=AR86,G98,IF(C118=AR86,G120,IF(C120=AR86,G120,IF(C126=AR86,G128,IF(C128=AR86,G128,IF(AK72=AR86,AI74,IF(AK74=AR86,AI74,IF(AK80=AR86,AI82,IF(AK82=AR86,AI82,IF(AK102=AR86,AI104,IF(AK104=AR86,AI104,IF(AK110=AR86,AI112,IF(AK112=AR86,AI112,IF(AK88=AR86,AI90,IF(AK90=AR86,AI90,IF(AK96=AR86,AI98,IF(AK98=AR86,AI98,IF(AK118=AR86,AI120,IF(AK120=AR86,AI120,IF(AK126=AR86,AI128,IF(AK128=AR86,AI128)))))))))))))))))))))))))))))))),"")</f>
        <v/>
      </c>
      <c r="AS102" s="15" t="str">
        <f>IFERROR(IF(AR102="","",VLOOKUP(AR102,LISTAS!$F$5:$G$1004,2,0)),"0")</f>
        <v/>
      </c>
      <c r="AT102" s="15" t="str">
        <f t="shared" si="4"/>
        <v/>
      </c>
      <c r="AU102" s="15" t="str">
        <f t="shared" si="5"/>
        <v/>
      </c>
    </row>
    <row r="103" spans="2:47" ht="18" customHeight="1" thickBot="1" x14ac:dyDescent="0.3">
      <c r="B103" s="16"/>
      <c r="C103" s="170" t="str">
        <f>IFERROR(IF(C102="","",VLOOKUP(C102,LISTAS!$F$5:$G$1004,2,0)),"0")</f>
        <v>COLÉGIO ENGENHEIRO SALVADOR ARENA</v>
      </c>
      <c r="D103" s="235"/>
      <c r="E103" s="51"/>
      <c r="F103" s="51"/>
      <c r="G103" s="176"/>
      <c r="H103" s="11"/>
      <c r="I103" s="11"/>
      <c r="J103" s="11"/>
      <c r="K103" s="166"/>
      <c r="L103" s="11"/>
      <c r="M103" s="18"/>
      <c r="N103" s="8"/>
      <c r="O103" s="182"/>
      <c r="P103" s="8"/>
      <c r="Q103" s="60"/>
      <c r="R103" s="182"/>
      <c r="S103" s="8"/>
      <c r="T103" s="8"/>
      <c r="U103" s="8"/>
      <c r="V103" s="182"/>
      <c r="W103" s="8"/>
      <c r="X103" s="62"/>
      <c r="Y103" s="182"/>
      <c r="Z103" s="65"/>
      <c r="AA103" s="8"/>
      <c r="AB103" s="11"/>
      <c r="AC103" s="182"/>
      <c r="AD103" s="8"/>
      <c r="AE103" s="8"/>
      <c r="AF103" s="78"/>
      <c r="AG103" s="181"/>
      <c r="AH103" s="78"/>
      <c r="AI103" s="51"/>
      <c r="AJ103" s="235"/>
      <c r="AK103" s="170" t="str">
        <f>IFERROR(IF(AK102="","",VLOOKUP(AK102,LISTAS!$F$5:$G$1004,2,0)),"0")</f>
        <v/>
      </c>
      <c r="AL103" s="11"/>
      <c r="AP103" s="13" t="str">
        <f>IF(AR103&lt;&gt;"",1+COUNTIF(AP72:AP102,"1")+COUNTIF(AP72:AP102,"2")+COUNTIF(AP72:AP102,"3")+COUNTIF(AP72:AP102,"4")+COUNTIF(AP72:AP102,"5")+COUNTIF(AP72:AP102,"6")+COUNTIF(AP72:AP102,"7")+COUNTIF(AP72:AP102,"8")+COUNTIF(AP72:AP102,"9")+COUNTIF(AP72:AP102,"10")+COUNTIF(AP72:AP102,"11")+COUNTIF(AP72:AP102,"12")+COUNTIF(AP72:AP102,"13")+COUNTIF(AP72:AP102,"14")+COUNTIF(AP72:AP102,"15")+COUNTIF(AP72:AP102,"16")+COUNTIF(AP72:AP102,"17")+COUNTIF(AP72:AP102,"18")+COUNTIF(AP72:AP102,"19")+COUNTIF(AP72:AP102,"20")+COUNTIF(AP72:AP102,"21")+COUNTIF(AP72:AP102,"22")+COUNTIF(AP72:AP102,"23")+COUNTIF(AP72:AP102,"24")+COUNTIF(AP72:AP102,"25")+COUNTIF(AP72:AP102,"26")+COUNTIF(AP72:AP102,"27")+COUNTIF(AP72:AP102,"28")+COUNTIF(AP72:AP102,"29")+COUNTIF(AP72:AP102,"30")+COUNTIF(AP72:AP102,"31"),"")</f>
        <v/>
      </c>
      <c r="AQ103" s="14" t="str">
        <f t="shared" si="3"/>
        <v/>
      </c>
      <c r="AR103" s="21" t="str">
        <f>IF(AR87&lt;&gt;"",IF(C72=AR87,G74,IF(C74=AR87,G74,IF(C80=AR87,G82,IF(C82=AR87,G82,IF(C102=AR87,G104,IF(C104=AR87,G104,IF(C110=AR87,G112,IF(C112=AR87,G112,IF(C88=AR87,G90,IF(C90=AR87,G90,IF(C96=AR87,G98,IF(C98=AR87,G98,IF(C118=AR87,G120,IF(C120=AR87,G120,IF(C126=AR87,G128,IF(C128=AR87,G128,IF(AK72=AR87,AI74,IF(AK74=AR87,AI74,IF(AK80=AR87,AI82,IF(AK82=AR87,AI82,IF(AK102=AR87,AI104,IF(AK104=AR87,AI104,IF(AK110=AR87,AI112,IF(AK112=AR87,AI112,IF(AK88=AR87,AI90,IF(AK90=AR87,AI90,IF(AK96=AR87,AI98,IF(AK98=AR87,AI98,IF(AK118=AR87,AI120,IF(AK120=AR87,AI120,IF(AK126=AR87,AI128,IF(AK128=AR87,AI128)))))))))))))))))))))))))))))))),"")</f>
        <v/>
      </c>
      <c r="AS103" s="15" t="str">
        <f>IFERROR(IF(AR103="","",VLOOKUP(AR103,LISTAS!$F$5:$G$1004,2,0)),"0")</f>
        <v/>
      </c>
      <c r="AT103" s="15" t="str">
        <f>IF(AP103="","",IF(AP103=1,180,IF(AP103=2,170,IF(AP103=3,150,IF(AP103=4,140,IF(AP103=5,135,IF(AP103=6,130,IF(AP103=7,120,IF(AP103=8,110,IF(AP103=9,105,IF(AP103=10,105,IF(AP103=11,105,IF(AP103=12,105,IF(AP103=13,105,IF(AP103=14,105,IF(AP103=15,105,IF(AP103=16,105,IF(AP103&gt;16,"",""))))))))))))))))))</f>
        <v/>
      </c>
      <c r="AU103" s="15" t="str">
        <f>IF(AP103="","",IF($AS$5="NÃO","",IF(AP103=1,180,IF(AP103=2,170,IF(AP103=3,150,IF(AP103=4,140,IF(AP103=5,135,IF(AP103=6,130,IF(AP103=7,120,IF(AP103=8,110,IF(AP103=9,105,IF(AP103=10,105,IF(AP103=11,105,IF(AP103=12,105,IF(AP103=13,105,IF(AP103=14,105,IF(AP103=15,105,IF(AP103=16,105,IF(AP103&gt;16,"","")))))))))))))))))))</f>
        <v/>
      </c>
    </row>
    <row r="104" spans="2:47" ht="18" customHeight="1" x14ac:dyDescent="0.25">
      <c r="B104" s="16">
        <v>28</v>
      </c>
      <c r="C104" s="169" t="str">
        <f>IF('15F GRP'!G5&gt;=3,'15F GRP'!J373,IF('15F GRP'!G5=2,"",IF('15F GRP'!G5=1,"","")))</f>
        <v/>
      </c>
      <c r="D104" s="234">
        <v>0</v>
      </c>
      <c r="E104" s="52">
        <f>IF(D104&lt;&gt;"",D104,"")</f>
        <v>0</v>
      </c>
      <c r="F104" s="51" t="str">
        <f>IF(D104&lt;&gt;"",IF(C104="","",C104),"")</f>
        <v/>
      </c>
      <c r="G104" s="176" t="str">
        <f>VLOOKUP(G102,E102:F104,2,0)</f>
        <v/>
      </c>
      <c r="H104" s="11"/>
      <c r="I104" s="51"/>
      <c r="J104" s="51"/>
      <c r="K104" s="176"/>
      <c r="L104" s="51"/>
      <c r="M104" s="54"/>
      <c r="N104" s="51">
        <f>IF(P99&lt;&gt;"",P99,"")</f>
        <v>0</v>
      </c>
      <c r="O104" s="176" t="str">
        <f>IF(P99&lt;&gt;"",O99,"")</f>
        <v>GABRIELA NETTO CARDOSO</v>
      </c>
      <c r="P104" s="51">
        <f>IF(N104&lt;&gt;"",IF(N106&lt;&gt;"",LARGE(N104:N106,1),""),"")</f>
        <v>1</v>
      </c>
      <c r="Q104" s="78"/>
      <c r="R104" s="181"/>
      <c r="S104" s="8"/>
      <c r="T104" s="8"/>
      <c r="U104" s="8"/>
      <c r="V104" s="182"/>
      <c r="W104" s="8"/>
      <c r="X104" s="62"/>
      <c r="Y104" s="182"/>
      <c r="Z104" s="65"/>
      <c r="AA104" s="8"/>
      <c r="AB104" s="11"/>
      <c r="AC104" s="182"/>
      <c r="AD104" s="8"/>
      <c r="AE104" s="8"/>
      <c r="AF104" s="78"/>
      <c r="AG104" s="181">
        <f>IF(AJ104&lt;&gt;"",AJ104,"")</f>
        <v>0</v>
      </c>
      <c r="AH104" s="78" t="str">
        <f>IF(AJ104&lt;&gt;"",IF(AK104="","",AK104),"")</f>
        <v/>
      </c>
      <c r="AI104" s="55" t="str">
        <f>VLOOKUP(AI102,AG102:AH104,2,0)</f>
        <v/>
      </c>
      <c r="AJ104" s="234">
        <v>0</v>
      </c>
      <c r="AK104" s="169" t="str">
        <f>IF('15F GRP'!G5&gt;=3,'15F GRP'!J347,IF('15F GRP'!G5=2,"",IF('15F GRP'!G5=1,"","")))</f>
        <v/>
      </c>
      <c r="AL104" s="11">
        <v>26</v>
      </c>
    </row>
    <row r="105" spans="2:47" ht="18" customHeight="1" thickBot="1" x14ac:dyDescent="0.3">
      <c r="B105" s="16"/>
      <c r="C105" s="170" t="str">
        <f>IFERROR(IF(C104="","",VLOOKUP(C104,LISTAS!$F$5:$G$1004,2,0)),"0")</f>
        <v/>
      </c>
      <c r="D105" s="235"/>
      <c r="E105" s="121"/>
      <c r="F105" s="11"/>
      <c r="G105" s="166"/>
      <c r="H105" s="11"/>
      <c r="I105" s="51"/>
      <c r="J105" s="51"/>
      <c r="K105" s="176"/>
      <c r="L105" s="51"/>
      <c r="M105" s="54"/>
      <c r="N105" s="51"/>
      <c r="O105" s="176"/>
      <c r="P105" s="51"/>
      <c r="Q105" s="78"/>
      <c r="R105" s="181"/>
      <c r="S105" s="8"/>
      <c r="T105" s="8"/>
      <c r="U105" s="8"/>
      <c r="V105" s="182"/>
      <c r="W105" s="8"/>
      <c r="X105" s="62"/>
      <c r="Y105" s="182"/>
      <c r="Z105" s="65"/>
      <c r="AA105" s="8"/>
      <c r="AB105" s="11"/>
      <c r="AC105" s="182"/>
      <c r="AD105" s="8"/>
      <c r="AE105" s="8"/>
      <c r="AF105" s="78"/>
      <c r="AG105" s="181"/>
      <c r="AH105" s="78"/>
      <c r="AI105" s="123"/>
      <c r="AJ105" s="235"/>
      <c r="AK105" s="170" t="str">
        <f>IFERROR(IF(AK104="","",VLOOKUP(AK104,LISTAS!$F$5:$G$1004,2,0)),"0")</f>
        <v/>
      </c>
      <c r="AL105" s="11"/>
    </row>
    <row r="106" spans="2:47" ht="18" customHeight="1" x14ac:dyDescent="0.25">
      <c r="B106" s="16"/>
      <c r="C106" s="166"/>
      <c r="D106" s="11"/>
      <c r="E106" s="11"/>
      <c r="F106" s="17"/>
      <c r="G106" s="169" t="str">
        <f>IF(D102&lt;&gt;"",IF(D104&lt;&gt;"",IF(D102=D104,"",IF(D102&gt;D104,C102,C104)),""),"")</f>
        <v>SOFIA MILLON DE LUCA</v>
      </c>
      <c r="H106" s="234">
        <v>2</v>
      </c>
      <c r="I106" s="51">
        <f>IF(H106&lt;&gt;"",H106,"")</f>
        <v>2</v>
      </c>
      <c r="J106" s="51" t="str">
        <f>IF(H106&lt;&gt;"",IF(G106="","",G106),"")</f>
        <v>SOFIA MILLON DE LUCA</v>
      </c>
      <c r="K106" s="176">
        <f>IF(I106&lt;&gt;"",IF(I108&lt;&gt;"",SMALL(I106:J108,1),""),"")</f>
        <v>0</v>
      </c>
      <c r="L106" s="51"/>
      <c r="M106" s="54"/>
      <c r="N106" s="51">
        <f>IF(P101&lt;&gt;"",P101,"")</f>
        <v>1</v>
      </c>
      <c r="O106" s="176" t="str">
        <f>IF(P101&lt;&gt;"",O101,"")</f>
        <v>MIRELA VIVANCO CARDOSO</v>
      </c>
      <c r="P106" s="51" t="str">
        <f>VLOOKUP(P104,N104:O106,2,0)</f>
        <v>MIRELA VIVANCO CARDOSO</v>
      </c>
      <c r="Q106" s="78"/>
      <c r="R106" s="181"/>
      <c r="S106" s="8"/>
      <c r="T106" s="8"/>
      <c r="U106" s="8"/>
      <c r="V106" s="182"/>
      <c r="W106" s="8"/>
      <c r="X106" s="62"/>
      <c r="Y106" s="182"/>
      <c r="Z106" s="65"/>
      <c r="AA106" s="8"/>
      <c r="AB106" s="11"/>
      <c r="AC106" s="182"/>
      <c r="AD106" s="8"/>
      <c r="AE106" s="67"/>
      <c r="AF106" s="234">
        <v>0</v>
      </c>
      <c r="AG106" s="169" t="str">
        <f>IF(AJ102&lt;&gt;"",IF(AJ104&lt;&gt;"",IF(AJ102=AJ104,"",IF(AJ102&gt;AJ104,AK102,AK104)),""),"")</f>
        <v/>
      </c>
      <c r="AH106" s="65"/>
      <c r="AI106" s="8"/>
      <c r="AJ106" s="11"/>
      <c r="AK106" s="166"/>
      <c r="AL106" s="11"/>
    </row>
    <row r="107" spans="2:47" ht="18" customHeight="1" thickBot="1" x14ac:dyDescent="0.3">
      <c r="B107" s="16"/>
      <c r="C107" s="166"/>
      <c r="D107" s="11"/>
      <c r="E107" s="11"/>
      <c r="F107" s="17"/>
      <c r="G107" s="170" t="str">
        <f>IFERROR(IF(G106="","",VLOOKUP(G106,LISTAS!$F$5:$G$1004,2,0)),"0")</f>
        <v>COLÉGIO ENGENHEIRO SALVADOR ARENA</v>
      </c>
      <c r="H107" s="235"/>
      <c r="I107" s="51"/>
      <c r="J107" s="51"/>
      <c r="K107" s="176"/>
      <c r="L107" s="51"/>
      <c r="M107" s="54"/>
      <c r="N107" s="51"/>
      <c r="O107" s="176"/>
      <c r="P107" s="51"/>
      <c r="Q107" s="78"/>
      <c r="R107" s="181"/>
      <c r="S107" s="8"/>
      <c r="T107" s="8"/>
      <c r="U107" s="8"/>
      <c r="V107" s="182"/>
      <c r="W107" s="8"/>
      <c r="X107" s="62"/>
      <c r="Y107" s="182"/>
      <c r="Z107" s="65"/>
      <c r="AA107" s="8"/>
      <c r="AB107" s="11"/>
      <c r="AC107" s="182"/>
      <c r="AD107" s="8"/>
      <c r="AE107" s="67"/>
      <c r="AF107" s="235"/>
      <c r="AG107" s="170" t="str">
        <f>IFERROR(IF(AG106="","",VLOOKUP(AG106,LISTAS!$F$5:$G$1004,2,0)),"0")</f>
        <v/>
      </c>
      <c r="AH107" s="65"/>
      <c r="AI107" s="8"/>
      <c r="AJ107" s="11"/>
      <c r="AK107" s="166"/>
      <c r="AL107" s="11"/>
    </row>
    <row r="108" spans="2:47" ht="18" customHeight="1" x14ac:dyDescent="0.25">
      <c r="B108" s="16"/>
      <c r="C108" s="166"/>
      <c r="D108" s="11"/>
      <c r="E108" s="18"/>
      <c r="F108" s="19"/>
      <c r="G108" s="169" t="str">
        <f>IF(D110&lt;&gt;"",IF(D112&lt;&gt;"",IF(D110=D112,"",IF(D110&gt;D112,C110,C112)),""),"")</f>
        <v/>
      </c>
      <c r="H108" s="234">
        <v>0</v>
      </c>
      <c r="I108" s="52">
        <f>IF(H108&lt;&gt;"",H108,"")</f>
        <v>0</v>
      </c>
      <c r="J108" s="51" t="str">
        <f>IF(H108&lt;&gt;"",IF(G108="","",G108),"")</f>
        <v/>
      </c>
      <c r="K108" s="176" t="str">
        <f>VLOOKUP(K106,I106:J108,2,0)</f>
        <v/>
      </c>
      <c r="L108" s="51"/>
      <c r="M108" s="54"/>
      <c r="N108" s="51">
        <f>IF(P99&lt;&gt;"",P99,"")</f>
        <v>0</v>
      </c>
      <c r="O108" s="176" t="str">
        <f>IF(P99&lt;&gt;"",O99,"")</f>
        <v>GABRIELA NETTO CARDOSO</v>
      </c>
      <c r="P108" s="51">
        <f>IF(N108&lt;&gt;"",IF(N110&lt;&gt;"",SMALL(N108:N110,1),""),"")</f>
        <v>0</v>
      </c>
      <c r="Q108" s="78"/>
      <c r="R108" s="181"/>
      <c r="S108" s="8"/>
      <c r="T108" s="8"/>
      <c r="U108" s="8"/>
      <c r="V108" s="182"/>
      <c r="W108" s="8"/>
      <c r="X108" s="62"/>
      <c r="Y108" s="182"/>
      <c r="Z108" s="65"/>
      <c r="AA108" s="8"/>
      <c r="AB108" s="11"/>
      <c r="AC108" s="182"/>
      <c r="AD108" s="65"/>
      <c r="AE108" s="68"/>
      <c r="AF108" s="234">
        <v>0</v>
      </c>
      <c r="AG108" s="169" t="str">
        <f>IF(AJ110&lt;&gt;"",IF(AJ112&lt;&gt;"",IF(AJ110=AJ112,"",IF(AJ110&gt;AJ112,AK110,AK112)),""),"")</f>
        <v/>
      </c>
      <c r="AH108" s="66"/>
      <c r="AI108" s="8"/>
      <c r="AJ108" s="11"/>
      <c r="AK108" s="166"/>
      <c r="AL108" s="11"/>
    </row>
    <row r="109" spans="2:47" ht="18" customHeight="1" thickBot="1" x14ac:dyDescent="0.3">
      <c r="B109" s="16"/>
      <c r="C109" s="166"/>
      <c r="D109" s="11"/>
      <c r="E109" s="18"/>
      <c r="F109" s="11"/>
      <c r="G109" s="170" t="str">
        <f>IFERROR(IF(G108="","",VLOOKUP(G108,LISTAS!$F$5:$G$1004,2,0)),"0")</f>
        <v/>
      </c>
      <c r="H109" s="235"/>
      <c r="I109" s="54"/>
      <c r="J109" s="51"/>
      <c r="K109" s="176"/>
      <c r="L109" s="51"/>
      <c r="M109" s="54"/>
      <c r="N109" s="51"/>
      <c r="O109" s="176"/>
      <c r="P109" s="51"/>
      <c r="Q109" s="78"/>
      <c r="R109" s="181"/>
      <c r="S109" s="8"/>
      <c r="T109" s="8"/>
      <c r="U109" s="8"/>
      <c r="V109" s="182"/>
      <c r="W109" s="8"/>
      <c r="X109" s="62"/>
      <c r="Y109" s="182"/>
      <c r="Z109" s="8"/>
      <c r="AA109" s="69"/>
      <c r="AB109" s="11"/>
      <c r="AC109" s="182"/>
      <c r="AD109" s="65"/>
      <c r="AE109" s="8"/>
      <c r="AF109" s="235"/>
      <c r="AG109" s="170" t="str">
        <f>IFERROR(IF(AG108="","",VLOOKUP(AG108,LISTAS!$F$5:$G$1004,2,0)),"0")</f>
        <v/>
      </c>
      <c r="AH109" s="8"/>
      <c r="AI109" s="69"/>
      <c r="AJ109" s="11"/>
      <c r="AK109" s="166"/>
      <c r="AL109" s="11"/>
    </row>
    <row r="110" spans="2:47" ht="18" customHeight="1" x14ac:dyDescent="0.25">
      <c r="B110" s="16">
        <v>12</v>
      </c>
      <c r="C110" s="169" t="str">
        <f>IF('15F GRP'!G5&gt;=3,'15F GRP'!J165,IF('15F GRP'!G5=2,"",IF('15F GRP'!G5=1,"","")))</f>
        <v/>
      </c>
      <c r="D110" s="234">
        <v>0</v>
      </c>
      <c r="E110" s="56">
        <f>IF(D110&lt;&gt;"",D110,"")</f>
        <v>0</v>
      </c>
      <c r="F110" s="51" t="str">
        <f>IF(D110&lt;&gt;"",IF(C110="","",C110),"")</f>
        <v/>
      </c>
      <c r="G110" s="176">
        <f>IF(E110&lt;&gt;"",IF(E112&lt;&gt;"",SMALL(E110:E112,1),""),"")</f>
        <v>0</v>
      </c>
      <c r="H110" s="11"/>
      <c r="I110" s="54"/>
      <c r="J110" s="51"/>
      <c r="K110" s="176"/>
      <c r="L110" s="51"/>
      <c r="M110" s="54"/>
      <c r="N110" s="51">
        <f>IF(P101&lt;&gt;"",P101,"")</f>
        <v>1</v>
      </c>
      <c r="O110" s="176" t="str">
        <f>IF(P101&lt;&gt;"",O101,"")</f>
        <v>MIRELA VIVANCO CARDOSO</v>
      </c>
      <c r="P110" s="51" t="str">
        <f>VLOOKUP(P108,N108:O110,2,0)</f>
        <v>GABRIELA NETTO CARDOSO</v>
      </c>
      <c r="Q110" s="78"/>
      <c r="R110" s="181"/>
      <c r="S110" s="8"/>
      <c r="T110" s="8"/>
      <c r="U110" s="8"/>
      <c r="V110" s="182"/>
      <c r="W110" s="8"/>
      <c r="X110" s="62"/>
      <c r="Y110" s="182"/>
      <c r="Z110" s="8"/>
      <c r="AA110" s="69"/>
      <c r="AB110" s="11"/>
      <c r="AC110" s="182"/>
      <c r="AD110" s="65"/>
      <c r="AE110" s="8"/>
      <c r="AF110" s="78"/>
      <c r="AG110" s="181">
        <f>IF(AJ110&lt;&gt;"",AJ110,"")</f>
        <v>0</v>
      </c>
      <c r="AH110" s="78" t="str">
        <f>IF(AJ110&lt;&gt;"",IF(AK110="","",AK110),"")</f>
        <v/>
      </c>
      <c r="AI110" s="53">
        <f>IF(AG110&lt;&gt;"",IF(AG112&lt;&gt;"",SMALL(AG110:AG112,1),""),"")</f>
        <v>0</v>
      </c>
      <c r="AJ110" s="234">
        <v>0</v>
      </c>
      <c r="AK110" s="169" t="str">
        <f>IF('15F GRP'!G5&gt;=3,'15F GRP'!J139,IF('15F GRP'!G5=2,"",IF('15F GRP'!G5=1,"","")))</f>
        <v/>
      </c>
      <c r="AL110" s="11">
        <v>10</v>
      </c>
    </row>
    <row r="111" spans="2:47" ht="18" customHeight="1" thickBot="1" x14ac:dyDescent="0.3">
      <c r="B111" s="16"/>
      <c r="C111" s="170" t="str">
        <f>IFERROR(IF(C110="","",VLOOKUP(C110,LISTAS!$F$5:$G$1004,2,0)),"0")</f>
        <v/>
      </c>
      <c r="D111" s="235"/>
      <c r="E111" s="57"/>
      <c r="F111" s="51"/>
      <c r="G111" s="176"/>
      <c r="H111" s="11"/>
      <c r="I111" s="54"/>
      <c r="J111" s="51"/>
      <c r="K111" s="176"/>
      <c r="L111" s="51"/>
      <c r="M111" s="54"/>
      <c r="N111" s="51"/>
      <c r="O111" s="176"/>
      <c r="P111" s="51"/>
      <c r="Q111" s="78"/>
      <c r="R111" s="181"/>
      <c r="S111" s="8"/>
      <c r="T111" s="8"/>
      <c r="U111" s="8"/>
      <c r="V111" s="182"/>
      <c r="W111" s="8"/>
      <c r="X111" s="62"/>
      <c r="Y111" s="182"/>
      <c r="Z111" s="8"/>
      <c r="AA111" s="69"/>
      <c r="AB111" s="11"/>
      <c r="AC111" s="182"/>
      <c r="AD111" s="65"/>
      <c r="AE111" s="8"/>
      <c r="AF111" s="78"/>
      <c r="AG111" s="181"/>
      <c r="AH111" s="78"/>
      <c r="AI111" s="124"/>
      <c r="AJ111" s="235"/>
      <c r="AK111" s="170" t="str">
        <f>IFERROR(IF(AK110="","",VLOOKUP(AK110,LISTAS!$F$5:$G$1004,2,0)),"0")</f>
        <v/>
      </c>
      <c r="AL111" s="11"/>
    </row>
    <row r="112" spans="2:47" ht="18" customHeight="1" x14ac:dyDescent="0.25">
      <c r="B112" s="16">
        <v>21</v>
      </c>
      <c r="C112" s="169" t="str">
        <f>IF('15F GRP'!G5&gt;=3,'15F GRP'!J282,IF('15F GRP'!G5=2,"",IF('15F GRP'!G5=1,"","")))</f>
        <v/>
      </c>
      <c r="D112" s="234">
        <v>0</v>
      </c>
      <c r="E112" s="57">
        <f>IF(D112&lt;&gt;"",D112,"")</f>
        <v>0</v>
      </c>
      <c r="F112" s="51" t="str">
        <f>IF(D112&lt;&gt;"",IF(C112="","",C112),"")</f>
        <v/>
      </c>
      <c r="G112" s="176" t="str">
        <f>VLOOKUP(G110,E110:F112,2,0)</f>
        <v/>
      </c>
      <c r="H112" s="11"/>
      <c r="I112" s="18"/>
      <c r="J112" s="11"/>
      <c r="K112" s="166"/>
      <c r="L112" s="11"/>
      <c r="M112" s="18"/>
      <c r="N112" s="11"/>
      <c r="O112" s="166"/>
      <c r="P112" s="11"/>
      <c r="Q112" s="8"/>
      <c r="R112" s="182"/>
      <c r="S112" s="8"/>
      <c r="T112" s="8"/>
      <c r="U112" s="8"/>
      <c r="V112" s="182"/>
      <c r="W112" s="8"/>
      <c r="X112" s="62"/>
      <c r="Y112" s="182"/>
      <c r="Z112" s="8"/>
      <c r="AA112" s="69"/>
      <c r="AB112" s="11"/>
      <c r="AC112" s="182"/>
      <c r="AD112" s="65"/>
      <c r="AE112" s="8"/>
      <c r="AF112" s="78"/>
      <c r="AG112" s="181">
        <f>IF(AJ112&lt;&gt;"",AJ112,"")</f>
        <v>0</v>
      </c>
      <c r="AH112" s="78" t="str">
        <f>IF(AJ112&lt;&gt;"",IF(AK112="","",AK112),"")</f>
        <v/>
      </c>
      <c r="AI112" s="125" t="str">
        <f>VLOOKUP(AI110,AG110:AH112,2,0)</f>
        <v/>
      </c>
      <c r="AJ112" s="234">
        <v>0</v>
      </c>
      <c r="AK112" s="169" t="str">
        <f>IF('15F GRP'!G5&gt;=3,'15F GRP'!J308,IF('15F GRP'!G5=2,"",IF('15F GRP'!G5=1,"","")))</f>
        <v/>
      </c>
      <c r="AL112" s="11">
        <v>23</v>
      </c>
    </row>
    <row r="113" spans="2:38" ht="18" customHeight="1" thickBot="1" x14ac:dyDescent="0.3">
      <c r="B113" s="16"/>
      <c r="C113" s="170" t="str">
        <f>IFERROR(IF(C112="","",VLOOKUP(C112,LISTAS!$F$5:$G$1004,2,0)),"0")</f>
        <v/>
      </c>
      <c r="D113" s="235"/>
      <c r="E113" s="51"/>
      <c r="F113" s="51"/>
      <c r="G113" s="176"/>
      <c r="H113" s="11"/>
      <c r="I113" s="18"/>
      <c r="J113" s="11"/>
      <c r="K113" s="166"/>
      <c r="L113" s="11"/>
      <c r="M113" s="18"/>
      <c r="N113" s="11"/>
      <c r="O113" s="166"/>
      <c r="P113" s="11"/>
      <c r="Q113" s="8"/>
      <c r="R113" s="182"/>
      <c r="S113" s="8"/>
      <c r="T113" s="8"/>
      <c r="U113" s="8"/>
      <c r="V113" s="182"/>
      <c r="W113" s="8"/>
      <c r="X113" s="62"/>
      <c r="Y113" s="182"/>
      <c r="Z113" s="8"/>
      <c r="AA113" s="69"/>
      <c r="AB113" s="11"/>
      <c r="AC113" s="182"/>
      <c r="AD113" s="65"/>
      <c r="AE113" s="8"/>
      <c r="AF113" s="78"/>
      <c r="AG113" s="181"/>
      <c r="AH113" s="78"/>
      <c r="AI113" s="51"/>
      <c r="AJ113" s="235"/>
      <c r="AK113" s="170" t="str">
        <f>IFERROR(IF(AK112="","",VLOOKUP(AK112,LISTAS!$F$5:$G$1004,2,0)),"0")</f>
        <v/>
      </c>
      <c r="AL113" s="11"/>
    </row>
    <row r="114" spans="2:38" ht="18" customHeight="1" x14ac:dyDescent="0.25">
      <c r="B114" s="16"/>
      <c r="C114" s="166"/>
      <c r="D114" s="11"/>
      <c r="E114" s="11"/>
      <c r="F114" s="11"/>
      <c r="G114" s="166"/>
      <c r="H114" s="11"/>
      <c r="I114" s="18"/>
      <c r="J114" s="11"/>
      <c r="K114" s="169" t="str">
        <f>IF(H106&lt;&gt;"",IF(H108&lt;&gt;"",IF(H106=H108,"",IF(H106&gt;H108,G106,G108)),""),"")</f>
        <v>SOFIA MILLON DE LUCA</v>
      </c>
      <c r="L114" s="234">
        <v>0</v>
      </c>
      <c r="M114" s="56">
        <f>IF(L114&lt;&gt;"",L114,"")</f>
        <v>0</v>
      </c>
      <c r="N114" s="51" t="str">
        <f>IF(L114&lt;&gt;"",IF(K114="","",K114),"")</f>
        <v>SOFIA MILLON DE LUCA</v>
      </c>
      <c r="O114" s="176">
        <f>IF(M114&lt;&gt;"",IF(M116&lt;&gt;"",SMALL(M114:N116,1),""),"")</f>
        <v>0</v>
      </c>
      <c r="P114" s="11"/>
      <c r="Q114" s="8"/>
      <c r="R114" s="182"/>
      <c r="S114" s="8"/>
      <c r="T114" s="8"/>
      <c r="U114" s="8"/>
      <c r="V114" s="182"/>
      <c r="W114" s="8"/>
      <c r="X114" s="62"/>
      <c r="Y114" s="182"/>
      <c r="Z114" s="8"/>
      <c r="AA114" s="70"/>
      <c r="AB114" s="234">
        <v>0</v>
      </c>
      <c r="AC114" s="169" t="str">
        <f>IF(AF106&lt;&gt;"",IF(AF108&lt;&gt;"",IF(AF106=AF108,"",IF(AF106&gt;AF108,AG106,AG108)),""),"")</f>
        <v/>
      </c>
      <c r="AD114" s="112"/>
      <c r="AE114" s="8"/>
      <c r="AF114" s="78"/>
      <c r="AG114" s="181"/>
      <c r="AH114" s="78"/>
      <c r="AI114" s="78"/>
      <c r="AJ114" s="11"/>
      <c r="AK114" s="166"/>
      <c r="AL114" s="11"/>
    </row>
    <row r="115" spans="2:38" ht="18" customHeight="1" thickBot="1" x14ac:dyDescent="0.3">
      <c r="B115" s="16"/>
      <c r="C115" s="166"/>
      <c r="D115" s="11"/>
      <c r="E115" s="11"/>
      <c r="F115" s="11"/>
      <c r="G115" s="166"/>
      <c r="H115" s="11"/>
      <c r="I115" s="18"/>
      <c r="J115" s="11"/>
      <c r="K115" s="170" t="str">
        <f>IFERROR(IF(K114="","",VLOOKUP(K114,LISTAS!$F$5:$G$1004,2,0)),"0")</f>
        <v>COLÉGIO ENGENHEIRO SALVADOR ARENA</v>
      </c>
      <c r="L115" s="235"/>
      <c r="M115" s="57"/>
      <c r="N115" s="51"/>
      <c r="O115" s="176"/>
      <c r="P115" s="11"/>
      <c r="Q115" s="8"/>
      <c r="R115" s="182"/>
      <c r="S115" s="8"/>
      <c r="T115" s="8"/>
      <c r="U115" s="8"/>
      <c r="V115" s="182"/>
      <c r="W115" s="8"/>
      <c r="X115" s="62"/>
      <c r="Y115" s="182"/>
      <c r="Z115" s="8"/>
      <c r="AA115" s="8"/>
      <c r="AB115" s="235"/>
      <c r="AC115" s="170" t="str">
        <f>IFERROR(IF(AC114="","",VLOOKUP(AC114,LISTAS!$F$5:$G$1004,2,0)),"0")</f>
        <v/>
      </c>
      <c r="AD115" s="8"/>
      <c r="AE115" s="69"/>
      <c r="AF115" s="78"/>
      <c r="AG115" s="181"/>
      <c r="AH115" s="78"/>
      <c r="AI115" s="78"/>
      <c r="AJ115" s="11"/>
      <c r="AK115" s="166"/>
      <c r="AL115" s="11"/>
    </row>
    <row r="116" spans="2:38" ht="18" customHeight="1" x14ac:dyDescent="0.25">
      <c r="B116" s="16"/>
      <c r="C116" s="166"/>
      <c r="D116" s="11"/>
      <c r="E116" s="11"/>
      <c r="F116" s="11"/>
      <c r="G116" s="166"/>
      <c r="H116" s="11"/>
      <c r="I116" s="18"/>
      <c r="J116" s="19"/>
      <c r="K116" s="169" t="str">
        <f>IF(H122&lt;&gt;"",IF(H124&lt;&gt;"",IF(H122=H124,"",IF(H122&gt;H124,G122,G124)),""),"")</f>
        <v>MIRELA VIVANCO CARDOSO</v>
      </c>
      <c r="L116" s="234">
        <v>1</v>
      </c>
      <c r="M116" s="57">
        <f>IF(L116&lt;&gt;"",L116,"")</f>
        <v>1</v>
      </c>
      <c r="N116" s="51" t="str">
        <f>IF(L116&lt;&gt;"",IF(K116="","",K116),"")</f>
        <v>MIRELA VIVANCO CARDOSO</v>
      </c>
      <c r="O116" s="176" t="str">
        <f>VLOOKUP(O114,M114:N116,2,0)</f>
        <v>SOFIA MILLON DE LUCA</v>
      </c>
      <c r="P116" s="11"/>
      <c r="Q116" s="8"/>
      <c r="R116" s="182"/>
      <c r="S116" s="8"/>
      <c r="T116" s="8"/>
      <c r="U116" s="8"/>
      <c r="V116" s="182"/>
      <c r="W116" s="8"/>
      <c r="X116" s="62"/>
      <c r="Y116" s="182"/>
      <c r="Z116" s="8"/>
      <c r="AA116" s="8"/>
      <c r="AB116" s="234">
        <v>2</v>
      </c>
      <c r="AC116" s="169" t="str">
        <f>IF(AF122&lt;&gt;"",IF(AF124&lt;&gt;"",IF(AF122=AF124,"",IF(AF122&gt;AF124,AG122,AG124)),""),"")</f>
        <v>JÚLIA ADRIANI GOMES NICOLA</v>
      </c>
      <c r="AD116" s="8"/>
      <c r="AE116" s="69"/>
      <c r="AF116" s="78"/>
      <c r="AG116" s="181"/>
      <c r="AH116" s="78"/>
      <c r="AI116" s="78"/>
      <c r="AJ116" s="11"/>
      <c r="AK116" s="166"/>
      <c r="AL116" s="11"/>
    </row>
    <row r="117" spans="2:38" ht="18" customHeight="1" thickBot="1" x14ac:dyDescent="0.3">
      <c r="B117" s="16"/>
      <c r="C117" s="166"/>
      <c r="D117" s="11"/>
      <c r="E117" s="11"/>
      <c r="F117" s="11"/>
      <c r="G117" s="166"/>
      <c r="H117" s="11"/>
      <c r="I117" s="18"/>
      <c r="J117" s="11"/>
      <c r="K117" s="170" t="str">
        <f>IFERROR(IF(K116="","",VLOOKUP(K116,LISTAS!$F$5:$G$1004,2,0)),"0")</f>
        <v>COLÉGIO ARBOS - UNIDADE SANTO ANDRÉ</v>
      </c>
      <c r="L117" s="235"/>
      <c r="M117" s="51"/>
      <c r="N117" s="51"/>
      <c r="O117" s="176"/>
      <c r="P117" s="11"/>
      <c r="Q117" s="8"/>
      <c r="R117" s="182"/>
      <c r="S117" s="8"/>
      <c r="T117" s="8"/>
      <c r="U117" s="8"/>
      <c r="V117" s="182"/>
      <c r="W117" s="8"/>
      <c r="X117" s="62"/>
      <c r="Y117" s="182"/>
      <c r="Z117" s="8"/>
      <c r="AA117" s="8"/>
      <c r="AB117" s="235"/>
      <c r="AC117" s="170" t="str">
        <f>IFERROR(IF(AC116="","",VLOOKUP(AC116,LISTAS!$F$5:$G$1004,2,0)),"0")</f>
        <v>COLÉGIO ENGENHEIRO SALVADOR ARENA</v>
      </c>
      <c r="AD117" s="8"/>
      <c r="AE117" s="69"/>
      <c r="AF117" s="78"/>
      <c r="AG117" s="181"/>
      <c r="AH117" s="78"/>
      <c r="AI117" s="78"/>
      <c r="AJ117" s="11"/>
      <c r="AK117" s="166"/>
      <c r="AL117" s="11"/>
    </row>
    <row r="118" spans="2:38" ht="18" customHeight="1" x14ac:dyDescent="0.25">
      <c r="B118" s="16">
        <v>20</v>
      </c>
      <c r="C118" s="169" t="str">
        <f>IF('15F GRP'!G5&gt;=3,'15F GRP'!J269,IF('15F GRP'!G5=2,"",IF('15F GRP'!G5=1,"","")))</f>
        <v/>
      </c>
      <c r="D118" s="234">
        <v>0</v>
      </c>
      <c r="E118" s="51">
        <f>IF(D118&lt;&gt;"",D118,"")</f>
        <v>0</v>
      </c>
      <c r="F118" s="51" t="str">
        <f>IF(D118&lt;&gt;"",IF(C118="","",C118),"")</f>
        <v/>
      </c>
      <c r="G118" s="176">
        <f>IF(E118&lt;&gt;"",IF(E120&lt;&gt;"",SMALL(E118:E120,1),""),"")</f>
        <v>0</v>
      </c>
      <c r="H118" s="51"/>
      <c r="I118" s="18"/>
      <c r="J118" s="11"/>
      <c r="K118" s="166"/>
      <c r="L118" s="11"/>
      <c r="M118" s="11"/>
      <c r="N118" s="11"/>
      <c r="O118" s="166"/>
      <c r="P118" s="11"/>
      <c r="Q118" s="8"/>
      <c r="R118" s="182"/>
      <c r="S118" s="8"/>
      <c r="T118" s="8"/>
      <c r="U118" s="8"/>
      <c r="V118" s="182"/>
      <c r="W118" s="8"/>
      <c r="X118" s="62"/>
      <c r="Y118" s="182"/>
      <c r="Z118" s="8"/>
      <c r="AA118" s="8"/>
      <c r="AB118" s="11"/>
      <c r="AC118" s="182"/>
      <c r="AD118" s="8"/>
      <c r="AE118" s="69"/>
      <c r="AF118" s="78"/>
      <c r="AG118" s="181">
        <f>IF(AJ118&lt;&gt;"",AJ118,"")</f>
        <v>0</v>
      </c>
      <c r="AH118" s="78" t="str">
        <f>IF(AJ118&lt;&gt;"",IF(AK118="","",AK118),"")</f>
        <v/>
      </c>
      <c r="AI118" s="51">
        <f>IF(AG118&lt;&gt;"",IF(AG120&lt;&gt;"",SMALL(AG118:AG120,1),""),"")</f>
        <v>0</v>
      </c>
      <c r="AJ118" s="234">
        <v>0</v>
      </c>
      <c r="AK118" s="169" t="str">
        <f>IF('15F GRP'!G5&gt;=3,'15F GRP'!J204,IF('15F GRP'!G5=2,"",IF('15F GRP'!G5=1,"","")))</f>
        <v/>
      </c>
      <c r="AL118" s="11">
        <v>15</v>
      </c>
    </row>
    <row r="119" spans="2:38" ht="18" customHeight="1" thickBot="1" x14ac:dyDescent="0.3">
      <c r="B119" s="16"/>
      <c r="C119" s="170" t="str">
        <f>IFERROR(IF(C118="","",VLOOKUP(C118,LISTAS!$F$5:$G$1004,2,0)),"0")</f>
        <v/>
      </c>
      <c r="D119" s="235"/>
      <c r="E119" s="51"/>
      <c r="F119" s="51"/>
      <c r="G119" s="176"/>
      <c r="H119" s="51"/>
      <c r="I119" s="18"/>
      <c r="J119" s="11"/>
      <c r="K119" s="166"/>
      <c r="L119" s="11"/>
      <c r="M119" s="11"/>
      <c r="N119" s="11"/>
      <c r="O119" s="166"/>
      <c r="P119" s="11"/>
      <c r="Q119" s="8"/>
      <c r="R119" s="182"/>
      <c r="S119" s="8"/>
      <c r="T119" s="8"/>
      <c r="U119" s="8"/>
      <c r="V119" s="182"/>
      <c r="W119" s="8"/>
      <c r="X119" s="62"/>
      <c r="Y119" s="182"/>
      <c r="Z119" s="8"/>
      <c r="AA119" s="8"/>
      <c r="AB119" s="11"/>
      <c r="AC119" s="182"/>
      <c r="AD119" s="8"/>
      <c r="AE119" s="69"/>
      <c r="AF119" s="78"/>
      <c r="AG119" s="181"/>
      <c r="AH119" s="78"/>
      <c r="AI119" s="51"/>
      <c r="AJ119" s="235"/>
      <c r="AK119" s="170" t="str">
        <f>IFERROR(IF(AK118="","",VLOOKUP(AK118,LISTAS!$F$5:$G$1004,2,0)),"0")</f>
        <v/>
      </c>
      <c r="AL119" s="11"/>
    </row>
    <row r="120" spans="2:38" ht="18" customHeight="1" x14ac:dyDescent="0.25">
      <c r="B120" s="16">
        <v>13</v>
      </c>
      <c r="C120" s="169" t="str">
        <f>IF('15F GRP'!G5&gt;=3,'15F GRP'!J178,IF('15F GRP'!G5=2,"",IF('15F GRP'!G5=1,"","")))</f>
        <v/>
      </c>
      <c r="D120" s="234">
        <v>0</v>
      </c>
      <c r="E120" s="52">
        <f>IF(D120&lt;&gt;"",D120,"")</f>
        <v>0</v>
      </c>
      <c r="F120" s="51" t="str">
        <f>IF(D120&lt;&gt;"",IF(C120="","",C120),"")</f>
        <v/>
      </c>
      <c r="G120" s="176" t="str">
        <f>VLOOKUP(G118,E118:F120,2,0)</f>
        <v/>
      </c>
      <c r="H120" s="51"/>
      <c r="I120" s="18"/>
      <c r="J120" s="11"/>
      <c r="K120" s="166"/>
      <c r="L120" s="11"/>
      <c r="M120" s="11"/>
      <c r="N120" s="11"/>
      <c r="O120" s="166"/>
      <c r="P120" s="11"/>
      <c r="Q120" s="8"/>
      <c r="R120" s="182"/>
      <c r="S120" s="8"/>
      <c r="T120" s="8"/>
      <c r="U120" s="8"/>
      <c r="V120" s="182"/>
      <c r="W120" s="8"/>
      <c r="X120" s="62"/>
      <c r="Y120" s="182"/>
      <c r="Z120" s="8"/>
      <c r="AA120" s="8"/>
      <c r="AB120" s="11"/>
      <c r="AC120" s="182"/>
      <c r="AD120" s="8"/>
      <c r="AE120" s="69"/>
      <c r="AF120" s="78"/>
      <c r="AG120" s="181">
        <f>IF(AJ120&lt;&gt;"",AJ120,"")</f>
        <v>0</v>
      </c>
      <c r="AH120" s="78" t="str">
        <f>IF(AJ120&lt;&gt;"",IF(AK120="","",AK120),"")</f>
        <v/>
      </c>
      <c r="AI120" s="55" t="str">
        <f>VLOOKUP(AI118,AG118:AH120,2,0)</f>
        <v/>
      </c>
      <c r="AJ120" s="234">
        <v>0</v>
      </c>
      <c r="AK120" s="169" t="str">
        <f>IF('15F GRP'!G5&gt;=3,'15F GRP'!J243,IF('15F GRP'!G5=2,"",IF('15F GRP'!G5=1,"","")))</f>
        <v/>
      </c>
      <c r="AL120" s="11">
        <v>18</v>
      </c>
    </row>
    <row r="121" spans="2:38" ht="18" customHeight="1" thickBot="1" x14ac:dyDescent="0.3">
      <c r="B121" s="16"/>
      <c r="C121" s="170" t="str">
        <f>IFERROR(IF(C120="","",VLOOKUP(C120,LISTAS!$F$5:$G$1004,2,0)),"0")</f>
        <v/>
      </c>
      <c r="D121" s="235"/>
      <c r="E121" s="128"/>
      <c r="F121" s="51"/>
      <c r="G121" s="176"/>
      <c r="H121" s="51"/>
      <c r="I121" s="18"/>
      <c r="J121" s="11"/>
      <c r="K121" s="166"/>
      <c r="L121" s="11"/>
      <c r="M121" s="11"/>
      <c r="N121" s="11"/>
      <c r="O121" s="166"/>
      <c r="P121" s="11"/>
      <c r="Q121" s="8"/>
      <c r="R121" s="182"/>
      <c r="S121" s="8"/>
      <c r="T121" s="8"/>
      <c r="U121" s="8"/>
      <c r="V121" s="182"/>
      <c r="W121" s="8"/>
      <c r="X121" s="62"/>
      <c r="Y121" s="182"/>
      <c r="Z121" s="8"/>
      <c r="AA121" s="8"/>
      <c r="AB121" s="11"/>
      <c r="AC121" s="182"/>
      <c r="AD121" s="8"/>
      <c r="AE121" s="69"/>
      <c r="AF121" s="78"/>
      <c r="AG121" s="181"/>
      <c r="AH121" s="126"/>
      <c r="AI121" s="51"/>
      <c r="AJ121" s="235"/>
      <c r="AK121" s="170" t="str">
        <f>IFERROR(IF(AK120="","",VLOOKUP(AK120,LISTAS!$F$5:$G$1004,2,0)),"0")</f>
        <v/>
      </c>
      <c r="AL121" s="11"/>
    </row>
    <row r="122" spans="2:38" ht="18" customHeight="1" x14ac:dyDescent="0.25">
      <c r="B122" s="16"/>
      <c r="C122" s="166"/>
      <c r="D122" s="11"/>
      <c r="E122" s="11"/>
      <c r="F122" s="17"/>
      <c r="G122" s="169" t="str">
        <f>IF(D118&lt;&gt;"",IF(D120&lt;&gt;"",IF(D118=D120,"",IF(D118&gt;D120,C118,C120)),""),"")</f>
        <v/>
      </c>
      <c r="H122" s="234">
        <v>0</v>
      </c>
      <c r="I122" s="56">
        <f>IF(H122&lt;&gt;"",H122,"")</f>
        <v>0</v>
      </c>
      <c r="J122" s="51" t="str">
        <f>IF(H122&lt;&gt;"",IF(G122="","",G122),"")</f>
        <v/>
      </c>
      <c r="K122" s="176">
        <f>IF(I122&lt;&gt;"",IF(I124&lt;&gt;"",SMALL(I122:J124,1),""),"")</f>
        <v>0</v>
      </c>
      <c r="L122" s="11"/>
      <c r="M122" s="11"/>
      <c r="N122" s="11"/>
      <c r="O122" s="166"/>
      <c r="P122" s="11"/>
      <c r="Q122" s="8"/>
      <c r="R122" s="182"/>
      <c r="S122" s="8"/>
      <c r="T122" s="8"/>
      <c r="U122" s="8"/>
      <c r="V122" s="182"/>
      <c r="W122" s="8"/>
      <c r="X122" s="62"/>
      <c r="Y122" s="182"/>
      <c r="Z122" s="8"/>
      <c r="AA122" s="8"/>
      <c r="AB122" s="11"/>
      <c r="AC122" s="182"/>
      <c r="AD122" s="8"/>
      <c r="AE122" s="69"/>
      <c r="AF122" s="234">
        <v>0</v>
      </c>
      <c r="AG122" s="169" t="str">
        <f>IF(AJ118&lt;&gt;"",IF(AJ120&lt;&gt;"",IF(AJ118=AJ120,"",IF(AJ118&gt;AJ120,AK118,AK120)),""),"")</f>
        <v/>
      </c>
      <c r="AH122" s="65"/>
      <c r="AI122" s="8"/>
      <c r="AJ122" s="11"/>
      <c r="AK122" s="166"/>
      <c r="AL122" s="11"/>
    </row>
    <row r="123" spans="2:38" ht="18" customHeight="1" thickBot="1" x14ac:dyDescent="0.3">
      <c r="B123" s="16"/>
      <c r="C123" s="166"/>
      <c r="D123" s="11"/>
      <c r="E123" s="11"/>
      <c r="F123" s="17"/>
      <c r="G123" s="170" t="str">
        <f>IFERROR(IF(G122="","",VLOOKUP(G122,LISTAS!$F$5:$G$1004,2,0)),"0")</f>
        <v/>
      </c>
      <c r="H123" s="235"/>
      <c r="I123" s="57"/>
      <c r="J123" s="51"/>
      <c r="K123" s="176"/>
      <c r="L123" s="11"/>
      <c r="M123" s="11"/>
      <c r="N123" s="11"/>
      <c r="O123" s="166"/>
      <c r="P123" s="11"/>
      <c r="Q123" s="8"/>
      <c r="R123" s="182"/>
      <c r="S123" s="8"/>
      <c r="T123" s="8"/>
      <c r="U123" s="8"/>
      <c r="V123" s="182"/>
      <c r="W123" s="8"/>
      <c r="X123" s="62"/>
      <c r="Y123" s="182"/>
      <c r="Z123" s="8"/>
      <c r="AA123" s="8"/>
      <c r="AB123" s="11"/>
      <c r="AC123" s="182"/>
      <c r="AD123" s="8"/>
      <c r="AE123" s="70"/>
      <c r="AF123" s="235"/>
      <c r="AG123" s="170" t="str">
        <f>IFERROR(IF(AG122="","",VLOOKUP(AG122,LISTAS!$F$5:$G$1004,2,0)),"0")</f>
        <v/>
      </c>
      <c r="AH123" s="65"/>
      <c r="AI123" s="8"/>
      <c r="AJ123" s="11"/>
      <c r="AK123" s="166"/>
      <c r="AL123" s="11"/>
    </row>
    <row r="124" spans="2:38" ht="18" customHeight="1" x14ac:dyDescent="0.25">
      <c r="B124" s="16"/>
      <c r="C124" s="166"/>
      <c r="D124" s="11"/>
      <c r="E124" s="18"/>
      <c r="F124" s="19"/>
      <c r="G124" s="169" t="str">
        <f>IF(D126&lt;&gt;"",IF(D128&lt;&gt;"",IF(D126=D128,"",IF(D126&gt;D128,C126,C128)),""),"")</f>
        <v>MIRELA VIVANCO CARDOSO</v>
      </c>
      <c r="H124" s="234">
        <v>2</v>
      </c>
      <c r="I124" s="57">
        <f>IF(H124&lt;&gt;"",H124,"")</f>
        <v>2</v>
      </c>
      <c r="J124" s="51" t="str">
        <f>IF(H124&lt;&gt;"",IF(G124="","",G124),"")</f>
        <v>MIRELA VIVANCO CARDOSO</v>
      </c>
      <c r="K124" s="176" t="str">
        <f>VLOOKUP(K122,I122:J124,2,0)</f>
        <v/>
      </c>
      <c r="L124" s="11"/>
      <c r="M124" s="11"/>
      <c r="N124" s="11"/>
      <c r="O124" s="166"/>
      <c r="P124" s="11"/>
      <c r="Q124" s="8"/>
      <c r="R124" s="182"/>
      <c r="S124" s="8"/>
      <c r="T124" s="8"/>
      <c r="U124" s="8"/>
      <c r="V124" s="182"/>
      <c r="W124" s="8"/>
      <c r="X124" s="62"/>
      <c r="Y124" s="182"/>
      <c r="Z124" s="8"/>
      <c r="AA124" s="8"/>
      <c r="AB124" s="11"/>
      <c r="AC124" s="182"/>
      <c r="AD124" s="8"/>
      <c r="AE124" s="64"/>
      <c r="AF124" s="234">
        <v>2</v>
      </c>
      <c r="AG124" s="169" t="str">
        <f>IF(AJ126&lt;&gt;"",IF(AJ128&lt;&gt;"",IF(AJ126=AJ128,"",IF(AJ126&gt;AJ128,AK126,AK128)),""),"")</f>
        <v>JÚLIA ADRIANI GOMES NICOLA</v>
      </c>
      <c r="AH124" s="66"/>
      <c r="AI124" s="8"/>
      <c r="AJ124" s="11"/>
      <c r="AK124" s="166"/>
      <c r="AL124" s="11"/>
    </row>
    <row r="125" spans="2:38" ht="18" customHeight="1" thickBot="1" x14ac:dyDescent="0.3">
      <c r="B125" s="16"/>
      <c r="C125" s="166"/>
      <c r="D125" s="11"/>
      <c r="E125" s="18"/>
      <c r="F125" s="11"/>
      <c r="G125" s="170" t="str">
        <f>IFERROR(IF(G124="","",VLOOKUP(G124,LISTAS!$F$5:$G$1004,2,0)),"0")</f>
        <v>COLÉGIO ARBOS - UNIDADE SANTO ANDRÉ</v>
      </c>
      <c r="H125" s="235"/>
      <c r="I125" s="51"/>
      <c r="J125" s="51"/>
      <c r="K125" s="176"/>
      <c r="L125" s="11"/>
      <c r="M125" s="11"/>
      <c r="N125" s="11"/>
      <c r="O125" s="166"/>
      <c r="P125" s="11"/>
      <c r="Q125" s="8"/>
      <c r="R125" s="182"/>
      <c r="S125" s="8"/>
      <c r="T125" s="8"/>
      <c r="U125" s="8"/>
      <c r="V125" s="182"/>
      <c r="W125" s="8"/>
      <c r="X125" s="62"/>
      <c r="Y125" s="182"/>
      <c r="Z125" s="8"/>
      <c r="AA125" s="8"/>
      <c r="AB125" s="11"/>
      <c r="AC125" s="182"/>
      <c r="AD125" s="8"/>
      <c r="AE125" s="8"/>
      <c r="AF125" s="235"/>
      <c r="AG125" s="170" t="str">
        <f>IFERROR(IF(AG124="","",VLOOKUP(AG124,LISTAS!$F$5:$G$1004,2,0)),"0")</f>
        <v>COLÉGIO ENGENHEIRO SALVADOR ARENA</v>
      </c>
      <c r="AH125" s="8"/>
      <c r="AI125" s="69"/>
      <c r="AJ125" s="11"/>
      <c r="AK125" s="166"/>
      <c r="AL125" s="11"/>
    </row>
    <row r="126" spans="2:38" ht="18" customHeight="1" x14ac:dyDescent="0.25">
      <c r="B126" s="16">
        <v>29</v>
      </c>
      <c r="C126" s="169" t="str">
        <f>IF('15F GRP'!G5&gt;=3,'15F GRP'!J386,IF('15F GRP'!G5=2,"",IF('15F GRP'!G5=1,"","")))</f>
        <v/>
      </c>
      <c r="D126" s="234">
        <v>0</v>
      </c>
      <c r="E126" s="56">
        <f>IF(D126&lt;&gt;"",D126,"")</f>
        <v>0</v>
      </c>
      <c r="F126" s="51" t="str">
        <f>IF(D126&lt;&gt;"",IF(C126="","",C126),"")</f>
        <v/>
      </c>
      <c r="G126" s="176">
        <f>IF(E126&lt;&gt;"",IF(E128&lt;&gt;"",SMALL(E126:E128,1),""),"")</f>
        <v>0</v>
      </c>
      <c r="H126" s="51"/>
      <c r="I126" s="11"/>
      <c r="J126" s="11"/>
      <c r="K126" s="166"/>
      <c r="L126" s="11"/>
      <c r="M126" s="11"/>
      <c r="N126" s="11"/>
      <c r="O126" s="166"/>
      <c r="P126" s="11"/>
      <c r="Q126" s="8"/>
      <c r="R126" s="182"/>
      <c r="S126" s="8"/>
      <c r="T126" s="8"/>
      <c r="U126" s="8"/>
      <c r="V126" s="182"/>
      <c r="W126" s="8"/>
      <c r="X126" s="62"/>
      <c r="Y126" s="182"/>
      <c r="Z126" s="8"/>
      <c r="AA126" s="8"/>
      <c r="AB126" s="11"/>
      <c r="AC126" s="182"/>
      <c r="AD126" s="8"/>
      <c r="AE126" s="8"/>
      <c r="AF126" s="8"/>
      <c r="AG126" s="181">
        <f>IF(AJ126&lt;&gt;"",AJ126,"")</f>
        <v>0</v>
      </c>
      <c r="AH126" s="78" t="str">
        <f>IF(AJ126&lt;&gt;"",IF(AK126="","",AK126),"")</f>
        <v/>
      </c>
      <c r="AI126" s="53">
        <f>IF(AG126&lt;&gt;"",IF(AG128&lt;&gt;"",SMALL(AG126:AG128,1),""),"")</f>
        <v>0</v>
      </c>
      <c r="AJ126" s="234">
        <v>0</v>
      </c>
      <c r="AK126" s="169" t="str">
        <f>IF('15F GRP'!G5&gt;=3,'15F GRP'!J412,IF('15F GRP'!G5=2,"",IF('15F GRP'!G5=1,"","")))</f>
        <v/>
      </c>
      <c r="AL126" s="11">
        <v>31</v>
      </c>
    </row>
    <row r="127" spans="2:38" ht="18" customHeight="1" thickBot="1" x14ac:dyDescent="0.3">
      <c r="B127" s="16"/>
      <c r="C127" s="170" t="str">
        <f>IFERROR(IF(C126="","",VLOOKUP(C126,LISTAS!$F$5:$G$1004,2,0)),"0")</f>
        <v/>
      </c>
      <c r="D127" s="235"/>
      <c r="E127" s="57"/>
      <c r="F127" s="51"/>
      <c r="G127" s="176"/>
      <c r="H127" s="51"/>
      <c r="I127" s="11"/>
      <c r="J127" s="11"/>
      <c r="K127" s="166"/>
      <c r="L127" s="11"/>
      <c r="M127" s="11"/>
      <c r="N127" s="11"/>
      <c r="O127" s="166"/>
      <c r="P127" s="11"/>
      <c r="Q127" s="8"/>
      <c r="R127" s="182"/>
      <c r="S127" s="8"/>
      <c r="T127" s="8"/>
      <c r="U127" s="8"/>
      <c r="V127" s="182"/>
      <c r="W127" s="8"/>
      <c r="X127" s="62"/>
      <c r="Y127" s="182"/>
      <c r="Z127" s="8"/>
      <c r="AA127" s="8"/>
      <c r="AB127" s="11"/>
      <c r="AC127" s="182"/>
      <c r="AD127" s="8"/>
      <c r="AE127" s="8"/>
      <c r="AF127" s="8"/>
      <c r="AG127" s="181"/>
      <c r="AH127" s="78"/>
      <c r="AI127" s="77"/>
      <c r="AJ127" s="235"/>
      <c r="AK127" s="170" t="str">
        <f>IFERROR(IF(AK126="","",VLOOKUP(AK126,LISTAS!$F$5:$G$1004,2,0)),"0")</f>
        <v/>
      </c>
      <c r="AL127" s="11"/>
    </row>
    <row r="128" spans="2:38" ht="18" customHeight="1" x14ac:dyDescent="0.25">
      <c r="B128" s="16">
        <v>4</v>
      </c>
      <c r="C128" s="169" t="str">
        <f>IF('15F GRP'!G5&gt;=3,'15F GRP'!J61,IF('15F GRP'!G5=2,IF('15F GRP'!H8=3,"",'15F GRP'!J33),IF('15F GRP'!G5=1,"","")))</f>
        <v>MIRELA VIVANCO CARDOSO</v>
      </c>
      <c r="D128" s="234">
        <v>2</v>
      </c>
      <c r="E128" s="57">
        <f>IF(D128&lt;&gt;"",D128,"")</f>
        <v>2</v>
      </c>
      <c r="F128" s="51" t="str">
        <f>IF(D128&lt;&gt;"",IF(C128="","",C128),"")</f>
        <v>MIRELA VIVANCO CARDOSO</v>
      </c>
      <c r="G128" s="176" t="str">
        <f>VLOOKUP(G126,E126:F128,2,0)</f>
        <v/>
      </c>
      <c r="H128" s="51"/>
      <c r="I128" s="11"/>
      <c r="J128" s="11"/>
      <c r="K128" s="166"/>
      <c r="L128" s="11"/>
      <c r="M128" s="11"/>
      <c r="N128" s="11"/>
      <c r="O128" s="166"/>
      <c r="P128" s="11"/>
      <c r="Q128" s="8"/>
      <c r="R128" s="182"/>
      <c r="S128" s="8"/>
      <c r="T128" s="8"/>
      <c r="U128" s="8"/>
      <c r="V128" s="182"/>
      <c r="W128" s="8"/>
      <c r="X128" s="62"/>
      <c r="Y128" s="182"/>
      <c r="Z128" s="8"/>
      <c r="AA128" s="8"/>
      <c r="AB128" s="11"/>
      <c r="AC128" s="182"/>
      <c r="AD128" s="8"/>
      <c r="AE128" s="8"/>
      <c r="AF128" s="8"/>
      <c r="AG128" s="181">
        <f>IF(AJ128&lt;&gt;"",AJ128,"")</f>
        <v>2</v>
      </c>
      <c r="AH128" s="78" t="str">
        <f>IF(AJ128&lt;&gt;"",IF(AK128="","",AK128),"")</f>
        <v>JÚLIA ADRIANI GOMES NICOLA</v>
      </c>
      <c r="AI128" s="76" t="str">
        <f>VLOOKUP(AI126,AG126:AH128,2,0)</f>
        <v/>
      </c>
      <c r="AJ128" s="234">
        <v>2</v>
      </c>
      <c r="AK128" s="169" t="str">
        <f>IF('15F GRP'!G5&gt;=3,'15F GRP'!J31,IF('15F GRP'!G5=2,IF('15F GRP'!H8=3,'15F GRP'!J31,'15F GRP'!J32),IF('15F GRP'!G5=1,"","")))</f>
        <v>JÚLIA ADRIANI GOMES NICOLA</v>
      </c>
      <c r="AL128" s="11">
        <v>2</v>
      </c>
    </row>
    <row r="129" spans="2:48" ht="18" customHeight="1" thickBot="1" x14ac:dyDescent="0.3">
      <c r="B129" s="16"/>
      <c r="C129" s="170" t="str">
        <f>IFERROR(IF(C128="","",VLOOKUP(C128,LISTAS!$F$5:$G$1004,2,0)),"0")</f>
        <v>COLÉGIO ARBOS - UNIDADE SANTO ANDRÉ</v>
      </c>
      <c r="D129" s="235"/>
      <c r="E129" s="51"/>
      <c r="F129" s="51"/>
      <c r="G129" s="176"/>
      <c r="H129" s="51"/>
      <c r="I129" s="11"/>
      <c r="J129" s="11"/>
      <c r="K129" s="166"/>
      <c r="L129" s="11"/>
      <c r="M129" s="11"/>
      <c r="N129" s="11"/>
      <c r="O129" s="166"/>
      <c r="P129" s="11"/>
      <c r="Q129" s="8"/>
      <c r="R129" s="182"/>
      <c r="S129" s="8"/>
      <c r="T129" s="8"/>
      <c r="U129" s="8"/>
      <c r="V129" s="182"/>
      <c r="W129" s="8"/>
      <c r="X129" s="62"/>
      <c r="Y129" s="182"/>
      <c r="Z129" s="8"/>
      <c r="AA129" s="8"/>
      <c r="AB129" s="11"/>
      <c r="AC129" s="182"/>
      <c r="AD129" s="8"/>
      <c r="AE129" s="8"/>
      <c r="AF129" s="8"/>
      <c r="AG129" s="181"/>
      <c r="AH129" s="78"/>
      <c r="AI129" s="51"/>
      <c r="AJ129" s="235"/>
      <c r="AK129" s="170" t="str">
        <f>IFERROR(IF(AK128="","",VLOOKUP(AK128,LISTAS!$F$5:$G$1004,2,0)),"0")</f>
        <v>COLÉGIO ENGENHEIRO SALVADOR ARENA</v>
      </c>
      <c r="AL129" s="11"/>
    </row>
    <row r="130" spans="2:48" ht="18" customHeight="1" x14ac:dyDescent="0.25">
      <c r="B130" s="16"/>
      <c r="C130" s="167"/>
      <c r="D130" s="71"/>
      <c r="E130" s="127"/>
      <c r="F130" s="127"/>
      <c r="G130" s="177"/>
      <c r="H130" s="127"/>
      <c r="I130" s="71"/>
      <c r="J130" s="71"/>
      <c r="K130" s="167"/>
      <c r="L130" s="71"/>
      <c r="M130" s="71"/>
      <c r="N130" s="71"/>
      <c r="O130" s="167"/>
      <c r="P130" s="71"/>
      <c r="Q130" s="8"/>
      <c r="R130" s="182"/>
      <c r="S130" s="8"/>
      <c r="T130" s="8"/>
      <c r="U130" s="8"/>
      <c r="V130" s="182"/>
      <c r="W130" s="8"/>
      <c r="X130" s="62"/>
      <c r="Y130" s="182"/>
      <c r="Z130" s="8"/>
      <c r="AA130" s="8"/>
      <c r="AB130" s="11"/>
      <c r="AC130" s="182"/>
      <c r="AD130" s="8"/>
      <c r="AE130" s="8"/>
      <c r="AF130" s="8"/>
      <c r="AG130" s="181"/>
      <c r="AH130" s="78"/>
      <c r="AI130" s="78"/>
      <c r="AJ130" s="71"/>
      <c r="AK130" s="167"/>
      <c r="AL130" s="11"/>
    </row>
    <row r="131" spans="2:48" ht="18" customHeight="1" x14ac:dyDescent="0.25">
      <c r="B131" s="11"/>
      <c r="C131" s="167"/>
      <c r="D131" s="71"/>
      <c r="E131" s="71"/>
      <c r="F131" s="71"/>
      <c r="G131" s="167"/>
      <c r="H131" s="71"/>
      <c r="I131" s="71"/>
      <c r="J131" s="71"/>
      <c r="K131" s="167"/>
      <c r="L131" s="71"/>
      <c r="M131" s="71"/>
      <c r="N131" s="71"/>
      <c r="O131" s="167"/>
      <c r="P131" s="71"/>
      <c r="Q131" s="8"/>
      <c r="R131" s="182"/>
      <c r="S131" s="8"/>
      <c r="T131" s="8"/>
      <c r="U131" s="8"/>
      <c r="V131" s="182"/>
      <c r="W131" s="8"/>
      <c r="X131" s="62"/>
      <c r="Y131" s="182"/>
      <c r="Z131" s="8"/>
      <c r="AA131" s="8"/>
      <c r="AB131" s="11"/>
      <c r="AC131" s="182"/>
      <c r="AD131" s="8"/>
      <c r="AE131" s="8"/>
      <c r="AF131" s="8"/>
      <c r="AG131" s="181"/>
      <c r="AH131" s="78"/>
      <c r="AI131" s="78"/>
      <c r="AJ131" s="71"/>
      <c r="AK131" s="167"/>
      <c r="AL131" s="11"/>
    </row>
    <row r="132" spans="2:48" ht="18" customHeight="1" x14ac:dyDescent="0.25">
      <c r="B132" s="22"/>
      <c r="C132" s="168"/>
      <c r="D132" s="22"/>
      <c r="E132" s="22"/>
      <c r="F132" s="22"/>
      <c r="G132" s="168"/>
      <c r="H132" s="22"/>
      <c r="I132" s="22"/>
      <c r="J132" s="22"/>
      <c r="K132" s="168"/>
      <c r="L132" s="22"/>
      <c r="M132" s="22"/>
      <c r="N132" s="22"/>
      <c r="O132" s="168"/>
      <c r="P132" s="22"/>
      <c r="W132" s="22"/>
      <c r="X132" s="22"/>
      <c r="Y132" s="168"/>
      <c r="Z132" s="22"/>
      <c r="AA132" s="22"/>
      <c r="AB132" s="22"/>
      <c r="AC132" s="168"/>
      <c r="AD132" s="22"/>
      <c r="AE132" s="22"/>
      <c r="AF132" s="22"/>
      <c r="AG132" s="168"/>
      <c r="AH132" s="22"/>
      <c r="AI132" s="22"/>
      <c r="AJ132" s="22"/>
      <c r="AK132" s="168"/>
    </row>
    <row r="133" spans="2:48" ht="18" customHeight="1" x14ac:dyDescent="0.25">
      <c r="B133" s="22"/>
      <c r="C133" s="168"/>
      <c r="D133" s="22"/>
      <c r="E133" s="22"/>
      <c r="F133" s="22"/>
      <c r="G133" s="168"/>
      <c r="H133" s="22"/>
      <c r="I133" s="22"/>
      <c r="J133" s="22"/>
      <c r="K133" s="168"/>
      <c r="L133" s="22"/>
      <c r="M133" s="22"/>
      <c r="N133" s="22"/>
      <c r="O133" s="168"/>
      <c r="P133" s="22"/>
      <c r="W133" s="22"/>
      <c r="X133" s="22"/>
      <c r="Y133" s="168"/>
      <c r="Z133" s="22"/>
      <c r="AA133" s="22"/>
      <c r="AB133" s="22"/>
      <c r="AC133" s="168"/>
      <c r="AD133" s="22"/>
      <c r="AE133" s="22"/>
      <c r="AF133" s="22"/>
      <c r="AG133" s="168"/>
      <c r="AH133" s="22"/>
      <c r="AI133" s="22"/>
      <c r="AJ133" s="22"/>
      <c r="AK133" s="168"/>
    </row>
    <row r="134" spans="2:48" ht="30" customHeight="1" x14ac:dyDescent="0.25">
      <c r="B134" s="251" t="s">
        <v>22</v>
      </c>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52"/>
      <c r="AE134" s="252"/>
      <c r="AF134" s="252"/>
      <c r="AG134" s="252"/>
      <c r="AH134" s="252"/>
      <c r="AI134" s="252"/>
      <c r="AJ134" s="252"/>
      <c r="AK134" s="252"/>
      <c r="AL134" s="252"/>
      <c r="AP134" s="241" t="s">
        <v>23</v>
      </c>
      <c r="AQ134" s="241"/>
      <c r="AR134" s="241"/>
      <c r="AS134" s="241"/>
      <c r="AT134" s="241"/>
      <c r="AU134" s="241"/>
    </row>
    <row r="135" spans="2:48" ht="18" customHeight="1" thickBot="1" x14ac:dyDescent="0.3">
      <c r="B135" s="73"/>
      <c r="C135" s="164"/>
      <c r="D135" s="61"/>
      <c r="E135" s="61"/>
      <c r="F135" s="61"/>
      <c r="G135" s="175"/>
      <c r="H135" s="61"/>
      <c r="I135" s="61"/>
      <c r="J135" s="61"/>
      <c r="K135" s="179"/>
      <c r="L135" s="61"/>
      <c r="M135" s="61"/>
      <c r="N135" s="61"/>
      <c r="O135" s="179"/>
      <c r="P135" s="61"/>
      <c r="Q135" s="61"/>
      <c r="R135" s="179"/>
      <c r="S135" s="61"/>
      <c r="T135" s="61"/>
      <c r="U135" s="61"/>
      <c r="V135" s="179"/>
      <c r="W135" s="61"/>
      <c r="X135" s="74"/>
      <c r="Y135" s="179"/>
      <c r="Z135" s="61"/>
      <c r="AA135" s="61"/>
      <c r="AB135" s="75"/>
      <c r="AC135" s="179"/>
      <c r="AD135" s="61"/>
      <c r="AE135" s="61"/>
      <c r="AF135" s="61"/>
      <c r="AG135" s="179"/>
      <c r="AH135" s="61"/>
      <c r="AI135" s="61"/>
      <c r="AJ135" s="61"/>
      <c r="AK135" s="179"/>
      <c r="AL135" s="61"/>
      <c r="AP135" s="228" t="s">
        <v>3</v>
      </c>
      <c r="AQ135" s="230"/>
      <c r="AR135" s="9" t="s">
        <v>15</v>
      </c>
      <c r="AS135" s="9" t="s">
        <v>0</v>
      </c>
      <c r="AT135" s="9" t="s">
        <v>16</v>
      </c>
      <c r="AU135" s="9" t="s">
        <v>17</v>
      </c>
    </row>
    <row r="136" spans="2:48" ht="18" customHeight="1" x14ac:dyDescent="0.25">
      <c r="B136" s="10">
        <v>1</v>
      </c>
      <c r="C136" s="171" t="str">
        <f>IF('15F GRP'!G5&gt;=3,'15F GRP'!J10,IF('15F GRP'!G5=2,IF('15F GRP'!H8=3,'15F GRP'!J10,""),IF('15F GRP'!G5=1,"","")))</f>
        <v>BRUNA FERNANDES LOPES</v>
      </c>
      <c r="D136" s="234">
        <v>2</v>
      </c>
      <c r="E136" s="51">
        <f>IF(D136&lt;&gt;"",D136,"")</f>
        <v>2</v>
      </c>
      <c r="F136" s="51" t="str">
        <f>IF(D136&lt;&gt;"",IF(C136="","",C136),"")</f>
        <v>BRUNA FERNANDES LOPES</v>
      </c>
      <c r="G136" s="176">
        <f>IF(E136&lt;&gt;"",IF(E138&lt;&gt;"",SMALL(E136:E138,1),""),"")</f>
        <v>0</v>
      </c>
      <c r="H136" s="11"/>
      <c r="I136" s="11"/>
      <c r="J136" s="11"/>
      <c r="K136" s="166"/>
      <c r="L136" s="11"/>
      <c r="M136" s="12"/>
      <c r="N136" s="12"/>
      <c r="O136" s="180"/>
      <c r="P136" s="12"/>
      <c r="Q136" s="8"/>
      <c r="R136" s="182"/>
      <c r="S136" s="8"/>
      <c r="T136" s="8"/>
      <c r="U136" s="8"/>
      <c r="V136" s="182"/>
      <c r="W136" s="8"/>
      <c r="X136" s="62"/>
      <c r="Y136" s="182"/>
      <c r="Z136" s="8"/>
      <c r="AA136" s="8"/>
      <c r="AB136" s="11"/>
      <c r="AC136" s="182"/>
      <c r="AD136" s="8"/>
      <c r="AE136" s="8"/>
      <c r="AF136" s="8"/>
      <c r="AG136" s="181">
        <f>IF(AJ136&lt;&gt;"",AJ136,"")</f>
        <v>2</v>
      </c>
      <c r="AH136" s="78" t="str">
        <f>IF(AJ136&lt;&gt;"",IF(AK136="","",AK136),"")</f>
        <v>MAITÊ ERMINIA DOS REIS CARVALHO</v>
      </c>
      <c r="AI136" s="51">
        <f>IF(AG136&lt;&gt;"",IF(AG138&lt;&gt;"",SMALL(AG136:AG138,1),""),"")</f>
        <v>0</v>
      </c>
      <c r="AJ136" s="234">
        <v>2</v>
      </c>
      <c r="AK136" s="171" t="str">
        <f>IF('15F GRP'!G5&gt;=3,'15F GRP'!J49,IF('15F GRP'!G5=2,"",IF('15F GRP'!G5=1,"","")))</f>
        <v>MAITÊ ERMINIA DOS REIS CARVALHO</v>
      </c>
      <c r="AL136" s="63">
        <v>3</v>
      </c>
      <c r="AP136" s="13">
        <f>IF(AR136&lt;&gt;"",1,"")</f>
        <v>1</v>
      </c>
      <c r="AQ136" s="14" t="str">
        <f>IF(AP136&lt;&gt;"","LUGAR","")</f>
        <v>LUGAR</v>
      </c>
      <c r="AR136" s="15" t="str">
        <f>IF(S164&lt;&gt;"",IF(U164&lt;&gt;"",IF(S164=U164,"",IF(S164&gt;U164,R164,V164)),""),"")</f>
        <v>BRUNA FERNANDES LOPES</v>
      </c>
      <c r="AS136" s="15" t="str">
        <f>IFERROR(IF(AR136="","",VLOOKUP(AR136,LISTAS!$F$5:$G$1004,2,0)),"0")</f>
        <v>COLÉGIO ATENEU</v>
      </c>
      <c r="AT136" s="15">
        <f>IF(AP136="","",IF(AP136=1,100,IF(AP136=2,80,IF(AP136=3,70,IF(AP136=4,50,IF(AP136=5,45,IF(AP136=6,40,IF(AP136=7,35,IF(AP136=8,30,IF(AP136=9,28,IF(AP136=10,28,IF(AP136=11,28,IF(AP136=12,28,IF(AP136=13,28,IF(AP136=14,28,IF(AP136=15,28,IF(AP136=16,28,IF(AP136&gt;16,"",""))))))))))))))))))</f>
        <v>100</v>
      </c>
      <c r="AU136" s="15">
        <f>IF(AP136="","",IF($AS$5="NÃO","",IF(AP136=1,100,IF(AP136=2,80,IF(AP136=3,70,IF(AP136=4,50,IF(AP136=5,45,IF(AP136=6,40,IF(AP136=7,35,IF(AP136=8,30,IF(AP136=9,28,IF(AP136=10,28,IF(AP136=11,28,IF(AP136=12,28,IF(AP136=13,28,IF(AP136=14,28,IF(AP136=15,28,IF(AP136=16,28,IF(AP136&gt;16,"","")))))))))))))))))))</f>
        <v>100</v>
      </c>
    </row>
    <row r="137" spans="2:48" ht="18" customHeight="1" thickBot="1" x14ac:dyDescent="0.3">
      <c r="B137" s="10"/>
      <c r="C137" s="172" t="str">
        <f>IFERROR(IF(C136="","",VLOOKUP(C136,LISTAS!$F$5:$G$1004,2,0)),"0")</f>
        <v>COLÉGIO ATENEU</v>
      </c>
      <c r="D137" s="235"/>
      <c r="E137" s="51"/>
      <c r="F137" s="51"/>
      <c r="G137" s="176"/>
      <c r="H137" s="11"/>
      <c r="I137" s="11"/>
      <c r="J137" s="11"/>
      <c r="K137" s="166"/>
      <c r="L137" s="11"/>
      <c r="M137" s="12"/>
      <c r="N137" s="12"/>
      <c r="O137" s="180"/>
      <c r="P137" s="12"/>
      <c r="Q137" s="8"/>
      <c r="R137" s="182"/>
      <c r="S137" s="8"/>
      <c r="T137" s="8"/>
      <c r="U137" s="8"/>
      <c r="V137" s="182"/>
      <c r="W137" s="8"/>
      <c r="X137" s="62"/>
      <c r="Y137" s="182"/>
      <c r="Z137" s="8"/>
      <c r="AA137" s="8"/>
      <c r="AB137" s="11"/>
      <c r="AC137" s="182"/>
      <c r="AD137" s="8"/>
      <c r="AE137" s="8"/>
      <c r="AF137" s="8"/>
      <c r="AG137" s="181"/>
      <c r="AH137" s="78"/>
      <c r="AI137" s="51"/>
      <c r="AJ137" s="235"/>
      <c r="AK137" s="172" t="str">
        <f>IFERROR(IF(AK136="","",VLOOKUP(AK136,LISTAS!$F$5:$G$1004,2,0)),"0")</f>
        <v>COLÉGIO ARBOS - UNIDADE SANTO ANDRÉ</v>
      </c>
      <c r="AL137" s="63"/>
      <c r="AP137" s="13">
        <f>IF(AR137&lt;&gt;"",1+COUNTIF(AP136,"1"),"")</f>
        <v>2</v>
      </c>
      <c r="AQ137" s="14" t="str">
        <f t="shared" ref="AQ137:AQ167" si="6">IF(AP137&lt;&gt;"","LUGAR","")</f>
        <v>LUGAR</v>
      </c>
      <c r="AR137" s="15" t="str">
        <f>IF(S164&lt;&gt;"",IF(U164&lt;&gt;"",IF(S164=U164,"",IF(S164&lt;U164,R164,V164)),""),"")</f>
        <v>LORENA BEATRIZ ANTONIO SQUASSONI</v>
      </c>
      <c r="AS137" s="15" t="str">
        <f>IFERROR(IF(AR137="","",VLOOKUP(AR137,LISTAS!$F$5:$G$1004,2,0)),"0")</f>
        <v>LICEU JARDIM</v>
      </c>
      <c r="AT137" s="15">
        <f t="shared" ref="AT137:AT166" si="7">IF(AP137="","",IF(AP137=1,100,IF(AP137=2,80,IF(AP137=3,70,IF(AP137=4,50,IF(AP137=5,45,IF(AP137=6,40,IF(AP137=7,35,IF(AP137=8,30,IF(AP137=9,28,IF(AP137=10,28,IF(AP137=11,28,IF(AP137=12,28,IF(AP137=13,28,IF(AP137=14,28,IF(AP137=15,28,IF(AP137=16,28,IF(AP137&gt;16,"",""))))))))))))))))))</f>
        <v>80</v>
      </c>
      <c r="AU137" s="15">
        <f t="shared" ref="AU137:AU166" si="8">IF(AP137="","",IF($AS$5="NÃO","",IF(AP137=1,100,IF(AP137=2,80,IF(AP137=3,70,IF(AP137=4,50,IF(AP137=5,45,IF(AP137=6,40,IF(AP137=7,35,IF(AP137=8,30,IF(AP137=9,28,IF(AP137=10,28,IF(AP137=11,28,IF(AP137=12,28,IF(AP137=13,28,IF(AP137=14,28,IF(AP137=15,28,IF(AP137=16,28,IF(AP137&gt;16,"","")))))))))))))))))))</f>
        <v>80</v>
      </c>
    </row>
    <row r="138" spans="2:48" ht="18" customHeight="1" x14ac:dyDescent="0.25">
      <c r="B138" s="16">
        <v>32</v>
      </c>
      <c r="C138" s="171" t="str">
        <f>IF('15F GRP'!G5&gt;=3,'15F GRP'!J426,IF('15F GRP'!G5=2,"",IF('15F GRP'!G5=1,"","")))</f>
        <v/>
      </c>
      <c r="D138" s="234">
        <v>0</v>
      </c>
      <c r="E138" s="52">
        <f>IF(D138&lt;&gt;"",D138,"")</f>
        <v>0</v>
      </c>
      <c r="F138" s="51" t="str">
        <f>IF(D138&lt;&gt;"",IF(C138="","",C138),"")</f>
        <v/>
      </c>
      <c r="G138" s="176" t="str">
        <f>VLOOKUP(G136,E136:F138,2,0)</f>
        <v/>
      </c>
      <c r="H138" s="11"/>
      <c r="I138" s="11"/>
      <c r="J138" s="11"/>
      <c r="K138" s="166"/>
      <c r="L138" s="11"/>
      <c r="M138" s="12"/>
      <c r="N138" s="12"/>
      <c r="O138" s="180"/>
      <c r="P138" s="12"/>
      <c r="Q138" s="8"/>
      <c r="R138" s="182"/>
      <c r="S138" s="8"/>
      <c r="T138" s="8"/>
      <c r="U138" s="8"/>
      <c r="V138" s="182"/>
      <c r="W138" s="8"/>
      <c r="X138" s="62"/>
      <c r="Y138" s="182"/>
      <c r="Z138" s="8"/>
      <c r="AA138" s="8"/>
      <c r="AB138" s="11"/>
      <c r="AC138" s="182"/>
      <c r="AD138" s="8"/>
      <c r="AE138" s="8"/>
      <c r="AF138" s="8"/>
      <c r="AG138" s="181">
        <f>IF(AJ138&lt;&gt;"",AJ138,"")</f>
        <v>0</v>
      </c>
      <c r="AH138" s="78" t="str">
        <f>IF(AJ138&lt;&gt;"",IF(AK138="","",AK138),"")</f>
        <v/>
      </c>
      <c r="AI138" s="55" t="str">
        <f>VLOOKUP(AI136,AG136:AH138,2,0)</f>
        <v/>
      </c>
      <c r="AJ138" s="234">
        <v>0</v>
      </c>
      <c r="AK138" s="171" t="str">
        <f>IF('15F GRP'!G5&gt;=3,'15F GRP'!J400,IF('15F GRP'!G5=2,"",IF('15F GRP'!G5=1,"","")))</f>
        <v/>
      </c>
      <c r="AL138" s="11">
        <v>30</v>
      </c>
      <c r="AP138" s="13">
        <f>IF(AR138&lt;&gt;"",1+COUNTIF(AP136:AP137,"1")+COUNTIF(AP136:AP137,"2"),"")</f>
        <v>3</v>
      </c>
      <c r="AQ138" s="14" t="str">
        <f t="shared" si="6"/>
        <v>LUGAR</v>
      </c>
      <c r="AR138" s="21" t="str">
        <f>IF(AR136&lt;&gt;"",IF(O163=AR136,O165,IF(O165=AR136,O163,IF(Y163=AR136,Y165,IF(Y165=AR136,Y163)))),"")</f>
        <v>MARIANA MANSO DA SILVA</v>
      </c>
      <c r="AS138" s="15" t="str">
        <f>IFERROR(IF(AR138="","",VLOOKUP(AR138,LISTAS!$F$5:$G$1004,2,0)),"0")</f>
        <v>COLÉGIO SÃO MAURO</v>
      </c>
      <c r="AT138" s="15">
        <f t="shared" si="7"/>
        <v>70</v>
      </c>
      <c r="AU138" s="15">
        <f t="shared" si="8"/>
        <v>70</v>
      </c>
    </row>
    <row r="139" spans="2:48" ht="18" customHeight="1" thickBot="1" x14ac:dyDescent="0.3">
      <c r="B139" s="16"/>
      <c r="C139" s="172" t="str">
        <f>IFERROR(IF(C138="","",VLOOKUP(C138,LISTAS!$F$5:$G$1004,2,0)),"0")</f>
        <v/>
      </c>
      <c r="D139" s="235"/>
      <c r="E139" s="128"/>
      <c r="F139" s="51"/>
      <c r="G139" s="176"/>
      <c r="H139" s="11"/>
      <c r="I139" s="11"/>
      <c r="J139" s="11"/>
      <c r="K139" s="166"/>
      <c r="L139" s="11"/>
      <c r="M139" s="12"/>
      <c r="N139" s="12"/>
      <c r="O139" s="180"/>
      <c r="P139" s="12"/>
      <c r="Q139" s="8"/>
      <c r="R139" s="182"/>
      <c r="S139" s="8"/>
      <c r="T139" s="8"/>
      <c r="U139" s="8"/>
      <c r="V139" s="182"/>
      <c r="W139" s="8"/>
      <c r="X139" s="62"/>
      <c r="Y139" s="182"/>
      <c r="Z139" s="8"/>
      <c r="AA139" s="8"/>
      <c r="AB139" s="11"/>
      <c r="AC139" s="182"/>
      <c r="AD139" s="8"/>
      <c r="AE139" s="8"/>
      <c r="AF139" s="8"/>
      <c r="AG139" s="181"/>
      <c r="AH139" s="78"/>
      <c r="AI139" s="123"/>
      <c r="AJ139" s="235"/>
      <c r="AK139" s="172" t="str">
        <f>IFERROR(IF(AK138="","",VLOOKUP(AK138,LISTAS!$F$5:$G$1004,2,0)),"0")</f>
        <v/>
      </c>
      <c r="AL139" s="11"/>
      <c r="AP139" s="13">
        <f>IF(AR139&lt;&gt;"",1+COUNTIF(AP136:AP138,"1")+COUNTIF(AP136:AP138,"2")+COUNTIF(AP136:AP138,"3"),"")</f>
        <v>4</v>
      </c>
      <c r="AQ139" s="14" t="str">
        <f t="shared" si="6"/>
        <v>LUGAR</v>
      </c>
      <c r="AR139" s="21" t="str">
        <f>IF(AR137&lt;&gt;"",IF(O163=AR137,O165,IF(O165=AR137,O163,IF(Y163=AR137,Y165,IF(Y165=AR137,Y163)))),"")</f>
        <v>LORENA VALENTINUCI</v>
      </c>
      <c r="AS139" s="15" t="str">
        <f>IFERROR(IF(AR139="","",VLOOKUP(AR139,LISTAS!$F$5:$G$1004,2,0)),"0")</f>
        <v>COLÉGIO ARBOS - UNIDADE SANTO ANDRÉ</v>
      </c>
      <c r="AT139" s="15">
        <f t="shared" si="7"/>
        <v>50</v>
      </c>
      <c r="AU139" s="15">
        <f t="shared" si="8"/>
        <v>50</v>
      </c>
    </row>
    <row r="140" spans="2:48" ht="18" customHeight="1" x14ac:dyDescent="0.25">
      <c r="B140" s="16"/>
      <c r="C140" s="166"/>
      <c r="D140" s="11"/>
      <c r="E140" s="11"/>
      <c r="F140" s="17"/>
      <c r="G140" s="171" t="str">
        <f>IF(D136&lt;&gt;"",IF(D138&lt;&gt;"",IF(D136=D138,"",IF(D136&gt;D138,C136,C138)),""),"")</f>
        <v>BRUNA FERNANDES LOPES</v>
      </c>
      <c r="H140" s="234">
        <v>2</v>
      </c>
      <c r="I140" s="51">
        <f>IF(H140&lt;&gt;"",H140,"")</f>
        <v>2</v>
      </c>
      <c r="J140" s="51" t="str">
        <f>IF(H140&lt;&gt;"",IF(G140="","",G140),"")</f>
        <v>BRUNA FERNANDES LOPES</v>
      </c>
      <c r="K140" s="176">
        <f>IF(I140&lt;&gt;"",IF(I142&lt;&gt;"",SMALL(I140:J142,1),""),"")</f>
        <v>0</v>
      </c>
      <c r="L140" s="51"/>
      <c r="M140" s="11"/>
      <c r="N140" s="11"/>
      <c r="O140" s="166"/>
      <c r="P140" s="11"/>
      <c r="Q140" s="8"/>
      <c r="R140" s="182"/>
      <c r="S140" s="8"/>
      <c r="T140" s="8"/>
      <c r="U140" s="8"/>
      <c r="V140" s="182"/>
      <c r="W140" s="8"/>
      <c r="X140" s="62"/>
      <c r="Y140" s="182"/>
      <c r="Z140" s="8"/>
      <c r="AA140" s="8"/>
      <c r="AB140" s="11"/>
      <c r="AC140" s="182"/>
      <c r="AD140" s="8"/>
      <c r="AE140" s="67"/>
      <c r="AF140" s="234">
        <v>2</v>
      </c>
      <c r="AG140" s="171" t="str">
        <f>IF(AJ136&lt;&gt;"",IF(AJ138&lt;&gt;"",IF(AJ136=AJ138,"",IF(AJ136&gt;AJ138,AK136,AK138)),""),"")</f>
        <v>MAITÊ ERMINIA DOS REIS CARVALHO</v>
      </c>
      <c r="AH140" s="65"/>
      <c r="AI140" s="8"/>
      <c r="AJ140" s="11"/>
      <c r="AK140" s="166"/>
      <c r="AL140" s="11"/>
      <c r="AP140" s="13" t="str">
        <f>IF(AR140&lt;&gt;"",1+COUNTIF(AP136:AP139,"1")+COUNTIF(AP136:AP139,"2")+COUNTIF(AP136:AP139,"3")+COUNTIF(AP136:AP139,"4"),"")</f>
        <v/>
      </c>
      <c r="AQ140" s="14" t="str">
        <f t="shared" si="6"/>
        <v/>
      </c>
      <c r="AR140" s="21" t="str">
        <f>IF(AR136&lt;&gt;"",IF(K148=AR136,K150,IF(K150=AR136,K148,IF(K178=AR136,K180,IF(K180=AR136,K178,IF(AC148=AR136,AC150,IF(AC150=AR136,AC148,IF(AC178=AR136,AC180,IF(AC180=AR136,AC178)))))))),"")</f>
        <v/>
      </c>
      <c r="AS140" s="15" t="str">
        <f>IFERROR(IF(AR140="","",VLOOKUP(AR140,LISTAS!$F$5:$G$1004,2,0)),"0")</f>
        <v/>
      </c>
      <c r="AT140" s="15" t="str">
        <f t="shared" si="7"/>
        <v/>
      </c>
      <c r="AU140" s="15" t="str">
        <f t="shared" si="8"/>
        <v/>
      </c>
    </row>
    <row r="141" spans="2:48" ht="18" customHeight="1" thickBot="1" x14ac:dyDescent="0.3">
      <c r="B141" s="16"/>
      <c r="C141" s="166"/>
      <c r="D141" s="11"/>
      <c r="E141" s="11"/>
      <c r="F141" s="17"/>
      <c r="G141" s="172" t="str">
        <f>IFERROR(IF(G140="","",VLOOKUP(G140,LISTAS!$F$5:$G$1004,2,0)),"0")</f>
        <v>COLÉGIO ATENEU</v>
      </c>
      <c r="H141" s="235"/>
      <c r="I141" s="51"/>
      <c r="J141" s="51"/>
      <c r="K141" s="176"/>
      <c r="L141" s="51"/>
      <c r="M141" s="11"/>
      <c r="N141" s="11"/>
      <c r="O141" s="166"/>
      <c r="P141" s="11"/>
      <c r="Q141" s="8"/>
      <c r="R141" s="182"/>
      <c r="S141" s="8"/>
      <c r="T141" s="8"/>
      <c r="U141" s="8"/>
      <c r="V141" s="182"/>
      <c r="W141" s="8"/>
      <c r="X141" s="62"/>
      <c r="Y141" s="182"/>
      <c r="Z141" s="8"/>
      <c r="AA141" s="8"/>
      <c r="AB141" s="11"/>
      <c r="AC141" s="182"/>
      <c r="AD141" s="8"/>
      <c r="AE141" s="67"/>
      <c r="AF141" s="235"/>
      <c r="AG141" s="172" t="str">
        <f>IFERROR(IF(AG140="","",VLOOKUP(AG140,LISTAS!$F$5:$G$1004,2,0)),"0")</f>
        <v>COLÉGIO ARBOS - UNIDADE SANTO ANDRÉ</v>
      </c>
      <c r="AH141" s="65"/>
      <c r="AI141" s="8"/>
      <c r="AJ141" s="11"/>
      <c r="AK141" s="166"/>
      <c r="AL141" s="11"/>
      <c r="AP141" s="13">
        <f>IF(AR141&lt;&gt;"",1+COUNTIF(AP136:AP140,"1")+COUNTIF(AP136:AP140,"2")+COUNTIF(AP136:AP140,"3")+COUNTIF(AP136:AP140,"4")+COUNTIF(AP136:AP140,"5"),"")</f>
        <v>5</v>
      </c>
      <c r="AQ141" s="14" t="str">
        <f t="shared" si="6"/>
        <v>LUGAR</v>
      </c>
      <c r="AR141" s="21" t="str">
        <f>IF(AR137&lt;&gt;"",IF(K148=AR137,K150,IF(K150=AR137,K148,IF(K178=AR137,K180,IF(K180=AR137,K178,IF(AC148=AR137,AC150,IF(AC150=AR137,AC148,IF(AC178=AR137,AC180,IF(AC180=AR137,AC178)))))))),"")</f>
        <v>MAITÊ ERMINIA DOS REIS CARVALHO</v>
      </c>
      <c r="AS141" s="15" t="str">
        <f>IFERROR(IF(AR141="","",VLOOKUP(AR141,LISTAS!$F$5:$G$1004,2,0)),"0")</f>
        <v>COLÉGIO ARBOS - UNIDADE SANTO ANDRÉ</v>
      </c>
      <c r="AT141" s="15">
        <f t="shared" si="7"/>
        <v>45</v>
      </c>
      <c r="AU141" s="15">
        <f t="shared" si="8"/>
        <v>45</v>
      </c>
    </row>
    <row r="142" spans="2:48" ht="18" customHeight="1" x14ac:dyDescent="0.25">
      <c r="B142" s="16"/>
      <c r="C142" s="166"/>
      <c r="D142" s="11"/>
      <c r="E142" s="18"/>
      <c r="F142" s="19"/>
      <c r="G142" s="171" t="str">
        <f>IF(D144&lt;&gt;"",IF(D146&lt;&gt;"",IF(D144=D146,"",IF(D144&gt;D146,C144,C146)),""),"")</f>
        <v/>
      </c>
      <c r="H142" s="234">
        <v>0</v>
      </c>
      <c r="I142" s="52">
        <f>IF(H142&lt;&gt;"",H142,"")</f>
        <v>0</v>
      </c>
      <c r="J142" s="51" t="str">
        <f>IF(H142&lt;&gt;"",IF(G142="","",G142),"")</f>
        <v/>
      </c>
      <c r="K142" s="176" t="str">
        <f>VLOOKUP(K140,I140:J142,2,0)</f>
        <v/>
      </c>
      <c r="L142" s="51"/>
      <c r="M142" s="11"/>
      <c r="N142" s="11"/>
      <c r="O142" s="166"/>
      <c r="P142" s="11"/>
      <c r="Q142" s="8"/>
      <c r="R142" s="182"/>
      <c r="S142" s="8"/>
      <c r="T142" s="8"/>
      <c r="U142" s="8"/>
      <c r="V142" s="182"/>
      <c r="W142" s="8"/>
      <c r="X142" s="62"/>
      <c r="Y142" s="182"/>
      <c r="Z142" s="8"/>
      <c r="AA142" s="8"/>
      <c r="AB142" s="11"/>
      <c r="AC142" s="182"/>
      <c r="AD142" s="65"/>
      <c r="AE142" s="68"/>
      <c r="AF142" s="234">
        <v>0</v>
      </c>
      <c r="AG142" s="171" t="str">
        <f>IF(AJ144&lt;&gt;"",IF(AJ146&lt;&gt;"",IF(AJ144=AJ146,"",IF(AJ144&gt;AJ146,AK144,AK146)),""),"")</f>
        <v/>
      </c>
      <c r="AH142" s="66"/>
      <c r="AI142" s="8"/>
      <c r="AJ142" s="11"/>
      <c r="AK142" s="166"/>
      <c r="AL142" s="11"/>
      <c r="AN142" s="2"/>
      <c r="AO142" s="2"/>
      <c r="AP142" s="13" t="str">
        <f>IF(AR142&lt;&gt;"",1+COUNTIF(AP136:AP141,"1")+COUNTIF(AP136:AP141,"2")+COUNTIF(AP136:AP141,"3")+COUNTIF(AP136:AP141,"4")+COUNTIF(AP136:AP141,"5")+COUNTIF(AP136:AP141,"6"),"")</f>
        <v/>
      </c>
      <c r="AQ142" s="14" t="str">
        <f t="shared" si="6"/>
        <v/>
      </c>
      <c r="AR142" s="21" t="str">
        <f>IF(AR138&lt;&gt;"",IF(K148=AR138,K150,IF(K150=AR138,K148,IF(K178=AR138,K180,IF(K180=AR138,K178,IF(AC148=AR138,AC150,IF(AC150=AR138,AC148,IF(AC178=AR138,AC180,IF(AC180=AR138,AC178)))))))),"")</f>
        <v/>
      </c>
      <c r="AS142" s="15" t="str">
        <f>IFERROR(IF(AR142="","",VLOOKUP(AR142,LISTAS!$F$5:$G$1004,2,0)),"0")</f>
        <v/>
      </c>
      <c r="AT142" s="15" t="str">
        <f t="shared" si="7"/>
        <v/>
      </c>
      <c r="AU142" s="15" t="str">
        <f t="shared" si="8"/>
        <v/>
      </c>
      <c r="AV142" s="2"/>
    </row>
    <row r="143" spans="2:48" ht="18" customHeight="1" thickBot="1" x14ac:dyDescent="0.3">
      <c r="B143" s="16"/>
      <c r="C143" s="166"/>
      <c r="D143" s="11"/>
      <c r="E143" s="18"/>
      <c r="F143" s="11"/>
      <c r="G143" s="172" t="str">
        <f>IFERROR(IF(G142="","",VLOOKUP(G142,LISTAS!$F$5:$G$1004,2,0)),"0")</f>
        <v/>
      </c>
      <c r="H143" s="235"/>
      <c r="I143" s="54"/>
      <c r="J143" s="51"/>
      <c r="K143" s="176"/>
      <c r="L143" s="51"/>
      <c r="M143" s="11"/>
      <c r="N143" s="11"/>
      <c r="O143" s="166"/>
      <c r="P143" s="11"/>
      <c r="Q143" s="8"/>
      <c r="R143" s="182"/>
      <c r="S143" s="8"/>
      <c r="T143" s="8"/>
      <c r="U143" s="8"/>
      <c r="V143" s="182"/>
      <c r="W143" s="8"/>
      <c r="X143" s="62"/>
      <c r="Y143" s="182"/>
      <c r="Z143" s="8"/>
      <c r="AA143" s="8"/>
      <c r="AB143" s="11"/>
      <c r="AC143" s="182"/>
      <c r="AD143" s="65"/>
      <c r="AE143" s="8"/>
      <c r="AF143" s="235"/>
      <c r="AG143" s="172" t="str">
        <f>IFERROR(IF(AG142="","",VLOOKUP(AG142,LISTAS!$F$5:$G$1004,2,0)),"0")</f>
        <v/>
      </c>
      <c r="AH143" s="8"/>
      <c r="AI143" s="69"/>
      <c r="AJ143" s="11"/>
      <c r="AK143" s="166"/>
      <c r="AL143" s="11"/>
      <c r="AM143" s="2"/>
      <c r="AN143" s="2"/>
      <c r="AO143" s="2"/>
      <c r="AP143" s="13" t="str">
        <f>IF(AR143&lt;&gt;"",1+COUNTIF(AP136:AP142,"1")+COUNTIF(AP136:AP142,"2")+COUNTIF(AP136:AP142,"3")+COUNTIF(AP136:AP142,"4")+COUNTIF(AP136:AP142,"5")+COUNTIF(AP136:AP142,"6")+COUNTIF(AP136:AP142,"7"),"")</f>
        <v/>
      </c>
      <c r="AQ143" s="14" t="str">
        <f t="shared" si="6"/>
        <v/>
      </c>
      <c r="AR143" s="21" t="str">
        <f>IF(AR139&lt;&gt;"",IF(K148=AR139,K150,IF(K150=AR139,K148,IF(K178=AR139,K180,IF(K180=AR139,K178,IF(AC148=AR139,AC150,IF(AC150=AR139,AC148,IF(AC178=AR139,AC180,IF(AC180=AR139,AC178)))))))),"")</f>
        <v/>
      </c>
      <c r="AS143" s="15" t="str">
        <f>IFERROR(IF(AR143="","",VLOOKUP(AR143,LISTAS!$F$5:$G$1004,2,0)),"0")</f>
        <v/>
      </c>
      <c r="AT143" s="15" t="str">
        <f t="shared" si="7"/>
        <v/>
      </c>
      <c r="AU143" s="15" t="str">
        <f t="shared" si="8"/>
        <v/>
      </c>
      <c r="AV143" s="2"/>
    </row>
    <row r="144" spans="2:48" ht="18" customHeight="1" x14ac:dyDescent="0.25">
      <c r="B144" s="16">
        <v>17</v>
      </c>
      <c r="C144" s="171" t="str">
        <f>IF('15F GRP'!G5&gt;=3,'15F GRP'!J231,IF('15F GRP'!G5=2,"",IF('15F GRP'!G5=1,"","")))</f>
        <v/>
      </c>
      <c r="D144" s="234">
        <v>0</v>
      </c>
      <c r="E144" s="56">
        <f>IF(D144&lt;&gt;"",D144,"")</f>
        <v>0</v>
      </c>
      <c r="F144" s="51" t="str">
        <f>IF(D144&lt;&gt;"",IF(C144="","",C144),"")</f>
        <v/>
      </c>
      <c r="G144" s="176">
        <f>IF(E144&lt;&gt;"",IF(E146&lt;&gt;"",SMALL(E144:E146,1),""),"")</f>
        <v>0</v>
      </c>
      <c r="H144" s="51"/>
      <c r="I144" s="18"/>
      <c r="J144" s="11"/>
      <c r="K144" s="166"/>
      <c r="L144" s="11"/>
      <c r="M144" s="11"/>
      <c r="N144" s="11"/>
      <c r="O144" s="166"/>
      <c r="P144" s="11"/>
      <c r="Q144" s="8"/>
      <c r="R144" s="182"/>
      <c r="S144" s="8"/>
      <c r="T144" s="8"/>
      <c r="U144" s="8"/>
      <c r="V144" s="182"/>
      <c r="W144" s="8"/>
      <c r="X144" s="62"/>
      <c r="Y144" s="182"/>
      <c r="Z144" s="8"/>
      <c r="AA144" s="8"/>
      <c r="AB144" s="11"/>
      <c r="AC144" s="182"/>
      <c r="AD144" s="65"/>
      <c r="AE144" s="8"/>
      <c r="AF144" s="8"/>
      <c r="AG144" s="181">
        <f>IF(AJ144&lt;&gt;"",AJ144,"")</f>
        <v>0</v>
      </c>
      <c r="AH144" s="78" t="str">
        <f>IF(AJ144&lt;&gt;"",IF(AK144="","",AK144),"")</f>
        <v/>
      </c>
      <c r="AI144" s="53">
        <f>IF(AG144&lt;&gt;"",IF(AG146&lt;&gt;"",SMALL(AG144:AG146,1),""),"")</f>
        <v>0</v>
      </c>
      <c r="AJ144" s="234">
        <v>0</v>
      </c>
      <c r="AK144" s="171" t="str">
        <f>IF('15F GRP'!G5&gt;=3,'15F GRP'!J192,IF('15F GRP'!G5=2,"",IF('15F GRP'!G5=1,"","")))</f>
        <v/>
      </c>
      <c r="AL144" s="11">
        <v>14</v>
      </c>
      <c r="AM144" s="2"/>
      <c r="AP144" s="13" t="str">
        <f>IF(AR144&lt;&gt;"",1+COUNTIF(AP136:AP143,"1")+COUNTIF(AP136:AP143,"2")+COUNTIF(AP136:AP143,"3")+COUNTIF(AP136:AP143,"4")+COUNTIF(AP136:AP143,"5")+COUNTIF(AP136:AP143,"6")+COUNTIF(AP136:AP143,"7")+COUNTIF(AP136:AP143,"8"),"")</f>
        <v/>
      </c>
      <c r="AQ144" s="14" t="str">
        <f t="shared" si="6"/>
        <v/>
      </c>
      <c r="AR144" s="21" t="str">
        <f>IF(AR136&lt;&gt;"",IF(G140=AR136,G142,IF(G142=AR136,G140,IF(G156=AR136,G158,IF(G158=AR136,G156,IF(AG140=AR136,AG142,IF(AG142=AR136,AG140,IF(AG156=AR136,AG158,IF(AG158=AR136,AG156,IF(G170=AR136,G172,IF(G172=AR136,G170,IF(G186=AR136,G188,IF(G188=AR136,G186,IF(AG170=AR136,AG172,IF(AG172=AR136,AG170,IF(AG186=AR136,AG188,IF(AG188=AR136,AG186)))))))))))))))),"")</f>
        <v/>
      </c>
      <c r="AS144" s="15" t="str">
        <f>IFERROR(IF(AR144="","",VLOOKUP(AR144,LISTAS!$F$5:$G$1004,2,0)),"0")</f>
        <v/>
      </c>
      <c r="AT144" s="15" t="str">
        <f t="shared" si="7"/>
        <v/>
      </c>
      <c r="AU144" s="15" t="str">
        <f t="shared" si="8"/>
        <v/>
      </c>
    </row>
    <row r="145" spans="2:47" ht="18" customHeight="1" thickBot="1" x14ac:dyDescent="0.3">
      <c r="B145" s="16"/>
      <c r="C145" s="172" t="str">
        <f>IFERROR(IF(C144="","",VLOOKUP(C144,LISTAS!$F$5:$G$1004,2,0)),"0")</f>
        <v/>
      </c>
      <c r="D145" s="235"/>
      <c r="E145" s="57"/>
      <c r="F145" s="51"/>
      <c r="G145" s="176"/>
      <c r="H145" s="51"/>
      <c r="I145" s="18"/>
      <c r="J145" s="11"/>
      <c r="K145" s="166"/>
      <c r="L145" s="11"/>
      <c r="M145" s="11"/>
      <c r="N145" s="11"/>
      <c r="O145" s="166"/>
      <c r="P145" s="11"/>
      <c r="Q145" s="8"/>
      <c r="R145" s="182"/>
      <c r="S145" s="8"/>
      <c r="T145" s="8"/>
      <c r="U145" s="8"/>
      <c r="V145" s="182"/>
      <c r="W145" s="8"/>
      <c r="X145" s="62"/>
      <c r="Y145" s="182"/>
      <c r="Z145" s="8"/>
      <c r="AA145" s="8"/>
      <c r="AB145" s="11"/>
      <c r="AC145" s="182"/>
      <c r="AD145" s="65"/>
      <c r="AE145" s="8"/>
      <c r="AF145" s="8"/>
      <c r="AG145" s="181"/>
      <c r="AH145" s="78"/>
      <c r="AI145" s="124"/>
      <c r="AJ145" s="235"/>
      <c r="AK145" s="172" t="str">
        <f>IFERROR(IF(AK144="","",VLOOKUP(AK144,LISTAS!$F$5:$G$1004,2,0)),"0")</f>
        <v/>
      </c>
      <c r="AL145" s="11"/>
      <c r="AP145" s="13" t="str">
        <f>IF(AR145&lt;&gt;"",1+COUNTIF(AP136:AP144,"1")+COUNTIF(AP136:AP144,"2")+COUNTIF(AP136:AP144,"3")+COUNTIF(AP136:AP144,"4")+COUNTIF(AP136:AP144,"5")+COUNTIF(AP136:AP144,"6")+COUNTIF(AP136:AP144,"7")+COUNTIF(AP136:AP144,"8")+COUNTIF(AP136:AP144,"9"),"")</f>
        <v/>
      </c>
      <c r="AQ145" s="14" t="str">
        <f t="shared" si="6"/>
        <v/>
      </c>
      <c r="AR145" s="21" t="str">
        <f>IF(AR137&lt;&gt;"",IF(G140=AR137,G142,IF(G142=AR137,G140,IF(G156=AR137,G158,IF(G158=AR137,G156,IF(AG140=AR137,AG142,IF(AG142=AR137,AG140,IF(AG156=AR137,AG158,IF(AG158=AR137,AG156,IF(G170=AR137,G172,IF(G172=AR137,G170,IF(G186=AR137,G188,IF(G188=AR137,G186,IF(AG170=AR137,AG172,IF(AG172=AR137,AG170,IF(AG186=AR137,AG188,IF(AG188=AR137,AG186)))))))))))))))),"")</f>
        <v/>
      </c>
      <c r="AS145" s="15" t="str">
        <f>IFERROR(IF(AR145="","",VLOOKUP(AR145,LISTAS!$F$5:$G$1004,2,0)),"0")</f>
        <v/>
      </c>
      <c r="AT145" s="15" t="str">
        <f t="shared" si="7"/>
        <v/>
      </c>
      <c r="AU145" s="15" t="str">
        <f t="shared" si="8"/>
        <v/>
      </c>
    </row>
    <row r="146" spans="2:47" ht="18" customHeight="1" x14ac:dyDescent="0.25">
      <c r="B146" s="16">
        <v>16</v>
      </c>
      <c r="C146" s="171" t="str">
        <f>IF('15F GRP'!G5&gt;=3,'15F GRP'!J218,IF('15F GRP'!G5=2,"",IF('15F GRP'!G5=1,"","")))</f>
        <v/>
      </c>
      <c r="D146" s="234">
        <v>0</v>
      </c>
      <c r="E146" s="57">
        <f>IF(D146&lt;&gt;"",D146,"")</f>
        <v>0</v>
      </c>
      <c r="F146" s="51" t="str">
        <f>IF(D146&lt;&gt;"",IF(C146="","",C146),"")</f>
        <v/>
      </c>
      <c r="G146" s="176" t="str">
        <f>VLOOKUP(G144,E144:F146,2,0)</f>
        <v/>
      </c>
      <c r="H146" s="51"/>
      <c r="I146" s="18"/>
      <c r="J146" s="11"/>
      <c r="K146" s="166"/>
      <c r="L146" s="11"/>
      <c r="M146" s="11"/>
      <c r="N146" s="11"/>
      <c r="O146" s="166"/>
      <c r="P146" s="11"/>
      <c r="Q146" s="8"/>
      <c r="R146" s="182"/>
      <c r="S146" s="8"/>
      <c r="T146" s="8"/>
      <c r="U146" s="8"/>
      <c r="V146" s="182"/>
      <c r="W146" s="8"/>
      <c r="X146" s="62"/>
      <c r="Y146" s="182"/>
      <c r="Z146" s="8"/>
      <c r="AA146" s="8"/>
      <c r="AB146" s="11"/>
      <c r="AC146" s="182"/>
      <c r="AD146" s="65"/>
      <c r="AE146" s="8"/>
      <c r="AF146" s="8"/>
      <c r="AG146" s="181">
        <f>IF(AJ146&lt;&gt;"",AJ146,"")</f>
        <v>0</v>
      </c>
      <c r="AH146" s="78" t="str">
        <f>IF(AJ146&lt;&gt;"",IF(AK146="","",AK146),"")</f>
        <v/>
      </c>
      <c r="AI146" s="76" t="str">
        <f>VLOOKUP(AI144,AG144:AH146,2,0)</f>
        <v/>
      </c>
      <c r="AJ146" s="234">
        <v>0</v>
      </c>
      <c r="AK146" s="171" t="str">
        <f>IF('15F GRP'!G5&gt;=3,'15F GRP'!J257,IF('15F GRP'!G5=2,"",IF('15F GRP'!G5=1,"","")))</f>
        <v/>
      </c>
      <c r="AL146" s="11">
        <v>19</v>
      </c>
      <c r="AP146" s="13" t="str">
        <f>IF(AR146&lt;&gt;"",1+COUNTIF(AP136:AP145,"1")+COUNTIF(AP136:AP145,"2")+COUNTIF(AP136:AP145,"3")+COUNTIF(AP136:AP145,"4")+COUNTIF(AP136:AP145,"5")+COUNTIF(AP136:AP145,"6")+COUNTIF(AP136:AP145,"7")+COUNTIF(AP136:AP145,"8")+COUNTIF(AP136:AP145,"9")+COUNTIF(AP136:AP145,"10"),"")</f>
        <v/>
      </c>
      <c r="AQ146" s="14" t="str">
        <f t="shared" si="6"/>
        <v/>
      </c>
      <c r="AR146" s="21" t="str">
        <f>IF(AR138&lt;&gt;"",IF(G140=AR138,G142,IF(G142=AR138,G140,IF(G156=AR138,G158,IF(G158=AR138,G156,IF(AG140=AR138,AG142,IF(AG142=AR138,AG140,IF(AG156=AR138,AG158,IF(AG158=AR138,AG156,IF(G170=AR138,G172,IF(G172=AR138,G170,IF(G186=AR138,G188,IF(G188=AR138,G186,IF(AG170=AR138,AG172,IF(AG172=AR138,AG170,IF(AG186=AR138,AG188,IF(AG188=AR138,AG186)))))))))))))))),"")</f>
        <v/>
      </c>
      <c r="AS146" s="15" t="str">
        <f>IFERROR(IF(AR146="","",VLOOKUP(AR146,LISTAS!$F$5:$G$1004,2,0)),"0")</f>
        <v/>
      </c>
      <c r="AT146" s="15" t="str">
        <f t="shared" si="7"/>
        <v/>
      </c>
      <c r="AU146" s="15" t="str">
        <f t="shared" si="8"/>
        <v/>
      </c>
    </row>
    <row r="147" spans="2:47" ht="18" customHeight="1" thickBot="1" x14ac:dyDescent="0.3">
      <c r="B147" s="16"/>
      <c r="C147" s="172" t="str">
        <f>IFERROR(IF(C146="","",VLOOKUP(C146,LISTAS!$F$5:$G$1004,2,0)),"0")</f>
        <v/>
      </c>
      <c r="D147" s="235"/>
      <c r="E147" s="51"/>
      <c r="F147" s="51"/>
      <c r="G147" s="176"/>
      <c r="H147" s="51"/>
      <c r="I147" s="18"/>
      <c r="J147" s="11"/>
      <c r="K147" s="166"/>
      <c r="L147" s="11"/>
      <c r="M147" s="51"/>
      <c r="N147" s="51"/>
      <c r="O147" s="176"/>
      <c r="P147" s="11"/>
      <c r="Q147" s="8"/>
      <c r="R147" s="182"/>
      <c r="S147" s="8"/>
      <c r="T147" s="8"/>
      <c r="U147" s="8"/>
      <c r="V147" s="182"/>
      <c r="W147" s="8"/>
      <c r="X147" s="62"/>
      <c r="Y147" s="182"/>
      <c r="Z147" s="8"/>
      <c r="AA147" s="8"/>
      <c r="AB147" s="11"/>
      <c r="AC147" s="182"/>
      <c r="AD147" s="65"/>
      <c r="AE147" s="8"/>
      <c r="AF147" s="8"/>
      <c r="AG147" s="181"/>
      <c r="AH147" s="78"/>
      <c r="AI147" s="51"/>
      <c r="AJ147" s="235"/>
      <c r="AK147" s="172" t="str">
        <f>IFERROR(IF(AK146="","",VLOOKUP(AK146,LISTAS!$F$5:$G$1004,2,0)),"0")</f>
        <v/>
      </c>
      <c r="AL147" s="11"/>
      <c r="AP147" s="13" t="str">
        <f>IF(AR147&lt;&gt;"",1+COUNTIF(AP136:AP146,"1")+COUNTIF(AP136:AP146,"2")+COUNTIF(AP136:AP146,"3")+COUNTIF(AP136:AP146,"4")+COUNTIF(AP136:AP146,"5")+COUNTIF(AP136:AP146,"6")+COUNTIF(AP136:AP146,"7")+COUNTIF(AP136:AP146,"8")+COUNTIF(AP136:AP146,"9")+COUNTIF(AP136:AP146,"10")+COUNTIF(AP136:AP146,"11"),"")</f>
        <v/>
      </c>
      <c r="AQ147" s="14" t="str">
        <f t="shared" si="6"/>
        <v/>
      </c>
      <c r="AR147" s="21" t="str">
        <f>IF(AR139&lt;&gt;"",IF(G140=AR139,G142,IF(G142=AR139,G140,IF(G156=AR139,G158,IF(G158=AR139,G156,IF(AG140=AR139,AG142,IF(AG142=AR139,AG140,IF(AG156=AR139,AG158,IF(AG158=AR139,AG156,IF(G170=AR139,G172,IF(G172=AR139,G170,IF(G186=AR139,G188,IF(G188=AR139,G186,IF(AG170=AR139,AG172,IF(AG172=AR139,AG170,IF(AG186=AR139,AG188,IF(AG188=AR139,AG186)))))))))))))))),"")</f>
        <v/>
      </c>
      <c r="AS147" s="15" t="str">
        <f>IFERROR(IF(AR147="","",VLOOKUP(AR147,LISTAS!$F$5:$G$1004,2,0)),"0")</f>
        <v/>
      </c>
      <c r="AT147" s="15" t="str">
        <f t="shared" si="7"/>
        <v/>
      </c>
      <c r="AU147" s="15" t="str">
        <f t="shared" si="8"/>
        <v/>
      </c>
    </row>
    <row r="148" spans="2:47" ht="18" customHeight="1" x14ac:dyDescent="0.25">
      <c r="B148" s="16"/>
      <c r="C148" s="166"/>
      <c r="D148" s="11"/>
      <c r="E148" s="11"/>
      <c r="F148" s="11"/>
      <c r="G148" s="166"/>
      <c r="H148" s="11"/>
      <c r="I148" s="18"/>
      <c r="J148" s="11"/>
      <c r="K148" s="171" t="str">
        <f>IF(H140&lt;&gt;"",IF(H142&lt;&gt;"",IF(H140=H142,"",IF(H140&gt;H142,G140,G142)),""),"")</f>
        <v>BRUNA FERNANDES LOPES</v>
      </c>
      <c r="L148" s="234">
        <v>2</v>
      </c>
      <c r="M148" s="51">
        <f>IF(L148&lt;&gt;"",L148,"")</f>
        <v>2</v>
      </c>
      <c r="N148" s="51" t="str">
        <f>IF(L148&lt;&gt;"",IF(K148="","",K148),"")</f>
        <v>BRUNA FERNANDES LOPES</v>
      </c>
      <c r="O148" s="176">
        <f>IF(M148&lt;&gt;"",IF(M150&lt;&gt;"",SMALL(M148:N150,1),""),"")</f>
        <v>0</v>
      </c>
      <c r="P148" s="11"/>
      <c r="Q148" s="8"/>
      <c r="R148" s="202"/>
      <c r="S148" s="202"/>
      <c r="T148" s="202" t="s">
        <v>87</v>
      </c>
      <c r="U148" s="202"/>
      <c r="V148" s="202"/>
      <c r="W148" s="8"/>
      <c r="X148" s="62"/>
      <c r="Y148" s="182"/>
      <c r="Z148" s="8"/>
      <c r="AA148" s="8"/>
      <c r="AB148" s="234">
        <v>0</v>
      </c>
      <c r="AC148" s="171" t="str">
        <f>IF(AF140&lt;&gt;"",IF(AF142&lt;&gt;"",IF(AF140=AF142,"",IF(AF140&gt;AF142,AG140,AG142)),""),"")</f>
        <v>MAITÊ ERMINIA DOS REIS CARVALHO</v>
      </c>
      <c r="AD148" s="112"/>
      <c r="AE148" s="8"/>
      <c r="AF148" s="8"/>
      <c r="AG148" s="182"/>
      <c r="AH148" s="8"/>
      <c r="AI148" s="8"/>
      <c r="AJ148" s="11"/>
      <c r="AK148" s="166"/>
      <c r="AL148" s="11"/>
      <c r="AP148" s="13" t="str">
        <f>IF(AR148&lt;&gt;"",1+COUNTIF(AP136:AP147,"1")+COUNTIF(AP136:AP147,"2")+COUNTIF(AP136:AP147,"3")+COUNTIF(AP136:AP147,"4")+COUNTIF(AP136:AP147,"5")+COUNTIF(AP136:AP147,"6")+COUNTIF(AP136:AP147,"7")+COUNTIF(AP136:AP147,"8")+COUNTIF(AP136:AP147,"9")+COUNTIF(AP136:AP147,"10")+COUNTIF(AP136:AP147,"11")+COUNTIF(AP136:AP147,"12"),"")</f>
        <v/>
      </c>
      <c r="AQ148" s="14" t="str">
        <f t="shared" si="6"/>
        <v/>
      </c>
      <c r="AR148" s="21" t="str">
        <f>IF(AR140&lt;&gt;"",IF(G140=AR140,G142,IF(G142=AR140,G140,IF(G156=AR140,G158,IF(G158=AR140,G156,IF(AG140=AR140,AG142,IF(AG142=AR140,AG140,IF(AG156=AR140,AG158,IF(AG158=AR140,AG156,IF(G170=AR140,G172,IF(G172=AR140,G170,IF(G186=AR140,G188,IF(G188=AR140,G186,IF(AG170=AR140,AG172,IF(AG172=AR140,AG170,IF(AG186=AR140,AG188,IF(AG188=AR140,AG186)))))))))))))))),"")</f>
        <v/>
      </c>
      <c r="AS148" s="15" t="str">
        <f>IFERROR(IF(AR148="","",VLOOKUP(AR148,LISTAS!$F$5:$G$1004,2,0)),"0")</f>
        <v/>
      </c>
      <c r="AT148" s="15" t="str">
        <f t="shared" si="7"/>
        <v/>
      </c>
      <c r="AU148" s="15" t="str">
        <f t="shared" si="8"/>
        <v/>
      </c>
    </row>
    <row r="149" spans="2:47" ht="18" customHeight="1" thickBot="1" x14ac:dyDescent="0.3">
      <c r="B149" s="16"/>
      <c r="C149" s="166"/>
      <c r="D149" s="11"/>
      <c r="E149" s="11"/>
      <c r="F149" s="11"/>
      <c r="G149" s="166"/>
      <c r="H149" s="11"/>
      <c r="I149" s="18"/>
      <c r="J149" s="11"/>
      <c r="K149" s="172" t="str">
        <f>IFERROR(IF(K148="","",VLOOKUP(K148,LISTAS!$F$5:$G$1004,2,0)),"0")</f>
        <v>COLÉGIO ATENEU</v>
      </c>
      <c r="L149" s="235"/>
      <c r="M149" s="51"/>
      <c r="N149" s="51"/>
      <c r="O149" s="176"/>
      <c r="P149" s="11"/>
      <c r="Q149" s="8"/>
      <c r="R149" s="202"/>
      <c r="S149" s="202"/>
      <c r="T149" s="202" t="s">
        <v>31</v>
      </c>
      <c r="U149" s="202"/>
      <c r="V149" s="202"/>
      <c r="W149" s="8"/>
      <c r="X149" s="62"/>
      <c r="Y149" s="182"/>
      <c r="Z149" s="8"/>
      <c r="AA149" s="8"/>
      <c r="AB149" s="235"/>
      <c r="AC149" s="172" t="str">
        <f>IFERROR(IF(AC148="","",VLOOKUP(AC148,LISTAS!$F$5:$G$1004,2,0)),"0")</f>
        <v>COLÉGIO ARBOS - UNIDADE SANTO ANDRÉ</v>
      </c>
      <c r="AD149" s="8"/>
      <c r="AE149" s="69"/>
      <c r="AF149" s="8"/>
      <c r="AG149" s="182"/>
      <c r="AH149" s="8"/>
      <c r="AI149" s="8"/>
      <c r="AJ149" s="11"/>
      <c r="AK149" s="166"/>
      <c r="AL149" s="11"/>
      <c r="AP149" s="13" t="str">
        <f>IF(AR149&lt;&gt;"",1+COUNTIF(AP136:AP148,"1")+COUNTIF(AP136:AP148,"2")+COUNTIF(AP136:AP148,"3")+COUNTIF(AP136:AP148,"4")+COUNTIF(AP136:AP148,"5")+COUNTIF(AP136:AP148,"6")+COUNTIF(AP136:AP148,"7")+COUNTIF(AP136:AP148,"8")+COUNTIF(AP136:AP148,"9")+COUNTIF(AP136:AP148,"10")+COUNTIF(AP136:AP148,"11")+COUNTIF(AP136:AP148,"12")+COUNTIF(AP136:AP148,"13"),"")</f>
        <v/>
      </c>
      <c r="AQ149" s="14" t="str">
        <f t="shared" si="6"/>
        <v/>
      </c>
      <c r="AR149" s="21" t="str">
        <f>IF(AR141&lt;&gt;"",IF(G140=AR141,G142,IF(G142=AR141,G140,IF(G156=AR141,G158,IF(G158=AR141,G156,IF(AG140=AR141,AG142,IF(AG142=AR141,AG140,IF(AG156=AR141,AG158,IF(AG158=AR141,AG156,IF(G170=AR141,G172,IF(G172=AR141,G170,IF(G186=AR141,G188,IF(G188=AR141,G186,IF(AG170=AR141,AG172,IF(AG172=AR141,AG170,IF(AG186=AR141,AG188,IF(AG188=AR141,AG186)))))))))))))))),"")</f>
        <v/>
      </c>
      <c r="AS149" s="15" t="str">
        <f>IFERROR(IF(AR149="","",VLOOKUP(AR149,LISTAS!$F$5:$G$1004,2,0)),"0")</f>
        <v/>
      </c>
      <c r="AT149" s="15" t="str">
        <f t="shared" si="7"/>
        <v/>
      </c>
      <c r="AU149" s="15" t="str">
        <f t="shared" si="8"/>
        <v/>
      </c>
    </row>
    <row r="150" spans="2:47" ht="18" customHeight="1" x14ac:dyDescent="0.25">
      <c r="B150" s="16"/>
      <c r="C150" s="166"/>
      <c r="D150" s="11"/>
      <c r="E150" s="11"/>
      <c r="F150" s="11"/>
      <c r="G150" s="166"/>
      <c r="H150" s="11"/>
      <c r="I150" s="18"/>
      <c r="J150" s="19"/>
      <c r="K150" s="171" t="str">
        <f>IF(H156&lt;&gt;"",IF(H158&lt;&gt;"",IF(H156=H158,"",IF(H156&gt;H158,G156,G158)),""),"")</f>
        <v/>
      </c>
      <c r="L150" s="234">
        <v>0</v>
      </c>
      <c r="M150" s="52">
        <f>IF(L150&lt;&gt;"",L150,"")</f>
        <v>0</v>
      </c>
      <c r="N150" s="51" t="str">
        <f>IF(L150&lt;&gt;"",IF(K150="","",K150),"")</f>
        <v/>
      </c>
      <c r="O150" s="176" t="str">
        <f>VLOOKUP(O148,M148:N150,2,0)</f>
        <v/>
      </c>
      <c r="P150" s="11"/>
      <c r="Q150" s="8"/>
      <c r="R150" s="182"/>
      <c r="S150" s="8"/>
      <c r="T150" s="8"/>
      <c r="U150" s="8"/>
      <c r="V150" s="182"/>
      <c r="W150" s="8"/>
      <c r="X150" s="62"/>
      <c r="Y150" s="182"/>
      <c r="Z150" s="65"/>
      <c r="AA150" s="68"/>
      <c r="AB150" s="234">
        <v>1</v>
      </c>
      <c r="AC150" s="171" t="str">
        <f>IF(AF156&lt;&gt;"",IF(AF158&lt;&gt;"",IF(AF156=AF158,"",IF(AF156&gt;AF158,AG156,AG158)),""),"")</f>
        <v>LORENA BEATRIZ ANTONIO SQUASSONI</v>
      </c>
      <c r="AD150" s="8"/>
      <c r="AE150" s="69"/>
      <c r="AF150" s="8"/>
      <c r="AG150" s="182"/>
      <c r="AH150" s="8"/>
      <c r="AI150" s="8"/>
      <c r="AJ150" s="11"/>
      <c r="AK150" s="166"/>
      <c r="AL150" s="11"/>
      <c r="AP150" s="13" t="str">
        <f>IF(AR150&lt;&gt;"",1+COUNTIF(AP136:AP149,"1")+COUNTIF(AP136:AP149,"2")+COUNTIF(AP136:AP149,"3")+COUNTIF(AP136:AP149,"4")+COUNTIF(AP136:AP149,"5")+COUNTIF(AP136:AP149,"6")+COUNTIF(AP136:AP149,"7")+COUNTIF(AP136:AP149,"8")+COUNTIF(AP136:AP149,"9")+COUNTIF(AP136:AP149,"10")+COUNTIF(AP136:AP149,"11")+COUNTIF(AP136:AP149,"12")+COUNTIF(AP136:AP149,"13")+COUNTIF(AP136:AP149,"14"),"")</f>
        <v/>
      </c>
      <c r="AQ150" s="14" t="str">
        <f t="shared" si="6"/>
        <v/>
      </c>
      <c r="AR150" s="21" t="str">
        <f>IF(AR142&lt;&gt;"",IF(G140=AR142,G142,IF(G142=AR142,G140,IF(G156=AR142,G158,IF(G158=AR142,G156,IF(AG140=AR142,AG142,IF(AG142=AR142,AG140,IF(AG156=AR142,AG158,IF(AG158=AR142,AG156,IF(G170=AR142,G172,IF(G172=AR142,G170,IF(G186=AR142,G188,IF(G188=AR142,G186,IF(AG170=AR142,AG172,IF(AG172=AR142,AG170,IF(AG186=AR142,AG188,IF(AG188=AR142,AG186)))))))))))))))),"")</f>
        <v/>
      </c>
      <c r="AS150" s="15" t="str">
        <f>IFERROR(IF(AR150="","",VLOOKUP(AR150,LISTAS!$F$5:$G$1004,2,0)),"0")</f>
        <v/>
      </c>
      <c r="AT150" s="15" t="str">
        <f t="shared" si="7"/>
        <v/>
      </c>
      <c r="AU150" s="15" t="str">
        <f t="shared" si="8"/>
        <v/>
      </c>
    </row>
    <row r="151" spans="2:47" ht="18" customHeight="1" thickBot="1" x14ac:dyDescent="0.3">
      <c r="B151" s="16"/>
      <c r="C151" s="166"/>
      <c r="D151" s="11"/>
      <c r="E151" s="11"/>
      <c r="F151" s="11"/>
      <c r="G151" s="166"/>
      <c r="H151" s="11"/>
      <c r="I151" s="18"/>
      <c r="J151" s="11"/>
      <c r="K151" s="172" t="str">
        <f>IFERROR(IF(K150="","",VLOOKUP(K150,LISTAS!$F$5:$G$1004,2,0)),"0")</f>
        <v/>
      </c>
      <c r="L151" s="235"/>
      <c r="M151" s="54"/>
      <c r="N151" s="51"/>
      <c r="O151" s="176"/>
      <c r="P151" s="11"/>
      <c r="Q151" s="8"/>
      <c r="R151" s="182"/>
      <c r="S151" s="8"/>
      <c r="T151" s="8"/>
      <c r="U151" s="8"/>
      <c r="V151" s="182"/>
      <c r="W151" s="8"/>
      <c r="X151" s="62"/>
      <c r="Y151" s="182"/>
      <c r="Z151" s="65"/>
      <c r="AA151" s="8"/>
      <c r="AB151" s="235"/>
      <c r="AC151" s="172" t="str">
        <f>IFERROR(IF(AC150="","",VLOOKUP(AC150,LISTAS!$F$5:$G$1004,2,0)),"0")</f>
        <v>LICEU JARDIM</v>
      </c>
      <c r="AD151" s="8"/>
      <c r="AE151" s="69"/>
      <c r="AF151" s="8"/>
      <c r="AG151" s="181"/>
      <c r="AH151" s="78"/>
      <c r="AI151" s="78"/>
      <c r="AJ151" s="11"/>
      <c r="AK151" s="166"/>
      <c r="AL151" s="11"/>
      <c r="AP151" s="13" t="str">
        <f>IF(AR151&lt;&gt;"",1+COUNTIF(AP136:AP150,"1")+COUNTIF(AP136:AP150,"2")+COUNTIF(AP136:AP150,"3")+COUNTIF(AP136:AP150,"4")+COUNTIF(AP136:AP150,"5")+COUNTIF(AP136:AP150,"6")+COUNTIF(AP136:AP150,"7")+COUNTIF(AP136:AP150,"8")+COUNTIF(AP136:AP150,"9")+COUNTIF(AP136:AP150,"10")+COUNTIF(AP136:AP150,"11")+COUNTIF(AP136:AP150,"12")+COUNTIF(AP136:AP150,"13")+COUNTIF(AP136:AP150,"14")+COUNTIF(AP136:AP150,"15"),"")</f>
        <v/>
      </c>
      <c r="AQ151" s="14" t="str">
        <f t="shared" si="6"/>
        <v/>
      </c>
      <c r="AR151" s="21" t="str">
        <f>IF(AR143&lt;&gt;"",IF(G140=AR143,G142,IF(G142=AR143,G140,IF(G156=AR143,G158,IF(G158=AR143,G156,IF(AG140=AR143,AG142,IF(AG142=AR143,AG140,IF(AG156=AR143,AG158,IF(AG158=AR143,AG156,IF(G170=AR143,G172,IF(G172=AR143,G170,IF(G186=AR143,G188,IF(G188=AR143,G186,IF(AG170=AR143,AG172,IF(AG172=AR143,AG170,IF(AG186=AR143,AG188,IF(AG188=AR143,AG186)))))))))))))))),"")</f>
        <v/>
      </c>
      <c r="AS151" s="15" t="str">
        <f>IFERROR(IF(AR151="","",VLOOKUP(AR151,LISTAS!$F$5:$G$1004,2,0)),"0")</f>
        <v/>
      </c>
      <c r="AT151" s="15" t="str">
        <f t="shared" si="7"/>
        <v/>
      </c>
      <c r="AU151" s="15" t="str">
        <f t="shared" si="8"/>
        <v/>
      </c>
    </row>
    <row r="152" spans="2:47" ht="18" customHeight="1" x14ac:dyDescent="0.25">
      <c r="B152" s="16">
        <v>9</v>
      </c>
      <c r="C152" s="171" t="str">
        <f>IF('15F GRP'!G5&gt;=3,'15F GRP'!J127,IF('15F GRP'!G5=2,"",IF('15F GRP'!G5=1,"","")))</f>
        <v/>
      </c>
      <c r="D152" s="234">
        <v>0</v>
      </c>
      <c r="E152" s="51">
        <f>IF(D152&lt;&gt;"",D152,"")</f>
        <v>0</v>
      </c>
      <c r="F152" s="51" t="str">
        <f>IF(D152&lt;&gt;"",IF(C152="","",C152),"")</f>
        <v/>
      </c>
      <c r="G152" s="176">
        <f>IF(E152&lt;&gt;"",IF(E154&lt;&gt;"",SMALL(E152:E154,1),""),"")</f>
        <v>0</v>
      </c>
      <c r="H152" s="51"/>
      <c r="I152" s="18"/>
      <c r="J152" s="11"/>
      <c r="K152" s="166"/>
      <c r="L152" s="11"/>
      <c r="M152" s="54"/>
      <c r="N152" s="51"/>
      <c r="O152" s="176"/>
      <c r="P152" s="11"/>
      <c r="Q152" s="8"/>
      <c r="R152" s="182"/>
      <c r="S152" s="8"/>
      <c r="T152" s="8"/>
      <c r="U152" s="8"/>
      <c r="V152" s="182"/>
      <c r="W152" s="8"/>
      <c r="X152" s="62"/>
      <c r="Y152" s="182"/>
      <c r="Z152" s="65"/>
      <c r="AA152" s="8"/>
      <c r="AB152" s="11"/>
      <c r="AC152" s="182"/>
      <c r="AD152" s="8"/>
      <c r="AE152" s="69"/>
      <c r="AF152" s="8"/>
      <c r="AG152" s="181">
        <f>IF(AJ152&lt;&gt;"",AJ152,"")</f>
        <v>0</v>
      </c>
      <c r="AH152" s="78" t="str">
        <f>IF(AJ152&lt;&gt;"",IF(AK152="","",AK152),"")</f>
        <v/>
      </c>
      <c r="AI152" s="51">
        <f>IF(AG152&lt;&gt;"",IF(AG154&lt;&gt;"",SMALL(AG152:AG154,1),""),"")</f>
        <v>0</v>
      </c>
      <c r="AJ152" s="234">
        <v>0</v>
      </c>
      <c r="AK152" s="171" t="str">
        <f>IF('15F GRP'!G5&gt;=3,'15F GRP'!J296,IF('15F GRP'!G5=2,"",IF('15F GRP'!G5=1,"","")))</f>
        <v/>
      </c>
      <c r="AL152" s="11">
        <v>22</v>
      </c>
      <c r="AP152" s="13" t="str">
        <f>IF(AR152&lt;&gt;"",1+COUNTIF(AP136:AP151,"1")+COUNTIF(AP136:AP151,"2")+COUNTIF(AP136:AP151,"3")+COUNTIF(AP136:AP151,"4")+COUNTIF(AP136:AP151,"5")+COUNTIF(AP136:AP151,"6")+COUNTIF(AP136:AP151,"7")+COUNTIF(AP136:AP151,"8")+COUNTIF(AP136:AP151,"9")+COUNTIF(AP136:AP151,"10")+COUNTIF(AP136:AP151,"11")+COUNTIF(AP136:AP151,"12")+COUNTIF(AP136:AP151,"13")+COUNTIF(AP136:AP151,"14")+COUNTIF(AP136:AP151,"15")+COUNTIF(AP136:AP151,"16"),"")</f>
        <v/>
      </c>
      <c r="AQ152" s="14" t="str">
        <f t="shared" si="6"/>
        <v/>
      </c>
      <c r="AR152" s="21" t="str">
        <f>IF(AR136&lt;&gt;"",IF(C136=AR136,G138,IF(C138=AR136,G138,IF(C144=AR136,G146,IF(C146=AR136,G146,IF(C166=AR136,G168,IF(C168=AR136,G168,IF(C174=AR136,G176,IF(C176=AR136,G176,IF(C152=AR136,G154,IF(C154=AR136,G154,IF(C160=AR136,G162,IF(C162=AR136,G162,IF(C182=AR136,G184,IF(C184=AR136,G184,IF(C190=AR136,G192,IF(C192=AR136,G192,IF(AK136=AR136,AI138,IF(AK138=AR136,AI138,IF(AK144=AR136,AI146,IF(AK146=AR136,AI146,IF(AK166=AR136,AI168,IF(AK168=AR136,AI168,IF(AK174=AR136,AI176,IF(AK176=AR136,AI176,IF(AK152=AR136,AI154,IF(AK154=AR136,AI154,IF(AK160=AR136,AI162,IF(AK162=AR136,AI162,IF(AK182=AR136,AI184,IF(AK184=AR136,AI184,IF(AK190=AR136,AI192,IF(AK192=AR136,AI192)))))))))))))))))))))))))))))))),"")</f>
        <v/>
      </c>
      <c r="AS152" s="15" t="str">
        <f>IFERROR(IF(AR152="","",VLOOKUP(AR152,LISTAS!$F$5:$G$1004,2,0)),"0")</f>
        <v/>
      </c>
      <c r="AT152" s="15" t="str">
        <f t="shared" si="7"/>
        <v/>
      </c>
      <c r="AU152" s="15" t="str">
        <f t="shared" si="8"/>
        <v/>
      </c>
    </row>
    <row r="153" spans="2:47" ht="18" customHeight="1" thickBot="1" x14ac:dyDescent="0.3">
      <c r="B153" s="16"/>
      <c r="C153" s="172" t="str">
        <f>IFERROR(IF(C152="","",VLOOKUP(C152,LISTAS!$F$5:$G$1004,2,0)),"0")</f>
        <v/>
      </c>
      <c r="D153" s="235"/>
      <c r="E153" s="51"/>
      <c r="F153" s="51"/>
      <c r="G153" s="176"/>
      <c r="H153" s="51"/>
      <c r="I153" s="18"/>
      <c r="J153" s="11"/>
      <c r="K153" s="166"/>
      <c r="L153" s="11"/>
      <c r="M153" s="18"/>
      <c r="N153" s="11"/>
      <c r="O153" s="166"/>
      <c r="P153" s="11"/>
      <c r="Q153" s="8"/>
      <c r="R153" s="182"/>
      <c r="S153" s="8"/>
      <c r="T153" s="8"/>
      <c r="U153" s="8"/>
      <c r="V153" s="182"/>
      <c r="W153" s="8"/>
      <c r="X153" s="62"/>
      <c r="Y153" s="182"/>
      <c r="Z153" s="65"/>
      <c r="AA153" s="8"/>
      <c r="AB153" s="11"/>
      <c r="AC153" s="182"/>
      <c r="AD153" s="8"/>
      <c r="AE153" s="69"/>
      <c r="AF153" s="8"/>
      <c r="AG153" s="181"/>
      <c r="AH153" s="78"/>
      <c r="AI153" s="51"/>
      <c r="AJ153" s="235"/>
      <c r="AK153" s="172" t="str">
        <f>IFERROR(IF(AK152="","",VLOOKUP(AK152,LISTAS!$F$5:$G$1004,2,0)),"0")</f>
        <v/>
      </c>
      <c r="AL153" s="11"/>
      <c r="AP153" s="13" t="str">
        <f>IF(AR153&lt;&gt;"",1+COUNTIF(AP136:AP152,"1")+COUNTIF(AP136:AP152,"2")+COUNTIF(AP136:AP152,"3")+COUNTIF(AP136:AP152,"4")+COUNTIF(AP136:AP152,"5")+COUNTIF(AP136:AP152,"6")+COUNTIF(AP136:AP152,"7")+COUNTIF(AP136:AP152,"8")+COUNTIF(AP136:AP152,"9")+COUNTIF(AP136:AP152,"10")+COUNTIF(AP136:AP152,"11")+COUNTIF(AP136:AP152,"12")+COUNTIF(AP136:AP152,"13")+COUNTIF(AP136:AP152,"14")+COUNTIF(AP136:AP152,"15")+COUNTIF(AP136:AP152,"16")+COUNTIF(AP136:AP152,"17"),"")</f>
        <v/>
      </c>
      <c r="AQ153" s="14" t="str">
        <f t="shared" si="6"/>
        <v/>
      </c>
      <c r="AR153" s="21" t="str">
        <f>IF(AR137&lt;&gt;"",IF(C136=AR137,G138,IF(C138=AR137,G138,IF(C144=AR137,G146,IF(C146=AR137,G146,IF(C166=AR137,G168,IF(C168=AR137,G168,IF(C174=AR137,G176,IF(C176=AR137,G176,IF(C152=AR137,G154,IF(C154=AR137,G154,IF(C160=AR137,G162,IF(C162=AR137,G162,IF(C182=AR137,G184,IF(C184=AR137,G184,IF(C190=AR137,G192,IF(C192=AR137,G192,IF(AK136=AR137,AI138,IF(AK138=AR137,AI138,IF(AK144=AR137,AI146,IF(AK146=AR137,AI146,IF(AK166=AR137,AI168,IF(AK168=AR137,AI168,IF(AK174=AR137,AI176,IF(AK176=AR137,AI176,IF(AK152=AR137,AI154,IF(AK154=AR137,AI154,IF(AK160=AR137,AI162,IF(AK162=AR137,AI162,IF(AK182=AR137,AI184,IF(AK184=AR137,AI184,IF(AK190=AR137,AI192,IF(AK192=AR137,AI192)))))))))))))))))))))))))))))))),"")</f>
        <v/>
      </c>
      <c r="AS153" s="15" t="str">
        <f>IFERROR(IF(AR153="","",VLOOKUP(AR153,LISTAS!$F$5:$G$1004,2,0)),"0")</f>
        <v/>
      </c>
      <c r="AT153" s="15" t="str">
        <f t="shared" si="7"/>
        <v/>
      </c>
      <c r="AU153" s="15" t="str">
        <f t="shared" si="8"/>
        <v/>
      </c>
    </row>
    <row r="154" spans="2:47" ht="18" customHeight="1" x14ac:dyDescent="0.25">
      <c r="B154" s="16">
        <v>24</v>
      </c>
      <c r="C154" s="171" t="str">
        <f>IF('15F GRP'!G5&gt;=3,'15F GRP'!J322,IF('15F GRP'!G5=2,"",IF('15F GRP'!G5=1,"","")))</f>
        <v/>
      </c>
      <c r="D154" s="234">
        <v>0</v>
      </c>
      <c r="E154" s="52">
        <f>IF(D154&lt;&gt;"",D154,"")</f>
        <v>0</v>
      </c>
      <c r="F154" s="51" t="str">
        <f>IF(D154&lt;&gt;"",IF(C154="","",C154),"")</f>
        <v/>
      </c>
      <c r="G154" s="176" t="str">
        <f>VLOOKUP(G152,E152:F154,2,0)</f>
        <v/>
      </c>
      <c r="H154" s="51"/>
      <c r="I154" s="18"/>
      <c r="J154" s="11"/>
      <c r="K154" s="166"/>
      <c r="L154" s="11"/>
      <c r="M154" s="18"/>
      <c r="N154" s="11"/>
      <c r="O154" s="166"/>
      <c r="P154" s="11"/>
      <c r="Q154" s="8"/>
      <c r="R154" s="182"/>
      <c r="S154" s="8"/>
      <c r="T154" s="8"/>
      <c r="U154" s="8"/>
      <c r="V154" s="182"/>
      <c r="W154" s="8"/>
      <c r="X154" s="62"/>
      <c r="Y154" s="182"/>
      <c r="Z154" s="65"/>
      <c r="AA154" s="8"/>
      <c r="AB154" s="11"/>
      <c r="AC154" s="182"/>
      <c r="AD154" s="8"/>
      <c r="AE154" s="69"/>
      <c r="AF154" s="8"/>
      <c r="AG154" s="181">
        <f>IF(AJ154&lt;&gt;"",AJ154,"")</f>
        <v>0</v>
      </c>
      <c r="AH154" s="78" t="str">
        <f>IF(AJ154&lt;&gt;"",IF(AK154="","",AK154),"")</f>
        <v/>
      </c>
      <c r="AI154" s="55" t="str">
        <f>VLOOKUP(AI152,AG152:AH154,2,0)</f>
        <v/>
      </c>
      <c r="AJ154" s="234">
        <v>0</v>
      </c>
      <c r="AK154" s="171" t="str">
        <f>IF('15F GRP'!G5&gt;=3,'15F GRP'!J153,IF('15F GRP'!G5=2,"",IF('15F GRP'!G5=1,"","")))</f>
        <v/>
      </c>
      <c r="AL154" s="11">
        <v>11</v>
      </c>
      <c r="AP154" s="13" t="str">
        <f>IF(AR154&lt;&gt;"",1+COUNTIF(AP136:AP153,"1")+COUNTIF(AP136:AP153,"2")+COUNTIF(AP136:AP153,"3")+COUNTIF(AP136:AP153,"4")+COUNTIF(AP136:AP153,"5")+COUNTIF(AP136:AP153,"6")+COUNTIF(AP136:AP153,"7")+COUNTIF(AP136:AP153,"8")+COUNTIF(AP136:AP153,"9")+COUNTIF(AP136:AP153,"10")+COUNTIF(AP136:AP153,"11")+COUNTIF(AP136:AP153,"12")+COUNTIF(AP136:AP153,"13")+COUNTIF(AP136:AP153,"14")+COUNTIF(AP136:AP153,"15")+COUNTIF(AP136:AP153,"16")+COUNTIF(AP136:AP153,"17")+COUNTIF(AP136:AP153,"18"),"")</f>
        <v/>
      </c>
      <c r="AQ154" s="14" t="str">
        <f t="shared" si="6"/>
        <v/>
      </c>
      <c r="AR154" s="21" t="str">
        <f>IF(AR138&lt;&gt;"",IF(C136=AR138,G138,IF(C138=AR138,G138,IF(C144=AR138,G146,IF(C146=AR138,G146,IF(C166=AR138,G168,IF(C168=AR138,G168,IF(C174=AR138,G176,IF(C176=AR138,G176,IF(C152=AR138,G154,IF(C154=AR138,G154,IF(C160=AR138,G162,IF(C162=AR138,G162,IF(C182=AR138,G184,IF(C184=AR138,G184,IF(C190=AR138,G192,IF(C192=AR138,G192,IF(AK136=AR138,AI138,IF(AK138=AR138,AI138,IF(AK144=AR138,AI146,IF(AK146=AR138,AI146,IF(AK166=AR138,AI168,IF(AK168=AR138,AI168,IF(AK174=AR138,AI176,IF(AK176=AR138,AI176,IF(AK152=AR138,AI154,IF(AK154=AR138,AI154,IF(AK160=AR138,AI162,IF(AK162=AR138,AI162,IF(AK182=AR138,AI184,IF(AK184=AR138,AI184,IF(AK190=AR138,AI192,IF(AK192=AR138,AI192)))))))))))))))))))))))))))))))),"")</f>
        <v/>
      </c>
      <c r="AS154" s="15" t="str">
        <f>IFERROR(IF(AR154="","",VLOOKUP(AR154,LISTAS!$F$5:$G$1004,2,0)),"0")</f>
        <v/>
      </c>
      <c r="AT154" s="15" t="str">
        <f t="shared" si="7"/>
        <v/>
      </c>
      <c r="AU154" s="15" t="str">
        <f t="shared" si="8"/>
        <v/>
      </c>
    </row>
    <row r="155" spans="2:47" ht="18" customHeight="1" thickBot="1" x14ac:dyDescent="0.3">
      <c r="B155" s="16"/>
      <c r="C155" s="172" t="str">
        <f>IFERROR(IF(C154="","",VLOOKUP(C154,LISTAS!$F$5:$G$1004,2,0)),"0")</f>
        <v/>
      </c>
      <c r="D155" s="235"/>
      <c r="E155" s="128"/>
      <c r="F155" s="51"/>
      <c r="G155" s="176"/>
      <c r="H155" s="51"/>
      <c r="I155" s="54"/>
      <c r="J155" s="51"/>
      <c r="K155" s="176"/>
      <c r="L155" s="51"/>
      <c r="M155" s="54"/>
      <c r="N155" s="11"/>
      <c r="O155" s="166"/>
      <c r="P155" s="11"/>
      <c r="Q155" s="8"/>
      <c r="R155" s="182"/>
      <c r="S155" s="8"/>
      <c r="T155" s="8"/>
      <c r="U155" s="8"/>
      <c r="V155" s="182"/>
      <c r="W155" s="8"/>
      <c r="X155" s="62"/>
      <c r="Y155" s="182"/>
      <c r="Z155" s="65"/>
      <c r="AA155" s="8"/>
      <c r="AB155" s="11"/>
      <c r="AC155" s="182"/>
      <c r="AD155" s="8"/>
      <c r="AE155" s="69"/>
      <c r="AF155" s="8"/>
      <c r="AG155" s="181"/>
      <c r="AH155" s="78"/>
      <c r="AI155" s="123"/>
      <c r="AJ155" s="235"/>
      <c r="AK155" s="172" t="str">
        <f>IFERROR(IF(AK154="","",VLOOKUP(AK154,LISTAS!$F$5:$G$1004,2,0)),"0")</f>
        <v/>
      </c>
      <c r="AL155" s="11"/>
      <c r="AP155" s="13" t="str">
        <f>IF(AR155&lt;&gt;"",1+COUNTIF(AP136:AP154,"1")+COUNTIF(AP136:AP154,"2")+COUNTIF(AP136:AP154,"3")+COUNTIF(AP136:AP154,"4")+COUNTIF(AP136:AP154,"5")+COUNTIF(AP136:AP154,"6")+COUNTIF(AP136:AP154,"7")+COUNTIF(AP136:AP154,"8")+COUNTIF(AP136:AP154,"9")+COUNTIF(AP136:AP154,"10")+COUNTIF(AP136:AP154,"11")+COUNTIF(AP136:AP154,"12")+COUNTIF(AP136:AP154,"13")+COUNTIF(AP136:AP154,"14")+COUNTIF(AP136:AP154,"15")+COUNTIF(AP136:AP154,"16")+COUNTIF(AP136:AP154,"17")+COUNTIF(AP136:AP154,"18")+COUNTIF(AP136:AP154,"19"),"")</f>
        <v/>
      </c>
      <c r="AQ155" s="14" t="str">
        <f t="shared" si="6"/>
        <v/>
      </c>
      <c r="AR155" s="21" t="str">
        <f>IF(AR139&lt;&gt;"",IF(C136=AR139,G138,IF(C138=AR139,G138,IF(C144=AR139,G146,IF(C146=AR139,G146,IF(C166=AR139,G168,IF(C168=AR139,G168,IF(C174=AR139,G176,IF(C176=AR139,G176,IF(C152=AR139,G154,IF(C154=AR139,G154,IF(C160=AR139,G162,IF(C162=AR139,G162,IF(C182=AR139,G184,IF(C184=AR139,G184,IF(C190=AR139,G192,IF(C192=AR139,G192,IF(AK136=AR139,AI138,IF(AK138=AR139,AI138,IF(AK144=AR139,AI146,IF(AK146=AR139,AI146,IF(AK166=AR139,AI168,IF(AK168=AR139,AI168,IF(AK174=AR139,AI176,IF(AK176=AR139,AI176,IF(AK152=AR139,AI154,IF(AK154=AR139,AI154,IF(AK160=AR139,AI162,IF(AK162=AR139,AI162,IF(AK182=AR139,AI184,IF(AK184=AR139,AI184,IF(AK190=AR139,AI192,IF(AK192=AR139,AI192)))))))))))))))))))))))))))))))),"")</f>
        <v/>
      </c>
      <c r="AS155" s="15" t="str">
        <f>IFERROR(IF(AR155="","",VLOOKUP(AR155,LISTAS!$F$5:$G$1004,2,0)),"0")</f>
        <v/>
      </c>
      <c r="AT155" s="15" t="str">
        <f t="shared" si="7"/>
        <v/>
      </c>
      <c r="AU155" s="15" t="str">
        <f t="shared" si="8"/>
        <v/>
      </c>
    </row>
    <row r="156" spans="2:47" ht="18" customHeight="1" x14ac:dyDescent="0.25">
      <c r="B156" s="16"/>
      <c r="C156" s="166"/>
      <c r="D156" s="11"/>
      <c r="E156" s="11"/>
      <c r="F156" s="17"/>
      <c r="G156" s="171" t="str">
        <f>IF(D152&lt;&gt;"",IF(D154&lt;&gt;"",IF(D152=D154,"",IF(D152&gt;D154,C152,C154)),""),"")</f>
        <v/>
      </c>
      <c r="H156" s="234">
        <v>0</v>
      </c>
      <c r="I156" s="56">
        <f>IF(H156&lt;&gt;"",H156,"")</f>
        <v>0</v>
      </c>
      <c r="J156" s="51" t="str">
        <f>IF(H156&lt;&gt;"",IF(G156="","",G156),"")</f>
        <v/>
      </c>
      <c r="K156" s="176">
        <f>IF(I156&lt;&gt;"",IF(I158&lt;&gt;"",SMALL(I156:J158,1),""),"")</f>
        <v>0</v>
      </c>
      <c r="L156" s="51"/>
      <c r="M156" s="54"/>
      <c r="N156" s="11"/>
      <c r="O156" s="166"/>
      <c r="P156" s="11"/>
      <c r="Q156" s="8"/>
      <c r="R156" s="182"/>
      <c r="S156" s="8"/>
      <c r="T156" s="8"/>
      <c r="U156" s="8"/>
      <c r="V156" s="182"/>
      <c r="W156" s="8"/>
      <c r="X156" s="62"/>
      <c r="Y156" s="182"/>
      <c r="Z156" s="65"/>
      <c r="AA156" s="8"/>
      <c r="AB156" s="11"/>
      <c r="AC156" s="182"/>
      <c r="AD156" s="8"/>
      <c r="AE156" s="17"/>
      <c r="AF156" s="234">
        <v>0</v>
      </c>
      <c r="AG156" s="171" t="str">
        <f>IF(AJ152&lt;&gt;"",IF(AJ154&lt;&gt;"",IF(AJ152=AJ154,"",IF(AJ152&gt;AJ154,AK152,AK154)),""),"")</f>
        <v/>
      </c>
      <c r="AH156" s="65"/>
      <c r="AI156" s="8"/>
      <c r="AJ156" s="11"/>
      <c r="AK156" s="166"/>
      <c r="AL156" s="11"/>
      <c r="AP156" s="13" t="str">
        <f>IF(AR156&lt;&gt;"",1+COUNTIF(AP136:AP155,"1")+COUNTIF(AP136:AP155,"2")+COUNTIF(AP136:AP155,"3")+COUNTIF(AP136:AP155,"4")+COUNTIF(AP136:AP155,"5")+COUNTIF(AP136:AP155,"6")+COUNTIF(AP136:AP155,"7")+COUNTIF(AP136:AP155,"8")+COUNTIF(AP136:AP155,"9")+COUNTIF(AP136:AP155,"10")+COUNTIF(AP136:AP155,"11")+COUNTIF(AP136:AP155,"12")+COUNTIF(AP136:AP155,"13")+COUNTIF(AP136:AP155,"14")+COUNTIF(AP136:AP155,"15")+COUNTIF(AP136:AP155,"16")+COUNTIF(AP136:AP155,"17")+COUNTIF(AP136:AP155,"18")+COUNTIF(AP136:AP155,"19")+COUNTIF(AP136:AP155,"20"),"")</f>
        <v/>
      </c>
      <c r="AQ156" s="14" t="str">
        <f t="shared" si="6"/>
        <v/>
      </c>
      <c r="AR156" s="21" t="str">
        <f>IF(AR140&lt;&gt;"",IF(C136=AR140,G138,IF(C138=AR140,G138,IF(C144=AR140,G146,IF(C146=AR140,G146,IF(C166=AR140,G168,IF(C168=AR140,G168,IF(C174=AR140,G176,IF(C176=AR140,G176,IF(C152=AR140,G154,IF(C154=AR140,G154,IF(C160=AR140,G162,IF(C162=AR140,G162,IF(C182=AR140,G184,IF(C184=AR140,G184,IF(C190=AR140,G192,IF(C192=AR140,G192,IF(AK136=AR140,AI138,IF(AK138=AR140,AI138,IF(AK144=AR140,AI146,IF(AK146=AR140,AI146,IF(AK166=AR140,AI168,IF(AK168=AR140,AI168,IF(AK174=AR140,AI176,IF(AK176=AR140,AI176,IF(AK152=AR140,AI154,IF(AK154=AR140,AI154,IF(AK160=AR140,AI162,IF(AK162=AR140,AI162,IF(AK182=AR140,AI184,IF(AK184=AR140,AI184,IF(AK190=AR140,AI192,IF(AK192=AR140,AI192)))))))))))))))))))))))))))))))),"")</f>
        <v/>
      </c>
      <c r="AS156" s="15" t="str">
        <f>IFERROR(IF(AR156="","",VLOOKUP(AR156,LISTAS!$F$5:$G$1004,2,0)),"0")</f>
        <v/>
      </c>
      <c r="AT156" s="15" t="str">
        <f t="shared" si="7"/>
        <v/>
      </c>
      <c r="AU156" s="15" t="str">
        <f t="shared" si="8"/>
        <v/>
      </c>
    </row>
    <row r="157" spans="2:47" ht="18" customHeight="1" thickBot="1" x14ac:dyDescent="0.3">
      <c r="B157" s="16"/>
      <c r="C157" s="166"/>
      <c r="D157" s="11"/>
      <c r="E157" s="11"/>
      <c r="F157" s="17"/>
      <c r="G157" s="172" t="str">
        <f>IFERROR(IF(G156="","",VLOOKUP(G156,LISTAS!$F$5:$G$1004,2,0)),"0")</f>
        <v/>
      </c>
      <c r="H157" s="235"/>
      <c r="I157" s="57"/>
      <c r="J157" s="51"/>
      <c r="K157" s="176"/>
      <c r="L157" s="51"/>
      <c r="M157" s="54"/>
      <c r="N157" s="11"/>
      <c r="O157" s="166"/>
      <c r="P157" s="11"/>
      <c r="Q157" s="8"/>
      <c r="R157" s="182"/>
      <c r="S157" s="8"/>
      <c r="T157" s="8"/>
      <c r="U157" s="8"/>
      <c r="V157" s="182"/>
      <c r="W157" s="8"/>
      <c r="X157" s="62"/>
      <c r="Y157" s="182"/>
      <c r="Z157" s="65"/>
      <c r="AA157" s="8"/>
      <c r="AB157" s="11"/>
      <c r="AC157" s="182"/>
      <c r="AD157" s="8"/>
      <c r="AE157" s="122"/>
      <c r="AF157" s="235"/>
      <c r="AG157" s="172" t="str">
        <f>IFERROR(IF(AG156="","",VLOOKUP(AG156,LISTAS!$F$5:$G$1004,2,0)),"0")</f>
        <v/>
      </c>
      <c r="AH157" s="65"/>
      <c r="AI157" s="8"/>
      <c r="AJ157" s="11"/>
      <c r="AK157" s="166"/>
      <c r="AL157" s="11"/>
      <c r="AP157" s="13" t="str">
        <f>IF(AR157&lt;&gt;"",1+COUNTIF(AP136:AP156,"1")+COUNTIF(AP136:AP156,"2")+COUNTIF(AP136:AP156,"3")+COUNTIF(AP136:AP156,"4")+COUNTIF(AP136:AP156,"5")+COUNTIF(AP136:AP156,"6")+COUNTIF(AP136:AP156,"7")+COUNTIF(AP136:AP156,"8")+COUNTIF(AP136:AP156,"9")+COUNTIF(AP136:AP156,"10")+COUNTIF(AP136:AP156,"11")+COUNTIF(AP136:AP156,"12")+COUNTIF(AP136:AP156,"13")+COUNTIF(AP136:AP156,"14")+COUNTIF(AP136:AP156,"15")+COUNTIF(AP136:AP156,"16")+COUNTIF(AP136:AP156,"17")+COUNTIF(AP136:AP156,"18")+COUNTIF(AP136:AP156,"19")+COUNTIF(AP136:AP156,"20")+COUNTIF(AP136:AP156,"21"),"")</f>
        <v/>
      </c>
      <c r="AQ157" s="14" t="str">
        <f t="shared" si="6"/>
        <v/>
      </c>
      <c r="AR157" s="21" t="str">
        <f>IF(AR141&lt;&gt;"",IF(C136=AR141,G138,IF(C138=AR141,G138,IF(C144=AR141,G146,IF(C146=AR141,G146,IF(C166=AR141,G168,IF(C168=AR141,G168,IF(C174=AR141,G176,IF(C176=AR141,G176,IF(C152=AR141,G154,IF(C154=AR141,G154,IF(C160=AR141,G162,IF(C162=AR141,G162,IF(C182=AR141,G184,IF(C184=AR141,G184,IF(C190=AR141,G192,IF(C192=AR141,G192,IF(AK136=AR141,AI138,IF(AK138=AR141,AI138,IF(AK144=AR141,AI146,IF(AK146=AR141,AI146,IF(AK166=AR141,AI168,IF(AK168=AR141,AI168,IF(AK174=AR141,AI176,IF(AK176=AR141,AI176,IF(AK152=AR141,AI154,IF(AK154=AR141,AI154,IF(AK160=AR141,AI162,IF(AK162=AR141,AI162,IF(AK182=AR141,AI184,IF(AK184=AR141,AI184,IF(AK190=AR141,AI192,IF(AK192=AR141,AI192)))))))))))))))))))))))))))))))),"")</f>
        <v/>
      </c>
      <c r="AS157" s="15" t="str">
        <f>IFERROR(IF(AR157="","",VLOOKUP(AR157,LISTAS!$F$5:$G$1004,2,0)),"0")</f>
        <v/>
      </c>
      <c r="AT157" s="15" t="str">
        <f t="shared" si="7"/>
        <v/>
      </c>
      <c r="AU157" s="15" t="str">
        <f t="shared" si="8"/>
        <v/>
      </c>
    </row>
    <row r="158" spans="2:47" ht="18" customHeight="1" x14ac:dyDescent="0.25">
      <c r="B158" s="16"/>
      <c r="C158" s="166"/>
      <c r="D158" s="11"/>
      <c r="E158" s="18"/>
      <c r="F158" s="19"/>
      <c r="G158" s="171" t="str">
        <f>IF(D160&lt;&gt;"",IF(D162&lt;&gt;"",IF(D160=D162,"",IF(D160&gt;D162,C160,C162)),""),"")</f>
        <v/>
      </c>
      <c r="H158" s="234">
        <v>0</v>
      </c>
      <c r="I158" s="57">
        <f>IF(H158&lt;&gt;"",H158,"")</f>
        <v>0</v>
      </c>
      <c r="J158" s="51" t="str">
        <f>IF(H158&lt;&gt;"",IF(G158="","",G158),"")</f>
        <v/>
      </c>
      <c r="K158" s="176" t="str">
        <f>VLOOKUP(K156,I156:J158,2,0)</f>
        <v/>
      </c>
      <c r="L158" s="51"/>
      <c r="M158" s="54"/>
      <c r="N158" s="11"/>
      <c r="O158" s="166"/>
      <c r="P158" s="11"/>
      <c r="Q158" s="8"/>
      <c r="R158" s="182"/>
      <c r="S158" s="8"/>
      <c r="T158" s="8"/>
      <c r="U158" s="8"/>
      <c r="V158" s="182"/>
      <c r="W158" s="8"/>
      <c r="X158" s="62"/>
      <c r="Y158" s="182"/>
      <c r="Z158" s="65"/>
      <c r="AA158" s="8"/>
      <c r="AB158" s="11"/>
      <c r="AC158" s="182"/>
      <c r="AD158" s="8"/>
      <c r="AE158" s="64"/>
      <c r="AF158" s="234">
        <v>2</v>
      </c>
      <c r="AG158" s="171" t="str">
        <f>IF(AJ160&lt;&gt;"",IF(AJ162&lt;&gt;"",IF(AJ160=AJ162,"",IF(AJ160&gt;AJ162,AK160,AK162)),""),"")</f>
        <v>LORENA BEATRIZ ANTONIO SQUASSONI</v>
      </c>
      <c r="AH158" s="66"/>
      <c r="AI158" s="8"/>
      <c r="AJ158" s="11"/>
      <c r="AK158" s="166"/>
      <c r="AL158" s="11"/>
      <c r="AP158" s="13" t="str">
        <f>IF(AR158&lt;&gt;"",1+COUNTIF(AP136:AP157,"1")+COUNTIF(AP136:AP157,"2")+COUNTIF(AP136:AP157,"3")+COUNTIF(AP136:AP157,"4")+COUNTIF(AP136:AP157,"5")+COUNTIF(AP136:AP157,"6")+COUNTIF(AP136:AP157,"7")+COUNTIF(AP136:AP157,"8")+COUNTIF(AP136:AP157,"9")+COUNTIF(AP136:AP157,"10")+COUNTIF(AP136:AP157,"11")+COUNTIF(AP136:AP157,"12")+COUNTIF(AP136:AP157,"13")+COUNTIF(AP136:AP157,"14")+COUNTIF(AP136:AP157,"15")+COUNTIF(AP136:AP157,"16")+COUNTIF(AP136:AP157,"17")+COUNTIF(AP136:AP157,"18")+COUNTIF(AP136:AP157,"19")+COUNTIF(AP136:AP157,"20")+COUNTIF(AP136:AP157,"21")+COUNTIF(AP136:AP157,"22"),"")</f>
        <v/>
      </c>
      <c r="AQ158" s="14" t="str">
        <f t="shared" si="6"/>
        <v/>
      </c>
      <c r="AR158" s="21" t="str">
        <f>IF(AR142&lt;&gt;"",IF(C136=AR142,G138,IF(C138=AR142,G138,IF(C144=AR142,G146,IF(C146=AR142,G146,IF(C166=AR142,G168,IF(C168=AR142,G168,IF(C174=AR142,G176,IF(C176=AR142,G176,IF(C152=AR142,G154,IF(C154=AR142,G154,IF(C160=AR142,G162,IF(C162=AR142,G162,IF(C182=AR142,G184,IF(C184=AR142,G184,IF(C190=AR142,G192,IF(C192=AR142,G192,IF(AK136=AR142,AI138,IF(AK138=AR142,AI138,IF(AK144=AR142,AI146,IF(AK146=AR142,AI146,IF(AK166=AR142,AI168,IF(AK168=AR142,AI168,IF(AK174=AR142,AI176,IF(AK176=AR142,AI176,IF(AK152=AR142,AI154,IF(AK154=AR142,AI154,IF(AK160=AR142,AI162,IF(AK162=AR142,AI162,IF(AK182=AR142,AI184,IF(AK184=AR142,AI184,IF(AK190=AR142,AI192,IF(AK192=AR142,AI192)))))))))))))))))))))))))))))))),"")</f>
        <v/>
      </c>
      <c r="AS158" s="15" t="str">
        <f>IFERROR(IF(AR158="","",VLOOKUP(AR158,LISTAS!$F$5:$G$1004,2,0)),"0")</f>
        <v/>
      </c>
      <c r="AT158" s="15" t="str">
        <f t="shared" si="7"/>
        <v/>
      </c>
      <c r="AU158" s="15" t="str">
        <f t="shared" si="8"/>
        <v/>
      </c>
    </row>
    <row r="159" spans="2:47" ht="18" customHeight="1" thickBot="1" x14ac:dyDescent="0.3">
      <c r="B159" s="16"/>
      <c r="C159" s="166"/>
      <c r="D159" s="11"/>
      <c r="E159" s="18"/>
      <c r="F159" s="11"/>
      <c r="G159" s="172" t="str">
        <f>IFERROR(IF(G158="","",VLOOKUP(G158,LISTAS!$F$5:$G$1004,2,0)),"0")</f>
        <v/>
      </c>
      <c r="H159" s="235"/>
      <c r="I159" s="51"/>
      <c r="J159" s="51"/>
      <c r="K159" s="176"/>
      <c r="L159" s="51"/>
      <c r="M159" s="54"/>
      <c r="N159" s="11"/>
      <c r="O159" s="166"/>
      <c r="P159" s="11"/>
      <c r="Q159" s="8"/>
      <c r="R159" s="182"/>
      <c r="S159" s="8"/>
      <c r="T159" s="8"/>
      <c r="U159" s="8"/>
      <c r="V159" s="182"/>
      <c r="W159" s="8"/>
      <c r="X159" s="62"/>
      <c r="Y159" s="182"/>
      <c r="Z159" s="65"/>
      <c r="AA159" s="8"/>
      <c r="AB159" s="11"/>
      <c r="AC159" s="182"/>
      <c r="AD159" s="8"/>
      <c r="AE159" s="8"/>
      <c r="AF159" s="235"/>
      <c r="AG159" s="172" t="str">
        <f>IFERROR(IF(AG158="","",VLOOKUP(AG158,LISTAS!$F$5:$G$1004,2,0)),"0")</f>
        <v>LICEU JARDIM</v>
      </c>
      <c r="AH159" s="8"/>
      <c r="AI159" s="69"/>
      <c r="AJ159" s="11"/>
      <c r="AK159" s="166"/>
      <c r="AL159" s="11"/>
      <c r="AP159" s="13" t="str">
        <f>IF(AR159&lt;&gt;"",1+COUNTIF(AP136:AP158,"1")+COUNTIF(AP136:AP158,"2")+COUNTIF(AP136:AP158,"3")+COUNTIF(AP136:AP158,"4")+COUNTIF(AP136:AP158,"5")+COUNTIF(AP136:AP158,"6")+COUNTIF(AP136:AP158,"7")+COUNTIF(AP136:AP158,"8")+COUNTIF(AP136:AP158,"9")+COUNTIF(AP136:AP158,"10")+COUNTIF(AP136:AP158,"11")+COUNTIF(AP136:AP158,"12")+COUNTIF(AP136:AP158,"13")+COUNTIF(AP136:AP158,"14")+COUNTIF(AP136:AP158,"15")+COUNTIF(AP136:AP158,"16")+COUNTIF(AP136:AP158,"17")+COUNTIF(AP136:AP158,"18")+COUNTIF(AP136:AP158,"19")+COUNTIF(AP136:AP158,"20")+COUNTIF(AP136:AP158,"21")+COUNTIF(AP136:AP158,"22")+COUNTIF(AP136:AP158,"23"),"")</f>
        <v/>
      </c>
      <c r="AQ159" s="14" t="str">
        <f t="shared" si="6"/>
        <v/>
      </c>
      <c r="AR159" s="21" t="str">
        <f>IF(AR143&lt;&gt;"",IF(C136=AR143,G138,IF(C138=AR143,G138,IF(C144=AR143,G146,IF(C146=AR143,G146,IF(C166=AR143,G168,IF(C168=AR143,G168,IF(C174=AR143,G176,IF(C176=AR143,G176,IF(C152=AR143,G154,IF(C154=AR143,G154,IF(C160=AR143,G162,IF(C162=AR143,G162,IF(C182=AR143,G184,IF(C184=AR143,G184,IF(C190=AR143,G192,IF(C192=AR143,G192,IF(AK136=AR143,AI138,IF(AK138=AR143,AI138,IF(AK144=AR143,AI146,IF(AK146=AR143,AI146,IF(AK166=AR143,AI168,IF(AK168=AR143,AI168,IF(AK174=AR143,AI176,IF(AK176=AR143,AI176,IF(AK152=AR143,AI154,IF(AK154=AR143,AI154,IF(AK160=AR143,AI162,IF(AK162=AR143,AI162,IF(AK182=AR143,AI184,IF(AK184=AR143,AI184,IF(AK190=AR143,AI192,IF(AK192=AR143,AI192)))))))))))))))))))))))))))))))),"")</f>
        <v/>
      </c>
      <c r="AS159" s="15" t="str">
        <f>IFERROR(IF(AR159="","",VLOOKUP(AR159,LISTAS!$F$5:$G$1004,2,0)),"0")</f>
        <v/>
      </c>
      <c r="AT159" s="15" t="str">
        <f t="shared" si="7"/>
        <v/>
      </c>
      <c r="AU159" s="15" t="str">
        <f t="shared" si="8"/>
        <v/>
      </c>
    </row>
    <row r="160" spans="2:47" ht="18" customHeight="1" x14ac:dyDescent="0.25">
      <c r="B160" s="16">
        <v>25</v>
      </c>
      <c r="C160" s="171" t="str">
        <f>IF('15F GRP'!G5&gt;=3,'15F GRP'!J335,IF('15F GRP'!G5=2,"",IF('15F GRP'!G5=1,"","")))</f>
        <v/>
      </c>
      <c r="D160" s="234">
        <v>0</v>
      </c>
      <c r="E160" s="56">
        <f>IF(D160&lt;&gt;"",D160,"")</f>
        <v>0</v>
      </c>
      <c r="F160" s="51" t="str">
        <f>IF(D160&lt;&gt;"",IF(C160="","",C160),"")</f>
        <v/>
      </c>
      <c r="G160" s="176">
        <f>IF(E160&lt;&gt;"",IF(E162&lt;&gt;"",SMALL(E160:E162,1),""),"")</f>
        <v>0</v>
      </c>
      <c r="H160" s="51"/>
      <c r="I160" s="51"/>
      <c r="J160" s="51"/>
      <c r="K160" s="176"/>
      <c r="L160" s="51"/>
      <c r="M160" s="54"/>
      <c r="N160" s="11"/>
      <c r="O160" s="166"/>
      <c r="P160" s="11"/>
      <c r="Q160" s="8"/>
      <c r="R160" s="182"/>
      <c r="S160" s="8"/>
      <c r="T160" s="8"/>
      <c r="U160" s="8"/>
      <c r="V160" s="182"/>
      <c r="W160" s="8"/>
      <c r="X160" s="62"/>
      <c r="Y160" s="182"/>
      <c r="Z160" s="65"/>
      <c r="AA160" s="8"/>
      <c r="AB160" s="11"/>
      <c r="AC160" s="182"/>
      <c r="AD160" s="8"/>
      <c r="AE160" s="8"/>
      <c r="AF160" s="8"/>
      <c r="AG160" s="181">
        <f>IF(AJ160&lt;&gt;"",AJ160,"")</f>
        <v>0</v>
      </c>
      <c r="AH160" s="78" t="str">
        <f>IF(AJ160&lt;&gt;"",IF(AK160="","",AK160),"")</f>
        <v/>
      </c>
      <c r="AI160" s="53">
        <f>IF(AG160&lt;&gt;"",IF(AG162&lt;&gt;"",SMALL(AG160:AG162,1),""),"")</f>
        <v>0</v>
      </c>
      <c r="AJ160" s="234">
        <v>0</v>
      </c>
      <c r="AK160" s="171" t="str">
        <f>IF('15F GRP'!G5&gt;=3,'15F GRP'!J361,IF('15F GRP'!G5=2,"",IF('15F GRP'!G5=1,"","")))</f>
        <v/>
      </c>
      <c r="AL160" s="11">
        <v>27</v>
      </c>
      <c r="AP160" s="13" t="str">
        <f>IF(AR160&lt;&gt;"",1+COUNTIF(AP136:AP159,"1")+COUNTIF(AP136:AP159,"2")+COUNTIF(AP136:AP159,"3")+COUNTIF(AP136:AP159,"4")+COUNTIF(AP136:AP159,"5")+COUNTIF(AP136:AP159,"6")+COUNTIF(AP136:AP159,"7")+COUNTIF(AP136:AP159,"8")+COUNTIF(AP136:AP159,"9")+COUNTIF(AP136:AP159,"10")+COUNTIF(AP136:AP159,"11")+COUNTIF(AP136:AP159,"12")+COUNTIF(AP136:AP159,"13")+COUNTIF(AP136:AP159,"14")+COUNTIF(AP136:AP159,"15")+COUNTIF(AP136:AP159,"16")+COUNTIF(AP136:AP159,"17")+COUNTIF(AP136:AP159,"18")+COUNTIF(AP136:AP159,"19")+COUNTIF(AP136:AP159,"20")+COUNTIF(AP136:AP159,"21")+COUNTIF(AP136:AP159,"22")+COUNTIF(AP136:AP159,"23")+COUNTIF(AP136:AP159,"24"),"")</f>
        <v/>
      </c>
      <c r="AQ160" s="14" t="str">
        <f t="shared" si="6"/>
        <v/>
      </c>
      <c r="AR160" s="21" t="str">
        <f>IF(AR144&lt;&gt;"",IF(C136=AR144,G138,IF(C138=AR144,G138,IF(C144=AR144,G146,IF(C146=AR144,G146,IF(C166=AR144,G168,IF(C168=AR144,G168,IF(C174=AR144,G176,IF(C176=AR144,G176,IF(C152=AR144,G154,IF(C154=AR144,G154,IF(C160=AR144,G162,IF(C162=AR144,G162,IF(C182=AR144,G184,IF(C184=AR144,G184,IF(C190=AR144,G192,IF(C192=AR144,G192,IF(AK136=AR144,AI138,IF(AK138=AR144,AI138,IF(AK144=AR144,AI146,IF(AK146=AR144,AI146,IF(AK166=AR144,AI168,IF(AK168=AR144,AI168,IF(AK174=AR144,AI176,IF(AK176=AR144,AI176,IF(AK152=AR144,AI154,IF(AK154=AR144,AI154,IF(AK160=AR144,AI162,IF(AK162=AR144,AI162,IF(AK182=AR144,AI184,IF(AK184=AR144,AI184,IF(AK190=AR144,AI192,IF(AK192=AR144,AI192)))))))))))))))))))))))))))))))),"")</f>
        <v/>
      </c>
      <c r="AS160" s="15" t="str">
        <f>IFERROR(IF(AR160="","",VLOOKUP(AR160,LISTAS!$F$5:$G$1004,2,0)),"0")</f>
        <v/>
      </c>
      <c r="AT160" s="15" t="str">
        <f t="shared" si="7"/>
        <v/>
      </c>
      <c r="AU160" s="15" t="str">
        <f t="shared" si="8"/>
        <v/>
      </c>
    </row>
    <row r="161" spans="2:47" ht="18" customHeight="1" thickBot="1" x14ac:dyDescent="0.3">
      <c r="B161" s="16"/>
      <c r="C161" s="172" t="str">
        <f>IFERROR(IF(C160="","",VLOOKUP(C160,LISTAS!$F$5:$G$1004,2,0)),"0")</f>
        <v/>
      </c>
      <c r="D161" s="235"/>
      <c r="E161" s="57"/>
      <c r="F161" s="51"/>
      <c r="G161" s="176"/>
      <c r="H161" s="51"/>
      <c r="I161" s="11"/>
      <c r="J161" s="11"/>
      <c r="K161" s="166"/>
      <c r="L161" s="11"/>
      <c r="M161" s="18"/>
      <c r="N161" s="11"/>
      <c r="O161" s="166"/>
      <c r="P161" s="11"/>
      <c r="Q161" s="8"/>
      <c r="R161" s="182"/>
      <c r="S161" s="8"/>
      <c r="T161" s="8"/>
      <c r="U161" s="8"/>
      <c r="V161" s="182"/>
      <c r="W161" s="8"/>
      <c r="X161" s="62"/>
      <c r="Y161" s="182"/>
      <c r="Z161" s="65"/>
      <c r="AA161" s="8"/>
      <c r="AB161" s="11"/>
      <c r="AC161" s="182"/>
      <c r="AD161" s="8"/>
      <c r="AE161" s="8"/>
      <c r="AF161" s="8"/>
      <c r="AG161" s="181"/>
      <c r="AH161" s="78"/>
      <c r="AI161" s="124"/>
      <c r="AJ161" s="235"/>
      <c r="AK161" s="172" t="str">
        <f>IFERROR(IF(AK160="","",VLOOKUP(AK160,LISTAS!$F$5:$G$1004,2,0)),"0")</f>
        <v/>
      </c>
      <c r="AL161" s="11"/>
      <c r="AP161" s="13" t="str">
        <f>IF(AR161&lt;&gt;"",1+COUNTIF(AP136:AP160,"1")+COUNTIF(AP136:AP160,"2")+COUNTIF(AP136:AP160,"3")+COUNTIF(AP136:AP160,"4")+COUNTIF(AP136:AP160,"5")+COUNTIF(AP136:AP160,"6")+COUNTIF(AP136:AP160,"7")+COUNTIF(AP136:AP160,"8")+COUNTIF(AP136:AP160,"9")+COUNTIF(AP136:AP160,"10")+COUNTIF(AP136:AP160,"11")+COUNTIF(AP136:AP160,"12")+COUNTIF(AP136:AP160,"13")+COUNTIF(AP136:AP160,"14")+COUNTIF(AP136:AP160,"15")+COUNTIF(AP136:AP160,"16")+COUNTIF(AP136:AP160,"17")+COUNTIF(AP136:AP160,"18")+COUNTIF(AP136:AP160,"19")+COUNTIF(AP136:AP160,"20")+COUNTIF(AP136:AP160,"21")+COUNTIF(AP136:AP160,"22")+COUNTIF(AP136:AP160,"23")+COUNTIF(AP136:AP160,"24")+COUNTIF(AP136:AP160,"25"),"")</f>
        <v/>
      </c>
      <c r="AQ161" s="14" t="str">
        <f t="shared" si="6"/>
        <v/>
      </c>
      <c r="AR161" s="21" t="str">
        <f>IF(AR145&lt;&gt;"",IF(C136=AR145,G138,IF(C138=AR145,G138,IF(C144=AR145,G146,IF(C146=AR145,G146,IF(C166=AR145,G168,IF(C168=AR145,G168,IF(C174=AR145,G176,IF(C176=AR145,G176,IF(C152=AR145,G154,IF(C154=AR145,G154,IF(C160=AR145,G162,IF(C162=AR145,G162,IF(C182=AR145,G184,IF(C184=AR145,G184,IF(C190=AR145,G192,IF(C192=AR145,G192,IF(AK136=AR145,AI138,IF(AK138=AR145,AI138,IF(AK144=AR145,AI146,IF(AK146=AR145,AI146,IF(AK166=AR145,AI168,IF(AK168=AR145,AI168,IF(AK174=AR145,AI176,IF(AK176=AR145,AI176,IF(AK152=AR145,AI154,IF(AK154=AR145,AI154,IF(AK160=AR145,AI162,IF(AK162=AR145,AI162,IF(AK182=AR145,AI184,IF(AK184=AR145,AI184,IF(AK190=AR145,AI192,IF(AK192=AR145,AI192)))))))))))))))))))))))))))))))),"")</f>
        <v/>
      </c>
      <c r="AS161" s="15" t="str">
        <f>IFERROR(IF(AR161="","",VLOOKUP(AR161,LISTAS!$F$5:$G$1004,2,0)),"0")</f>
        <v/>
      </c>
      <c r="AT161" s="15" t="str">
        <f t="shared" si="7"/>
        <v/>
      </c>
      <c r="AU161" s="15" t="str">
        <f t="shared" si="8"/>
        <v/>
      </c>
    </row>
    <row r="162" spans="2:47" ht="18" customHeight="1" thickBot="1" x14ac:dyDescent="0.3">
      <c r="B162" s="16">
        <v>8</v>
      </c>
      <c r="C162" s="171" t="str">
        <f>IF('15F GRP'!G5&gt;=3,'15F GRP'!J114,IF('15F GRP'!G5=2,"",IF('15F GRP'!G5=1,"","")))</f>
        <v/>
      </c>
      <c r="D162" s="234">
        <v>0</v>
      </c>
      <c r="E162" s="57">
        <f>IF(D162&lt;&gt;"",D162,"")</f>
        <v>0</v>
      </c>
      <c r="F162" s="51" t="str">
        <f>IF(D162&lt;&gt;"",IF(C162="","",C162),"")</f>
        <v/>
      </c>
      <c r="G162" s="176" t="str">
        <f>VLOOKUP(G160,E160:F162,2,0)</f>
        <v/>
      </c>
      <c r="H162" s="51"/>
      <c r="I162" s="11"/>
      <c r="J162" s="11"/>
      <c r="K162" s="166"/>
      <c r="L162" s="11"/>
      <c r="M162" s="18"/>
      <c r="N162" s="11"/>
      <c r="O162" s="166"/>
      <c r="P162" s="11"/>
      <c r="Q162" s="8"/>
      <c r="R162" s="236" t="s">
        <v>37</v>
      </c>
      <c r="S162" s="236"/>
      <c r="T162" s="236"/>
      <c r="U162" s="236"/>
      <c r="V162" s="236"/>
      <c r="W162" s="8"/>
      <c r="X162" s="62"/>
      <c r="Y162" s="182"/>
      <c r="Z162" s="65"/>
      <c r="AA162" s="8"/>
      <c r="AB162" s="11"/>
      <c r="AC162" s="182"/>
      <c r="AD162" s="8"/>
      <c r="AE162" s="8"/>
      <c r="AF162" s="8"/>
      <c r="AG162" s="181">
        <f>IF(AJ162&lt;&gt;"",AJ162,"")</f>
        <v>2</v>
      </c>
      <c r="AH162" s="78" t="str">
        <f>IF(AJ162&lt;&gt;"",IF(AK162="","",AK162),"")</f>
        <v>LORENA BEATRIZ ANTONIO SQUASSONI</v>
      </c>
      <c r="AI162" s="125" t="str">
        <f>VLOOKUP(AI160,AG160:AH162,2,0)</f>
        <v/>
      </c>
      <c r="AJ162" s="234">
        <v>2</v>
      </c>
      <c r="AK162" s="171" t="str">
        <f>IF('15F GRP'!G5&gt;=3,'15F GRP'!J88,IF('15F GRP'!G5=2,"",IF('15F GRP'!G5=1,"","")))</f>
        <v>LORENA BEATRIZ ANTONIO SQUASSONI</v>
      </c>
      <c r="AL162" s="11">
        <v>6</v>
      </c>
      <c r="AP162" s="13" t="str">
        <f>IF(AR162&lt;&gt;"",1+COUNTIF(AP136:AP161,"1")+COUNTIF(AP136:AP161,"2")+COUNTIF(AP136:AP161,"3")+COUNTIF(AP136:AP161,"4")+COUNTIF(AP136:AP161,"5")+COUNTIF(AP136:AP161,"6")+COUNTIF(AP136:AP161,"7")+COUNTIF(AP136:AP161,"8")+COUNTIF(AP136:AP161,"9")+COUNTIF(AP136:AP161,"10")+COUNTIF(AP136:AP161,"11")+COUNTIF(AP136:AP161,"12")+COUNTIF(AP136:AP161,"13")+COUNTIF(AP136:AP161,"14")+COUNTIF(AP136:AP161,"15")+COUNTIF(AP136:AP161,"16")+COUNTIF(AP136:AP161,"17")+COUNTIF(AP136:AP161,"18")+COUNTIF(AP136:AP161,"19")+COUNTIF(AP136:AP161,"20")+COUNTIF(AP136:AP161,"21")+COUNTIF(AP136:AP161,"22")+COUNTIF(AP136:AP161,"23")+COUNTIF(AP136:AP161,"24")+COUNTIF(AP136:AP161,"25")+COUNTIF(AP136:AP161,"26"),"")</f>
        <v/>
      </c>
      <c r="AQ162" s="14" t="str">
        <f t="shared" si="6"/>
        <v/>
      </c>
      <c r="AR162" s="21" t="str">
        <f>IF(AR146&lt;&gt;"",IF(C136=AR146,G138,IF(C138=AR146,G138,IF(C144=AR146,G146,IF(C146=AR146,G146,IF(C166=AR146,G168,IF(C168=AR146,G168,IF(C174=AR146,G176,IF(C176=AR146,G176,IF(C152=AR146,G154,IF(C154=AR146,G154,IF(C160=AR146,G162,IF(C162=AR146,G162,IF(C182=AR146,G184,IF(C184=AR146,G184,IF(C190=AR146,G192,IF(C192=AR146,G192,IF(AK136=AR146,AI138,IF(AK138=AR146,AI138,IF(AK144=AR146,AI146,IF(AK146=AR146,AI146,IF(AK166=AR146,AI168,IF(AK168=AR146,AI168,IF(AK174=AR146,AI176,IF(AK176=AR146,AI176,IF(AK152=AR146,AI154,IF(AK154=AR146,AI154,IF(AK160=AR146,AI162,IF(AK162=AR146,AI162,IF(AK182=AR146,AI184,IF(AK184=AR146,AI184,IF(AK190=AR146,AI192,IF(AK192=AR146,AI192)))))))))))))))))))))))))))))))),"")</f>
        <v/>
      </c>
      <c r="AS162" s="15" t="str">
        <f>IFERROR(IF(AR162="","",VLOOKUP(AR162,LISTAS!$F$5:$G$1004,2,0)),"0")</f>
        <v/>
      </c>
      <c r="AT162" s="15" t="str">
        <f t="shared" si="7"/>
        <v/>
      </c>
      <c r="AU162" s="15" t="str">
        <f t="shared" si="8"/>
        <v/>
      </c>
    </row>
    <row r="163" spans="2:47" ht="18" customHeight="1" thickBot="1" x14ac:dyDescent="0.3">
      <c r="B163" s="16"/>
      <c r="C163" s="172" t="str">
        <f>IFERROR(IF(C162="","",VLOOKUP(C162,LISTAS!$F$5:$G$1004,2,0)),"0")</f>
        <v/>
      </c>
      <c r="D163" s="235"/>
      <c r="E163" s="51"/>
      <c r="F163" s="51"/>
      <c r="G163" s="176"/>
      <c r="H163" s="51"/>
      <c r="I163" s="11"/>
      <c r="J163" s="11"/>
      <c r="K163" s="166"/>
      <c r="L163" s="11"/>
      <c r="M163" s="18"/>
      <c r="N163" s="11"/>
      <c r="O163" s="171" t="str">
        <f>IF(L148&lt;&gt;"",IF(L150&lt;&gt;"",IF(L148=L150,"",IF(L148&gt;L150,K148,K150)),""),"")</f>
        <v>BRUNA FERNANDES LOPES</v>
      </c>
      <c r="P163" s="234">
        <v>1</v>
      </c>
      <c r="Q163" s="8"/>
      <c r="R163" s="167"/>
      <c r="S163" s="71"/>
      <c r="T163" s="71"/>
      <c r="U163" s="71"/>
      <c r="V163" s="167"/>
      <c r="W163" s="8"/>
      <c r="X163" s="234">
        <v>1</v>
      </c>
      <c r="Y163" s="171" t="str">
        <f>IF(AB148&lt;&gt;"",IF(AB150&lt;&gt;"",IF(AB148=AB150,"",IF(AB148&gt;AB150,AC148,AC150)),""),"")</f>
        <v>LORENA BEATRIZ ANTONIO SQUASSONI</v>
      </c>
      <c r="Z163" s="65"/>
      <c r="AA163" s="8"/>
      <c r="AB163" s="11"/>
      <c r="AC163" s="182"/>
      <c r="AD163" s="8"/>
      <c r="AE163" s="8"/>
      <c r="AF163" s="8"/>
      <c r="AG163" s="181"/>
      <c r="AH163" s="78"/>
      <c r="AI163" s="51"/>
      <c r="AJ163" s="235"/>
      <c r="AK163" s="172" t="str">
        <f>IFERROR(IF(AK162="","",VLOOKUP(AK162,LISTAS!$F$5:$G$1004,2,0)),"0")</f>
        <v>LICEU JARDIM</v>
      </c>
      <c r="AL163" s="11"/>
      <c r="AP163" s="13" t="str">
        <f>IF(AR163&lt;&gt;"",1+COUNTIF(AP136:AP162,"1")+COUNTIF(AP136:AP162,"2")+COUNTIF(AP136:AP162,"3")+COUNTIF(AP136:AP162,"4")+COUNTIF(AP136:AP162,"5")+COUNTIF(AP136:AP162,"6")+COUNTIF(AP136:AP162,"7")+COUNTIF(AP136:AP162,"8")+COUNTIF(AP136:AP162,"9")+COUNTIF(AP136:AP162,"10")+COUNTIF(AP136:AP162,"11")+COUNTIF(AP136:AP162,"12")+COUNTIF(AP136:AP162,"13")+COUNTIF(AP136:AP162,"14")+COUNTIF(AP136:AP162,"15")+COUNTIF(AP136:AP162,"16")+COUNTIF(AP136:AP162,"17")+COUNTIF(AP136:AP162,"18")+COUNTIF(AP136:AP162,"19")+COUNTIF(AP136:AP162,"20")+COUNTIF(AP136:AP162,"21")+COUNTIF(AP136:AP162,"22")+COUNTIF(AP136:AP162,"23")+COUNTIF(AP136:AP162,"24")+COUNTIF(AP136:AP162,"25")+COUNTIF(AP136:AP162,"26")+COUNTIF(AP136:AP162,"27"),"")</f>
        <v/>
      </c>
      <c r="AQ163" s="14" t="str">
        <f t="shared" si="6"/>
        <v/>
      </c>
      <c r="AR163" s="21" t="str">
        <f>IF(AR147&lt;&gt;"",IF(C136=AR147,G138,IF(C138=AR147,G138,IF(C144=AR147,G146,IF(C146=AR147,G146,IF(C166=AR147,G168,IF(C168=AR147,G168,IF(C174=AR147,G176,IF(C176=AR147,G176,IF(C152=AR147,G154,IF(C154=AR147,G154,IF(C160=AR147,G162,IF(C162=AR147,G162,IF(C182=AR147,G184,IF(C184=AR147,G184,IF(C190=AR147,G192,IF(C192=AR147,G192,IF(AK136=AR147,AI138,IF(AK138=AR147,AI138,IF(AK144=AR147,AI146,IF(AK146=AR147,AI146,IF(AK166=AR147,AI168,IF(AK168=AR147,AI168,IF(AK174=AR147,AI176,IF(AK176=AR147,AI176,IF(AK152=AR147,AI154,IF(AK154=AR147,AI154,IF(AK160=AR147,AI162,IF(AK162=AR147,AI162,IF(AK182=AR147,AI184,IF(AK184=AR147,AI184,IF(AK190=AR147,AI192,IF(AK192=AR147,AI192)))))))))))))))))))))))))))))))),"")</f>
        <v/>
      </c>
      <c r="AS163" s="15" t="str">
        <f>IFERROR(IF(AR163="","",VLOOKUP(AR163,LISTAS!$F$5:$G$1004,2,0)),"0")</f>
        <v/>
      </c>
      <c r="AT163" s="15" t="str">
        <f t="shared" si="7"/>
        <v/>
      </c>
      <c r="AU163" s="15" t="str">
        <f t="shared" si="8"/>
        <v/>
      </c>
    </row>
    <row r="164" spans="2:47" ht="18" customHeight="1" thickBot="1" x14ac:dyDescent="0.3">
      <c r="B164" s="16"/>
      <c r="C164" s="166"/>
      <c r="D164" s="11"/>
      <c r="E164" s="11"/>
      <c r="F164" s="11"/>
      <c r="G164" s="166"/>
      <c r="H164" s="11"/>
      <c r="I164" s="11"/>
      <c r="J164" s="11"/>
      <c r="K164" s="166"/>
      <c r="L164" s="11"/>
      <c r="M164" s="18"/>
      <c r="N164" s="11"/>
      <c r="O164" s="172" t="str">
        <f>IFERROR(IF(O163="","",VLOOKUP(O163,LISTAS!$F$5:$G$1004,2,0)),"0")</f>
        <v>COLÉGIO ATENEU</v>
      </c>
      <c r="P164" s="235"/>
      <c r="Q164" s="8"/>
      <c r="R164" s="171" t="str">
        <f>IF(P163&lt;&gt;"",IF(P165&lt;&gt;"",IF(P163=P165,"",IF(P163&gt;P165,O163,O165)),""),"")</f>
        <v>BRUNA FERNANDES LOPES</v>
      </c>
      <c r="S164" s="234">
        <v>1</v>
      </c>
      <c r="T164" s="237" t="s">
        <v>38</v>
      </c>
      <c r="U164" s="234">
        <v>0</v>
      </c>
      <c r="V164" s="171" t="str">
        <f>IF(X163&lt;&gt;"",IF(X165&lt;&gt;"",IF(X163=X165,"",IF(X163&gt;X165,Y163,Y165)),""),"")</f>
        <v>LORENA BEATRIZ ANTONIO SQUASSONI</v>
      </c>
      <c r="W164" s="112"/>
      <c r="X164" s="235"/>
      <c r="Y164" s="172" t="str">
        <f>IFERROR(IF(Y163="","",VLOOKUP(Y163,LISTAS!$F$5:$G$1004,2,0)),"0")</f>
        <v>LICEU JARDIM</v>
      </c>
      <c r="Z164" s="112"/>
      <c r="AA164" s="8"/>
      <c r="AB164" s="11"/>
      <c r="AC164" s="182"/>
      <c r="AD164" s="8"/>
      <c r="AE164" s="8"/>
      <c r="AF164" s="8"/>
      <c r="AG164" s="182"/>
      <c r="AH164" s="8"/>
      <c r="AI164" s="8"/>
      <c r="AJ164" s="11"/>
      <c r="AK164" s="166"/>
      <c r="AL164" s="11"/>
      <c r="AP164" s="13" t="str">
        <f>IF(AR164&lt;&gt;"",1+COUNTIF(AP136:AP163,"1")+COUNTIF(AP136:AP163,"2")+COUNTIF(AP136:AP163,"3")+COUNTIF(AP136:AP163,"4")+COUNTIF(AP136:AP163,"5")+COUNTIF(AP136:AP163,"6")+COUNTIF(AP136:AP163,"7")+COUNTIF(AP136:AP163,"8")+COUNTIF(AP136:AP163,"9")+COUNTIF(AP136:AP163,"10")+COUNTIF(AP136:AP163,"11")+COUNTIF(AP136:AP163,"12")+COUNTIF(AP136:AP163,"13")+COUNTIF(AP136:AP163,"14")+COUNTIF(AP136:AP163,"15")+COUNTIF(AP136:AP163,"16")+COUNTIF(AP136:AP163,"17")+COUNTIF(AP136:AP163,"18")+COUNTIF(AP136:AP163,"19")+COUNTIF(AP136:AP163,"20")+COUNTIF(AP136:AP163,"21")+COUNTIF(AP136:AP163,"22")+COUNTIF(AP136:AP163,"23")+COUNTIF(AP136:AP163,"24")+COUNTIF(AP136:AP163,"25")+COUNTIF(AP136:AP163,"26")+COUNTIF(AP136:AP163,"27")+COUNTIF(AP136:AP163,"28"),"")</f>
        <v/>
      </c>
      <c r="AQ164" s="14" t="str">
        <f t="shared" si="6"/>
        <v/>
      </c>
      <c r="AR164" s="21" t="str">
        <f>IF(AR148&lt;&gt;"",IF(C136=AR148,G138,IF(C138=AR148,G138,IF(C144=AR148,G146,IF(C146=AR148,G146,IF(C166=AR148,G168,IF(C168=AR148,G168,IF(C174=AR148,G176,IF(C176=AR148,G176,IF(C152=AR148,G154,IF(C154=AR148,G154,IF(C160=AR148,G162,IF(C162=AR148,G162,IF(C182=AR148,G184,IF(C184=AR148,G184,IF(C190=AR148,G192,IF(C192=AR148,G192,IF(AK136=AR148,AI138,IF(AK138=AR148,AI138,IF(AK144=AR148,AI146,IF(AK146=AR148,AI146,IF(AK166=AR148,AI168,IF(AK168=AR148,AI168,IF(AK174=AR148,AI176,IF(AK176=AR148,AI176,IF(AK152=AR148,AI154,IF(AK154=AR148,AI154,IF(AK160=AR148,AI162,IF(AK162=AR148,AI162,IF(AK182=AR148,AI184,IF(AK184=AR148,AI184,IF(AK190=AR148,AI192,IF(AK192=AR148,AI192)))))))))))))))))))))))))))))))),"")</f>
        <v/>
      </c>
      <c r="AS164" s="15" t="str">
        <f>IFERROR(IF(AR164="","",VLOOKUP(AR164,LISTAS!$F$5:$G$1004,2,0)),"0")</f>
        <v/>
      </c>
      <c r="AT164" s="15" t="str">
        <f t="shared" si="7"/>
        <v/>
      </c>
      <c r="AU164" s="15" t="str">
        <f t="shared" si="8"/>
        <v/>
      </c>
    </row>
    <row r="165" spans="2:47" ht="18" customHeight="1" thickBot="1" x14ac:dyDescent="0.3">
      <c r="B165" s="16"/>
      <c r="C165" s="166"/>
      <c r="D165" s="11"/>
      <c r="E165" s="11"/>
      <c r="F165" s="11"/>
      <c r="G165" s="166"/>
      <c r="H165" s="11"/>
      <c r="I165" s="11"/>
      <c r="J165" s="11"/>
      <c r="K165" s="166"/>
      <c r="L165" s="11"/>
      <c r="M165" s="18"/>
      <c r="N165" s="19"/>
      <c r="O165" s="171" t="str">
        <f>IF(L178&lt;&gt;"",IF(L180&lt;&gt;"",IF(L178=L180,"",IF(L178&gt;L180,K178,K180)),""),"")</f>
        <v>MARIANA MANSO DA SILVA</v>
      </c>
      <c r="P165" s="234">
        <v>0</v>
      </c>
      <c r="Q165" s="72"/>
      <c r="R165" s="172" t="str">
        <f>IFERROR(IF(R164="","",VLOOKUP(R164,LISTAS!$F$5:$G$1004,2,0)),"0")</f>
        <v>COLÉGIO ATENEU</v>
      </c>
      <c r="S165" s="235"/>
      <c r="T165" s="237"/>
      <c r="U165" s="235"/>
      <c r="V165" s="172" t="str">
        <f>IFERROR(IF(V164="","",VLOOKUP(V164,LISTAS!$F$5:$G$1004,2,0)),"0")</f>
        <v>LICEU JARDIM</v>
      </c>
      <c r="W165" s="66"/>
      <c r="X165" s="234">
        <v>0</v>
      </c>
      <c r="Y165" s="171" t="str">
        <f>IF(AB178&lt;&gt;"",IF(AB180&lt;&gt;"",IF(AB178=AB180,"",IF(AB178&gt;AB180,AC178,AC180)),""),"")</f>
        <v>LORENA VALENTINUCI</v>
      </c>
      <c r="Z165" s="66"/>
      <c r="AA165" s="8"/>
      <c r="AB165" s="11"/>
      <c r="AC165" s="182"/>
      <c r="AD165" s="8"/>
      <c r="AE165" s="8"/>
      <c r="AF165" s="8"/>
      <c r="AG165" s="182"/>
      <c r="AH165" s="8"/>
      <c r="AI165" s="8"/>
      <c r="AJ165" s="11"/>
      <c r="AK165" s="166"/>
      <c r="AL165" s="11"/>
      <c r="AP165" s="13" t="str">
        <f>IF(AR165&lt;&gt;"",1+COUNTIF(AP136:AP164,"1")+COUNTIF(AP136:AP164,"2")+COUNTIF(AP136:AP164,"3")+COUNTIF(AP136:AP164,"4")+COUNTIF(AP136:AP164,"5")+COUNTIF(AP136:AP164,"6")+COUNTIF(AP136:AP164,"7")+COUNTIF(AP136:AP164,"8")+COUNTIF(AP136:AP164,"9")+COUNTIF(AP136:AP164,"10")+COUNTIF(AP136:AP164,"11")+COUNTIF(AP136:AP164,"12")+COUNTIF(AP136:AP164,"13")+COUNTIF(AP136:AP164,"14")+COUNTIF(AP136:AP164,"15")+COUNTIF(AP136:AP164,"16")+COUNTIF(AP136:AP164,"17")+COUNTIF(AP136:AP164,"18")+COUNTIF(AP136:AP164,"19")+COUNTIF(AP136:AP164,"20")+COUNTIF(AP136:AP164,"21")+COUNTIF(AP136:AP164,"22")+COUNTIF(AP136:AP164,"23")+COUNTIF(AP136:AP164,"24")+COUNTIF(AP136:AP164,"25")+COUNTIF(AP136:AP164,"26")+COUNTIF(AP136:AP164,"27")+COUNTIF(AP136:AP164,"28")+COUNTIF(AP136:AP164,"29"),"")</f>
        <v/>
      </c>
      <c r="AQ165" s="14" t="str">
        <f t="shared" si="6"/>
        <v/>
      </c>
      <c r="AR165" s="21" t="str">
        <f>IF(AR149&lt;&gt;"",IF(C136=AR149,G138,IF(C138=AR149,G138,IF(C144=AR149,G146,IF(C146=AR149,G146,IF(C166=AR149,G168,IF(C168=AR149,G168,IF(C174=AR149,G176,IF(C176=AR149,G176,IF(C152=AR149,G154,IF(C154=AR149,G154,IF(C160=AR149,G162,IF(C162=AR149,G162,IF(C182=AR149,G184,IF(C184=AR149,G184,IF(C190=AR149,G192,IF(C192=AR149,G192,IF(AK136=AR149,AI138,IF(AK138=AR149,AI138,IF(AK144=AR149,AI146,IF(AK146=AR149,AI146,IF(AK166=AR149,AI168,IF(AK168=AR149,AI168,IF(AK174=AR149,AI176,IF(AK176=AR149,AI176,IF(AK152=AR149,AI154,IF(AK154=AR149,AI154,IF(AK160=AR149,AI162,IF(AK162=AR149,AI162,IF(AK182=AR149,AI184,IF(AK184=AR149,AI184,IF(AK190=AR149,AI192,IF(AK192=AR149,AI192)))))))))))))))))))))))))))))))),"")</f>
        <v/>
      </c>
      <c r="AS165" s="15" t="str">
        <f>IFERROR(IF(AR165="","",VLOOKUP(AR165,LISTAS!$F$5:$G$1004,2,0)),"0")</f>
        <v/>
      </c>
      <c r="AT165" s="15" t="str">
        <f t="shared" si="7"/>
        <v/>
      </c>
      <c r="AU165" s="15" t="str">
        <f t="shared" si="8"/>
        <v/>
      </c>
    </row>
    <row r="166" spans="2:47" ht="18" customHeight="1" thickBot="1" x14ac:dyDescent="0.3">
      <c r="B166" s="16">
        <v>5</v>
      </c>
      <c r="C166" s="171" t="str">
        <f>IF('15F GRP'!G5&gt;=3,'15F GRP'!J75,IF('15F GRP'!G5=2,"",IF('15F GRP'!G5=1,"","")))</f>
        <v>MARIANA MANSO DA SILVA</v>
      </c>
      <c r="D166" s="234">
        <v>2</v>
      </c>
      <c r="E166" s="51">
        <f>IF(D166&lt;&gt;"",D166,"")</f>
        <v>2</v>
      </c>
      <c r="F166" s="51" t="str">
        <f>IF(D166&lt;&gt;"",IF(C166="","",C166),"")</f>
        <v>MARIANA MANSO DA SILVA</v>
      </c>
      <c r="G166" s="176">
        <f>IF(E166&lt;&gt;"",IF(E168&lt;&gt;"",SMALL(E166:E168,1),""),"")</f>
        <v>0</v>
      </c>
      <c r="H166" s="51"/>
      <c r="I166" s="51"/>
      <c r="J166" s="11"/>
      <c r="K166" s="166"/>
      <c r="L166" s="11"/>
      <c r="M166" s="18"/>
      <c r="N166" s="8"/>
      <c r="O166" s="172" t="str">
        <f>IFERROR(IF(O165="","",VLOOKUP(O165,LISTAS!$F$5:$G$1004,2,0)),"0")</f>
        <v>COLÉGIO SÃO MAURO</v>
      </c>
      <c r="P166" s="235"/>
      <c r="Q166" s="60"/>
      <c r="R166" s="182"/>
      <c r="S166" s="8"/>
      <c r="T166" s="8"/>
      <c r="U166" s="8"/>
      <c r="V166" s="182"/>
      <c r="W166" s="8"/>
      <c r="X166" s="235"/>
      <c r="Y166" s="172" t="str">
        <f>IFERROR(IF(Y165="","",VLOOKUP(Y165,LISTAS!$F$5:$G$1004,2,0)),"0")</f>
        <v>COLÉGIO ARBOS - UNIDADE SANTO ANDRÉ</v>
      </c>
      <c r="Z166" s="65"/>
      <c r="AA166" s="8"/>
      <c r="AB166" s="11"/>
      <c r="AC166" s="182"/>
      <c r="AD166" s="8"/>
      <c r="AE166" s="8"/>
      <c r="AF166" s="8"/>
      <c r="AG166" s="181">
        <f>IF(AJ166&lt;&gt;"",AJ166,"")</f>
        <v>0</v>
      </c>
      <c r="AH166" s="78" t="str">
        <f>IF(AJ166&lt;&gt;"",IF(AK166="","",AK166),"")</f>
        <v/>
      </c>
      <c r="AI166" s="51">
        <f>IF(AG166&lt;&gt;"",IF(AG168&lt;&gt;"",SMALL(AG166:AG168,1),""),"")</f>
        <v>0</v>
      </c>
      <c r="AJ166" s="234">
        <v>0</v>
      </c>
      <c r="AK166" s="171" t="str">
        <f>IF('15F GRP'!G5&gt;=3,'15F GRP'!J101,IF('15F GRP'!G5=2,"",IF('15F GRP'!G5=1,"","")))</f>
        <v/>
      </c>
      <c r="AL166" s="11">
        <v>7</v>
      </c>
      <c r="AP166" s="13" t="str">
        <f>IF(AR166&lt;&gt;"",1+COUNTIF(AP136:AP165,"1")+COUNTIF(AP136:AP165,"2")+COUNTIF(AP136:AP165,"3")+COUNTIF(AP136:AP165,"4")+COUNTIF(AP136:AP165,"5")+COUNTIF(AP136:AP165,"6")+COUNTIF(AP136:AP165,"7")+COUNTIF(AP136:AP165,"8")+COUNTIF(AP136:AP165,"9")+COUNTIF(AP136:AP165,"10")+COUNTIF(AP136:AP165,"11")+COUNTIF(AP136:AP165,"12")+COUNTIF(AP136:AP165,"13")+COUNTIF(AP136:AP165,"14")+COUNTIF(AP136:AP165,"15")+COUNTIF(AP136:AP165,"16")+COUNTIF(AP136:AP165,"17")+COUNTIF(AP136:AP165,"18")+COUNTIF(AP136:AP165,"19")+COUNTIF(AP136:AP165,"20")+COUNTIF(AP136:AP165,"21")+COUNTIF(AP136:AP165,"22")+COUNTIF(AP136:AP165,"23")+COUNTIF(AP136:AP165,"24")+COUNTIF(AP136:AP165,"25")+COUNTIF(AP136:AP165,"26")+COUNTIF(AP136:AP165,"27")+COUNTIF(AP136:AP165,"28")+COUNTIF(AP136:AP165,"29")+COUNTIF(AP136:AP165,"30"),"")</f>
        <v/>
      </c>
      <c r="AQ166" s="14" t="str">
        <f t="shared" si="6"/>
        <v/>
      </c>
      <c r="AR166" s="21" t="str">
        <f>IF(AR150&lt;&gt;"",IF(C136=AR150,G138,IF(C138=AR150,G138,IF(C144=AR150,G146,IF(C146=AR150,G146,IF(C166=AR150,G168,IF(C168=AR150,G168,IF(C174=AR150,G176,IF(C176=AR150,G176,IF(C152=AR150,G154,IF(C154=AR150,G154,IF(C160=AR150,G162,IF(C162=AR150,G162,IF(C182=AR150,G184,IF(C184=AR150,G184,IF(C190=AR150,G192,IF(C192=AR150,G192,IF(AK136=AR150,AI138,IF(AK138=AR150,AI138,IF(AK144=AR150,AI146,IF(AK146=AR150,AI146,IF(AK166=AR150,AI168,IF(AK168=AR150,AI168,IF(AK174=AR150,AI176,IF(AK176=AR150,AI176,IF(AK152=AR150,AI154,IF(AK154=AR150,AI154,IF(AK160=AR150,AI162,IF(AK162=AR150,AI162,IF(AK182=AR150,AI184,IF(AK184=AR150,AI184,IF(AK190=AR150,AI192,IF(AK192=AR150,AI192)))))))))))))))))))))))))))))))),"")</f>
        <v/>
      </c>
      <c r="AS166" s="15" t="str">
        <f>IFERROR(IF(AR166="","",VLOOKUP(AR166,LISTAS!$F$5:$G$1004,2,0)),"0")</f>
        <v/>
      </c>
      <c r="AT166" s="15" t="str">
        <f t="shared" si="7"/>
        <v/>
      </c>
      <c r="AU166" s="15" t="str">
        <f t="shared" si="8"/>
        <v/>
      </c>
    </row>
    <row r="167" spans="2:47" ht="18" customHeight="1" thickBot="1" x14ac:dyDescent="0.3">
      <c r="B167" s="16"/>
      <c r="C167" s="172" t="str">
        <f>IFERROR(IF(C166="","",VLOOKUP(C166,LISTAS!$F$5:$G$1004,2,0)),"0")</f>
        <v>COLÉGIO SÃO MAURO</v>
      </c>
      <c r="D167" s="235"/>
      <c r="E167" s="51"/>
      <c r="F167" s="51"/>
      <c r="G167" s="176"/>
      <c r="H167" s="51"/>
      <c r="I167" s="51"/>
      <c r="J167" s="51"/>
      <c r="K167" s="176"/>
      <c r="L167" s="51"/>
      <c r="M167" s="54"/>
      <c r="N167" s="78"/>
      <c r="O167" s="181"/>
      <c r="P167" s="78"/>
      <c r="Q167" s="78"/>
      <c r="R167" s="182"/>
      <c r="S167" s="8"/>
      <c r="T167" s="8"/>
      <c r="U167" s="8"/>
      <c r="V167" s="182"/>
      <c r="W167" s="8"/>
      <c r="X167" s="62"/>
      <c r="Y167" s="182"/>
      <c r="Z167" s="65"/>
      <c r="AA167" s="8"/>
      <c r="AB167" s="11"/>
      <c r="AC167" s="182"/>
      <c r="AD167" s="8"/>
      <c r="AE167" s="8"/>
      <c r="AF167" s="8"/>
      <c r="AG167" s="181"/>
      <c r="AH167" s="78"/>
      <c r="AI167" s="51"/>
      <c r="AJ167" s="235"/>
      <c r="AK167" s="172" t="str">
        <f>IFERROR(IF(AK166="","",VLOOKUP(AK166,LISTAS!$F$5:$G$1004,2,0)),"0")</f>
        <v/>
      </c>
      <c r="AL167" s="11"/>
      <c r="AP167" s="13" t="str">
        <f>IF(AR167&lt;&gt;"",1+COUNTIF(AP136:AP166,"1")+COUNTIF(AP136:AP166,"2")+COUNTIF(AP136:AP166,"3")+COUNTIF(AP136:AP166,"4")+COUNTIF(AP136:AP166,"5")+COUNTIF(AP136:AP166,"6")+COUNTIF(AP136:AP166,"7")+COUNTIF(AP136:AP166,"8")+COUNTIF(AP136:AP166,"9")+COUNTIF(AP136:AP166,"10")+COUNTIF(AP136:AP166,"11")+COUNTIF(AP136:AP166,"12")+COUNTIF(AP136:AP166,"13")+COUNTIF(AP136:AP166,"14")+COUNTIF(AP136:AP166,"15")+COUNTIF(AP136:AP166,"16")+COUNTIF(AP136:AP166,"17")+COUNTIF(AP136:AP166,"18")+COUNTIF(AP136:AP166,"19")+COUNTIF(AP136:AP166,"20")+COUNTIF(AP136:AP166,"21")+COUNTIF(AP136:AP166,"22")+COUNTIF(AP136:AP166,"23")+COUNTIF(AP136:AP166,"24")+COUNTIF(AP136:AP166,"25")+COUNTIF(AP136:AP166,"26")+COUNTIF(AP136:AP166,"27")+COUNTIF(AP136:AP166,"28")+COUNTIF(AP136:AP166,"29")+COUNTIF(AP136:AP166,"30")+COUNTIF(AP136:AP166,"31"),"")</f>
        <v/>
      </c>
      <c r="AQ167" s="14" t="str">
        <f t="shared" si="6"/>
        <v/>
      </c>
      <c r="AR167" s="21" t="str">
        <f>IF(AR151&lt;&gt;"",IF(C136=AR151,G138,IF(C138=AR151,G138,IF(C144=AR151,G146,IF(C146=AR151,G146,IF(C166=AR151,G168,IF(C168=AR151,G168,IF(C174=AR151,G176,IF(C176=AR151,G176,IF(C152=AR151,G154,IF(C154=AR151,G154,IF(C160=AR151,G162,IF(C162=AR151,G162,IF(C182=AR151,G184,IF(C184=AR151,G184,IF(C190=AR151,G192,IF(C192=AR151,G192,IF(AK136=AR151,AI138,IF(AK138=AR151,AI138,IF(AK144=AR151,AI146,IF(AK146=AR151,AI146,IF(AK166=AR151,AI168,IF(AK168=AR151,AI168,IF(AK174=AR151,AI176,IF(AK176=AR151,AI176,IF(AK152=AR151,AI154,IF(AK154=AR151,AI154,IF(AK160=AR151,AI162,IF(AK162=AR151,AI162,IF(AK182=AR151,AI184,IF(AK184=AR151,AI184,IF(AK190=AR151,AI192,IF(AK192=AR151,AI192)))))))))))))))))))))))))))))))),"")</f>
        <v/>
      </c>
      <c r="AS167" s="15" t="str">
        <f>IFERROR(IF(AR167="","",VLOOKUP(AR167,LISTAS!$F$5:$G$1004,2,0)),"0")</f>
        <v/>
      </c>
      <c r="AT167" s="15" t="str">
        <f>IF(AP167="","",IF(AP167=1,100,IF(AP167=2,80,IF(AP167=3,70,IF(AP167=4,50,IF(AP167=5,45,IF(AP167=6,40,IF(AP167=7,35,IF(AP167=8,30,IF(AP167=9,28,IF(AP167=10,28,IF(AP167=11,28,IF(AP167=12,28,IF(AP167=13,28,IF(AP167=14,28,IF(AP167=15,28,IF(AP167=16,28,IF(AP167&gt;16,"",""))))))))))))))))))</f>
        <v/>
      </c>
      <c r="AU167" s="15" t="str">
        <f>IF(AP167="","",IF($AS$5="NÃO","",IF(AP167=1,100,IF(AP167=2,80,IF(AP167=3,70,IF(AP167=4,50,IF(AP167=5,45,IF(AP167=6,40,IF(AP167=7,35,IF(AP167=8,30,IF(AP167=9,28,IF(AP167=10,28,IF(AP167=11,28,IF(AP167=12,28,IF(AP167=13,28,IF(AP167=14,28,IF(AP167=15,28,IF(AP167=16,28,IF(AP167&gt;16,"","")))))))))))))))))))</f>
        <v/>
      </c>
    </row>
    <row r="168" spans="2:47" ht="18" customHeight="1" x14ac:dyDescent="0.25">
      <c r="B168" s="16">
        <v>28</v>
      </c>
      <c r="C168" s="171" t="str">
        <f>IF('15F GRP'!G5&gt;=3,'15F GRP'!J374,IF('15F GRP'!G5=2,"",IF('15F GRP'!G5=1,"","")))</f>
        <v/>
      </c>
      <c r="D168" s="234">
        <v>0</v>
      </c>
      <c r="E168" s="52">
        <f>IF(D168&lt;&gt;"",D168,"")</f>
        <v>0</v>
      </c>
      <c r="F168" s="51" t="str">
        <f>IF(D168&lt;&gt;"",IF(C168="","",C168),"")</f>
        <v/>
      </c>
      <c r="G168" s="176" t="str">
        <f>VLOOKUP(G166,E166:F168,2,0)</f>
        <v/>
      </c>
      <c r="H168" s="51"/>
      <c r="I168" s="51"/>
      <c r="J168" s="51"/>
      <c r="K168" s="176"/>
      <c r="L168" s="51"/>
      <c r="M168" s="54"/>
      <c r="N168" s="51">
        <f>IF(P163&lt;&gt;"",P163,"")</f>
        <v>1</v>
      </c>
      <c r="O168" s="176" t="str">
        <f>IF(P163&lt;&gt;"",O163,"")</f>
        <v>BRUNA FERNANDES LOPES</v>
      </c>
      <c r="P168" s="51">
        <f>IF(N168&lt;&gt;"",IF(N170&lt;&gt;"",LARGE(N168:N170,1),""),"")</f>
        <v>1</v>
      </c>
      <c r="Q168" s="78"/>
      <c r="R168" s="182"/>
      <c r="S168" s="8"/>
      <c r="T168" s="8"/>
      <c r="U168" s="8"/>
      <c r="V168" s="182"/>
      <c r="W168" s="8"/>
      <c r="X168" s="62"/>
      <c r="Y168" s="182"/>
      <c r="Z168" s="65"/>
      <c r="AA168" s="8"/>
      <c r="AB168" s="11"/>
      <c r="AC168" s="182"/>
      <c r="AD168" s="8"/>
      <c r="AE168" s="8"/>
      <c r="AF168" s="8"/>
      <c r="AG168" s="181">
        <f>IF(AJ168&lt;&gt;"",AJ168,"")</f>
        <v>0</v>
      </c>
      <c r="AH168" s="78" t="str">
        <f>IF(AJ168&lt;&gt;"",IF(AK168="","",AK168),"")</f>
        <v/>
      </c>
      <c r="AI168" s="55" t="str">
        <f>VLOOKUP(AI166,AG166:AH168,2,0)</f>
        <v/>
      </c>
      <c r="AJ168" s="234">
        <v>0</v>
      </c>
      <c r="AK168" s="171" t="str">
        <f>IF('15F GRP'!G5&gt;=3,'15F GRP'!J348,IF('15F GRP'!G5=2,"",IF('15F GRP'!G5=1,"","")))</f>
        <v/>
      </c>
      <c r="AL168" s="11">
        <v>26</v>
      </c>
    </row>
    <row r="169" spans="2:47" ht="18" customHeight="1" thickBot="1" x14ac:dyDescent="0.3">
      <c r="B169" s="16"/>
      <c r="C169" s="172" t="str">
        <f>IFERROR(IF(C168="","",VLOOKUP(C168,LISTAS!$F$5:$G$1004,2,0)),"0")</f>
        <v/>
      </c>
      <c r="D169" s="235"/>
      <c r="E169" s="128"/>
      <c r="F169" s="51"/>
      <c r="G169" s="176"/>
      <c r="H169" s="51"/>
      <c r="I169" s="51"/>
      <c r="J169" s="51"/>
      <c r="K169" s="176"/>
      <c r="L169" s="51"/>
      <c r="M169" s="54"/>
      <c r="N169" s="51"/>
      <c r="O169" s="176"/>
      <c r="P169" s="51"/>
      <c r="Q169" s="78"/>
      <c r="R169" s="182"/>
      <c r="S169" s="8"/>
      <c r="T169" s="8"/>
      <c r="U169" s="8"/>
      <c r="V169" s="182"/>
      <c r="W169" s="8"/>
      <c r="X169" s="62"/>
      <c r="Y169" s="182"/>
      <c r="Z169" s="65"/>
      <c r="AA169" s="8"/>
      <c r="AB169" s="11"/>
      <c r="AC169" s="182"/>
      <c r="AD169" s="8"/>
      <c r="AE169" s="8"/>
      <c r="AF169" s="8"/>
      <c r="AG169" s="181"/>
      <c r="AH169" s="78"/>
      <c r="AI169" s="123"/>
      <c r="AJ169" s="235"/>
      <c r="AK169" s="172" t="str">
        <f>IFERROR(IF(AK168="","",VLOOKUP(AK168,LISTAS!$F$5:$G$1004,2,0)),"0")</f>
        <v/>
      </c>
      <c r="AL169" s="11"/>
    </row>
    <row r="170" spans="2:47" ht="18" customHeight="1" x14ac:dyDescent="0.25">
      <c r="B170" s="16"/>
      <c r="C170" s="166"/>
      <c r="D170" s="11"/>
      <c r="E170" s="11"/>
      <c r="F170" s="17"/>
      <c r="G170" s="171" t="str">
        <f>IF(D166&lt;&gt;"",IF(D168&lt;&gt;"",IF(D166=D168,"",IF(D166&gt;D168,C166,C168)),""),"")</f>
        <v>MARIANA MANSO DA SILVA</v>
      </c>
      <c r="H170" s="234">
        <v>2</v>
      </c>
      <c r="I170" s="51">
        <f>IF(H170&lt;&gt;"",H170,"")</f>
        <v>2</v>
      </c>
      <c r="J170" s="51" t="str">
        <f>IF(H170&lt;&gt;"",IF(G170="","",G170),"")</f>
        <v>MARIANA MANSO DA SILVA</v>
      </c>
      <c r="K170" s="176">
        <f>IF(I170&lt;&gt;"",IF(I172&lt;&gt;"",SMALL(I170:J172,1),""),"")</f>
        <v>0</v>
      </c>
      <c r="L170" s="51"/>
      <c r="M170" s="54"/>
      <c r="N170" s="51">
        <f>IF(P165&lt;&gt;"",P165,"")</f>
        <v>0</v>
      </c>
      <c r="O170" s="176" t="str">
        <f>IF(P165&lt;&gt;"",O165,"")</f>
        <v>MARIANA MANSO DA SILVA</v>
      </c>
      <c r="P170" s="51" t="str">
        <f>VLOOKUP(P168,N168:O170,2,0)</f>
        <v>BRUNA FERNANDES LOPES</v>
      </c>
      <c r="Q170" s="78"/>
      <c r="R170" s="182"/>
      <c r="S170" s="8"/>
      <c r="T170" s="8"/>
      <c r="U170" s="8"/>
      <c r="V170" s="182"/>
      <c r="W170" s="8"/>
      <c r="X170" s="62"/>
      <c r="Y170" s="182"/>
      <c r="Z170" s="65"/>
      <c r="AA170" s="8"/>
      <c r="AB170" s="11"/>
      <c r="AC170" s="182"/>
      <c r="AD170" s="8"/>
      <c r="AE170" s="67"/>
      <c r="AF170" s="234">
        <v>0</v>
      </c>
      <c r="AG170" s="171" t="str">
        <f>IF(AJ166&lt;&gt;"",IF(AJ168&lt;&gt;"",IF(AJ166=AJ168,"",IF(AJ166&gt;AJ168,AK166,AK168)),""),"")</f>
        <v/>
      </c>
      <c r="AH170" s="65"/>
      <c r="AI170" s="8"/>
      <c r="AJ170" s="11"/>
      <c r="AK170" s="166"/>
      <c r="AL170" s="11"/>
      <c r="AP170" s="2"/>
      <c r="AQ170" s="2"/>
      <c r="AR170" s="2"/>
      <c r="AS170" s="2"/>
      <c r="AT170" s="2"/>
      <c r="AU170" s="2"/>
    </row>
    <row r="171" spans="2:47" ht="18" customHeight="1" thickBot="1" x14ac:dyDescent="0.3">
      <c r="B171" s="16"/>
      <c r="C171" s="166"/>
      <c r="D171" s="11"/>
      <c r="E171" s="11"/>
      <c r="F171" s="17"/>
      <c r="G171" s="172" t="str">
        <f>IFERROR(IF(G170="","",VLOOKUP(G170,LISTAS!$F$5:$G$1004,2,0)),"0")</f>
        <v>COLÉGIO SÃO MAURO</v>
      </c>
      <c r="H171" s="235"/>
      <c r="I171" s="51"/>
      <c r="J171" s="51"/>
      <c r="K171" s="176"/>
      <c r="L171" s="51"/>
      <c r="M171" s="54"/>
      <c r="N171" s="51"/>
      <c r="O171" s="176"/>
      <c r="P171" s="51"/>
      <c r="Q171" s="78"/>
      <c r="R171" s="182"/>
      <c r="S171" s="8"/>
      <c r="T171" s="8"/>
      <c r="U171" s="8"/>
      <c r="V171" s="182"/>
      <c r="W171" s="8"/>
      <c r="X171" s="62"/>
      <c r="Y171" s="182"/>
      <c r="Z171" s="65"/>
      <c r="AA171" s="8"/>
      <c r="AB171" s="11"/>
      <c r="AC171" s="182"/>
      <c r="AD171" s="8"/>
      <c r="AE171" s="67"/>
      <c r="AF171" s="235"/>
      <c r="AG171" s="172" t="str">
        <f>IFERROR(IF(AG170="","",VLOOKUP(AG170,LISTAS!$F$5:$G$1004,2,0)),"0")</f>
        <v/>
      </c>
      <c r="AH171" s="65"/>
      <c r="AI171" s="8"/>
      <c r="AJ171" s="11"/>
      <c r="AK171" s="166"/>
      <c r="AL171" s="11"/>
      <c r="AP171" s="2"/>
      <c r="AQ171" s="2"/>
      <c r="AR171" s="2"/>
      <c r="AS171" s="2"/>
      <c r="AT171" s="2"/>
      <c r="AU171" s="2"/>
    </row>
    <row r="172" spans="2:47" ht="18" customHeight="1" x14ac:dyDescent="0.25">
      <c r="B172" s="16"/>
      <c r="C172" s="166"/>
      <c r="D172" s="11"/>
      <c r="E172" s="18"/>
      <c r="F172" s="19"/>
      <c r="G172" s="171" t="str">
        <f>IF(D174&lt;&gt;"",IF(D176&lt;&gt;"",IF(D174=D176,"",IF(D174&gt;D176,C174,C176)),""),"")</f>
        <v/>
      </c>
      <c r="H172" s="234">
        <v>0</v>
      </c>
      <c r="I172" s="52">
        <f>IF(H172&lt;&gt;"",H172,"")</f>
        <v>0</v>
      </c>
      <c r="J172" s="51" t="str">
        <f>IF(H172&lt;&gt;"",IF(G172="","",G172),"")</f>
        <v/>
      </c>
      <c r="K172" s="176" t="str">
        <f>VLOOKUP(K170,I170:J172,2,0)</f>
        <v/>
      </c>
      <c r="L172" s="51"/>
      <c r="M172" s="54"/>
      <c r="N172" s="51">
        <f>IF(P163&lt;&gt;"",P163,"")</f>
        <v>1</v>
      </c>
      <c r="O172" s="176" t="str">
        <f>IF(P163&lt;&gt;"",O163,"")</f>
        <v>BRUNA FERNANDES LOPES</v>
      </c>
      <c r="P172" s="51">
        <f>IF(N172&lt;&gt;"",IF(N174&lt;&gt;"",SMALL(N172:N174,1),""),"")</f>
        <v>0</v>
      </c>
      <c r="Q172" s="78"/>
      <c r="R172" s="182"/>
      <c r="S172" s="8"/>
      <c r="T172" s="8"/>
      <c r="U172" s="8"/>
      <c r="V172" s="182"/>
      <c r="W172" s="8"/>
      <c r="X172" s="62"/>
      <c r="Y172" s="182"/>
      <c r="Z172" s="65"/>
      <c r="AA172" s="8"/>
      <c r="AB172" s="11"/>
      <c r="AC172" s="182"/>
      <c r="AD172" s="65"/>
      <c r="AE172" s="68"/>
      <c r="AF172" s="234">
        <v>0</v>
      </c>
      <c r="AG172" s="171" t="str">
        <f>IF(AJ174&lt;&gt;"",IF(AJ176&lt;&gt;"",IF(AJ174=AJ176,"",IF(AJ174&gt;AJ176,AK174,AK176)),""),"")</f>
        <v/>
      </c>
      <c r="AH172" s="66"/>
      <c r="AI172" s="8"/>
      <c r="AJ172" s="11"/>
      <c r="AK172" s="166"/>
      <c r="AL172" s="11"/>
    </row>
    <row r="173" spans="2:47" ht="18" customHeight="1" thickBot="1" x14ac:dyDescent="0.3">
      <c r="B173" s="16"/>
      <c r="C173" s="166"/>
      <c r="D173" s="11"/>
      <c r="E173" s="18"/>
      <c r="F173" s="11"/>
      <c r="G173" s="172" t="str">
        <f>IFERROR(IF(G172="","",VLOOKUP(G172,LISTAS!$F$5:$G$1004,2,0)),"0")</f>
        <v/>
      </c>
      <c r="H173" s="235"/>
      <c r="I173" s="54"/>
      <c r="J173" s="51"/>
      <c r="K173" s="176"/>
      <c r="L173" s="51"/>
      <c r="M173" s="54"/>
      <c r="N173" s="51"/>
      <c r="O173" s="176"/>
      <c r="P173" s="51"/>
      <c r="Q173" s="78"/>
      <c r="R173" s="182"/>
      <c r="S173" s="8"/>
      <c r="T173" s="8"/>
      <c r="U173" s="8"/>
      <c r="V173" s="182"/>
      <c r="W173" s="8"/>
      <c r="X173" s="62"/>
      <c r="Y173" s="182"/>
      <c r="Z173" s="8"/>
      <c r="AA173" s="69"/>
      <c r="AB173" s="11"/>
      <c r="AC173" s="182"/>
      <c r="AD173" s="65"/>
      <c r="AE173" s="8"/>
      <c r="AF173" s="235"/>
      <c r="AG173" s="172" t="str">
        <f>IFERROR(IF(AG172="","",VLOOKUP(AG172,LISTAS!$F$5:$G$1004,2,0)),"0")</f>
        <v/>
      </c>
      <c r="AH173" s="8"/>
      <c r="AI173" s="69"/>
      <c r="AJ173" s="11"/>
      <c r="AK173" s="166"/>
      <c r="AL173" s="11"/>
    </row>
    <row r="174" spans="2:47" ht="18" customHeight="1" x14ac:dyDescent="0.25">
      <c r="B174" s="16">
        <v>12</v>
      </c>
      <c r="C174" s="171" t="str">
        <f>IF('15F GRP'!G5&gt;=3,'15F GRP'!J166,IF('15F GRP'!G5=2,"",IF('15F GRP'!G5=1,"","")))</f>
        <v/>
      </c>
      <c r="D174" s="234">
        <v>0</v>
      </c>
      <c r="E174" s="56">
        <f>IF(D174&lt;&gt;"",D174,"")</f>
        <v>0</v>
      </c>
      <c r="F174" s="51" t="str">
        <f>IF(D174&lt;&gt;"",IF(C174="","",C174),"")</f>
        <v/>
      </c>
      <c r="G174" s="176">
        <f>IF(E174&lt;&gt;"",IF(E176&lt;&gt;"",SMALL(E174:E176,1),""),"")</f>
        <v>0</v>
      </c>
      <c r="H174" s="51"/>
      <c r="I174" s="54"/>
      <c r="J174" s="51"/>
      <c r="K174" s="176"/>
      <c r="L174" s="51"/>
      <c r="M174" s="54"/>
      <c r="N174" s="51">
        <f>IF(P165&lt;&gt;"",P165,"")</f>
        <v>0</v>
      </c>
      <c r="O174" s="176" t="str">
        <f>IF(P165&lt;&gt;"",O165,"")</f>
        <v>MARIANA MANSO DA SILVA</v>
      </c>
      <c r="P174" s="51" t="str">
        <f>VLOOKUP(P172,N172:O174,2,0)</f>
        <v>MARIANA MANSO DA SILVA</v>
      </c>
      <c r="Q174" s="78"/>
      <c r="R174" s="182"/>
      <c r="S174" s="8"/>
      <c r="T174" s="8"/>
      <c r="U174" s="8"/>
      <c r="V174" s="182"/>
      <c r="W174" s="8"/>
      <c r="X174" s="62"/>
      <c r="Y174" s="182"/>
      <c r="Z174" s="8"/>
      <c r="AA174" s="69"/>
      <c r="AB174" s="11"/>
      <c r="AC174" s="182"/>
      <c r="AD174" s="65"/>
      <c r="AE174" s="8"/>
      <c r="AF174" s="8"/>
      <c r="AG174" s="181">
        <f>IF(AJ174&lt;&gt;"",AJ174,"")</f>
        <v>0</v>
      </c>
      <c r="AH174" s="78" t="str">
        <f>IF(AJ174&lt;&gt;"",IF(AK174="","",AK174),"")</f>
        <v/>
      </c>
      <c r="AI174" s="53">
        <f>IF(AG174&lt;&gt;"",IF(AG176&lt;&gt;"",SMALL(AG174:AG176,1),""),"")</f>
        <v>0</v>
      </c>
      <c r="AJ174" s="234">
        <v>0</v>
      </c>
      <c r="AK174" s="171" t="str">
        <f>IF('15F GRP'!G5&gt;=3,'15F GRP'!J140,IF('15F GRP'!G5=2,"",IF('15F GRP'!G5=1,"","")))</f>
        <v/>
      </c>
      <c r="AL174" s="11">
        <v>10</v>
      </c>
    </row>
    <row r="175" spans="2:47" ht="18" customHeight="1" thickBot="1" x14ac:dyDescent="0.3">
      <c r="B175" s="16"/>
      <c r="C175" s="172" t="str">
        <f>IFERROR(IF(C174="","",VLOOKUP(C174,LISTAS!$F$5:$G$1004,2,0)),"0")</f>
        <v/>
      </c>
      <c r="D175" s="235"/>
      <c r="E175" s="57"/>
      <c r="F175" s="51"/>
      <c r="G175" s="176"/>
      <c r="H175" s="51"/>
      <c r="I175" s="54"/>
      <c r="J175" s="51"/>
      <c r="K175" s="176"/>
      <c r="L175" s="51"/>
      <c r="M175" s="54"/>
      <c r="N175" s="51"/>
      <c r="O175" s="176"/>
      <c r="P175" s="51"/>
      <c r="Q175" s="78"/>
      <c r="R175" s="182"/>
      <c r="S175" s="8"/>
      <c r="T175" s="8"/>
      <c r="U175" s="8"/>
      <c r="V175" s="182"/>
      <c r="W175" s="8"/>
      <c r="X175" s="62"/>
      <c r="Y175" s="182"/>
      <c r="Z175" s="8"/>
      <c r="AA175" s="69"/>
      <c r="AB175" s="11"/>
      <c r="AC175" s="182"/>
      <c r="AD175" s="65"/>
      <c r="AE175" s="8"/>
      <c r="AF175" s="8"/>
      <c r="AG175" s="181"/>
      <c r="AH175" s="78"/>
      <c r="AI175" s="124"/>
      <c r="AJ175" s="235"/>
      <c r="AK175" s="172" t="str">
        <f>IFERROR(IF(AK174="","",VLOOKUP(AK174,LISTAS!$F$5:$G$1004,2,0)),"0")</f>
        <v/>
      </c>
      <c r="AL175" s="11"/>
    </row>
    <row r="176" spans="2:47" ht="18" customHeight="1" x14ac:dyDescent="0.25">
      <c r="B176" s="16">
        <v>21</v>
      </c>
      <c r="C176" s="171" t="str">
        <f>IF('15F GRP'!G5&gt;=3,'15F GRP'!J283,IF('15F GRP'!G5=2,"",IF('15F GRP'!G5=1,"","")))</f>
        <v/>
      </c>
      <c r="D176" s="234">
        <v>0</v>
      </c>
      <c r="E176" s="57">
        <f>IF(D176&lt;&gt;"",D176,"")</f>
        <v>0</v>
      </c>
      <c r="F176" s="51" t="str">
        <f>IF(D176&lt;&gt;"",IF(C176="","",C176),"")</f>
        <v/>
      </c>
      <c r="G176" s="176" t="str">
        <f>VLOOKUP(G174,E174:F176,2,0)</f>
        <v/>
      </c>
      <c r="H176" s="51"/>
      <c r="I176" s="54"/>
      <c r="J176" s="51"/>
      <c r="K176" s="176"/>
      <c r="L176" s="51"/>
      <c r="M176" s="54"/>
      <c r="N176" s="51"/>
      <c r="O176" s="176"/>
      <c r="P176" s="51"/>
      <c r="Q176" s="78"/>
      <c r="R176" s="182"/>
      <c r="S176" s="8"/>
      <c r="T176" s="8"/>
      <c r="U176" s="8"/>
      <c r="V176" s="182"/>
      <c r="W176" s="8"/>
      <c r="X176" s="62"/>
      <c r="Y176" s="182"/>
      <c r="Z176" s="8"/>
      <c r="AA176" s="69"/>
      <c r="AB176" s="11"/>
      <c r="AC176" s="182"/>
      <c r="AD176" s="65"/>
      <c r="AE176" s="8"/>
      <c r="AF176" s="8"/>
      <c r="AG176" s="181">
        <f>IF(AJ176&lt;&gt;"",AJ176,"")</f>
        <v>0</v>
      </c>
      <c r="AH176" s="78" t="str">
        <f>IF(AJ176&lt;&gt;"",IF(AK176="","",AK176),"")</f>
        <v/>
      </c>
      <c r="AI176" s="125" t="str">
        <f>VLOOKUP(AI174,AG174:AH176,2,0)</f>
        <v/>
      </c>
      <c r="AJ176" s="234">
        <v>0</v>
      </c>
      <c r="AK176" s="171" t="str">
        <f>IF('15F GRP'!G5&gt;=3,'15F GRP'!J309,IF('15F GRP'!G5=2,"",IF('15F GRP'!G5=1,"","")))</f>
        <v/>
      </c>
      <c r="AL176" s="11">
        <v>23</v>
      </c>
    </row>
    <row r="177" spans="2:38" ht="18" customHeight="1" thickBot="1" x14ac:dyDescent="0.3">
      <c r="B177" s="16"/>
      <c r="C177" s="172" t="str">
        <f>IFERROR(IF(C176="","",VLOOKUP(C176,LISTAS!$F$5:$G$1004,2,0)),"0")</f>
        <v/>
      </c>
      <c r="D177" s="235"/>
      <c r="E177" s="51"/>
      <c r="F177" s="51"/>
      <c r="G177" s="176"/>
      <c r="H177" s="51"/>
      <c r="I177" s="54"/>
      <c r="J177" s="51"/>
      <c r="K177" s="176"/>
      <c r="L177" s="51"/>
      <c r="M177" s="54"/>
      <c r="N177" s="51"/>
      <c r="O177" s="176"/>
      <c r="P177" s="51"/>
      <c r="Q177" s="78"/>
      <c r="R177" s="182"/>
      <c r="S177" s="8"/>
      <c r="T177" s="8"/>
      <c r="U177" s="8"/>
      <c r="V177" s="182"/>
      <c r="W177" s="8"/>
      <c r="X177" s="62"/>
      <c r="Y177" s="182"/>
      <c r="Z177" s="8"/>
      <c r="AA177" s="69"/>
      <c r="AB177" s="11"/>
      <c r="AC177" s="182"/>
      <c r="AD177" s="65"/>
      <c r="AE177" s="8"/>
      <c r="AF177" s="8"/>
      <c r="AG177" s="181"/>
      <c r="AH177" s="78"/>
      <c r="AI177" s="51"/>
      <c r="AJ177" s="235"/>
      <c r="AK177" s="172" t="str">
        <f>IFERROR(IF(AK176="","",VLOOKUP(AK176,LISTAS!$F$5:$G$1004,2,0)),"0")</f>
        <v/>
      </c>
      <c r="AL177" s="11"/>
    </row>
    <row r="178" spans="2:38" ht="18" customHeight="1" x14ac:dyDescent="0.25">
      <c r="B178" s="16"/>
      <c r="C178" s="166"/>
      <c r="D178" s="11"/>
      <c r="E178" s="11"/>
      <c r="F178" s="11"/>
      <c r="G178" s="166"/>
      <c r="H178" s="11"/>
      <c r="I178" s="18"/>
      <c r="J178" s="11"/>
      <c r="K178" s="171" t="str">
        <f>IF(H170&lt;&gt;"",IF(H172&lt;&gt;"",IF(H170=H172,"",IF(H170&gt;H172,G170,G172)),""),"")</f>
        <v>MARIANA MANSO DA SILVA</v>
      </c>
      <c r="L178" s="234">
        <v>2</v>
      </c>
      <c r="M178" s="56">
        <v>2</v>
      </c>
      <c r="N178" s="51" t="str">
        <f>IF(L178&lt;&gt;"",IF(K178="","",K178),"")</f>
        <v>MARIANA MANSO DA SILVA</v>
      </c>
      <c r="O178" s="176">
        <f>IF(M178&lt;&gt;"",IF(M180&lt;&gt;"",SMALL(M178:N180,1),""),"")</f>
        <v>0</v>
      </c>
      <c r="P178" s="11"/>
      <c r="Q178" s="8"/>
      <c r="R178" s="182"/>
      <c r="S178" s="8"/>
      <c r="T178" s="8"/>
      <c r="U178" s="8"/>
      <c r="V178" s="182"/>
      <c r="W178" s="8"/>
      <c r="X178" s="62"/>
      <c r="Y178" s="182"/>
      <c r="Z178" s="8"/>
      <c r="AA178" s="70"/>
      <c r="AB178" s="234">
        <v>0</v>
      </c>
      <c r="AC178" s="171" t="str">
        <f>IF(AF170&lt;&gt;"",IF(AF172&lt;&gt;"",IF(AF170=AF172,"",IF(AF170&gt;AF172,AG170,AG172)),""),"")</f>
        <v/>
      </c>
      <c r="AD178" s="112"/>
      <c r="AE178" s="8"/>
      <c r="AF178" s="8"/>
      <c r="AG178" s="181"/>
      <c r="AH178" s="78"/>
      <c r="AI178" s="78"/>
      <c r="AJ178" s="11"/>
      <c r="AK178" s="166"/>
      <c r="AL178" s="11"/>
    </row>
    <row r="179" spans="2:38" ht="18" customHeight="1" thickBot="1" x14ac:dyDescent="0.3">
      <c r="B179" s="16"/>
      <c r="C179" s="166"/>
      <c r="D179" s="11"/>
      <c r="E179" s="11"/>
      <c r="F179" s="11"/>
      <c r="G179" s="166"/>
      <c r="H179" s="11"/>
      <c r="I179" s="18"/>
      <c r="J179" s="11"/>
      <c r="K179" s="172" t="str">
        <f>IFERROR(IF(K178="","",VLOOKUP(K178,LISTAS!$F$5:$G$1004,2,0)),"0")</f>
        <v>COLÉGIO SÃO MAURO</v>
      </c>
      <c r="L179" s="235"/>
      <c r="M179" s="57"/>
      <c r="N179" s="51"/>
      <c r="O179" s="176"/>
      <c r="P179" s="11"/>
      <c r="Q179" s="8"/>
      <c r="R179" s="182"/>
      <c r="S179" s="8"/>
      <c r="T179" s="8"/>
      <c r="U179" s="8"/>
      <c r="V179" s="182"/>
      <c r="W179" s="8"/>
      <c r="X179" s="62"/>
      <c r="Y179" s="182"/>
      <c r="Z179" s="8"/>
      <c r="AA179" s="8"/>
      <c r="AB179" s="235"/>
      <c r="AC179" s="172" t="str">
        <f>IFERROR(IF(AC178="","",VLOOKUP(AC178,LISTAS!$F$5:$G$1004,2,0)),"0")</f>
        <v/>
      </c>
      <c r="AD179" s="8"/>
      <c r="AE179" s="69"/>
      <c r="AF179" s="8"/>
      <c r="AG179" s="182"/>
      <c r="AH179" s="8"/>
      <c r="AI179" s="8"/>
      <c r="AJ179" s="11"/>
      <c r="AK179" s="166"/>
      <c r="AL179" s="11"/>
    </row>
    <row r="180" spans="2:38" ht="18" customHeight="1" x14ac:dyDescent="0.25">
      <c r="B180" s="16"/>
      <c r="C180" s="166"/>
      <c r="D180" s="11"/>
      <c r="E180" s="11"/>
      <c r="F180" s="11"/>
      <c r="G180" s="166"/>
      <c r="H180" s="11"/>
      <c r="I180" s="18"/>
      <c r="J180" s="19"/>
      <c r="K180" s="171" t="str">
        <f>IF(H186&lt;&gt;"",IF(H188&lt;&gt;"",IF(H186=H188,"",IF(H186&gt;H188,G186,G188)),""),"")</f>
        <v/>
      </c>
      <c r="L180" s="234">
        <v>0</v>
      </c>
      <c r="M180" s="57">
        <f>IF(L180&lt;&gt;"",L180,"")</f>
        <v>0</v>
      </c>
      <c r="N180" s="51" t="str">
        <f>IF(L180&lt;&gt;"",IF(K180="","",K180),"")</f>
        <v/>
      </c>
      <c r="O180" s="176" t="str">
        <f>VLOOKUP(O178,M178:N180,2,0)</f>
        <v/>
      </c>
      <c r="P180" s="11"/>
      <c r="Q180" s="8"/>
      <c r="R180" s="182"/>
      <c r="S180" s="8"/>
      <c r="T180" s="8"/>
      <c r="U180" s="8"/>
      <c r="V180" s="182"/>
      <c r="W180" s="8"/>
      <c r="X180" s="62"/>
      <c r="Y180" s="182"/>
      <c r="Z180" s="8"/>
      <c r="AA180" s="8"/>
      <c r="AB180" s="234">
        <v>2</v>
      </c>
      <c r="AC180" s="171" t="str">
        <f>IF(AF186&lt;&gt;"",IF(AF188&lt;&gt;"",IF(AF186=AF188,"",IF(AF186&gt;AF188,AG186,AG188)),""),"")</f>
        <v>LORENA VALENTINUCI</v>
      </c>
      <c r="AD180" s="8"/>
      <c r="AE180" s="69"/>
      <c r="AF180" s="8"/>
      <c r="AG180" s="182"/>
      <c r="AH180" s="8"/>
      <c r="AI180" s="8"/>
      <c r="AJ180" s="11"/>
      <c r="AK180" s="166"/>
      <c r="AL180" s="11"/>
    </row>
    <row r="181" spans="2:38" ht="18" customHeight="1" thickBot="1" x14ac:dyDescent="0.3">
      <c r="B181" s="16"/>
      <c r="C181" s="166"/>
      <c r="D181" s="11"/>
      <c r="E181" s="11"/>
      <c r="F181" s="11"/>
      <c r="G181" s="166"/>
      <c r="H181" s="11"/>
      <c r="I181" s="18"/>
      <c r="J181" s="11"/>
      <c r="K181" s="172" t="str">
        <f>IFERROR(IF(K180="","",VLOOKUP(K180,LISTAS!$F$5:$G$1004,2,0)),"0")</f>
        <v/>
      </c>
      <c r="L181" s="235"/>
      <c r="M181" s="51"/>
      <c r="N181" s="51"/>
      <c r="O181" s="176"/>
      <c r="P181" s="11"/>
      <c r="Q181" s="8"/>
      <c r="R181" s="182"/>
      <c r="S181" s="8"/>
      <c r="T181" s="8"/>
      <c r="U181" s="8"/>
      <c r="V181" s="182"/>
      <c r="W181" s="8"/>
      <c r="X181" s="62"/>
      <c r="Y181" s="182"/>
      <c r="Z181" s="8"/>
      <c r="AA181" s="8"/>
      <c r="AB181" s="235"/>
      <c r="AC181" s="172" t="str">
        <f>IFERROR(IF(AC180="","",VLOOKUP(AC180,LISTAS!$F$5:$G$1004,2,0)),"0")</f>
        <v>COLÉGIO ARBOS - UNIDADE SANTO ANDRÉ</v>
      </c>
      <c r="AD181" s="8"/>
      <c r="AE181" s="69"/>
      <c r="AF181" s="8"/>
      <c r="AG181" s="182"/>
      <c r="AH181" s="8"/>
      <c r="AI181" s="8"/>
      <c r="AJ181" s="11"/>
      <c r="AK181" s="166"/>
      <c r="AL181" s="11"/>
    </row>
    <row r="182" spans="2:38" ht="18" customHeight="1" x14ac:dyDescent="0.25">
      <c r="B182" s="16">
        <v>20</v>
      </c>
      <c r="C182" s="171" t="str">
        <f>IF('15F GRP'!G5&gt;=3,'15F GRP'!J270,IF('15F GRP'!G5=2,"",IF('15F GRP'!G5=1,"","")))</f>
        <v/>
      </c>
      <c r="D182" s="234">
        <v>0</v>
      </c>
      <c r="E182" s="51">
        <f>IF(D182&lt;&gt;"",D182,"")</f>
        <v>0</v>
      </c>
      <c r="F182" s="51" t="str">
        <f>IF(D182&lt;&gt;"",IF(C182="","",C182),"")</f>
        <v/>
      </c>
      <c r="G182" s="176">
        <f>IF(E182&lt;&gt;"",IF(E184&lt;&gt;"",SMALL(E182:E184,1),""),"")</f>
        <v>0</v>
      </c>
      <c r="H182" s="51"/>
      <c r="I182" s="18"/>
      <c r="J182" s="11"/>
      <c r="K182" s="166"/>
      <c r="L182" s="11"/>
      <c r="M182" s="11"/>
      <c r="N182" s="11"/>
      <c r="O182" s="166"/>
      <c r="P182" s="11"/>
      <c r="Q182" s="8"/>
      <c r="R182" s="182"/>
      <c r="S182" s="8"/>
      <c r="T182" s="8"/>
      <c r="U182" s="8"/>
      <c r="V182" s="182"/>
      <c r="W182" s="8"/>
      <c r="X182" s="62"/>
      <c r="Y182" s="182"/>
      <c r="Z182" s="8"/>
      <c r="AA182" s="8"/>
      <c r="AB182" s="11"/>
      <c r="AC182" s="182"/>
      <c r="AD182" s="8"/>
      <c r="AE182" s="69"/>
      <c r="AF182" s="8"/>
      <c r="AG182" s="181">
        <f>IF(AJ182&lt;&gt;"",AJ182,"")</f>
        <v>0</v>
      </c>
      <c r="AH182" s="78" t="str">
        <f>IF(AJ182&lt;&gt;"",IF(AK182="","",AK182),"")</f>
        <v/>
      </c>
      <c r="AI182" s="51">
        <f>IF(AG182&lt;&gt;"",IF(AG184&lt;&gt;"",SMALL(AG182:AG184,1),""),"")</f>
        <v>0</v>
      </c>
      <c r="AJ182" s="234">
        <v>0</v>
      </c>
      <c r="AK182" s="171" t="str">
        <f>IF('15F GRP'!G5&gt;=3,'15F GRP'!J205,IF('15F GRP'!G5=2,"",IF('15F GRP'!G5=1,"","")))</f>
        <v/>
      </c>
      <c r="AL182" s="11">
        <v>15</v>
      </c>
    </row>
    <row r="183" spans="2:38" ht="18" customHeight="1" thickBot="1" x14ac:dyDescent="0.3">
      <c r="B183" s="16"/>
      <c r="C183" s="172" t="str">
        <f>IFERROR(IF(C182="","",VLOOKUP(C182,LISTAS!$F$5:$G$1004,2,0)),"0")</f>
        <v/>
      </c>
      <c r="D183" s="235"/>
      <c r="E183" s="51"/>
      <c r="F183" s="51"/>
      <c r="G183" s="176"/>
      <c r="H183" s="51"/>
      <c r="I183" s="18"/>
      <c r="J183" s="11"/>
      <c r="K183" s="166"/>
      <c r="L183" s="11"/>
      <c r="M183" s="11"/>
      <c r="N183" s="11"/>
      <c r="O183" s="166"/>
      <c r="P183" s="11"/>
      <c r="Q183" s="8"/>
      <c r="R183" s="182"/>
      <c r="S183" s="8"/>
      <c r="T183" s="8"/>
      <c r="U183" s="8"/>
      <c r="V183" s="182"/>
      <c r="W183" s="8"/>
      <c r="X183" s="62"/>
      <c r="Y183" s="182"/>
      <c r="Z183" s="8"/>
      <c r="AA183" s="8"/>
      <c r="AB183" s="11"/>
      <c r="AC183" s="182"/>
      <c r="AD183" s="8"/>
      <c r="AE183" s="69"/>
      <c r="AF183" s="8"/>
      <c r="AG183" s="181"/>
      <c r="AH183" s="78"/>
      <c r="AI183" s="51"/>
      <c r="AJ183" s="235"/>
      <c r="AK183" s="172" t="str">
        <f>IFERROR(IF(AK182="","",VLOOKUP(AK182,LISTAS!$F$5:$G$1004,2,0)),"0")</f>
        <v/>
      </c>
      <c r="AL183" s="11"/>
    </row>
    <row r="184" spans="2:38" ht="18" customHeight="1" x14ac:dyDescent="0.25">
      <c r="B184" s="16">
        <v>13</v>
      </c>
      <c r="C184" s="171" t="str">
        <f>IF('15F GRP'!G5&gt;=3,'15F GRP'!J179,IF('15F GRP'!G5=2,"",IF('15F GRP'!G5=1,"","")))</f>
        <v/>
      </c>
      <c r="D184" s="234">
        <v>0</v>
      </c>
      <c r="E184" s="52">
        <f>IF(D184&lt;&gt;"",D184,"")</f>
        <v>0</v>
      </c>
      <c r="F184" s="51" t="str">
        <f>IF(D184&lt;&gt;"",IF(C184="","",C184),"")</f>
        <v/>
      </c>
      <c r="G184" s="176" t="str">
        <f>VLOOKUP(G182,E182:F184,2,0)</f>
        <v/>
      </c>
      <c r="H184" s="51"/>
      <c r="I184" s="18"/>
      <c r="J184" s="11"/>
      <c r="K184" s="166"/>
      <c r="L184" s="11"/>
      <c r="M184" s="11"/>
      <c r="N184" s="11"/>
      <c r="O184" s="166"/>
      <c r="P184" s="11"/>
      <c r="Q184" s="8"/>
      <c r="R184" s="182"/>
      <c r="S184" s="8"/>
      <c r="T184" s="8"/>
      <c r="U184" s="8"/>
      <c r="V184" s="182"/>
      <c r="W184" s="8"/>
      <c r="X184" s="62"/>
      <c r="Y184" s="182"/>
      <c r="Z184" s="8"/>
      <c r="AA184" s="8"/>
      <c r="AB184" s="11"/>
      <c r="AC184" s="182"/>
      <c r="AD184" s="8"/>
      <c r="AE184" s="69"/>
      <c r="AF184" s="8"/>
      <c r="AG184" s="181">
        <f>IF(AJ184&lt;&gt;"",AJ184,"")</f>
        <v>0</v>
      </c>
      <c r="AH184" s="78" t="str">
        <f>IF(AJ184&lt;&gt;"",IF(AK184="","",AK184),"")</f>
        <v/>
      </c>
      <c r="AI184" s="55" t="str">
        <f>VLOOKUP(AI182,AG182:AH184,2,0)</f>
        <v/>
      </c>
      <c r="AJ184" s="234">
        <v>0</v>
      </c>
      <c r="AK184" s="171" t="str">
        <f>IF('15F GRP'!G5&gt;=3,'15F GRP'!J244,IF('15F GRP'!G5=2,"",IF('15F GRP'!G5=1,"","")))</f>
        <v/>
      </c>
      <c r="AL184" s="11">
        <v>18</v>
      </c>
    </row>
    <row r="185" spans="2:38" ht="18" customHeight="1" thickBot="1" x14ac:dyDescent="0.3">
      <c r="B185" s="16"/>
      <c r="C185" s="172" t="str">
        <f>IFERROR(IF(C184="","",VLOOKUP(C184,LISTAS!$F$5:$G$1004,2,0)),"0")</f>
        <v/>
      </c>
      <c r="D185" s="235"/>
      <c r="E185" s="121"/>
      <c r="F185" s="11"/>
      <c r="G185" s="166"/>
      <c r="H185" s="11"/>
      <c r="I185" s="18"/>
      <c r="J185" s="11"/>
      <c r="K185" s="166"/>
      <c r="L185" s="11"/>
      <c r="M185" s="11"/>
      <c r="N185" s="11"/>
      <c r="O185" s="166"/>
      <c r="P185" s="11"/>
      <c r="Q185" s="8"/>
      <c r="R185" s="182"/>
      <c r="S185" s="8"/>
      <c r="T185" s="8"/>
      <c r="U185" s="8"/>
      <c r="V185" s="182"/>
      <c r="W185" s="8"/>
      <c r="X185" s="62"/>
      <c r="Y185" s="182"/>
      <c r="Z185" s="8"/>
      <c r="AA185" s="8"/>
      <c r="AB185" s="11"/>
      <c r="AC185" s="182"/>
      <c r="AD185" s="8"/>
      <c r="AE185" s="69"/>
      <c r="AF185" s="8"/>
      <c r="AG185" s="181"/>
      <c r="AH185" s="126"/>
      <c r="AI185" s="51"/>
      <c r="AJ185" s="235"/>
      <c r="AK185" s="172" t="str">
        <f>IFERROR(IF(AK184="","",VLOOKUP(AK184,LISTAS!$F$5:$G$1004,2,0)),"0")</f>
        <v/>
      </c>
      <c r="AL185" s="11"/>
    </row>
    <row r="186" spans="2:38" ht="18" customHeight="1" x14ac:dyDescent="0.25">
      <c r="B186" s="16"/>
      <c r="C186" s="166"/>
      <c r="D186" s="11"/>
      <c r="E186" s="11"/>
      <c r="F186" s="17"/>
      <c r="G186" s="171" t="str">
        <f>IF(D182&lt;&gt;"",IF(D184&lt;&gt;"",IF(D182=D184,"",IF(D182&gt;D184,C182,C184)),""),"")</f>
        <v/>
      </c>
      <c r="H186" s="234">
        <v>0</v>
      </c>
      <c r="I186" s="56">
        <f>IF(H186&lt;&gt;"",H186,"")</f>
        <v>0</v>
      </c>
      <c r="J186" s="51" t="str">
        <f>IF(H186&lt;&gt;"",IF(G186="","",G186),"")</f>
        <v/>
      </c>
      <c r="K186" s="176">
        <f>IF(I186&lt;&gt;"",IF(I188&lt;&gt;"",SMALL(I186:J188,1),""),"")</f>
        <v>0</v>
      </c>
      <c r="L186" s="11"/>
      <c r="M186" s="11"/>
      <c r="N186" s="11"/>
      <c r="O186" s="166"/>
      <c r="P186" s="11"/>
      <c r="Q186" s="8"/>
      <c r="R186" s="182"/>
      <c r="S186" s="8"/>
      <c r="T186" s="8"/>
      <c r="U186" s="8"/>
      <c r="V186" s="182"/>
      <c r="W186" s="8"/>
      <c r="X186" s="62"/>
      <c r="Y186" s="182"/>
      <c r="Z186" s="8"/>
      <c r="AA186" s="8"/>
      <c r="AB186" s="11"/>
      <c r="AC186" s="182"/>
      <c r="AD186" s="8"/>
      <c r="AE186" s="69"/>
      <c r="AF186" s="234">
        <v>0</v>
      </c>
      <c r="AG186" s="171" t="str">
        <f>IF(AJ182&lt;&gt;"",IF(AJ184&lt;&gt;"",IF(AJ182=AJ184,"",IF(AJ182&gt;AJ184,AK182,AK184)),""),"")</f>
        <v/>
      </c>
      <c r="AH186" s="65"/>
      <c r="AI186" s="8"/>
      <c r="AJ186" s="11"/>
      <c r="AK186" s="166"/>
      <c r="AL186" s="11"/>
    </row>
    <row r="187" spans="2:38" ht="18" customHeight="1" thickBot="1" x14ac:dyDescent="0.3">
      <c r="B187" s="16"/>
      <c r="C187" s="166"/>
      <c r="D187" s="11"/>
      <c r="E187" s="11"/>
      <c r="F187" s="17"/>
      <c r="G187" s="172" t="str">
        <f>IFERROR(IF(G186="","",VLOOKUP(G186,LISTAS!$F$5:$G$1004,2,0)),"0")</f>
        <v/>
      </c>
      <c r="H187" s="235"/>
      <c r="I187" s="57"/>
      <c r="J187" s="51"/>
      <c r="K187" s="176"/>
      <c r="L187" s="11"/>
      <c r="M187" s="11"/>
      <c r="N187" s="11"/>
      <c r="O187" s="166"/>
      <c r="P187" s="11"/>
      <c r="Q187" s="8"/>
      <c r="R187" s="182"/>
      <c r="S187" s="8"/>
      <c r="T187" s="8"/>
      <c r="U187" s="8"/>
      <c r="V187" s="182"/>
      <c r="W187" s="8"/>
      <c r="X187" s="62"/>
      <c r="Y187" s="182"/>
      <c r="Z187" s="8"/>
      <c r="AA187" s="8"/>
      <c r="AB187" s="11"/>
      <c r="AC187" s="182"/>
      <c r="AD187" s="8"/>
      <c r="AE187" s="70"/>
      <c r="AF187" s="235"/>
      <c r="AG187" s="172" t="str">
        <f>IFERROR(IF(AG186="","",VLOOKUP(AG186,LISTAS!$F$5:$G$1004,2,0)),"0")</f>
        <v/>
      </c>
      <c r="AH187" s="65"/>
      <c r="AI187" s="8"/>
      <c r="AJ187" s="11"/>
      <c r="AK187" s="166"/>
      <c r="AL187" s="11"/>
    </row>
    <row r="188" spans="2:38" ht="18" customHeight="1" x14ac:dyDescent="0.25">
      <c r="B188" s="16"/>
      <c r="C188" s="166"/>
      <c r="D188" s="11"/>
      <c r="E188" s="18"/>
      <c r="F188" s="19"/>
      <c r="G188" s="171" t="str">
        <f>IF(D190&lt;&gt;"",IF(D192&lt;&gt;"",IF(D190=D192,"",IF(D190&gt;D192,C190,C192)),""),"")</f>
        <v/>
      </c>
      <c r="H188" s="234">
        <v>0</v>
      </c>
      <c r="I188" s="57">
        <f>IF(H188&lt;&gt;"",H188,"")</f>
        <v>0</v>
      </c>
      <c r="J188" s="51" t="str">
        <f>IF(H188&lt;&gt;"",IF(G188="","",G188),"")</f>
        <v/>
      </c>
      <c r="K188" s="176" t="str">
        <f>VLOOKUP(K186,I186:J188,2,0)</f>
        <v/>
      </c>
      <c r="L188" s="11"/>
      <c r="M188" s="11"/>
      <c r="N188" s="11"/>
      <c r="O188" s="166"/>
      <c r="P188" s="11"/>
      <c r="Q188" s="8"/>
      <c r="R188" s="182"/>
      <c r="S188" s="8"/>
      <c r="T188" s="8"/>
      <c r="U188" s="8"/>
      <c r="V188" s="182"/>
      <c r="W188" s="8"/>
      <c r="X188" s="62"/>
      <c r="Y188" s="182"/>
      <c r="Z188" s="8"/>
      <c r="AA188" s="8"/>
      <c r="AB188" s="11"/>
      <c r="AC188" s="182"/>
      <c r="AD188" s="8"/>
      <c r="AE188" s="64"/>
      <c r="AF188" s="234">
        <v>2</v>
      </c>
      <c r="AG188" s="171" t="str">
        <f>IF(AJ190&lt;&gt;"",IF(AJ192&lt;&gt;"",IF(AJ190=AJ192,"",IF(AJ190&gt;AJ192,AK190,AK192)),""),"")</f>
        <v>LORENA VALENTINUCI</v>
      </c>
      <c r="AH188" s="66"/>
      <c r="AI188" s="8"/>
      <c r="AJ188" s="11"/>
      <c r="AK188" s="166"/>
      <c r="AL188" s="11"/>
    </row>
    <row r="189" spans="2:38" ht="18" customHeight="1" thickBot="1" x14ac:dyDescent="0.3">
      <c r="B189" s="16"/>
      <c r="C189" s="166"/>
      <c r="D189" s="11"/>
      <c r="E189" s="18"/>
      <c r="F189" s="11"/>
      <c r="G189" s="172" t="str">
        <f>IFERROR(IF(G188="","",VLOOKUP(G188,LISTAS!$F$5:$G$1004,2,0)),"0")</f>
        <v/>
      </c>
      <c r="H189" s="235"/>
      <c r="I189" s="51"/>
      <c r="J189" s="51"/>
      <c r="K189" s="176"/>
      <c r="L189" s="11"/>
      <c r="M189" s="11"/>
      <c r="N189" s="11"/>
      <c r="O189" s="166"/>
      <c r="P189" s="11"/>
      <c r="Q189" s="8"/>
      <c r="R189" s="182"/>
      <c r="S189" s="8"/>
      <c r="T189" s="8"/>
      <c r="U189" s="8"/>
      <c r="V189" s="182"/>
      <c r="W189" s="8"/>
      <c r="X189" s="62"/>
      <c r="Y189" s="182"/>
      <c r="Z189" s="8"/>
      <c r="AA189" s="8"/>
      <c r="AB189" s="11"/>
      <c r="AC189" s="182"/>
      <c r="AD189" s="8"/>
      <c r="AE189" s="8"/>
      <c r="AF189" s="235"/>
      <c r="AG189" s="172" t="str">
        <f>IFERROR(IF(AG188="","",VLOOKUP(AG188,LISTAS!$F$5:$G$1004,2,0)),"0")</f>
        <v>COLÉGIO ARBOS - UNIDADE SANTO ANDRÉ</v>
      </c>
      <c r="AH189" s="8"/>
      <c r="AI189" s="69"/>
      <c r="AJ189" s="11"/>
      <c r="AK189" s="166"/>
      <c r="AL189" s="11"/>
    </row>
    <row r="190" spans="2:38" ht="18" customHeight="1" x14ac:dyDescent="0.25">
      <c r="B190" s="16">
        <v>29</v>
      </c>
      <c r="C190" s="171" t="str">
        <f>IF('15F GRP'!G5&gt;=3,'15F GRP'!J387,IF('15F GRP'!G5=2,"",IF('15F GRP'!G5=1,"","")))</f>
        <v/>
      </c>
      <c r="D190" s="234">
        <v>0</v>
      </c>
      <c r="E190" s="56">
        <f>IF(D190&lt;&gt;"",D190,"")</f>
        <v>0</v>
      </c>
      <c r="F190" s="51" t="str">
        <f>IF(D190&lt;&gt;"",IF(C190="","",C190),"")</f>
        <v/>
      </c>
      <c r="G190" s="176">
        <f>IF(E190&lt;&gt;"",IF(E192&lt;&gt;"",SMALL(E190:E192,1),""),"")</f>
        <v>0</v>
      </c>
      <c r="H190" s="51"/>
      <c r="I190" s="11"/>
      <c r="J190" s="11"/>
      <c r="K190" s="166"/>
      <c r="L190" s="11"/>
      <c r="M190" s="11"/>
      <c r="N190" s="11"/>
      <c r="O190" s="166"/>
      <c r="P190" s="11"/>
      <c r="Q190" s="8"/>
      <c r="R190" s="182"/>
      <c r="S190" s="8"/>
      <c r="T190" s="8"/>
      <c r="U190" s="8"/>
      <c r="V190" s="182"/>
      <c r="W190" s="8"/>
      <c r="X190" s="62"/>
      <c r="Y190" s="182"/>
      <c r="Z190" s="8"/>
      <c r="AA190" s="8"/>
      <c r="AB190" s="11"/>
      <c r="AC190" s="182"/>
      <c r="AD190" s="8"/>
      <c r="AE190" s="8"/>
      <c r="AF190" s="8"/>
      <c r="AG190" s="181">
        <f>IF(AJ190&lt;&gt;"",AJ190,"")</f>
        <v>0</v>
      </c>
      <c r="AH190" s="78" t="str">
        <f>IF(AJ190&lt;&gt;"",IF(AK190="","",AK190),"")</f>
        <v/>
      </c>
      <c r="AI190" s="53">
        <f>IF(AG190&lt;&gt;"",IF(AG192&lt;&gt;"",SMALL(AG190:AG192,1),""),"")</f>
        <v>0</v>
      </c>
      <c r="AJ190" s="234">
        <v>0</v>
      </c>
      <c r="AK190" s="171" t="str">
        <f>IF('15F GRP'!G5&gt;=3,'15F GRP'!J413,IF('15F GRP'!G5=2,"",IF('15F GRP'!G5=1,"","")))</f>
        <v/>
      </c>
      <c r="AL190" s="11">
        <v>31</v>
      </c>
    </row>
    <row r="191" spans="2:38" ht="18" customHeight="1" thickBot="1" x14ac:dyDescent="0.3">
      <c r="B191" s="16"/>
      <c r="C191" s="172" t="str">
        <f>IFERROR(IF(C190="","",VLOOKUP(C190,LISTAS!$F$5:$G$1004,2,0)),"0")</f>
        <v/>
      </c>
      <c r="D191" s="235"/>
      <c r="E191" s="57"/>
      <c r="F191" s="51"/>
      <c r="G191" s="176"/>
      <c r="H191" s="51"/>
      <c r="I191" s="11"/>
      <c r="J191" s="11"/>
      <c r="K191" s="166"/>
      <c r="L191" s="11"/>
      <c r="M191" s="11"/>
      <c r="N191" s="11"/>
      <c r="O191" s="166"/>
      <c r="P191" s="11"/>
      <c r="Q191" s="8"/>
      <c r="R191" s="182"/>
      <c r="S191" s="8"/>
      <c r="T191" s="8"/>
      <c r="U191" s="8"/>
      <c r="V191" s="182"/>
      <c r="W191" s="8"/>
      <c r="X191" s="62"/>
      <c r="Y191" s="182"/>
      <c r="Z191" s="8"/>
      <c r="AA191" s="8"/>
      <c r="AB191" s="11"/>
      <c r="AC191" s="182"/>
      <c r="AD191" s="8"/>
      <c r="AE191" s="8"/>
      <c r="AF191" s="8"/>
      <c r="AG191" s="181"/>
      <c r="AH191" s="78"/>
      <c r="AI191" s="77"/>
      <c r="AJ191" s="235"/>
      <c r="AK191" s="172" t="str">
        <f>IFERROR(IF(AK190="","",VLOOKUP(AK190,LISTAS!$F$5:$G$1004,2,0)),"0")</f>
        <v/>
      </c>
      <c r="AL191" s="11"/>
    </row>
    <row r="192" spans="2:38" ht="30" x14ac:dyDescent="0.25">
      <c r="B192" s="16">
        <v>4</v>
      </c>
      <c r="C192" s="171" t="str">
        <f>IF('15F GRP'!G5&gt;=3,'15F GRP'!J62,IF('15F GRP'!G5=2,"",IF('15F GRP'!G5=1,"","")))</f>
        <v>BYE</v>
      </c>
      <c r="D192" s="234">
        <v>0</v>
      </c>
      <c r="E192" s="57">
        <f>IF(D192&lt;&gt;"",D192,"")</f>
        <v>0</v>
      </c>
      <c r="F192" s="51" t="str">
        <f>IF(D192&lt;&gt;"",IF(C192="","",C192),"")</f>
        <v>BYE</v>
      </c>
      <c r="G192" s="176" t="str">
        <f>VLOOKUP(G190,E190:F192,2,0)</f>
        <v/>
      </c>
      <c r="H192" s="51"/>
      <c r="I192" s="11"/>
      <c r="J192" s="11"/>
      <c r="K192" s="166"/>
      <c r="L192" s="11"/>
      <c r="M192" s="11"/>
      <c r="N192" s="11"/>
      <c r="O192" s="166"/>
      <c r="P192" s="11"/>
      <c r="Q192" s="8"/>
      <c r="R192" s="182"/>
      <c r="S192" s="8"/>
      <c r="T192" s="8"/>
      <c r="U192" s="8"/>
      <c r="V192" s="182"/>
      <c r="W192" s="8"/>
      <c r="X192" s="62"/>
      <c r="Y192" s="182"/>
      <c r="Z192" s="8"/>
      <c r="AA192" s="8"/>
      <c r="AB192" s="11"/>
      <c r="AC192" s="182"/>
      <c r="AD192" s="8"/>
      <c r="AE192" s="8"/>
      <c r="AF192" s="8"/>
      <c r="AG192" s="181">
        <f>IF(AJ192&lt;&gt;"",AJ192,"")</f>
        <v>2</v>
      </c>
      <c r="AH192" s="78" t="str">
        <f>IF(AJ192&lt;&gt;"",IF(AK192="","",AK192),"")</f>
        <v>LORENA VALENTINUCI</v>
      </c>
      <c r="AI192" s="76" t="str">
        <f>VLOOKUP(AI190,AG190:AH192,2,0)</f>
        <v/>
      </c>
      <c r="AJ192" s="234">
        <v>2</v>
      </c>
      <c r="AK192" s="171" t="str">
        <f>IF('15F GRP'!G5&gt;=3,'15F GRP'!J32,IF('15F GRP'!G5=2,IF('15F GRP'!H8=3,'15F GRP'!J32,""),IF('15F GRP'!G5=1,"","")))</f>
        <v>LORENA VALENTINUCI</v>
      </c>
      <c r="AL192" s="11">
        <v>2</v>
      </c>
    </row>
    <row r="193" spans="2:38" ht="21" customHeight="1" thickBot="1" x14ac:dyDescent="0.3">
      <c r="B193" s="16"/>
      <c r="C193" s="172" t="str">
        <f>IFERROR(IF(C192="","",VLOOKUP(C192,LISTAS!$F$5:$G$1004,2,0)),"0")</f>
        <v>BYE</v>
      </c>
      <c r="D193" s="235"/>
      <c r="E193" s="51"/>
      <c r="F193" s="51"/>
      <c r="G193" s="176"/>
      <c r="H193" s="51"/>
      <c r="I193" s="11"/>
      <c r="J193" s="11"/>
      <c r="K193" s="166"/>
      <c r="L193" s="11"/>
      <c r="M193" s="11"/>
      <c r="N193" s="11"/>
      <c r="O193" s="166"/>
      <c r="P193" s="11"/>
      <c r="Q193" s="8"/>
      <c r="R193" s="182"/>
      <c r="S193" s="8"/>
      <c r="T193" s="8"/>
      <c r="U193" s="8"/>
      <c r="V193" s="182"/>
      <c r="W193" s="8"/>
      <c r="X193" s="62"/>
      <c r="Y193" s="182"/>
      <c r="Z193" s="8"/>
      <c r="AA193" s="8"/>
      <c r="AB193" s="11"/>
      <c r="AC193" s="182"/>
      <c r="AD193" s="8"/>
      <c r="AE193" s="8"/>
      <c r="AF193" s="8"/>
      <c r="AG193" s="181"/>
      <c r="AH193" s="78"/>
      <c r="AI193" s="51"/>
      <c r="AJ193" s="235"/>
      <c r="AK193" s="172" t="str">
        <f>IFERROR(IF(AK192="","",VLOOKUP(AK192,LISTAS!$F$5:$G$1004,2,0)),"0")</f>
        <v>COLÉGIO ARBOS - UNIDADE SANTO ANDRÉ</v>
      </c>
      <c r="AL193" s="11"/>
    </row>
    <row r="194" spans="2:38" x14ac:dyDescent="0.25">
      <c r="B194" s="16"/>
      <c r="C194" s="167"/>
      <c r="D194" s="71"/>
      <c r="E194" s="127"/>
      <c r="F194" s="127"/>
      <c r="G194" s="177"/>
      <c r="H194" s="127"/>
      <c r="I194" s="71"/>
      <c r="J194" s="71"/>
      <c r="K194" s="167"/>
      <c r="L194" s="71"/>
      <c r="M194" s="71"/>
      <c r="N194" s="71"/>
      <c r="O194" s="167"/>
      <c r="P194" s="71"/>
      <c r="Q194" s="8"/>
      <c r="R194" s="182"/>
      <c r="S194" s="8"/>
      <c r="T194" s="8"/>
      <c r="U194" s="8"/>
      <c r="V194" s="182"/>
      <c r="W194" s="8"/>
      <c r="X194" s="62"/>
      <c r="Y194" s="182"/>
      <c r="Z194" s="8"/>
      <c r="AA194" s="8"/>
      <c r="AB194" s="11"/>
      <c r="AC194" s="182"/>
      <c r="AD194" s="8"/>
      <c r="AE194" s="8"/>
      <c r="AF194" s="8"/>
      <c r="AG194" s="182"/>
      <c r="AH194" s="8"/>
      <c r="AI194" s="8"/>
      <c r="AJ194" s="71"/>
      <c r="AK194" s="167"/>
      <c r="AL194" s="11"/>
    </row>
    <row r="195" spans="2:38" x14ac:dyDescent="0.25">
      <c r="B195" s="11"/>
      <c r="C195" s="167"/>
      <c r="D195" s="71"/>
      <c r="E195" s="71"/>
      <c r="F195" s="71"/>
      <c r="G195" s="167"/>
      <c r="H195" s="71"/>
      <c r="I195" s="71"/>
      <c r="J195" s="71"/>
      <c r="K195" s="167"/>
      <c r="L195" s="71"/>
      <c r="M195" s="71"/>
      <c r="N195" s="71"/>
      <c r="O195" s="167"/>
      <c r="P195" s="71"/>
      <c r="Q195" s="8"/>
      <c r="R195" s="182"/>
      <c r="S195" s="8"/>
      <c r="T195" s="8"/>
      <c r="U195" s="8"/>
      <c r="V195" s="182"/>
      <c r="W195" s="8"/>
      <c r="X195" s="62"/>
      <c r="Y195" s="182"/>
      <c r="Z195" s="8"/>
      <c r="AA195" s="8"/>
      <c r="AB195" s="11"/>
      <c r="AC195" s="182"/>
      <c r="AD195" s="8"/>
      <c r="AE195" s="8"/>
      <c r="AF195" s="8"/>
      <c r="AG195" s="182"/>
      <c r="AH195" s="8"/>
      <c r="AI195" s="8"/>
      <c r="AJ195" s="71"/>
      <c r="AK195" s="167"/>
      <c r="AL195" s="11"/>
    </row>
    <row r="196" spans="2:38" x14ac:dyDescent="0.25">
      <c r="B196" s="2"/>
      <c r="D196" s="2"/>
      <c r="E196" s="2"/>
      <c r="F196" s="2"/>
      <c r="G196" s="163"/>
      <c r="H196" s="2"/>
      <c r="I196" s="2"/>
      <c r="J196" s="2"/>
      <c r="K196" s="163"/>
      <c r="L196" s="2"/>
      <c r="M196" s="2"/>
      <c r="N196" s="2"/>
      <c r="O196" s="163"/>
      <c r="P196" s="2"/>
      <c r="W196" s="2"/>
      <c r="Y196" s="163"/>
      <c r="Z196" s="2"/>
      <c r="AA196" s="2"/>
      <c r="AB196" s="2"/>
      <c r="AC196" s="163"/>
      <c r="AD196" s="2"/>
      <c r="AE196" s="2"/>
      <c r="AF196" s="2"/>
      <c r="AG196" s="163"/>
      <c r="AH196" s="2"/>
      <c r="AI196" s="2"/>
      <c r="AJ196" s="2"/>
      <c r="AK196" s="163"/>
    </row>
    <row r="197" spans="2:38" x14ac:dyDescent="0.25">
      <c r="B197" s="2"/>
      <c r="D197" s="2"/>
      <c r="E197" s="2"/>
      <c r="F197" s="2"/>
      <c r="G197" s="163"/>
      <c r="H197" s="2"/>
      <c r="I197" s="2"/>
      <c r="J197" s="2"/>
      <c r="K197" s="163"/>
      <c r="L197" s="2"/>
      <c r="M197" s="2"/>
      <c r="N197" s="2"/>
      <c r="O197" s="163"/>
      <c r="P197" s="2"/>
      <c r="W197" s="2"/>
      <c r="Y197" s="163"/>
      <c r="Z197" s="2"/>
      <c r="AA197" s="2"/>
      <c r="AB197" s="2"/>
      <c r="AC197" s="163"/>
      <c r="AD197" s="2"/>
      <c r="AE197" s="2"/>
      <c r="AF197" s="2"/>
      <c r="AG197" s="163"/>
      <c r="AH197" s="2"/>
      <c r="AI197" s="2"/>
      <c r="AJ197" s="2"/>
      <c r="AK197" s="163"/>
    </row>
    <row r="198" spans="2:38" x14ac:dyDescent="0.25">
      <c r="B198" s="2"/>
      <c r="D198" s="2"/>
      <c r="E198" s="2"/>
      <c r="F198" s="2"/>
      <c r="G198" s="163"/>
      <c r="H198" s="2"/>
      <c r="I198" s="2"/>
      <c r="J198" s="2"/>
      <c r="K198" s="163"/>
      <c r="L198" s="2"/>
      <c r="M198" s="2"/>
      <c r="N198" s="2"/>
      <c r="O198" s="163"/>
      <c r="P198" s="2"/>
      <c r="W198" s="2"/>
      <c r="Y198" s="163"/>
      <c r="Z198" s="2"/>
      <c r="AA198" s="2"/>
      <c r="AB198" s="2"/>
      <c r="AC198" s="163"/>
      <c r="AD198" s="2"/>
      <c r="AE198" s="2"/>
      <c r="AF198" s="2"/>
      <c r="AG198" s="163"/>
      <c r="AH198" s="2"/>
      <c r="AI198" s="2"/>
      <c r="AJ198" s="2"/>
      <c r="AK198" s="163"/>
    </row>
    <row r="199" spans="2:38" x14ac:dyDescent="0.25">
      <c r="B199" s="2"/>
      <c r="D199" s="2"/>
      <c r="E199" s="2"/>
      <c r="F199" s="2"/>
      <c r="G199" s="163"/>
      <c r="H199" s="2"/>
      <c r="I199" s="2"/>
      <c r="J199" s="2"/>
      <c r="K199" s="163"/>
      <c r="L199" s="2"/>
      <c r="M199" s="2"/>
      <c r="N199" s="2"/>
      <c r="O199" s="163"/>
      <c r="P199" s="2"/>
      <c r="W199" s="2"/>
      <c r="Y199" s="163"/>
      <c r="Z199" s="2"/>
      <c r="AA199" s="2"/>
      <c r="AB199" s="2"/>
      <c r="AC199" s="163"/>
      <c r="AD199" s="2"/>
      <c r="AE199" s="2"/>
      <c r="AF199" s="2"/>
      <c r="AG199" s="163"/>
      <c r="AH199" s="2"/>
      <c r="AI199" s="2"/>
      <c r="AJ199" s="2"/>
      <c r="AK199" s="163"/>
    </row>
    <row r="200" spans="2:38" x14ac:dyDescent="0.25">
      <c r="B200" s="2"/>
      <c r="D200" s="2"/>
      <c r="E200" s="2"/>
      <c r="F200" s="2"/>
      <c r="G200" s="163"/>
      <c r="H200" s="2"/>
      <c r="I200" s="2"/>
      <c r="J200" s="2"/>
      <c r="K200" s="163"/>
      <c r="L200" s="2"/>
      <c r="M200" s="2"/>
      <c r="N200" s="2"/>
      <c r="O200" s="163"/>
      <c r="P200" s="2"/>
      <c r="W200" s="2"/>
      <c r="Y200" s="163"/>
      <c r="Z200" s="2"/>
      <c r="AA200" s="2"/>
      <c r="AB200" s="2"/>
      <c r="AC200" s="163"/>
      <c r="AD200" s="2"/>
      <c r="AE200" s="2"/>
      <c r="AF200" s="2"/>
      <c r="AG200" s="163"/>
      <c r="AH200" s="2"/>
      <c r="AI200" s="2"/>
      <c r="AJ200" s="2"/>
      <c r="AK200" s="163"/>
    </row>
  </sheetData>
  <mergeCells count="205">
    <mergeCell ref="B2:AL4"/>
    <mergeCell ref="B5:D5"/>
    <mergeCell ref="AP5:AQ5"/>
    <mergeCell ref="B6:AL6"/>
    <mergeCell ref="H14:H15"/>
    <mergeCell ref="AF14:AF15"/>
    <mergeCell ref="D16:D17"/>
    <mergeCell ref="AJ16:AJ17"/>
    <mergeCell ref="AP2:AU3"/>
    <mergeCell ref="AP6:AU6"/>
    <mergeCell ref="D18:D19"/>
    <mergeCell ref="AJ18:AJ19"/>
    <mergeCell ref="AP7:AQ7"/>
    <mergeCell ref="D8:D9"/>
    <mergeCell ref="AJ8:AJ9"/>
    <mergeCell ref="D10:D11"/>
    <mergeCell ref="AJ10:AJ11"/>
    <mergeCell ref="H12:H13"/>
    <mergeCell ref="AF12:AF13"/>
    <mergeCell ref="D26:D27"/>
    <mergeCell ref="AJ26:AJ27"/>
    <mergeCell ref="H28:H29"/>
    <mergeCell ref="AF28:AF29"/>
    <mergeCell ref="H30:H31"/>
    <mergeCell ref="AF30:AF31"/>
    <mergeCell ref="L20:L21"/>
    <mergeCell ref="AB20:AB21"/>
    <mergeCell ref="L22:L23"/>
    <mergeCell ref="AB22:AB23"/>
    <mergeCell ref="D24:D25"/>
    <mergeCell ref="AJ24:AJ25"/>
    <mergeCell ref="P37:P38"/>
    <mergeCell ref="X37:X38"/>
    <mergeCell ref="D38:D39"/>
    <mergeCell ref="AJ38:AJ39"/>
    <mergeCell ref="D40:D41"/>
    <mergeCell ref="AJ40:AJ41"/>
    <mergeCell ref="D32:D33"/>
    <mergeCell ref="AJ32:AJ33"/>
    <mergeCell ref="D34:D35"/>
    <mergeCell ref="R34:V34"/>
    <mergeCell ref="AJ34:AJ35"/>
    <mergeCell ref="P35:P36"/>
    <mergeCell ref="X35:X36"/>
    <mergeCell ref="S36:S37"/>
    <mergeCell ref="T36:T37"/>
    <mergeCell ref="U36:U37"/>
    <mergeCell ref="D48:D49"/>
    <mergeCell ref="AJ48:AJ49"/>
    <mergeCell ref="L50:L51"/>
    <mergeCell ref="AB50:AB51"/>
    <mergeCell ref="L52:L53"/>
    <mergeCell ref="AB52:AB53"/>
    <mergeCell ref="H42:H43"/>
    <mergeCell ref="AF42:AF43"/>
    <mergeCell ref="H44:H45"/>
    <mergeCell ref="AF44:AF45"/>
    <mergeCell ref="D46:D47"/>
    <mergeCell ref="AJ46:AJ47"/>
    <mergeCell ref="H60:H61"/>
    <mergeCell ref="AF60:AF61"/>
    <mergeCell ref="D62:D63"/>
    <mergeCell ref="AJ62:AJ63"/>
    <mergeCell ref="D64:D65"/>
    <mergeCell ref="AJ64:AJ65"/>
    <mergeCell ref="D54:D55"/>
    <mergeCell ref="AJ54:AJ55"/>
    <mergeCell ref="D56:D57"/>
    <mergeCell ref="AJ56:AJ57"/>
    <mergeCell ref="H58:H59"/>
    <mergeCell ref="AF58:AF59"/>
    <mergeCell ref="H76:H77"/>
    <mergeCell ref="AF76:AF77"/>
    <mergeCell ref="H78:H79"/>
    <mergeCell ref="AF78:AF79"/>
    <mergeCell ref="D80:D81"/>
    <mergeCell ref="AJ80:AJ81"/>
    <mergeCell ref="B70:AL70"/>
    <mergeCell ref="AP71:AQ71"/>
    <mergeCell ref="D72:D73"/>
    <mergeCell ref="AJ72:AJ73"/>
    <mergeCell ref="D74:D75"/>
    <mergeCell ref="AJ74:AJ75"/>
    <mergeCell ref="AP70:AU70"/>
    <mergeCell ref="D88:D89"/>
    <mergeCell ref="AJ88:AJ89"/>
    <mergeCell ref="D90:D91"/>
    <mergeCell ref="AJ90:AJ91"/>
    <mergeCell ref="H92:H93"/>
    <mergeCell ref="AF92:AF93"/>
    <mergeCell ref="D82:D83"/>
    <mergeCell ref="AJ82:AJ83"/>
    <mergeCell ref="L84:L85"/>
    <mergeCell ref="AB84:AB85"/>
    <mergeCell ref="L86:L87"/>
    <mergeCell ref="AB86:AB87"/>
    <mergeCell ref="H94:H95"/>
    <mergeCell ref="AF94:AF95"/>
    <mergeCell ref="D96:D97"/>
    <mergeCell ref="AJ96:AJ97"/>
    <mergeCell ref="D98:D99"/>
    <mergeCell ref="R98:V98"/>
    <mergeCell ref="AJ98:AJ99"/>
    <mergeCell ref="P99:P100"/>
    <mergeCell ref="X99:X100"/>
    <mergeCell ref="S100:S101"/>
    <mergeCell ref="D104:D105"/>
    <mergeCell ref="AJ104:AJ105"/>
    <mergeCell ref="H106:H107"/>
    <mergeCell ref="AF106:AF107"/>
    <mergeCell ref="H108:H109"/>
    <mergeCell ref="AF108:AF109"/>
    <mergeCell ref="T100:T101"/>
    <mergeCell ref="U100:U101"/>
    <mergeCell ref="P101:P102"/>
    <mergeCell ref="X101:X102"/>
    <mergeCell ref="D102:D103"/>
    <mergeCell ref="AJ102:AJ103"/>
    <mergeCell ref="L116:L117"/>
    <mergeCell ref="AB116:AB117"/>
    <mergeCell ref="D118:D119"/>
    <mergeCell ref="AJ118:AJ119"/>
    <mergeCell ref="D120:D121"/>
    <mergeCell ref="AJ120:AJ121"/>
    <mergeCell ref="D110:D111"/>
    <mergeCell ref="AJ110:AJ111"/>
    <mergeCell ref="D112:D113"/>
    <mergeCell ref="AJ112:AJ113"/>
    <mergeCell ref="L114:L115"/>
    <mergeCell ref="AB114:AB115"/>
    <mergeCell ref="D128:D129"/>
    <mergeCell ref="AJ128:AJ129"/>
    <mergeCell ref="B134:AL134"/>
    <mergeCell ref="AP135:AQ135"/>
    <mergeCell ref="D136:D137"/>
    <mergeCell ref="AJ136:AJ137"/>
    <mergeCell ref="H122:H123"/>
    <mergeCell ref="AF122:AF123"/>
    <mergeCell ref="H124:H125"/>
    <mergeCell ref="AF124:AF125"/>
    <mergeCell ref="D126:D127"/>
    <mergeCell ref="AJ126:AJ127"/>
    <mergeCell ref="AP134:AU134"/>
    <mergeCell ref="D144:D145"/>
    <mergeCell ref="AJ144:AJ145"/>
    <mergeCell ref="D146:D147"/>
    <mergeCell ref="AJ146:AJ147"/>
    <mergeCell ref="L148:L149"/>
    <mergeCell ref="AB148:AB149"/>
    <mergeCell ref="D138:D139"/>
    <mergeCell ref="AJ138:AJ139"/>
    <mergeCell ref="H140:H141"/>
    <mergeCell ref="AF140:AF141"/>
    <mergeCell ref="H142:H143"/>
    <mergeCell ref="AF142:AF143"/>
    <mergeCell ref="H156:H157"/>
    <mergeCell ref="AF156:AF157"/>
    <mergeCell ref="H158:H159"/>
    <mergeCell ref="AF158:AF159"/>
    <mergeCell ref="D160:D161"/>
    <mergeCell ref="AJ160:AJ161"/>
    <mergeCell ref="L150:L151"/>
    <mergeCell ref="AB150:AB151"/>
    <mergeCell ref="D152:D153"/>
    <mergeCell ref="AJ152:AJ153"/>
    <mergeCell ref="D154:D155"/>
    <mergeCell ref="AJ154:AJ155"/>
    <mergeCell ref="D166:D167"/>
    <mergeCell ref="AJ166:AJ167"/>
    <mergeCell ref="D168:D169"/>
    <mergeCell ref="AJ168:AJ169"/>
    <mergeCell ref="H170:H171"/>
    <mergeCell ref="AF170:AF171"/>
    <mergeCell ref="D162:D163"/>
    <mergeCell ref="R162:V162"/>
    <mergeCell ref="AJ162:AJ163"/>
    <mergeCell ref="P163:P164"/>
    <mergeCell ref="X163:X164"/>
    <mergeCell ref="S164:S165"/>
    <mergeCell ref="T164:T165"/>
    <mergeCell ref="U164:U165"/>
    <mergeCell ref="P165:P166"/>
    <mergeCell ref="X165:X166"/>
    <mergeCell ref="L178:L179"/>
    <mergeCell ref="AB178:AB179"/>
    <mergeCell ref="L180:L181"/>
    <mergeCell ref="AB180:AB181"/>
    <mergeCell ref="D182:D183"/>
    <mergeCell ref="AJ182:AJ183"/>
    <mergeCell ref="H172:H173"/>
    <mergeCell ref="AF172:AF173"/>
    <mergeCell ref="D174:D175"/>
    <mergeCell ref="AJ174:AJ175"/>
    <mergeCell ref="D176:D177"/>
    <mergeCell ref="AJ176:AJ177"/>
    <mergeCell ref="D190:D191"/>
    <mergeCell ref="AJ190:AJ191"/>
    <mergeCell ref="D192:D193"/>
    <mergeCell ref="AJ192:AJ193"/>
    <mergeCell ref="D184:D185"/>
    <mergeCell ref="AJ184:AJ185"/>
    <mergeCell ref="H186:H187"/>
    <mergeCell ref="AF186:AF187"/>
    <mergeCell ref="H188:H189"/>
    <mergeCell ref="AF188:AF189"/>
  </mergeCells>
  <printOptions horizontalCentered="1"/>
  <pageMargins left="0.23622047244094491" right="0.23622047244094491" top="0.74803149606299213" bottom="0.74803149606299213" header="0.31496062992125984" footer="0.31496062992125984"/>
  <pageSetup paperSize="9" scale="13"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LISTAS!$D$5:$D$6</xm:f>
          </x14:formula1>
          <xm:sqref>AS5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5">
    <tabColor theme="4" tint="0.39997558519241921"/>
  </sheetPr>
  <dimension ref="B1:Q432"/>
  <sheetViews>
    <sheetView showGridLines="0" topLeftCell="A211" zoomScale="85" zoomScaleNormal="85" workbookViewId="0">
      <selection activeCell="B216" sqref="B216"/>
    </sheetView>
  </sheetViews>
  <sheetFormatPr defaultColWidth="25.28515625" defaultRowHeight="16.5" x14ac:dyDescent="0.25"/>
  <cols>
    <col min="1" max="1" width="1.140625" style="1" customWidth="1"/>
    <col min="2" max="2" width="49.7109375" style="1" customWidth="1"/>
    <col min="3" max="3" width="41.140625" style="2" bestFit="1" customWidth="1"/>
    <col min="4" max="8" width="8" style="1" customWidth="1"/>
    <col min="9" max="9" width="8.140625" style="1" customWidth="1"/>
    <col min="10" max="10" width="49.85546875" style="1" customWidth="1"/>
    <col min="11" max="11" width="21.42578125" style="1" customWidth="1"/>
    <col min="12" max="12" width="14.42578125" style="1" customWidth="1"/>
    <col min="13" max="13" width="7" style="20" bestFit="1" customWidth="1"/>
    <col min="14" max="14" width="10.42578125" style="20" bestFit="1" customWidth="1"/>
    <col min="15" max="15" width="8.42578125" style="20" bestFit="1" customWidth="1"/>
    <col min="16" max="16" width="10.42578125" style="20" bestFit="1" customWidth="1"/>
    <col min="17" max="17" width="25.28515625" style="20"/>
    <col min="18" max="16384" width="25.28515625" style="1"/>
  </cols>
  <sheetData>
    <row r="1" spans="2:17" ht="6" customHeight="1" x14ac:dyDescent="0.25"/>
    <row r="2" spans="2:17" s="3" customFormat="1" ht="60.75" customHeight="1" x14ac:dyDescent="0.25">
      <c r="B2" s="233"/>
      <c r="C2" s="233"/>
      <c r="D2" s="233"/>
      <c r="E2" s="233"/>
      <c r="F2" s="233"/>
      <c r="G2" s="233"/>
      <c r="H2" s="233"/>
      <c r="I2" s="233"/>
      <c r="J2" s="233"/>
      <c r="K2" s="233"/>
      <c r="L2" s="233"/>
      <c r="M2" s="25"/>
      <c r="N2" s="25"/>
      <c r="O2" s="25"/>
      <c r="P2" s="25"/>
      <c r="Q2" s="25"/>
    </row>
    <row r="3" spans="2:17" s="3" customFormat="1" ht="60.75" customHeight="1" x14ac:dyDescent="0.25">
      <c r="B3" s="233"/>
      <c r="C3" s="233"/>
      <c r="D3" s="233"/>
      <c r="E3" s="233"/>
      <c r="F3" s="233"/>
      <c r="G3" s="233"/>
      <c r="H3" s="233"/>
      <c r="I3" s="233"/>
      <c r="J3" s="233"/>
      <c r="K3" s="233"/>
      <c r="L3" s="233"/>
      <c r="M3" s="25"/>
      <c r="N3" s="25"/>
      <c r="O3" s="25"/>
      <c r="P3" s="25"/>
      <c r="Q3" s="25"/>
    </row>
    <row r="4" spans="2:17" s="3" customFormat="1" ht="13.5" customHeight="1" x14ac:dyDescent="0.25">
      <c r="B4" s="233"/>
      <c r="C4" s="233"/>
      <c r="D4" s="233"/>
      <c r="E4" s="233"/>
      <c r="F4" s="233"/>
      <c r="G4" s="233"/>
      <c r="H4" s="233"/>
      <c r="I4" s="233"/>
      <c r="J4" s="233"/>
      <c r="K4" s="233"/>
      <c r="L4" s="233"/>
      <c r="M4" s="25"/>
      <c r="N4" s="25"/>
      <c r="O4" s="25"/>
      <c r="P4" s="25"/>
      <c r="Q4" s="25"/>
    </row>
    <row r="5" spans="2:17" s="3" customFormat="1" ht="30" customHeight="1" x14ac:dyDescent="0.25">
      <c r="B5" s="59" t="s">
        <v>32</v>
      </c>
      <c r="C5" s="221" t="s">
        <v>82</v>
      </c>
      <c r="D5" s="222"/>
      <c r="E5" s="222"/>
      <c r="F5" s="222"/>
      <c r="G5" s="120">
        <v>17</v>
      </c>
      <c r="I5" s="4"/>
      <c r="J5" s="4"/>
      <c r="M5" s="25"/>
      <c r="N5" s="25"/>
      <c r="O5" s="25"/>
      <c r="P5" s="25"/>
      <c r="Q5" s="25"/>
    </row>
    <row r="6" spans="2:17" ht="30" customHeight="1" x14ac:dyDescent="0.25">
      <c r="B6" s="161" t="s">
        <v>39</v>
      </c>
      <c r="C6" s="79"/>
      <c r="D6" s="263" t="s">
        <v>42</v>
      </c>
      <c r="E6" s="264"/>
      <c r="F6" s="264"/>
      <c r="G6" s="265"/>
      <c r="H6" s="113"/>
      <c r="I6" s="263" t="s">
        <v>3</v>
      </c>
      <c r="J6" s="264"/>
      <c r="K6" s="264"/>
      <c r="L6" s="265"/>
    </row>
    <row r="7" spans="2:17" ht="18" customHeight="1" x14ac:dyDescent="0.25">
      <c r="B7" s="131" t="s">
        <v>15</v>
      </c>
      <c r="C7" s="28" t="s">
        <v>0</v>
      </c>
      <c r="D7" s="28" t="s">
        <v>43</v>
      </c>
      <c r="E7" s="28" t="s">
        <v>44</v>
      </c>
      <c r="F7" s="28" t="s">
        <v>77</v>
      </c>
      <c r="G7" s="28" t="s">
        <v>78</v>
      </c>
      <c r="H7" s="114"/>
      <c r="I7" s="28" t="s">
        <v>18</v>
      </c>
      <c r="J7" s="28" t="s">
        <v>15</v>
      </c>
      <c r="K7" s="28" t="s">
        <v>0</v>
      </c>
      <c r="L7" s="28" t="s">
        <v>45</v>
      </c>
    </row>
    <row r="8" spans="2:17" ht="18" customHeight="1" x14ac:dyDescent="0.25">
      <c r="B8" s="33" t="s">
        <v>490</v>
      </c>
      <c r="C8" s="33" t="str">
        <f>IFERROR(IF(B8="","",VLOOKUP(B8,LISTAS!$F$5:$G$1004,2,0)),"0")</f>
        <v>COLEGIO PETROPOLIS</v>
      </c>
      <c r="D8" s="33" t="str">
        <f>IF(H8&lt;3,"",IF(H8=3,IF(D16&lt;&gt;"",IF(H16&lt;&gt;"",IF(D16&lt;&gt;H16,IF(D16&gt;H16,"V","D"),""),""),""),IF(H8=4,IF(D16&lt;&gt;"",IF(H16&lt;&gt;"",IF(D16&lt;&gt;H16,IF(D16&gt;H16,"V","D"),""),""),""),IF(H8=5,IF(D16&lt;&gt;"",IF(H16&lt;&gt;"",IF(D16&lt;&gt;H16,IF(D16&gt;H16,"V","D"),""),""),"")))))</f>
        <v>D</v>
      </c>
      <c r="E8" s="33" t="str">
        <f>IF(H8&lt;3,"",IF(H8=3,IF(D18&lt;&gt;"",IF(H18&lt;&gt;"",IF(D18&lt;&gt;H18,IF(D18&gt;H18,"V","D"),""),""),""),IF(H8=4,IF(D18&lt;&gt;"",IF(H18&lt;&gt;"",IF(D18&lt;&gt;H18,IF(D18&gt;H18,"V","D"),""),""),""),IF(H8=5,IF(D20&lt;&gt;"",IF(H20&lt;&gt;"",IF(D20&lt;&gt;H20,IF(D18&gt;H18,"D","V"),""),""),"")))))</f>
        <v>D</v>
      </c>
      <c r="F8" s="33" t="str">
        <f>IF(H8&lt;4,"-",IF(H8=3,"",IF(H8=4,IF(D21&lt;&gt;"",IF(H21&lt;&gt;"",IF(D21&lt;&gt;H21,IF(D21&gt;H21,"V","D"),""),""),""),IF(H8=5,IF(D23&lt;&gt;"",IF(H23&lt;&gt;"",IF(D23&lt;&gt;H23,IF(D23&gt;H23,"D","V"),""),""),"")))))</f>
        <v>-</v>
      </c>
      <c r="G8" s="33" t="str">
        <f>IF(H8&lt;5,"-",IF(H8=3,"",IF(H8=4,"",IF(H8=5,IF(D25&lt;&gt;"",IF(H25&lt;&gt;"",IF(D25&lt;&gt;H25,IF(D25&gt;H25,"D","V"),""),""),"")))))</f>
        <v>-</v>
      </c>
      <c r="H8" s="117">
        <f>COUNTA(B8:B12)</f>
        <v>3</v>
      </c>
      <c r="I8" s="33">
        <f>IF(B8&lt;&gt;"",1,"")</f>
        <v>1</v>
      </c>
      <c r="J8" s="33" t="str">
        <f>IF(I8&lt;&gt;"",P8,"")</f>
        <v>ARTHUR LOPES LINARES SANTANA</v>
      </c>
      <c r="K8" s="33" t="str">
        <f>IFERROR(IF(J8="","",VLOOKUP(J8,LISTAS!$F$5:$G$1004,2,0)),"0")</f>
        <v>COLÉGIO ARBOS - UNIDADE SANTO ANDRÉ</v>
      </c>
      <c r="L8" s="130" t="str">
        <f>IF(B8&lt;&gt;"",IF(G5=1,"OURO",IF(G5=2,IF(H8&lt;3,"",IF(H8&gt;4,"",IF(H8=3,"OURO",IF(H8=4,"OURO")))),IF(G5&gt;=3,"OURO",""))),"")</f>
        <v>OURO</v>
      </c>
      <c r="M8" s="20">
        <f>IF(B8&lt;&gt;"",COUNTIF(D8:G8,"V")+(SUMIF(B16:B25,B8,D16:E25)/1000)+(SUMIF(J16:J25,B8,H16:I25)/1000)-(SUMIF(B16:B25,B8,H16:I25)/1000)-(SUMIF(J16:J25,B8,D16:E25)/1000)+0.005,"")</f>
        <v>1E-3</v>
      </c>
      <c r="N8" s="20" t="str">
        <f>IF(B8="","",B8)</f>
        <v>DAVI L RUGGERI</v>
      </c>
      <c r="O8" s="20">
        <f>IF(B8&lt;&gt;"",LARGE(M8:M12,1),"")</f>
        <v>2.0079999999999996</v>
      </c>
      <c r="P8" s="20" t="str">
        <f>VLOOKUP(O8,M8:N12,2,0)</f>
        <v>ARTHUR LOPES LINARES SANTANA</v>
      </c>
    </row>
    <row r="9" spans="2:17" ht="18" customHeight="1" x14ac:dyDescent="0.25">
      <c r="B9" s="33" t="s">
        <v>483</v>
      </c>
      <c r="C9" s="33" t="str">
        <f>IFERROR(IF(B9="","",VLOOKUP(B9,LISTAS!$F$5:$G$1004,2,0)),"0")</f>
        <v>COLÉGIO ARBOS - UNIDADE SANTO ANDRÉ</v>
      </c>
      <c r="D9" s="33" t="str">
        <f>IF(H8&lt;3,"",IF(H8=3,IF(D17&lt;&gt;"",IF(H17&lt;&gt;"",IF(D17&lt;&gt;H17,IF(D17&gt;H17,"V","D"),""),""),""),IF(H8=4,IF(D17&lt;&gt;"",IF(H17&lt;&gt;"",IF(D17&lt;&gt;H17,IF(D17&gt;H17,"V","D"),""),""),""),IF(H8=5,IF(D17&lt;&gt;"",IF(H17&lt;&gt;"",IF(D17&lt;&gt;H17,IF(D17&gt;H17,"V","D"),""),""),"")))))</f>
        <v>V</v>
      </c>
      <c r="E9" s="33" t="str">
        <f>IF(H8&lt;3,"",IF(H8=3,IF(D18&lt;&gt;"",IF(H18&lt;&gt;"",IF(D18&lt;&gt;H18,IF(D18&gt;H18,"D","V"),""),""),""),IF(H8=4,IF(D19&lt;&gt;"",IF(H19&lt;&gt;"",IF(D19&lt;&gt;H19,IF(D19&gt;H19,"V","D"),""),""),""),IF(H8=5,IF(D18&lt;&gt;"",IF(H18&lt;&gt;"",IF(D18&lt;&gt;H18,IF(D18&gt;H18,"V","D"),""),""),"")))))</f>
        <v>V</v>
      </c>
      <c r="F9" s="33" t="str">
        <f>IF(H8&lt;4,"-",IF(H8=3,"",IF(H8=4,IF(D21&lt;&gt;"",IF(H21&lt;&gt;"",IF(D21&lt;&gt;H21,IF(D21&gt;H21,"D","V"),""),""),""),IF(H8=5,IF(D22&lt;&gt;"",IF(H22&lt;&gt;"",IF(D22&lt;&gt;H22,IF(D22&gt;H22,"D","V"),""),""),"")))))</f>
        <v>-</v>
      </c>
      <c r="G9" s="33" t="str">
        <f>IF(H8&lt;5,"-",IF(H8=3,"",IF(H8=4,"",IF(H8=5,IF(D25&lt;&gt;"",IF(H25&lt;&gt;"",IF(D25&lt;&gt;H25,IF(D25&gt;H25,"V","D"),""),""),"")))))</f>
        <v>-</v>
      </c>
      <c r="H9" s="115"/>
      <c r="I9" s="33">
        <f>IF(B9&lt;&gt;"",2,"")</f>
        <v>2</v>
      </c>
      <c r="J9" s="33" t="str">
        <f>IF(I9&lt;&gt;"",P9,"")</f>
        <v>GUILHERME TEIXEIRA DOS REIS</v>
      </c>
      <c r="K9" s="33" t="str">
        <f>IFERROR(IF(J9="","",VLOOKUP(J9,LISTAS!$F$5:$G$1004,2,0)),"0")</f>
        <v>COLÉGIO ENGENHEIRO SALVADOR ARENA</v>
      </c>
      <c r="L9" s="130" t="str">
        <f>IF(B9&lt;&gt;"",IF(G5=1,"OURO",IF(G5=2,IF(H8&lt;3,"",IF(H8&gt;4,"",IF(H8=3,"PRATA",IF(H8=4,"OURO")))),IF(G5&gt;=3,"PRATA",""))),"")</f>
        <v>PRATA</v>
      </c>
      <c r="M9" s="118">
        <f>IF(B9&lt;&gt;"",COUNTIF(D9:G9,"V")+(SUMIF(B16:B25,B9,D16:E25)/1000)+(SUMIF(J16:J25,B9,H16:I25)/1000)-(SUMIF(B16:B25,B9,H16:I25)/1000)-(SUMIF(J16:J25,B9,D16:E25)/1000)+0.004,"")</f>
        <v>2.0079999999999996</v>
      </c>
      <c r="N9" s="20" t="str">
        <f t="shared" ref="N9" si="0">IF(B9="","",B9)</f>
        <v>ARTHUR LOPES LINARES SANTANA</v>
      </c>
      <c r="O9" s="20">
        <f>IF(B9&lt;&gt;"",LARGE(M8:M12,2),"")</f>
        <v>1.0029999999999999</v>
      </c>
      <c r="P9" s="20" t="str">
        <f>VLOOKUP(O9,M8:N12,2,0)</f>
        <v>GUILHERME TEIXEIRA DOS REIS</v>
      </c>
    </row>
    <row r="10" spans="2:17" ht="18" customHeight="1" x14ac:dyDescent="0.25">
      <c r="B10" s="33" t="s">
        <v>498</v>
      </c>
      <c r="C10" s="33" t="str">
        <f>IFERROR(IF(B10="","",VLOOKUP(B10,LISTAS!$F$5:$G$1004,2,0)),"0")</f>
        <v>COLÉGIO ENGENHEIRO SALVADOR ARENA</v>
      </c>
      <c r="D10" s="33" t="str">
        <f>IF(H8&lt;3,"",IF(H8=3,IF(D16&lt;&gt;"",IF(H16&lt;&gt;"",IF(D16&lt;&gt;H16,IF(D16&gt;H16,"D","V"),""),""),""),IF(H8=4,IF(D17&lt;&gt;"",IF(H17&lt;&gt;"",IF(D17&lt;&gt;H17,IF(D17&gt;H17,"D","V"),""),""),""),IF(H8=5,IF(D18&lt;&gt;"",IF(H18&lt;&gt;"",IF(D18&lt;&gt;H18,IF(D18&gt;H18,"D","V"),""),""),"")))))</f>
        <v>V</v>
      </c>
      <c r="E10" s="33" t="str">
        <f>IF(H8&lt;3,"",IF(H8=3,IF(D17&lt;&gt;"",IF(H17&lt;&gt;"",IF(D17&lt;&gt;H17,IF(D17&gt;H17,"D","V"),""),""),""),IF(H8=4,IF(D18&lt;&gt;"",IF(H18&lt;&gt;"",IF(D18&lt;&gt;H18,IF(D18&gt;H18,"D","V"),""),""),""),IF(H8=5,IF(D21&lt;&gt;"",IF(H21&lt;&gt;"",IF(D21&lt;&gt;H21,IF(D21&gt;H21,"D","V"),""),""),"")))))</f>
        <v>D</v>
      </c>
      <c r="F10" s="33" t="str">
        <f>IF(H8&lt;4,"-",IF(H8=3,"",IF(H8=4,IF(D20&lt;&gt;"",IF(H20&lt;&gt;"",IF(D20&lt;&gt;H20,IF(D20&gt;H20,"V","D"),""),""),""),IF(H8=5,IF(D23&lt;&gt;"",IF(H23&lt;&gt;"",IF(D23&lt;&gt;H23,IF(D23&gt;H23,"V","D"),""),""),"")))))</f>
        <v>-</v>
      </c>
      <c r="G10" s="33" t="str">
        <f>IF(H8&lt;5,"-",IF(H8=3,"",IF(H8=4,"",IF(H8=5,IF(D24&lt;&gt;"",IF(H24&lt;&gt;"",IF(D24&lt;&gt;H24,IF(D24&gt;H24,"V","D"),""),""),"")))))</f>
        <v>-</v>
      </c>
      <c r="H10" s="115"/>
      <c r="I10" s="33">
        <f>IF(B10&lt;&gt;"",3,"")</f>
        <v>3</v>
      </c>
      <c r="J10" s="33" t="str">
        <f>IF(I10&lt;&gt;"",P10,"")</f>
        <v>DAVI L RUGGERI</v>
      </c>
      <c r="K10" s="33" t="str">
        <f>IFERROR(IF(J10="","",VLOOKUP(J10,LISTAS!$F$5:$G$1004,2,0)),"0")</f>
        <v>COLEGIO PETROPOLIS</v>
      </c>
      <c r="L10" s="130" t="str">
        <f>IF(B10&lt;&gt;"",IF(G5=1,"OURO",IF(G5=2,IF(H8&lt;3,"",IF(H8&gt;4,"",IF(H8=3,"BRONZE",IF(H8=4,"PRATA")))),IF(G5&gt;=3,"BRONZE",""))),"")</f>
        <v>BRONZE</v>
      </c>
      <c r="M10" s="118">
        <f>IF(B10&lt;&gt;"",COUNTIF(D10:G10,"V")+(SUMIF(B16:B25,B10,D16:E25)/1000)+(SUMIF(J16:J25,B10,H16:I25)/1000)-(SUMIF(B16:B25,B10,H16:I25)/1000)-(SUMIF(J16:J25,B10,D16:E25)/1000)+0.003,"")</f>
        <v>1.0029999999999999</v>
      </c>
      <c r="N10" s="20" t="str">
        <f>IF(B10="","",B10)</f>
        <v>GUILHERME TEIXEIRA DOS REIS</v>
      </c>
      <c r="O10" s="20">
        <f>IF(B10&lt;&gt;"",LARGE(M8:M12,3),"")</f>
        <v>1E-3</v>
      </c>
      <c r="P10" s="20" t="str">
        <f>VLOOKUP(O10,M8:N12,2,0)</f>
        <v>DAVI L RUGGERI</v>
      </c>
    </row>
    <row r="11" spans="2:17" ht="18" customHeight="1" x14ac:dyDescent="0.25">
      <c r="B11" s="33"/>
      <c r="C11" s="33" t="str">
        <f>IFERROR(IF(B11="","",VLOOKUP(B11,LISTAS!$F$5:$G$1004,2,0)),"0")</f>
        <v/>
      </c>
      <c r="D11" s="33" t="str">
        <f>IF(H8&lt;3,"",IF(H8=3,"",IF(H8=4,IF(D16&lt;&gt;"",IF(H16&lt;&gt;"",IF(D16&lt;&gt;H16,IF(D16&gt;H16,"D","V"),""),""),""),IF(H8=5,IF(D17&lt;&gt;"",IF(H17&lt;&gt;"",IF(D17&lt;&gt;H17,IF(D17&gt;H17,"D","V"),""),""),"")))))</f>
        <v/>
      </c>
      <c r="E11" s="33" t="str">
        <f>IF(H8&lt;3,"",IF(H8=3,"",IF(H8=4,IF(D19&lt;&gt;"",IF(H19&lt;&gt;"",IF(D19&lt;&gt;H19,IF(D19&gt;H19,"D","V"),""),""),""),IF(H8=5,IF(D19&lt;&gt;"",IF(H19&lt;&gt;"",IF(D19&lt;&gt;H19,IF(D19&gt;H19,"V","D"),""),""),"")))))</f>
        <v/>
      </c>
      <c r="F11" s="33" t="str">
        <f>IF(H8&lt;4,"-",IF(H8=3,"",IF(H8=4,IF(D20&lt;&gt;"",IF(H20&lt;&gt;"",IF(D20&lt;&gt;H20,IF(D20&gt;H20,"D","V"),""),""),""),IF(H8=5,IF(D20&lt;&gt;"",IF(H20&lt;&gt;"",IF(D20&lt;&gt;H20,IF(D20&gt;H20,"V","D"),""),""),"")))))</f>
        <v>-</v>
      </c>
      <c r="G11" s="33" t="str">
        <f>IF(H8&lt;5,"-",IF(H8=3,"",IF(H8=4,"",IF(H8=5,IF(D24&lt;&gt;"",IF(H24&lt;&gt;"",IF(D24&lt;&gt;H24,IF(D24&gt;H24,"D","V"),""),""),"")))))</f>
        <v>-</v>
      </c>
      <c r="H11" s="115"/>
      <c r="I11" s="33" t="str">
        <f>IF(B11&lt;&gt;"",4,"")</f>
        <v/>
      </c>
      <c r="J11" s="33" t="str">
        <f>IF(I11&lt;&gt;"",P11,"")</f>
        <v/>
      </c>
      <c r="K11" s="33" t="str">
        <f>IFERROR(IF(J11="","",VLOOKUP(J11,LISTAS!$F$5:$G$1004,2,0)),"0")</f>
        <v/>
      </c>
      <c r="L11" s="130" t="str">
        <f>IF(B11&lt;&gt;"",IF(G5=1,"OURO",IF(G5=2,IF(H8&lt;3,"",IF(H8&gt;4,"",IF(H8=3,"",IF(H8=4,"PRATA")))),IF(G5&gt;=3,"",""))),"")</f>
        <v/>
      </c>
      <c r="M11" s="20" t="str">
        <f>IF(B11&lt;&gt;"",COUNTIF(D11:G11,"V")+(SUMIF(B16:B25,B11,D16:E25)/1000)+(SUMIF(J16:J25,B11,H16:I25)/1000)-(SUMIF(B16:B25,B11,H16:I25)/1000)-(SUMIF(J16:J25,B11,D16:E25)/1000)+0.002,"")</f>
        <v/>
      </c>
      <c r="N11" s="20" t="str">
        <f>IF(B11="","",B11)</f>
        <v/>
      </c>
      <c r="O11" s="20" t="str">
        <f>IF(B11&lt;&gt;"",LARGE(M8:M12,4),"")</f>
        <v/>
      </c>
      <c r="P11" s="20" t="str">
        <f>VLOOKUP(O11,M8:N12,2,0)</f>
        <v/>
      </c>
    </row>
    <row r="12" spans="2:17" ht="18" customHeight="1" x14ac:dyDescent="0.25">
      <c r="B12" s="33"/>
      <c r="C12" s="33" t="str">
        <f>IFERROR(IF(B12="","",VLOOKUP(B12,LISTAS!$F$5:$G$1004,2,0)),"0")</f>
        <v/>
      </c>
      <c r="D12" s="33" t="str">
        <f>IF(H8&lt;3,"",IF(H8=3,"",IF(H8=4,"",IF(H8=5,IF(D16&lt;&gt;"",IF(H16&lt;&gt;"",IF(D16&lt;&gt;H16,IF(D16&gt;H16,"D","V"),""),""),"")))))</f>
        <v/>
      </c>
      <c r="E12" s="33" t="str">
        <f>IF(H8&lt;3,"",IF(H8=3,"",IF(H8=4,"",IF(H8=5,IF(D19&lt;&gt;"",IF(H19&lt;&gt;"",IF(D19&lt;&gt;H19,IF(D19&gt;H19,"D","V"),""),""),"")))))</f>
        <v/>
      </c>
      <c r="F12" s="33" t="str">
        <f>IF(H8&lt;4,"-",IF(H8=3,"",IF(H8=4,"",IF(H8=5,IF(D21&lt;&gt;"",IF(H21&lt;&gt;"",IF(D21&lt;&gt;H21,IF(D21&gt;H21,"V","D"),""),""),"")))))</f>
        <v>-</v>
      </c>
      <c r="G12" s="33" t="str">
        <f>IF(H8&lt;5,"-",IF(H8=3,"",IF(H8=4,"",IF(H8=5,IF(D22&lt;&gt;"",IF(H22&lt;&gt;"",IF(D22&lt;&gt;H22,IF(D22&gt;H22,"V","D"),""),""),"")))))</f>
        <v>-</v>
      </c>
      <c r="H12" s="116"/>
      <c r="I12" s="33" t="str">
        <f>IF(B12&lt;&gt;"",5,"")</f>
        <v/>
      </c>
      <c r="J12" s="33" t="str">
        <f>IF(I12&lt;&gt;"",P12,"")</f>
        <v/>
      </c>
      <c r="K12" s="33" t="str">
        <f>IFERROR(IF(J12="","",VLOOKUP(J12,LISTAS!$F$5:$G$1004,2,0)),"0")</f>
        <v/>
      </c>
      <c r="L12" s="130" t="str">
        <f>IF(B12&lt;&gt;"",IF(G5=1,"OURO",IF(G5=2,IF(H8&lt;3,"",IF(H8&gt;4,"",IF(H8=3,"",IF(H8=4,"")))),IF(G5&gt;=3,"",""))),"")</f>
        <v/>
      </c>
      <c r="M12" s="20" t="str">
        <f>IF(B12&lt;&gt;"",COUNTIF(D12:G12,"V")+(SUMIF(B16:B25,B12,D16:E25)/1000)+(SUMIF(J16:J25,B12,H16:I25)/1000)-(SUMIF(B16:B25,B12,H16:I25)/1000)-(SUMIF(J16:J25,B12,D16:E25)/1000)+0.001,"")</f>
        <v/>
      </c>
      <c r="N12" s="20" t="str">
        <f>IF(B12="","",B12)</f>
        <v/>
      </c>
      <c r="O12" s="20" t="str">
        <f>IF(B12&lt;&gt;"",LARGE(M8:M12,5),"")</f>
        <v/>
      </c>
      <c r="P12" s="20" t="str">
        <f>VLOOKUP(O12,M8:N12,2,0)</f>
        <v/>
      </c>
    </row>
    <row r="13" spans="2:17" ht="18" customHeight="1" x14ac:dyDescent="0.25">
      <c r="B13" s="79"/>
      <c r="C13" s="79"/>
      <c r="D13" s="79"/>
      <c r="E13" s="79"/>
      <c r="F13" s="79"/>
      <c r="G13" s="79"/>
      <c r="I13" s="80"/>
      <c r="J13" s="79"/>
      <c r="K13" s="81"/>
      <c r="L13" s="81"/>
    </row>
    <row r="14" spans="2:17" ht="23.25" customHeight="1" x14ac:dyDescent="0.25">
      <c r="B14" s="82" t="s">
        <v>40</v>
      </c>
      <c r="C14" s="79"/>
      <c r="D14" s="79"/>
      <c r="E14" s="79"/>
      <c r="F14" s="79"/>
      <c r="G14" s="79"/>
      <c r="H14" s="79"/>
      <c r="I14" s="79"/>
      <c r="J14" s="79"/>
      <c r="K14" s="79"/>
      <c r="L14" s="79"/>
    </row>
    <row r="15" spans="2:17" ht="18" customHeight="1" x14ac:dyDescent="0.25">
      <c r="B15" s="132" t="s">
        <v>15</v>
      </c>
      <c r="C15" s="132" t="s">
        <v>0</v>
      </c>
      <c r="D15" s="258" t="s">
        <v>41</v>
      </c>
      <c r="E15" s="259"/>
      <c r="F15" s="259"/>
      <c r="G15" s="259"/>
      <c r="H15" s="259"/>
      <c r="I15" s="260"/>
      <c r="J15" s="132" t="s">
        <v>15</v>
      </c>
      <c r="K15" s="132" t="s">
        <v>0</v>
      </c>
      <c r="L15" s="79"/>
    </row>
    <row r="16" spans="2:17" ht="18" customHeight="1" x14ac:dyDescent="0.25">
      <c r="B16" s="33" t="str">
        <f>IF(H8=3,B8,IF(H8=4,B8,IF(H8=5,B8,"")))</f>
        <v>DAVI L RUGGERI</v>
      </c>
      <c r="C16" s="33" t="str">
        <f>IFERROR(IF(B16="","",VLOOKUP(B16,LISTAS!$F$5:$G$1004,2,0)),"0")</f>
        <v>COLEGIO PETROPOLIS</v>
      </c>
      <c r="D16" s="253">
        <v>0</v>
      </c>
      <c r="E16" s="254"/>
      <c r="F16" s="253" t="s">
        <v>38</v>
      </c>
      <c r="G16" s="254"/>
      <c r="H16" s="253">
        <v>2</v>
      </c>
      <c r="I16" s="254"/>
      <c r="J16" s="111" t="str">
        <f>IF(H8=3,B10,IF(H8=4,B11,IF(H8=5,B12,"")))</f>
        <v>GUILHERME TEIXEIRA DOS REIS</v>
      </c>
      <c r="K16" s="33" t="str">
        <f>IFERROR(IF(J16="","",VLOOKUP(J16,LISTAS!$F$5:$G$1004,2,0)),"0")</f>
        <v>COLÉGIO ENGENHEIRO SALVADOR ARENA</v>
      </c>
      <c r="L16" s="81"/>
    </row>
    <row r="17" spans="2:16" ht="18" customHeight="1" x14ac:dyDescent="0.25">
      <c r="B17" s="33" t="str">
        <f>IF(H8=3,B9,IF(H8=4,B9,IF(H8=5,B9,"")))</f>
        <v>ARTHUR LOPES LINARES SANTANA</v>
      </c>
      <c r="C17" s="33" t="str">
        <f>IFERROR(IF(B17="","",VLOOKUP(B17,LISTAS!$F$5:$G$1004,2,0)),"0")</f>
        <v>COLÉGIO ARBOS - UNIDADE SANTO ANDRÉ</v>
      </c>
      <c r="D17" s="253">
        <v>2</v>
      </c>
      <c r="E17" s="254"/>
      <c r="F17" s="253" t="s">
        <v>38</v>
      </c>
      <c r="G17" s="254"/>
      <c r="H17" s="253">
        <v>0</v>
      </c>
      <c r="I17" s="254"/>
      <c r="J17" s="111" t="str">
        <f>IF(H8=3,B10,IF(H8=4,B10,IF(H8=5,B11,"")))</f>
        <v>GUILHERME TEIXEIRA DOS REIS</v>
      </c>
      <c r="K17" s="33" t="str">
        <f>IFERROR(IF(J17="","",VLOOKUP(J17,LISTAS!$F$5:$G$1004,2,0)),"0")</f>
        <v>COLÉGIO ENGENHEIRO SALVADOR ARENA</v>
      </c>
      <c r="L17" s="79"/>
    </row>
    <row r="18" spans="2:16" ht="18" customHeight="1" x14ac:dyDescent="0.25">
      <c r="B18" s="33" t="str">
        <f>IF(H8=3,B8,IF(H8=4,B8,IF(H8=5,B9,"")))</f>
        <v>DAVI L RUGGERI</v>
      </c>
      <c r="C18" s="33" t="str">
        <f>IFERROR(IF(B18="","",VLOOKUP(B18,LISTAS!$F$5:$G$1004,2,0)),"0")</f>
        <v>COLEGIO PETROPOLIS</v>
      </c>
      <c r="D18" s="253">
        <v>0</v>
      </c>
      <c r="E18" s="254"/>
      <c r="F18" s="253" t="s">
        <v>38</v>
      </c>
      <c r="G18" s="254"/>
      <c r="H18" s="253">
        <v>2</v>
      </c>
      <c r="I18" s="254"/>
      <c r="J18" s="111" t="str">
        <f>IF(H8=3,B9,IF(H8=4,B10,IF(H8=5,B10,"")))</f>
        <v>ARTHUR LOPES LINARES SANTANA</v>
      </c>
      <c r="K18" s="33" t="str">
        <f>IFERROR(IF(J18="","",VLOOKUP(J18,LISTAS!$F$5:$G$1004,2,0)),"0")</f>
        <v>COLÉGIO ARBOS - UNIDADE SANTO ANDRÉ</v>
      </c>
      <c r="L18" s="81"/>
    </row>
    <row r="19" spans="2:16" ht="18" customHeight="1" x14ac:dyDescent="0.25">
      <c r="B19" s="33" t="str">
        <f>IF(H8=3,"",IF(H8=4,B9,IF(H8=5,B11,"")))</f>
        <v/>
      </c>
      <c r="C19" s="33" t="str">
        <f>IFERROR(IF(B19="","",VLOOKUP(B19,LISTAS!$F$5:$G$1004,2,0)),"0")</f>
        <v/>
      </c>
      <c r="D19" s="253"/>
      <c r="E19" s="254"/>
      <c r="F19" s="253" t="s">
        <v>38</v>
      </c>
      <c r="G19" s="254"/>
      <c r="H19" s="253"/>
      <c r="I19" s="254"/>
      <c r="J19" s="111" t="str">
        <f>IF(H8=3,"",IF(H8=4,B11,IF(H8=5,B12,"")))</f>
        <v/>
      </c>
      <c r="K19" s="33" t="str">
        <f>IFERROR(IF(J19="","",VLOOKUP(J19,LISTAS!$F$5:$G$1004,2,0)),"0")</f>
        <v/>
      </c>
      <c r="L19" s="81"/>
    </row>
    <row r="20" spans="2:16" ht="18" customHeight="1" x14ac:dyDescent="0.25">
      <c r="B20" s="33" t="str">
        <f>IF(H8=3,"",IF(H8=4,B10,IF(H8=5,B11,"")))</f>
        <v/>
      </c>
      <c r="C20" s="33" t="str">
        <f>IFERROR(IF(B20="","",VLOOKUP(B20,LISTAS!$F$5:$G$1004,2,0)),"0")</f>
        <v/>
      </c>
      <c r="D20" s="253"/>
      <c r="E20" s="254"/>
      <c r="F20" s="253" t="s">
        <v>38</v>
      </c>
      <c r="G20" s="254"/>
      <c r="H20" s="253"/>
      <c r="I20" s="254"/>
      <c r="J20" s="111" t="str">
        <f>IF(H8=3,"",IF(H8=4,B11,IF(H8=5,B8,"")))</f>
        <v/>
      </c>
      <c r="K20" s="33" t="str">
        <f>IFERROR(IF(J20="","",VLOOKUP(J20,LISTAS!$F$5:$G$1004,2,0)),"0")</f>
        <v/>
      </c>
      <c r="L20" s="81"/>
    </row>
    <row r="21" spans="2:16" ht="18" customHeight="1" x14ac:dyDescent="0.25">
      <c r="B21" s="33" t="str">
        <f>IF(H8=3,"",IF(H8=4,B8,IF(H8=5,B12,"")))</f>
        <v/>
      </c>
      <c r="C21" s="33" t="str">
        <f>IFERROR(IF(B21="","",VLOOKUP(B21,LISTAS!$F$5:$G$1004,2,0)),"0")</f>
        <v/>
      </c>
      <c r="D21" s="253"/>
      <c r="E21" s="254"/>
      <c r="F21" s="253" t="s">
        <v>38</v>
      </c>
      <c r="G21" s="254"/>
      <c r="H21" s="253"/>
      <c r="I21" s="254"/>
      <c r="J21" s="111" t="str">
        <f>IF(H8=3,"",IF(H8=4,B9,IF(H8=5,B10,"")))</f>
        <v/>
      </c>
      <c r="K21" s="33" t="str">
        <f>IFERROR(IF(J21="","",VLOOKUP(J21,LISTAS!$F$5:$G$1004,2,0)),"0")</f>
        <v/>
      </c>
      <c r="L21" s="81"/>
    </row>
    <row r="22" spans="2:16" ht="18" customHeight="1" x14ac:dyDescent="0.25">
      <c r="B22" s="33" t="str">
        <f>IF(H8=3,"",IF(H8=4,"",IF(H8=5,B12,"")))</f>
        <v/>
      </c>
      <c r="C22" s="33" t="str">
        <f>IFERROR(IF(B22="","",VLOOKUP(B22,LISTAS!$F$5:$G$1004,2,0)),"0")</f>
        <v/>
      </c>
      <c r="D22" s="253"/>
      <c r="E22" s="254"/>
      <c r="F22" s="253" t="s">
        <v>38</v>
      </c>
      <c r="G22" s="254"/>
      <c r="H22" s="253"/>
      <c r="I22" s="254"/>
      <c r="J22" s="111" t="str">
        <f>IF(H8=3,"",IF(H8=4,"",IF(H8=5,B9,"")))</f>
        <v/>
      </c>
      <c r="K22" s="33" t="str">
        <f>IFERROR(IF(J22="","",VLOOKUP(J22,LISTAS!$F$5:$G$1004,2,0)),"0")</f>
        <v/>
      </c>
      <c r="L22" s="81"/>
    </row>
    <row r="23" spans="2:16" ht="18" customHeight="1" x14ac:dyDescent="0.25">
      <c r="B23" s="99" t="str">
        <f>IF(H8=3,"",IF(H8=4,"",IF(H8=5,B10,"")))</f>
        <v/>
      </c>
      <c r="C23" s="33" t="str">
        <f>IFERROR(IF(B23="","",VLOOKUP(B23,LISTAS!$F$5:$G$1004,2,0)),"0")</f>
        <v/>
      </c>
      <c r="D23" s="253"/>
      <c r="E23" s="254"/>
      <c r="F23" s="253" t="s">
        <v>38</v>
      </c>
      <c r="G23" s="254"/>
      <c r="H23" s="253"/>
      <c r="I23" s="254"/>
      <c r="J23" s="111" t="str">
        <f>IF(H8=3,"",IF(H8=4,"",IF(H8=5,B8,"")))</f>
        <v/>
      </c>
      <c r="K23" s="33" t="str">
        <f>IFERROR(IF(J23="","",VLOOKUP(J23,LISTAS!$F$5:$G$1004,2,0)),"0")</f>
        <v/>
      </c>
      <c r="L23" s="81"/>
    </row>
    <row r="24" spans="2:16" ht="18" customHeight="1" x14ac:dyDescent="0.25">
      <c r="B24" s="33" t="str">
        <f>IF(H8=3,"",IF(H8=4,"",IF(H8=5,B10,"")))</f>
        <v/>
      </c>
      <c r="C24" s="33" t="str">
        <f>IFERROR(IF(B24="","",VLOOKUP(B24,LISTAS!$F$5:$G$1004,2,0)),"0")</f>
        <v/>
      </c>
      <c r="D24" s="253"/>
      <c r="E24" s="254"/>
      <c r="F24" s="253" t="s">
        <v>38</v>
      </c>
      <c r="G24" s="254"/>
      <c r="H24" s="253"/>
      <c r="I24" s="254"/>
      <c r="J24" s="111" t="str">
        <f>IF(H8=3,"",IF(H8=4,"",IF(H8=5,B11,"")))</f>
        <v/>
      </c>
      <c r="K24" s="33" t="str">
        <f>IFERROR(IF(J24="","",VLOOKUP(J24,LISTAS!$F$5:$G$1004,2,0)),"0")</f>
        <v/>
      </c>
      <c r="L24" s="81"/>
    </row>
    <row r="25" spans="2:16" ht="18" customHeight="1" x14ac:dyDescent="0.25">
      <c r="B25" s="99" t="str">
        <f>IF(H8=3,"",IF(H8=4,"",IF(H8=5,B9,"")))</f>
        <v/>
      </c>
      <c r="C25" s="33" t="str">
        <f>IFERROR(IF(B25="","",VLOOKUP(B25,LISTAS!$F$5:$G$1004,2,0)),"0")</f>
        <v/>
      </c>
      <c r="D25" s="253"/>
      <c r="E25" s="254"/>
      <c r="F25" s="261" t="s">
        <v>38</v>
      </c>
      <c r="G25" s="262"/>
      <c r="H25" s="253"/>
      <c r="I25" s="254"/>
      <c r="J25" s="111" t="str">
        <f>IF(H8=3,"",IF(H8=4,"",IF(H8=5,B8,"")))</f>
        <v/>
      </c>
      <c r="K25" s="33" t="str">
        <f>IFERROR(IF(J25="","",VLOOKUP(J25,LISTAS!$F$5:$G$1004,2,0)),"0")</f>
        <v/>
      </c>
      <c r="L25" s="81"/>
    </row>
    <row r="28" spans="2:16" ht="30" customHeight="1" x14ac:dyDescent="0.25">
      <c r="B28" s="161" t="s">
        <v>46</v>
      </c>
      <c r="C28" s="79"/>
      <c r="D28" s="255" t="s">
        <v>42</v>
      </c>
      <c r="E28" s="256"/>
      <c r="F28" s="256"/>
      <c r="G28" s="257"/>
      <c r="H28" s="113"/>
      <c r="I28" s="255" t="s">
        <v>3</v>
      </c>
      <c r="J28" s="256"/>
      <c r="K28" s="256"/>
      <c r="L28" s="256"/>
    </row>
    <row r="29" spans="2:16" ht="18" customHeight="1" x14ac:dyDescent="0.25">
      <c r="B29" s="132" t="s">
        <v>15</v>
      </c>
      <c r="C29" s="132" t="s">
        <v>0</v>
      </c>
      <c r="D29" s="132" t="s">
        <v>43</v>
      </c>
      <c r="E29" s="132" t="s">
        <v>44</v>
      </c>
      <c r="F29" s="132" t="s">
        <v>77</v>
      </c>
      <c r="G29" s="132" t="s">
        <v>78</v>
      </c>
      <c r="H29" s="114"/>
      <c r="I29" s="132" t="s">
        <v>18</v>
      </c>
      <c r="J29" s="132" t="s">
        <v>15</v>
      </c>
      <c r="K29" s="132" t="s">
        <v>0</v>
      </c>
      <c r="L29" s="132" t="s">
        <v>45</v>
      </c>
    </row>
    <row r="30" spans="2:16" ht="18" customHeight="1" x14ac:dyDescent="0.25">
      <c r="B30" s="33" t="s">
        <v>506</v>
      </c>
      <c r="C30" s="33" t="str">
        <f>IFERROR(IF(B30="","",VLOOKUP(B30,LISTAS!$F$5:$G$1004,2,0)),"0")</f>
        <v>COLÉGIO ENGENHEIRO SALVADOR ARENA</v>
      </c>
      <c r="D30" s="33" t="str">
        <f>IF(H30&lt;3,"",IF(H30=3,IF(D37&lt;&gt;"",IF(H37&lt;&gt;"",IF(D37&lt;&gt;H37,IF(D37&gt;H37,"V","D"),""),""),""),IF(H30=4,IF(D37&lt;&gt;"",IF(H37&lt;&gt;"",IF(D37&lt;&gt;H37,IF(D37&gt;H37,"V","D"),""),""),""))))</f>
        <v>V</v>
      </c>
      <c r="E30" s="33" t="str">
        <f>IF(H30&lt;3,"",IF(H30=3,IF(D39&lt;&gt;"",IF(H39&lt;&gt;"",IF(D39&lt;&gt;H39,IF(D39&gt;H39,"V","D"),""),""),""),IF(H30=4,IF(D39&lt;&gt;"",IF(H39&lt;&gt;"",IF(D39&lt;&gt;H39,IF(D39&gt;H39,"V","D"),""),""),""))))</f>
        <v>V</v>
      </c>
      <c r="F30" s="33" t="str">
        <f>IF(H30&lt;4,"-",IF(H30=3,"",IF(H30=4,IF(D42&lt;&gt;"",IF(H42&lt;&gt;"",IF(D42&lt;&gt;H42,IF(D42&gt;H42,"V","D"),""),""),""))))</f>
        <v>-</v>
      </c>
      <c r="G30" s="33" t="s">
        <v>81</v>
      </c>
      <c r="H30" s="117">
        <f>COUNTA(B30:B33)</f>
        <v>3</v>
      </c>
      <c r="I30" s="33">
        <f>IF(B30&lt;&gt;"",1,"")</f>
        <v>1</v>
      </c>
      <c r="J30" s="33" t="str">
        <f>IF(I30&lt;&gt;"",P30,"")</f>
        <v>KAIO DIAS MOREIRA</v>
      </c>
      <c r="K30" s="33" t="str">
        <f>IFERROR(IF(J30="","",VLOOKUP(J30,LISTAS!$F$5:$G$1004,2,0)),"0")</f>
        <v>COLÉGIO ENGENHEIRO SALVADOR ARENA</v>
      </c>
      <c r="L30" s="130" t="str">
        <f>IF(B30&lt;&gt;"",IF(G5=1,"OURO",IF(G5=2,IF(H8&lt;3,"",IF(H8=3,"OURO",IF(H8=4,"OURO"))),IF(G5&gt;=3,"OURO",""))),"")</f>
        <v>OURO</v>
      </c>
      <c r="M30" s="20">
        <f>IF(B30&lt;&gt;"",COUNTIF(D30:G30,"V")+(SUMIF(B37:B42,B30,D37:E42)/1000)+(SUMIF(J37:J42,B30,H37:I42)/1000)-(SUMIF(B37:B42,B30,H37:I42)/1000)-(SUMIF(J37:J42,B30,D37:E42)/1000)+0.005,"")</f>
        <v>2.0089999999999999</v>
      </c>
      <c r="N30" s="20" t="str">
        <f>IF(B30="","",B30)</f>
        <v>KAIO DIAS MOREIRA</v>
      </c>
      <c r="O30" s="20">
        <f>IF(B30&lt;&gt;"",LARGE(M30:M33,1),"")</f>
        <v>2.0089999999999999</v>
      </c>
      <c r="P30" s="20" t="str">
        <f>VLOOKUP(O30,M30:N33,2,0)</f>
        <v>KAIO DIAS MOREIRA</v>
      </c>
    </row>
    <row r="31" spans="2:16" ht="18" customHeight="1" x14ac:dyDescent="0.25">
      <c r="B31" s="33" t="s">
        <v>513</v>
      </c>
      <c r="C31" s="33" t="str">
        <f>IFERROR(IF(B31="","",VLOOKUP(B31,LISTAS!$F$5:$G$1004,2,0)),"0")</f>
        <v>ESCOLA IL SOLE</v>
      </c>
      <c r="D31" s="33" t="str">
        <f>IF(H30&lt;3,"",IF(H30=3,IF(D38&lt;&gt;"",IF(H38&lt;&gt;"",IF(D38&lt;&gt;H38,IF(D38&gt;H38,"V","D"),""),""),""),IF(H30=4,IF(D38&lt;&gt;"",IF(H38&lt;&gt;"",IF(D38&lt;&gt;H38,IF(D38&gt;H38,"V","D"),""),""),""))))</f>
        <v>V</v>
      </c>
      <c r="E31" s="33" t="str">
        <f>IF(H30&lt;3,"",IF(H30=3,IF(D39&lt;&gt;"",IF(H39&lt;&gt;"",IF(D39&lt;&gt;H39,IF(D39&gt;H39,"D","V"),""),""),""),IF(H30=4,IF(D40&lt;&gt;"",IF(H40&lt;&gt;"",IF(D40&lt;&gt;H40,IF(D40&gt;H40,"V","D"),""),""),""))))</f>
        <v>D</v>
      </c>
      <c r="F31" s="33" t="str">
        <f>IF(H30&lt;4,"-",IF(H30=3,"",IF(H30=4,IF(D42&lt;&gt;"",IF(H42&lt;&gt;"",IF(D42&lt;&gt;H42,IF(D42&gt;H42,"D","V"),""),""),""))))</f>
        <v>-</v>
      </c>
      <c r="G31" s="33" t="s">
        <v>81</v>
      </c>
      <c r="H31" s="117"/>
      <c r="I31" s="33">
        <f>IF(B31&lt;&gt;"",2,"")</f>
        <v>2</v>
      </c>
      <c r="J31" s="33" t="str">
        <f>IF(I31&lt;&gt;"",P31,"")</f>
        <v>LUIGI ENRICO SILVA ZENORINI MURTA</v>
      </c>
      <c r="K31" s="33" t="str">
        <f>IFERROR(IF(J31="","",VLOOKUP(J31,LISTAS!$F$5:$G$1004,2,0)),"0")</f>
        <v>ESCOLA IL SOLE</v>
      </c>
      <c r="L31" s="130" t="str">
        <f>IF(B31&lt;&gt;"",IF(G5=1,"OURO",IF(G5=2,IF(H8&lt;3,"",IF(H8=3,"PRATA",IF(H8=4,"OURO"))),IF(G5&gt;=3,"PRATA",""))),"")</f>
        <v>PRATA</v>
      </c>
      <c r="M31" s="118">
        <f>IF(B31&lt;&gt;"",COUNTIF(D31:G31,"V")+(SUMIF(B37:B42,B31,D37:E42)/1000)+(SUMIF(J37:J42,B31,H37:I42)/1000)-(SUMIF(B37:B42,B31,H37:I42)/1000)-(SUMIF(J37:J42,B31,D37:E42)/1000)+0.004,"")</f>
        <v>1.004</v>
      </c>
      <c r="N31" s="20" t="str">
        <f>IF(B31="","",B31)</f>
        <v>LUIGI ENRICO SILVA ZENORINI MURTA</v>
      </c>
      <c r="O31" s="20">
        <f>IF(B31&lt;&gt;"",LARGE(M30:M33,2),"")</f>
        <v>1.004</v>
      </c>
      <c r="P31" s="20" t="str">
        <f>VLOOKUP(O31,M30:N33,2,0)</f>
        <v>LUIGI ENRICO SILVA ZENORINI MURTA</v>
      </c>
    </row>
    <row r="32" spans="2:16" ht="18" customHeight="1" x14ac:dyDescent="0.25">
      <c r="B32" s="33" t="s">
        <v>484</v>
      </c>
      <c r="C32" s="33" t="str">
        <f>IFERROR(IF(B32="","",VLOOKUP(B32,LISTAS!$F$5:$G$1004,2,0)),"0")</f>
        <v>ESCOLA STAGIUM</v>
      </c>
      <c r="D32" s="33" t="str">
        <f>IF(H30&lt;3,"",IF(H30=3,IF(D37&lt;&gt;"",IF(H37&lt;&gt;"",IF(D37&lt;&gt;H37,IF(D37&gt;H37,"D","V"),""),""),""),IF(H30=4,IF(D38&lt;&gt;"",IF(H38&lt;&gt;"",IF(D38&lt;&gt;H38,IF(D38&gt;H38,"D","V"),""),""),""))))</f>
        <v>D</v>
      </c>
      <c r="E32" s="33" t="str">
        <f>IF(H30&lt;3,"",IF(H30=3,IF(D38&lt;&gt;"",IF(H38&lt;&gt;"",IF(D38&lt;&gt;H38,IF(D38&gt;H38,"D","V"),""),""),""),IF(H30=4,IF(D39&lt;&gt;"",IF(H39&lt;&gt;"",IF(D39&lt;&gt;H39,IF(D39&gt;H39,"D","V"),""),""),""))))</f>
        <v>D</v>
      </c>
      <c r="F32" s="33" t="str">
        <f>IF(H30&lt;4,"-",IF(H30=3,"-",IF(H30=4,IF(D41&lt;&gt;"",IF(H41&lt;&gt;"",IF(D41&lt;&gt;H41,IF(D41&gt;H41,"V","D"),""),""),""))))</f>
        <v>-</v>
      </c>
      <c r="G32" s="33" t="s">
        <v>81</v>
      </c>
      <c r="H32" s="117"/>
      <c r="I32" s="33">
        <f>IF(B32&lt;&gt;"",3,"")</f>
        <v>3</v>
      </c>
      <c r="J32" s="33" t="str">
        <f>IF(I32&lt;&gt;"",P32,"")</f>
        <v>ARTHUR REIS DE ARAUJO</v>
      </c>
      <c r="K32" s="33" t="str">
        <f>IFERROR(IF(J32="","",VLOOKUP(J32,LISTAS!$F$5:$G$1004,2,0)),"0")</f>
        <v>ESCOLA STAGIUM</v>
      </c>
      <c r="L32" s="130" t="str">
        <f>IF(B32&lt;&gt;"",IF(G5=1,"OURO",IF(G5=2,IF(H8&lt;3,"",IF(H8=3,"BRONZE",IF(H8=4,"PRATA"))),IF(G5&gt;=3,"BRONZE",""))),"")</f>
        <v>BRONZE</v>
      </c>
      <c r="M32" s="118">
        <f>IF(B32&lt;&gt;"",COUNTIF(D32:G32,"V")+(SUMIF(B37:B42,B32,D37:E42)/1000)+(SUMIF(J37:J42,B32,H37:I42)/1000)-(SUMIF(B37:B42,B32,H37:I42)/1000)-(SUMIF(J37:J42,B32,D37:E42)/1000)+0.003,"")</f>
        <v>-1E-3</v>
      </c>
      <c r="N32" s="20" t="str">
        <f>IF(B32="","",B32)</f>
        <v>ARTHUR REIS DE ARAUJO</v>
      </c>
      <c r="O32" s="20">
        <f>IF(B32&lt;&gt;"",LARGE(M30:M33,3),"")</f>
        <v>-1E-3</v>
      </c>
      <c r="P32" s="20" t="str">
        <f>VLOOKUP(O32,M30:N33,2,0)</f>
        <v>ARTHUR REIS DE ARAUJO</v>
      </c>
    </row>
    <row r="33" spans="2:16" ht="18" customHeight="1" x14ac:dyDescent="0.25">
      <c r="B33" s="33"/>
      <c r="C33" s="33" t="str">
        <f>IFERROR(IF(B33="","",VLOOKUP(B33,LISTAS!$F$5:$G$1004,2,0)),"0")</f>
        <v/>
      </c>
      <c r="D33" s="33" t="str">
        <f>IF(H30&lt;3,"",IF(H30=3,"",IF(H30=4,IF(D37&lt;&gt;"",IF(H37&lt;&gt;"",IF(D37&lt;&gt;H37,IF(D37&gt;H37,"D","V"),""),""),""))))</f>
        <v/>
      </c>
      <c r="E33" s="33" t="str">
        <f>IF(H30&lt;3,"",IF(H30=3,"",IF(H30=4,IF(D40&lt;&gt;"",IF(H40&lt;&gt;"",IF(D40&lt;&gt;H40,IF(D40&gt;H40,"D","V"),""),""),""))))</f>
        <v/>
      </c>
      <c r="F33" s="33" t="str">
        <f>IF(H30&lt;4,"-",IF(H30=3,"",IF(H30=4,IF(D41&lt;&gt;"",IF(H41&lt;&gt;"",IF(D41&lt;&gt;H41,IF(D41&gt;H41,"D","V"),""),""),""))))</f>
        <v>-</v>
      </c>
      <c r="G33" s="33" t="s">
        <v>81</v>
      </c>
      <c r="H33" s="117"/>
      <c r="I33" s="33" t="str">
        <f>IF(B33&lt;&gt;"",4,"")</f>
        <v/>
      </c>
      <c r="J33" s="33" t="str">
        <f>IF(I33&lt;&gt;"",P33,"")</f>
        <v/>
      </c>
      <c r="K33" s="33" t="str">
        <f>IFERROR(IF(J33="","",VLOOKUP(J33,LISTAS!$F$5:$G$1004,2,0)),"0")</f>
        <v/>
      </c>
      <c r="L33" s="130" t="str">
        <f>IF(B33&lt;&gt;"",IF(G5=1,"OURO",IF(G5=2,IF(H8&lt;3,"",IF(H8=3,"",IF(H8=4,"PRATA"))),IF(G5&gt;=3,"",""))),"")</f>
        <v/>
      </c>
      <c r="M33" s="20" t="str">
        <f>IF(B33&lt;&gt;"",COUNTIF(D33:G33,"V")+(SUMIF(B37:B42,B33,D37:E42)/1000)+(SUMIF(J37:J42,B33,H37:I42)/1000)-(SUMIF(B37:B42,B33,H37:I42)/1000)-(SUMIF(J37:J42,B33,D37:E42)/1000)+0.002,"")</f>
        <v/>
      </c>
      <c r="N33" s="20" t="str">
        <f>IF(B33="","",B33)</f>
        <v/>
      </c>
      <c r="O33" s="20" t="str">
        <f>IF(B33&lt;&gt;"",LARGE(M30:M33,4),"")</f>
        <v/>
      </c>
      <c r="P33" s="20" t="str">
        <f>VLOOKUP(O33,M30:N33,2,0)</f>
        <v/>
      </c>
    </row>
    <row r="34" spans="2:16" ht="18" customHeight="1" x14ac:dyDescent="0.25">
      <c r="B34" s="79"/>
      <c r="C34" s="79"/>
      <c r="D34" s="79"/>
      <c r="E34" s="79"/>
      <c r="F34" s="79"/>
      <c r="G34" s="79"/>
      <c r="I34" s="80"/>
      <c r="J34" s="79"/>
      <c r="K34" s="81"/>
      <c r="L34" s="81"/>
    </row>
    <row r="35" spans="2:16" ht="23.25" customHeight="1" x14ac:dyDescent="0.25">
      <c r="B35" s="82" t="s">
        <v>40</v>
      </c>
      <c r="C35" s="79"/>
      <c r="D35" s="79"/>
      <c r="E35" s="79"/>
      <c r="F35" s="79"/>
      <c r="G35" s="79"/>
      <c r="H35" s="79"/>
      <c r="I35" s="79"/>
      <c r="J35" s="79"/>
      <c r="K35" s="79"/>
      <c r="L35" s="79"/>
    </row>
    <row r="36" spans="2:16" ht="18" customHeight="1" x14ac:dyDescent="0.25">
      <c r="B36" s="132" t="s">
        <v>15</v>
      </c>
      <c r="C36" s="132" t="s">
        <v>0</v>
      </c>
      <c r="D36" s="258" t="s">
        <v>41</v>
      </c>
      <c r="E36" s="259"/>
      <c r="F36" s="259"/>
      <c r="G36" s="259"/>
      <c r="H36" s="259"/>
      <c r="I36" s="260"/>
      <c r="J36" s="132" t="s">
        <v>15</v>
      </c>
      <c r="K36" s="132" t="s">
        <v>0</v>
      </c>
      <c r="L36" s="79"/>
    </row>
    <row r="37" spans="2:16" ht="18" customHeight="1" x14ac:dyDescent="0.25">
      <c r="B37" s="33" t="str">
        <f>IF(H30=3,B30,IF(H30=4,B30,""))</f>
        <v>KAIO DIAS MOREIRA</v>
      </c>
      <c r="C37" s="33" t="str">
        <f>IFERROR(IF(B37="","",VLOOKUP(B37,LISTAS!$F$5:$G$1004,2,0)),"0")</f>
        <v>COLÉGIO ENGENHEIRO SALVADOR ARENA</v>
      </c>
      <c r="D37" s="253">
        <v>2</v>
      </c>
      <c r="E37" s="254"/>
      <c r="F37" s="253" t="s">
        <v>38</v>
      </c>
      <c r="G37" s="254"/>
      <c r="H37" s="253">
        <v>0</v>
      </c>
      <c r="I37" s="254"/>
      <c r="J37" s="111" t="str">
        <f>IF(H30=3,B32,IF(H30=4,B33,""))</f>
        <v>ARTHUR REIS DE ARAUJO</v>
      </c>
      <c r="K37" s="33" t="str">
        <f>IFERROR(IF(J37="","",VLOOKUP(J37,LISTAS!$F$5:$G$1004,2,0)),"0")</f>
        <v>ESCOLA STAGIUM</v>
      </c>
      <c r="L37" s="81"/>
    </row>
    <row r="38" spans="2:16" ht="18" customHeight="1" x14ac:dyDescent="0.25">
      <c r="B38" s="33" t="str">
        <f>IF(H30=3,B31,IF(H30=4,B31,""))</f>
        <v>LUIGI ENRICO SILVA ZENORINI MURTA</v>
      </c>
      <c r="C38" s="33" t="str">
        <f>IFERROR(IF(B38="","",VLOOKUP(B38,LISTAS!$F$5:$G$1004,2,0)),"0")</f>
        <v>ESCOLA IL SOLE</v>
      </c>
      <c r="D38" s="253">
        <v>2</v>
      </c>
      <c r="E38" s="254"/>
      <c r="F38" s="253" t="s">
        <v>38</v>
      </c>
      <c r="G38" s="254"/>
      <c r="H38" s="253">
        <v>0</v>
      </c>
      <c r="I38" s="254"/>
      <c r="J38" s="111" t="str">
        <f>IF(H30=3,B32,IF(H30=4,B32,""))</f>
        <v>ARTHUR REIS DE ARAUJO</v>
      </c>
      <c r="K38" s="33" t="str">
        <f>IFERROR(IF(J38="","",VLOOKUP(J38,LISTAS!$F$5:$G$1004,2,0)),"0")</f>
        <v>ESCOLA STAGIUM</v>
      </c>
      <c r="L38" s="79"/>
    </row>
    <row r="39" spans="2:16" ht="18" customHeight="1" x14ac:dyDescent="0.25">
      <c r="B39" s="33" t="str">
        <f>IF(H30=3,B30,IF(H30=4,B30,""))</f>
        <v>KAIO DIAS MOREIRA</v>
      </c>
      <c r="C39" s="33" t="str">
        <f>IFERROR(IF(B39="","",VLOOKUP(B39,LISTAS!$F$5:$G$1004,2,0)),"0")</f>
        <v>COLÉGIO ENGENHEIRO SALVADOR ARENA</v>
      </c>
      <c r="D39" s="253">
        <v>2</v>
      </c>
      <c r="E39" s="254"/>
      <c r="F39" s="253" t="s">
        <v>38</v>
      </c>
      <c r="G39" s="254"/>
      <c r="H39" s="253">
        <v>0</v>
      </c>
      <c r="I39" s="254"/>
      <c r="J39" s="111" t="str">
        <f>IF(H30=3,B31,IF(H30=4,B32,""))</f>
        <v>LUIGI ENRICO SILVA ZENORINI MURTA</v>
      </c>
      <c r="K39" s="33" t="str">
        <f>IFERROR(IF(J39="","",VLOOKUP(J39,LISTAS!$F$5:$G$1004,2,0)),"0")</f>
        <v>ESCOLA IL SOLE</v>
      </c>
      <c r="L39" s="81"/>
    </row>
    <row r="40" spans="2:16" ht="18" customHeight="1" x14ac:dyDescent="0.25">
      <c r="B40" s="33" t="str">
        <f>IF(H30=3,"",IF(H30=4,B31,""))</f>
        <v/>
      </c>
      <c r="C40" s="33" t="str">
        <f>IFERROR(IF(B40="","",VLOOKUP(B40,LISTAS!$F$5:$G$1004,2,0)),"0")</f>
        <v/>
      </c>
      <c r="D40" s="253"/>
      <c r="E40" s="254"/>
      <c r="F40" s="253" t="s">
        <v>38</v>
      </c>
      <c r="G40" s="254"/>
      <c r="H40" s="253"/>
      <c r="I40" s="254"/>
      <c r="J40" s="111" t="str">
        <f>IF(H30=3,"",IF(H30=4,B33,""))</f>
        <v/>
      </c>
      <c r="K40" s="33" t="str">
        <f>IFERROR(IF(J40="","",VLOOKUP(J40,LISTAS!$F$5:$G$1004,2,0)),"0")</f>
        <v/>
      </c>
      <c r="L40" s="81"/>
    </row>
    <row r="41" spans="2:16" ht="18" customHeight="1" x14ac:dyDescent="0.25">
      <c r="B41" s="33" t="str">
        <f>IF(H30=3,"",IF(H30=4,B32,""))</f>
        <v/>
      </c>
      <c r="C41" s="33" t="str">
        <f>IFERROR(IF(B41="","",VLOOKUP(B41,LISTAS!$F$5:$G$1004,2,0)),"0")</f>
        <v/>
      </c>
      <c r="D41" s="253"/>
      <c r="E41" s="254"/>
      <c r="F41" s="253" t="s">
        <v>38</v>
      </c>
      <c r="G41" s="254"/>
      <c r="H41" s="253"/>
      <c r="I41" s="254"/>
      <c r="J41" s="111" t="str">
        <f>IF(H30=3,"",IF(H30=4,B33,""))</f>
        <v/>
      </c>
      <c r="K41" s="33" t="str">
        <f>IFERROR(IF(J41="","",VLOOKUP(J41,LISTAS!$F$5:$G$1004,2,0)),"0")</f>
        <v/>
      </c>
      <c r="L41" s="81"/>
    </row>
    <row r="42" spans="2:16" ht="18" customHeight="1" x14ac:dyDescent="0.25">
      <c r="B42" s="33" t="str">
        <f>IF(H30=3,"",IF(H30=4,B30,""))</f>
        <v/>
      </c>
      <c r="C42" s="33" t="str">
        <f>IFERROR(IF(B42="","",VLOOKUP(B42,LISTAS!$F$5:$G$1004,2,0)),"0")</f>
        <v/>
      </c>
      <c r="D42" s="253"/>
      <c r="E42" s="254"/>
      <c r="F42" s="253" t="s">
        <v>38</v>
      </c>
      <c r="G42" s="254"/>
      <c r="H42" s="253"/>
      <c r="I42" s="254"/>
      <c r="J42" s="111" t="str">
        <f>IF(H30=3,"",IF(H30=4,B31,""))</f>
        <v/>
      </c>
      <c r="K42" s="33" t="str">
        <f>IFERROR(IF(J42="","",VLOOKUP(J42,LISTAS!$F$5:$G$1004,2,0)),"0")</f>
        <v/>
      </c>
      <c r="L42" s="81"/>
    </row>
    <row r="45" spans="2:16" ht="30" customHeight="1" x14ac:dyDescent="0.25">
      <c r="B45" s="161" t="s">
        <v>47</v>
      </c>
      <c r="C45" s="79"/>
      <c r="D45" s="255" t="s">
        <v>42</v>
      </c>
      <c r="E45" s="256"/>
      <c r="F45" s="256"/>
      <c r="G45" s="257"/>
      <c r="H45" s="113"/>
      <c r="I45" s="255" t="s">
        <v>3</v>
      </c>
      <c r="J45" s="256"/>
      <c r="K45" s="256"/>
      <c r="L45" s="256"/>
    </row>
    <row r="46" spans="2:16" ht="18" customHeight="1" x14ac:dyDescent="0.25">
      <c r="B46" s="132" t="s">
        <v>15</v>
      </c>
      <c r="C46" s="132" t="s">
        <v>0</v>
      </c>
      <c r="D46" s="132" t="s">
        <v>43</v>
      </c>
      <c r="E46" s="132" t="s">
        <v>44</v>
      </c>
      <c r="F46" s="132" t="s">
        <v>77</v>
      </c>
      <c r="G46" s="132" t="s">
        <v>78</v>
      </c>
      <c r="H46" s="114"/>
      <c r="I46" s="132" t="s">
        <v>18</v>
      </c>
      <c r="J46" s="132" t="s">
        <v>15</v>
      </c>
      <c r="K46" s="132" t="s">
        <v>0</v>
      </c>
      <c r="L46" s="132" t="s">
        <v>45</v>
      </c>
    </row>
    <row r="47" spans="2:16" ht="18" customHeight="1" x14ac:dyDescent="0.25">
      <c r="B47" s="33" t="s">
        <v>486</v>
      </c>
      <c r="C47" s="33" t="str">
        <f>IFERROR(IF(B47="","",VLOOKUP(B47,LISTAS!$F$5:$G$1004,2,0)),"0")</f>
        <v>ESCOLA STAGIUM</v>
      </c>
      <c r="D47" s="33" t="str">
        <f>IF(H47&lt;3,"",IF(H47=3,IF(D53&lt;&gt;"",IF(H53&lt;&gt;"",IF(D53&lt;&gt;H53,IF(D53&gt;H53,"V","D"),""),""),"")))</f>
        <v>D</v>
      </c>
      <c r="E47" s="33" t="str">
        <f>IF(H47&lt;3,"",IF(H47=3,IF(D55&lt;&gt;"",IF(H55&lt;&gt;"",IF(D55&lt;&gt;H55,IF(D55&gt;H55,"V","D"),""),""),"")))</f>
        <v>D</v>
      </c>
      <c r="F47" s="33" t="s">
        <v>81</v>
      </c>
      <c r="G47" s="33" t="s">
        <v>81</v>
      </c>
      <c r="H47" s="117">
        <f>COUNTA(B47:B49)</f>
        <v>3</v>
      </c>
      <c r="I47" s="33">
        <f>IF(B47&lt;&gt;"",1,"")</f>
        <v>1</v>
      </c>
      <c r="J47" s="33" t="str">
        <f>IF(I47&lt;&gt;"",P47,"")</f>
        <v>GIOVANNI TODESCO</v>
      </c>
      <c r="K47" s="33" t="str">
        <f>IFERROR(IF(J47="","",VLOOKUP(J47,LISTAS!$F$5:$G$1004,2,0)),"0")</f>
        <v>RIO BRANCO - SBC</v>
      </c>
      <c r="L47" s="130" t="str">
        <f>IF(H47=3,"OURO",IF(H47=4,"OURO",IF(H47=5,"OURO","")))</f>
        <v>OURO</v>
      </c>
      <c r="M47" s="20">
        <f>IF(B47&lt;&gt;"",COUNTIF(D47:G47,"V")+(SUMIF(B53:B55,B47,D53:E55)/1000)+(SUMIF(J53:J55,B47,H53:I55)/1000)-(SUMIF(B53:B55,B47,H53:I55)/1000)-(SUMIF(J53:J55,B47,D53:E55)/1000)+0.003,"")</f>
        <v>1E-3</v>
      </c>
      <c r="N47" s="20" t="str">
        <f>IF(B47="","",B47)</f>
        <v>BENICIO VASCONCELOS VIEIRA</v>
      </c>
      <c r="O47" s="20">
        <f>IF(B47&lt;&gt;"",LARGE(M47:M49,1),"")</f>
        <v>2.004</v>
      </c>
      <c r="P47" s="20" t="str">
        <f>VLOOKUP(O47,M47:N49,2,0)</f>
        <v>GIOVANNI TODESCO</v>
      </c>
    </row>
    <row r="48" spans="2:16" ht="18" customHeight="1" x14ac:dyDescent="0.25">
      <c r="B48" s="33" t="s">
        <v>522</v>
      </c>
      <c r="C48" s="33" t="str">
        <f>IFERROR(IF(B48="","",VLOOKUP(B48,LISTAS!$F$5:$G$1004,2,0)),"0")</f>
        <v>COLÉGIO ENGENHEIRO SALVADOR ARENA</v>
      </c>
      <c r="D48" s="33" t="str">
        <f>IF(H47&lt;3,"",IF(H47=3,IF(D54&lt;&gt;"",IF(H54&lt;&gt;"",IF(D54&lt;&gt;H54,IF(D54&gt;H54,"V","D"),""),""),"")))</f>
        <v>D</v>
      </c>
      <c r="E48" s="33" t="str">
        <f>IF(H47&lt;3,"",IF(H47=3,IF(D55&lt;&gt;"",IF(H55&lt;&gt;"",IF(D55&lt;&gt;H55,IF(D55&gt;H55,"D","V"),""),""),"")))</f>
        <v>V</v>
      </c>
      <c r="F48" s="33" t="s">
        <v>81</v>
      </c>
      <c r="G48" s="33" t="s">
        <v>81</v>
      </c>
      <c r="H48" s="117"/>
      <c r="I48" s="33">
        <f>IF(B48&lt;&gt;"",2,"")</f>
        <v>2</v>
      </c>
      <c r="J48" s="33" t="str">
        <f>IF(I48&lt;&gt;"",P48,"")</f>
        <v>MATEUS ROCHETTI VAZQUEZ CARMO</v>
      </c>
      <c r="K48" s="33" t="str">
        <f>IFERROR(IF(J48="","",VLOOKUP(J48,LISTAS!$F$5:$G$1004,2,0)),"0")</f>
        <v>COLÉGIO ENGENHEIRO SALVADOR ARENA</v>
      </c>
      <c r="L48" s="130" t="str">
        <f>IF(H47=3,"PRATA",IF(H47=4,"OURO",IF(H47=5,"OURO","")))</f>
        <v>PRATA</v>
      </c>
      <c r="M48" s="20">
        <f>IF(B48&lt;&gt;"",COUNTIF(D48:G48,"V")+(SUMIF(B53:B55,B48,D53:E55)/1000)+(SUMIF(J53:J55,B48,H53:I55)/1000)-(SUMIF(B53:B55,B48,H53:I55)/1000)-(SUMIF(J53:J55,B48,D53:E55)/1000)+0.002,"")</f>
        <v>1.0009999999999999</v>
      </c>
      <c r="N48" s="20" t="str">
        <f>IF(B48="","",B48)</f>
        <v>MATEUS ROCHETTI VAZQUEZ CARMO</v>
      </c>
      <c r="O48" s="20">
        <f>IF(B48&lt;&gt;"",LARGE(M47:M49,2),"")</f>
        <v>1.0009999999999999</v>
      </c>
      <c r="P48" s="20" t="str">
        <f>VLOOKUP(O48,M47:N49,2,0)</f>
        <v>MATEUS ROCHETTI VAZQUEZ CARMO</v>
      </c>
    </row>
    <row r="49" spans="2:16" ht="18" customHeight="1" x14ac:dyDescent="0.25">
      <c r="B49" s="33" t="s">
        <v>497</v>
      </c>
      <c r="C49" s="33" t="str">
        <f>IFERROR(IF(B49="","",VLOOKUP(B49,LISTAS!$F$5:$G$1004,2,0)),"0")</f>
        <v>RIO BRANCO - SBC</v>
      </c>
      <c r="D49" s="33" t="str">
        <f>IF(H47&lt;3,"",IF(H47=3,IF(D53&lt;&gt;"",IF(H53&lt;&gt;"",IF(D53&lt;&gt;H53,IF(D53&gt;H53,"D","V"),""),""),"")))</f>
        <v>V</v>
      </c>
      <c r="E49" s="33" t="str">
        <f>IF(H47&lt;3,"",IF(H47=3,IF(D54&lt;&gt;"",IF(H54&lt;&gt;"",IF(D54&lt;&gt;H54,IF(D54&gt;H54,"D","V"),""),""),"")))</f>
        <v>V</v>
      </c>
      <c r="F49" s="33" t="s">
        <v>81</v>
      </c>
      <c r="G49" s="33" t="s">
        <v>81</v>
      </c>
      <c r="H49" s="117"/>
      <c r="I49" s="33">
        <f>IF(B49&lt;&gt;"",3,"")</f>
        <v>3</v>
      </c>
      <c r="J49" s="33" t="str">
        <f>IF(I49&lt;&gt;"",P49,"")</f>
        <v>BENICIO VASCONCELOS VIEIRA</v>
      </c>
      <c r="K49" s="33" t="str">
        <f>IFERROR(IF(J49="","",VLOOKUP(J49,LISTAS!$F$5:$G$1004,2,0)),"0")</f>
        <v>ESCOLA STAGIUM</v>
      </c>
      <c r="L49" s="130" t="str">
        <f>IF(H47=3,"BRONZE",IF(H47=4,"PRATA",IF(H47=5,"OURO","")))</f>
        <v>BRONZE</v>
      </c>
      <c r="M49" s="20">
        <f>IF(B49&lt;&gt;"",COUNTIF(D49:G49,"V")+(SUMIF(B53:B55,B49,D53:E55)/1000)+(SUMIF(J53:J55,B49,H53:I55)/1000)-(SUMIF(B53:B55,B49,H53:I55)/1000)-(SUMIF(J53:J55,B49,D53:E55)/1000)+0.001,"")</f>
        <v>2.004</v>
      </c>
      <c r="N49" s="20" t="str">
        <f>IF(B49="","",B49)</f>
        <v>GIOVANNI TODESCO</v>
      </c>
      <c r="O49" s="20">
        <f>IF(B49&lt;&gt;"",LARGE(M47:M49,3),"")</f>
        <v>1E-3</v>
      </c>
      <c r="P49" s="20" t="str">
        <f>VLOOKUP(O49,M47:N49,2,0)</f>
        <v>BENICIO VASCONCELOS VIEIRA</v>
      </c>
    </row>
    <row r="50" spans="2:16" ht="18" customHeight="1" x14ac:dyDescent="0.25">
      <c r="B50" s="79"/>
      <c r="C50" s="79"/>
      <c r="D50" s="79"/>
      <c r="E50" s="79"/>
      <c r="F50" s="79"/>
      <c r="G50" s="79"/>
      <c r="I50" s="80"/>
      <c r="J50" s="79"/>
      <c r="K50" s="81"/>
      <c r="L50" s="81"/>
    </row>
    <row r="51" spans="2:16" ht="23.25" customHeight="1" x14ac:dyDescent="0.25">
      <c r="B51" s="82" t="s">
        <v>40</v>
      </c>
      <c r="C51" s="79"/>
      <c r="D51" s="79"/>
      <c r="E51" s="79"/>
      <c r="F51" s="79"/>
      <c r="G51" s="79"/>
      <c r="H51" s="79"/>
      <c r="I51" s="79"/>
      <c r="J51" s="79"/>
      <c r="K51" s="79"/>
      <c r="L51" s="79"/>
    </row>
    <row r="52" spans="2:16" ht="18" customHeight="1" x14ac:dyDescent="0.25">
      <c r="B52" s="132" t="s">
        <v>15</v>
      </c>
      <c r="C52" s="132" t="s">
        <v>0</v>
      </c>
      <c r="D52" s="258" t="s">
        <v>41</v>
      </c>
      <c r="E52" s="259"/>
      <c r="F52" s="259"/>
      <c r="G52" s="259"/>
      <c r="H52" s="259"/>
      <c r="I52" s="260"/>
      <c r="J52" s="132" t="s">
        <v>15</v>
      </c>
      <c r="K52" s="132" t="s">
        <v>0</v>
      </c>
      <c r="L52" s="79"/>
    </row>
    <row r="53" spans="2:16" ht="18" customHeight="1" x14ac:dyDescent="0.25">
      <c r="B53" s="33" t="str">
        <f>IF(H47=3,B47,"")</f>
        <v>BENICIO VASCONCELOS VIEIRA</v>
      </c>
      <c r="C53" s="33" t="str">
        <f>IFERROR(IF(B53="","",VLOOKUP(B53,LISTAS!$F$5:$G$1004,2,0)),"0")</f>
        <v>ESCOLA STAGIUM</v>
      </c>
      <c r="D53" s="253">
        <v>1</v>
      </c>
      <c r="E53" s="254"/>
      <c r="F53" s="253" t="s">
        <v>38</v>
      </c>
      <c r="G53" s="254"/>
      <c r="H53" s="253">
        <v>2</v>
      </c>
      <c r="I53" s="254"/>
      <c r="J53" s="111" t="str">
        <f>IF(H47=3,B49,"")</f>
        <v>GIOVANNI TODESCO</v>
      </c>
      <c r="K53" s="33" t="str">
        <f>IFERROR(IF(J53="","",VLOOKUP(J53,LISTAS!$F$5:$G$1004,2,0)),"0")</f>
        <v>RIO BRANCO - SBC</v>
      </c>
      <c r="L53" s="81"/>
    </row>
    <row r="54" spans="2:16" ht="18" customHeight="1" x14ac:dyDescent="0.25">
      <c r="B54" s="33" t="str">
        <f>IF(H47=3,B48,"")</f>
        <v>MATEUS ROCHETTI VAZQUEZ CARMO</v>
      </c>
      <c r="C54" s="33" t="str">
        <f>IFERROR(IF(B54="","",VLOOKUP(B54,LISTAS!$F$5:$G$1004,2,0)),"0")</f>
        <v>COLÉGIO ENGENHEIRO SALVADOR ARENA</v>
      </c>
      <c r="D54" s="253">
        <v>0</v>
      </c>
      <c r="E54" s="254"/>
      <c r="F54" s="253" t="s">
        <v>38</v>
      </c>
      <c r="G54" s="254"/>
      <c r="H54" s="253">
        <v>2</v>
      </c>
      <c r="I54" s="254"/>
      <c r="J54" s="111" t="str">
        <f>IF(H47=3,B49,"")</f>
        <v>GIOVANNI TODESCO</v>
      </c>
      <c r="K54" s="33" t="str">
        <f>IFERROR(IF(J54="","",VLOOKUP(J54,LISTAS!$F$5:$G$1004,2,0)),"0")</f>
        <v>RIO BRANCO - SBC</v>
      </c>
      <c r="L54" s="79"/>
    </row>
    <row r="55" spans="2:16" ht="18" customHeight="1" x14ac:dyDescent="0.25">
      <c r="B55" s="33" t="str">
        <f>IF(H47=3,B47,"")</f>
        <v>BENICIO VASCONCELOS VIEIRA</v>
      </c>
      <c r="C55" s="33" t="str">
        <f>IFERROR(IF(B55="","",VLOOKUP(B55,LISTAS!$F$5:$G$1004,2,0)),"0")</f>
        <v>ESCOLA STAGIUM</v>
      </c>
      <c r="D55" s="253">
        <v>1</v>
      </c>
      <c r="E55" s="254"/>
      <c r="F55" s="253" t="s">
        <v>38</v>
      </c>
      <c r="G55" s="254"/>
      <c r="H55" s="253">
        <v>2</v>
      </c>
      <c r="I55" s="254"/>
      <c r="J55" s="111" t="str">
        <f>IF(H47=3,B48,"")</f>
        <v>MATEUS ROCHETTI VAZQUEZ CARMO</v>
      </c>
      <c r="K55" s="33" t="str">
        <f>IFERROR(IF(J55="","",VLOOKUP(J55,LISTAS!$F$5:$G$1004,2,0)),"0")</f>
        <v>COLÉGIO ENGENHEIRO SALVADOR ARENA</v>
      </c>
      <c r="L55" s="81"/>
    </row>
    <row r="58" spans="2:16" ht="30" customHeight="1" x14ac:dyDescent="0.25">
      <c r="B58" s="161" t="s">
        <v>48</v>
      </c>
      <c r="C58" s="79"/>
      <c r="D58" s="255" t="s">
        <v>42</v>
      </c>
      <c r="E58" s="256"/>
      <c r="F58" s="256"/>
      <c r="G58" s="257"/>
      <c r="H58" s="113"/>
      <c r="I58" s="255" t="s">
        <v>3</v>
      </c>
      <c r="J58" s="256"/>
      <c r="K58" s="256"/>
      <c r="L58" s="256"/>
    </row>
    <row r="59" spans="2:16" ht="18" customHeight="1" x14ac:dyDescent="0.25">
      <c r="B59" s="132" t="s">
        <v>15</v>
      </c>
      <c r="C59" s="132" t="s">
        <v>0</v>
      </c>
      <c r="D59" s="132" t="s">
        <v>43</v>
      </c>
      <c r="E59" s="132" t="s">
        <v>44</v>
      </c>
      <c r="F59" s="132" t="s">
        <v>77</v>
      </c>
      <c r="G59" s="132" t="s">
        <v>78</v>
      </c>
      <c r="H59" s="114"/>
      <c r="I59" s="132" t="s">
        <v>18</v>
      </c>
      <c r="J59" s="132" t="s">
        <v>15</v>
      </c>
      <c r="K59" s="132" t="s">
        <v>0</v>
      </c>
      <c r="L59" s="132" t="s">
        <v>45</v>
      </c>
    </row>
    <row r="60" spans="2:16" ht="18" customHeight="1" x14ac:dyDescent="0.25">
      <c r="B60" s="33" t="s">
        <v>526</v>
      </c>
      <c r="C60" s="33" t="str">
        <f>IFERROR(IF(B60="","",VLOOKUP(B60,LISTAS!$F$5:$G$1004,2,0)),"0")</f>
        <v>COLÉGIO ENGENHEIRO SALVADOR ARENA</v>
      </c>
      <c r="D60" s="33" t="str">
        <f>IF(H60&lt;3,"",IF(H60=3,IF(D66&lt;&gt;"",IF(H66&lt;&gt;"",IF(D66&lt;&gt;H66,IF(D66&gt;H66,"V","D"),""),""),"")))</f>
        <v>V</v>
      </c>
      <c r="E60" s="33" t="str">
        <f>IF(H60&lt;3,"",IF(H60=3,IF(D68&lt;&gt;"",IF(H68&lt;&gt;"",IF(D68&lt;&gt;H68,IF(D68&gt;H68,"V","D"),""),""),"")))</f>
        <v>V</v>
      </c>
      <c r="F60" s="33" t="s">
        <v>81</v>
      </c>
      <c r="G60" s="33" t="s">
        <v>81</v>
      </c>
      <c r="H60" s="117">
        <f>COUNTA(B60:B62)</f>
        <v>3</v>
      </c>
      <c r="I60" s="33">
        <f>IF(B60&lt;&gt;"",1,"")</f>
        <v>1</v>
      </c>
      <c r="J60" s="33" t="str">
        <f>IF(I60&lt;&gt;"",P60,"")</f>
        <v>MATHEUS VASCONCELOS PEREIRA</v>
      </c>
      <c r="K60" s="33" t="str">
        <f>IFERROR(IF(J60="","",VLOOKUP(J60,LISTAS!$F$5:$G$1004,2,0)),"0")</f>
        <v>COLÉGIO ENGENHEIRO SALVADOR ARENA</v>
      </c>
      <c r="L60" s="130" t="str">
        <f>IF(H60=3,"OURO",IF(H60=4,"OURO",IF(H60=5,"OURO","")))</f>
        <v>OURO</v>
      </c>
      <c r="M60" s="20">
        <f>IF(B60&lt;&gt;"",COUNTIF(D60:G60,"V")+(SUMIF(B66:B68,B60,D66:E68)/1000)+(SUMIF(J66:J68,B60,H66:I68)/1000)-(SUMIF(B66:B68,B60,H66:I68)/1000)-(SUMIF(J66:J68,B60,D66:E68)/1000)+0.003,"")</f>
        <v>2.0060000000000002</v>
      </c>
      <c r="N60" s="20" t="str">
        <f>IF(B60="","",B60)</f>
        <v>MATHEUS VASCONCELOS PEREIRA</v>
      </c>
      <c r="O60" s="20">
        <f>IF(B60&lt;&gt;"",LARGE(M60:M62,1),"")</f>
        <v>2.0060000000000002</v>
      </c>
      <c r="P60" s="20" t="str">
        <f>VLOOKUP(O60,M60:N62,2,0)</f>
        <v>MATHEUS VASCONCELOS PEREIRA</v>
      </c>
    </row>
    <row r="61" spans="2:16" ht="18" customHeight="1" x14ac:dyDescent="0.25">
      <c r="B61" s="33" t="s">
        <v>488</v>
      </c>
      <c r="C61" s="33" t="str">
        <f>IFERROR(IF(B61="","",VLOOKUP(B61,LISTAS!$F$5:$G$1004,2,0)),"0")</f>
        <v>COLÉGIO ARBOS - UNIDADE SANTO ANDRÉ</v>
      </c>
      <c r="D61" s="33" t="str">
        <f>IF(H60&lt;3,"",IF(H60=3,IF(D67&lt;&gt;"",IF(H67&lt;&gt;"",IF(D67&lt;&gt;H67,IF(D67&gt;H67,"V","D"),""),""),"")))</f>
        <v>V</v>
      </c>
      <c r="E61" s="33" t="str">
        <f>IF(H60&lt;3,"",IF(H60=3,IF(D68&lt;&gt;"",IF(H68&lt;&gt;"",IF(D68&lt;&gt;H68,IF(D68&gt;H68,"D","V"),""),""),"")))</f>
        <v>D</v>
      </c>
      <c r="F61" s="33" t="s">
        <v>81</v>
      </c>
      <c r="G61" s="33" t="s">
        <v>81</v>
      </c>
      <c r="H61" s="117"/>
      <c r="I61" s="33">
        <f>IF(B61&lt;&gt;"",2,"")</f>
        <v>2</v>
      </c>
      <c r="J61" s="33" t="str">
        <f>IF(I61&lt;&gt;"",P61,"")</f>
        <v>BRUNO NEPOMUCENO DOS SANTOS</v>
      </c>
      <c r="K61" s="33" t="str">
        <f>IFERROR(IF(J61="","",VLOOKUP(J61,LISTAS!$F$5:$G$1004,2,0)),"0")</f>
        <v>COLÉGIO ARBOS - UNIDADE SANTO ANDRÉ</v>
      </c>
      <c r="L61" s="130" t="str">
        <f>IF(H60=3,"PRATA",IF(H60=4,"OURO",IF(H60=5,"OURO","")))</f>
        <v>PRATA</v>
      </c>
      <c r="M61" s="20">
        <f>IF(B61&lt;&gt;"",COUNTIF(D61:G61,"V")+(SUMIF(B66:B68,B61,D66:E68)/1000)+(SUMIF(J66:J68,B61,H66:I68)/1000)-(SUMIF(B66:B68,B61,H66:I68)/1000)-(SUMIF(J66:J68,B61,D66:E68)/1000)+0.002,"")</f>
        <v>1.0029999999999999</v>
      </c>
      <c r="N61" s="20" t="str">
        <f t="shared" ref="N61" si="1">IF(B61="","",B61)</f>
        <v>BRUNO NEPOMUCENO DOS SANTOS</v>
      </c>
      <c r="O61" s="20">
        <f>IF(B61&lt;&gt;"",LARGE(M60:M62,2),"")</f>
        <v>1.0029999999999999</v>
      </c>
      <c r="P61" s="20" t="str">
        <f>VLOOKUP(O61,M60:N62,2,0)</f>
        <v>BRUNO NEPOMUCENO DOS SANTOS</v>
      </c>
    </row>
    <row r="62" spans="2:16" ht="18" customHeight="1" x14ac:dyDescent="0.25">
      <c r="B62" s="33" t="s">
        <v>489</v>
      </c>
      <c r="C62" s="33" t="str">
        <f>IFERROR(IF(B62="","",VLOOKUP(B62,LISTAS!$F$5:$G$1004,2,0)),"0")</f>
        <v>ESCOLA STAGIUM</v>
      </c>
      <c r="D62" s="33" t="str">
        <f>IF(H60&lt;3,"",IF(H60=3,IF(D66&lt;&gt;"",IF(H66&lt;&gt;"",IF(D66&lt;&gt;H66,IF(D66&gt;H66,"D","V"),""),""),"")))</f>
        <v>D</v>
      </c>
      <c r="E62" s="33" t="str">
        <f>IF(H60&lt;3,"",IF(H60=3,IF(D67&lt;&gt;"",IF(H67&lt;&gt;"",IF(D67&lt;&gt;H67,IF(D67&gt;H67,"D","V"),""),""),"")))</f>
        <v>D</v>
      </c>
      <c r="F62" s="33" t="s">
        <v>81</v>
      </c>
      <c r="G62" s="33" t="s">
        <v>81</v>
      </c>
      <c r="H62" s="117"/>
      <c r="I62" s="33">
        <f>IF(B62&lt;&gt;"",3,"")</f>
        <v>3</v>
      </c>
      <c r="J62" s="33" t="str">
        <f>IF(I62&lt;&gt;"",P62,"")</f>
        <v>CAIQUE ACAIABA DE SOUSA MARTIS</v>
      </c>
      <c r="K62" s="33" t="str">
        <f>IFERROR(IF(J62="","",VLOOKUP(J62,LISTAS!$F$5:$G$1004,2,0)),"0")</f>
        <v>ESCOLA STAGIUM</v>
      </c>
      <c r="L62" s="130" t="str">
        <f>IF(H60=3,"BRONZE",IF(H60=4,"PRATA",IF(H60=5,"OURO","")))</f>
        <v>BRONZE</v>
      </c>
      <c r="M62" s="20">
        <f>IF(B62&lt;&gt;"",COUNTIF(D62:G62,"V")+(SUMIF(B66:B68,B62,D66:E68)/1000)+(SUMIF(J66:J68,B62,H66:I68)/1000)-(SUMIF(B66:B68,B62,H66:I68)/1000)-(SUMIF(J66:J68,B62,D66:E68)/1000)+0.001,"")</f>
        <v>-3.0000000000000001E-3</v>
      </c>
      <c r="N62" s="20" t="str">
        <f>IF(B62="","",B62)</f>
        <v>CAIQUE ACAIABA DE SOUSA MARTIS</v>
      </c>
      <c r="O62" s="20">
        <f>IF(B62&lt;&gt;"",LARGE(M60:M62,3),"")</f>
        <v>-3.0000000000000001E-3</v>
      </c>
      <c r="P62" s="20" t="str">
        <f>VLOOKUP(O62,M60:N62,2,0)</f>
        <v>CAIQUE ACAIABA DE SOUSA MARTIS</v>
      </c>
    </row>
    <row r="63" spans="2:16" ht="18" customHeight="1" x14ac:dyDescent="0.25">
      <c r="B63" s="79"/>
      <c r="C63" s="79"/>
      <c r="D63" s="79"/>
      <c r="E63" s="79"/>
      <c r="F63" s="79"/>
      <c r="G63" s="79"/>
      <c r="I63" s="80"/>
      <c r="J63" s="79"/>
      <c r="K63" s="81"/>
      <c r="L63" s="81"/>
    </row>
    <row r="64" spans="2:16" ht="23.25" customHeight="1" x14ac:dyDescent="0.25">
      <c r="B64" s="82" t="s">
        <v>40</v>
      </c>
      <c r="C64" s="79"/>
      <c r="D64" s="79"/>
      <c r="E64" s="79"/>
      <c r="F64" s="79"/>
      <c r="G64" s="79"/>
      <c r="H64" s="79"/>
      <c r="I64" s="79"/>
      <c r="J64" s="79"/>
      <c r="K64" s="79"/>
      <c r="L64" s="79"/>
    </row>
    <row r="65" spans="2:16" ht="18" customHeight="1" x14ac:dyDescent="0.25">
      <c r="B65" s="132" t="s">
        <v>15</v>
      </c>
      <c r="C65" s="132" t="s">
        <v>0</v>
      </c>
      <c r="D65" s="258" t="s">
        <v>41</v>
      </c>
      <c r="E65" s="259"/>
      <c r="F65" s="259"/>
      <c r="G65" s="259"/>
      <c r="H65" s="259"/>
      <c r="I65" s="260"/>
      <c r="J65" s="132" t="s">
        <v>15</v>
      </c>
      <c r="K65" s="132" t="s">
        <v>0</v>
      </c>
      <c r="L65" s="79"/>
    </row>
    <row r="66" spans="2:16" ht="18" customHeight="1" x14ac:dyDescent="0.25">
      <c r="B66" s="33" t="str">
        <f>IF(H60=3,B60,"")</f>
        <v>MATHEUS VASCONCELOS PEREIRA</v>
      </c>
      <c r="C66" s="33" t="str">
        <f>IFERROR(IF(B66="","",VLOOKUP(B66,LISTAS!$F$5:$G$1004,2,0)),"0")</f>
        <v>COLÉGIO ENGENHEIRO SALVADOR ARENA</v>
      </c>
      <c r="D66" s="253">
        <v>2</v>
      </c>
      <c r="E66" s="254"/>
      <c r="F66" s="253" t="s">
        <v>38</v>
      </c>
      <c r="G66" s="254"/>
      <c r="H66" s="253">
        <v>0</v>
      </c>
      <c r="I66" s="254"/>
      <c r="J66" s="111" t="str">
        <f>IF(H60=3,B62,"")</f>
        <v>CAIQUE ACAIABA DE SOUSA MARTIS</v>
      </c>
      <c r="K66" s="33" t="str">
        <f>IFERROR(IF(J66="","",VLOOKUP(J66,LISTAS!$F$5:$G$1004,2,0)),"0")</f>
        <v>ESCOLA STAGIUM</v>
      </c>
      <c r="L66" s="81"/>
    </row>
    <row r="67" spans="2:16" ht="18" customHeight="1" x14ac:dyDescent="0.25">
      <c r="B67" s="33" t="str">
        <f>IF(H60=3,B61,"")</f>
        <v>BRUNO NEPOMUCENO DOS SANTOS</v>
      </c>
      <c r="C67" s="33" t="str">
        <f>IFERROR(IF(B67="","",VLOOKUP(B67,LISTAS!$F$5:$G$1004,2,0)),"0")</f>
        <v>COLÉGIO ARBOS - UNIDADE SANTO ANDRÉ</v>
      </c>
      <c r="D67" s="253">
        <v>2</v>
      </c>
      <c r="E67" s="254"/>
      <c r="F67" s="253" t="s">
        <v>38</v>
      </c>
      <c r="G67" s="254"/>
      <c r="H67" s="253">
        <v>0</v>
      </c>
      <c r="I67" s="254"/>
      <c r="J67" s="111" t="str">
        <f>IF(H60=3,B62,"")</f>
        <v>CAIQUE ACAIABA DE SOUSA MARTIS</v>
      </c>
      <c r="K67" s="33" t="str">
        <f>IFERROR(IF(J67="","",VLOOKUP(J67,LISTAS!$F$5:$G$1004,2,0)),"0")</f>
        <v>ESCOLA STAGIUM</v>
      </c>
      <c r="L67" s="79"/>
    </row>
    <row r="68" spans="2:16" ht="18" customHeight="1" x14ac:dyDescent="0.25">
      <c r="B68" s="33" t="str">
        <f>IF(H60=3,B60,"")</f>
        <v>MATHEUS VASCONCELOS PEREIRA</v>
      </c>
      <c r="C68" s="33" t="str">
        <f>IFERROR(IF(B68="","",VLOOKUP(B68,LISTAS!$F$5:$G$1004,2,0)),"0")</f>
        <v>COLÉGIO ENGENHEIRO SALVADOR ARENA</v>
      </c>
      <c r="D68" s="253">
        <v>2</v>
      </c>
      <c r="E68" s="254"/>
      <c r="F68" s="253" t="s">
        <v>38</v>
      </c>
      <c r="G68" s="254"/>
      <c r="H68" s="253">
        <v>1</v>
      </c>
      <c r="I68" s="254"/>
      <c r="J68" s="111" t="str">
        <f>IF(H60=3,B61,"")</f>
        <v>BRUNO NEPOMUCENO DOS SANTOS</v>
      </c>
      <c r="K68" s="33" t="str">
        <f>IFERROR(IF(J68="","",VLOOKUP(J68,LISTAS!$F$5:$G$1004,2,0)),"0")</f>
        <v>COLÉGIO ARBOS - UNIDADE SANTO ANDRÉ</v>
      </c>
      <c r="L68" s="81"/>
    </row>
    <row r="71" spans="2:16" ht="30" customHeight="1" x14ac:dyDescent="0.25">
      <c r="B71" s="161" t="s">
        <v>49</v>
      </c>
      <c r="C71" s="79"/>
      <c r="D71" s="255" t="s">
        <v>42</v>
      </c>
      <c r="E71" s="256"/>
      <c r="F71" s="256"/>
      <c r="G71" s="257"/>
      <c r="H71" s="113"/>
      <c r="I71" s="255" t="s">
        <v>3</v>
      </c>
      <c r="J71" s="256"/>
      <c r="K71" s="256"/>
      <c r="L71" s="256"/>
    </row>
    <row r="72" spans="2:16" ht="18" customHeight="1" x14ac:dyDescent="0.25">
      <c r="B72" s="132" t="s">
        <v>15</v>
      </c>
      <c r="C72" s="132" t="s">
        <v>0</v>
      </c>
      <c r="D72" s="132" t="s">
        <v>43</v>
      </c>
      <c r="E72" s="132" t="s">
        <v>44</v>
      </c>
      <c r="F72" s="132" t="s">
        <v>77</v>
      </c>
      <c r="G72" s="132" t="s">
        <v>78</v>
      </c>
      <c r="H72" s="114"/>
      <c r="I72" s="132" t="s">
        <v>18</v>
      </c>
      <c r="J72" s="132" t="s">
        <v>15</v>
      </c>
      <c r="K72" s="132" t="s">
        <v>0</v>
      </c>
      <c r="L72" s="132" t="s">
        <v>45</v>
      </c>
    </row>
    <row r="73" spans="2:16" ht="18" customHeight="1" x14ac:dyDescent="0.25">
      <c r="B73" s="33" t="s">
        <v>523</v>
      </c>
      <c r="C73" s="33" t="str">
        <f>IFERROR(IF(B73="","",VLOOKUP(B73,LISTAS!$F$5:$G$1004,2,0)),"0")</f>
        <v>ESCOLA STAGIUM</v>
      </c>
      <c r="D73" s="33" t="str">
        <f>IF(H73&lt;3,"",IF(H73=3,IF(D79&lt;&gt;"",IF(H79&lt;&gt;"",IF(D79&lt;&gt;H79,IF(D79&gt;H79,"V","D"),""),""),"")))</f>
        <v>D</v>
      </c>
      <c r="E73" s="33" t="str">
        <f>IF(H73&lt;3,"",IF(H73=3,IF(D81&lt;&gt;"",IF(H81&lt;&gt;"",IF(D81&lt;&gt;H81,IF(D81&gt;H81,"V","D"),""),""),"")))</f>
        <v>D</v>
      </c>
      <c r="F73" s="33" t="s">
        <v>81</v>
      </c>
      <c r="G73" s="33" t="s">
        <v>81</v>
      </c>
      <c r="H73" s="117">
        <f>COUNTA(B73:B75)</f>
        <v>3</v>
      </c>
      <c r="I73" s="33">
        <f>IF(B73&lt;&gt;"",1,"")</f>
        <v>1</v>
      </c>
      <c r="J73" s="33" t="str">
        <f>IF(I73&lt;&gt;"",P73,"")</f>
        <v>GABRIEL ALEXANDRE FRANCHI</v>
      </c>
      <c r="K73" s="33" t="str">
        <f>IFERROR(IF(J73="","",VLOOKUP(J73,LISTAS!$F$5:$G$1004,2,0)),"0")</f>
        <v>COLÉGIO ARBOS - UNIDADE SANTO ANDRÉ</v>
      </c>
      <c r="L73" s="130" t="str">
        <f>IF(H73=3,"OURO",IF(H73=4,"OURO",IF(H73=5,"OURO","")))</f>
        <v>OURO</v>
      </c>
      <c r="M73" s="20">
        <f>IF(B73&lt;&gt;"",COUNTIF(D73:G73,"V")+(SUMIF(B79:B81,B73,D79:E81)/1000)+(SUMIF(J79:J81,B73,H79:I81)/1000)-(SUMIF(B79:B81,B73,H79:I81)/1000)-(SUMIF(J79:J81,B73,D79:E81)/1000)+0.003,"")</f>
        <v>-1E-3</v>
      </c>
      <c r="N73" s="20" t="str">
        <f>IF(B73="","",B73)</f>
        <v>MATHEUS MOREIRA CHAGAS</v>
      </c>
      <c r="O73" s="20">
        <f>IF(B73&lt;&gt;"",LARGE(M73:M75,1),"")</f>
        <v>2.004</v>
      </c>
      <c r="P73" s="20" t="str">
        <f>VLOOKUP(O73,M73:N75,2,0)</f>
        <v>GABRIEL ALEXANDRE FRANCHI</v>
      </c>
    </row>
    <row r="74" spans="2:16" ht="18" customHeight="1" x14ac:dyDescent="0.25">
      <c r="B74" s="33" t="s">
        <v>495</v>
      </c>
      <c r="C74" s="33" t="str">
        <f>IFERROR(IF(B74="","",VLOOKUP(B74,LISTAS!$F$5:$G$1004,2,0)),"0")</f>
        <v>ESCOLA VILLARE</v>
      </c>
      <c r="D74" s="33" t="str">
        <f>IF(H73&lt;3,"",IF(H73=3,IF(D80&lt;&gt;"",IF(H80&lt;&gt;"",IF(D80&lt;&gt;H80,IF(D80&gt;H80,"V","D"),""),""),"")))</f>
        <v>D</v>
      </c>
      <c r="E74" s="33" t="str">
        <f>IF(H73&lt;3,"",IF(H73=3,IF(D81&lt;&gt;"",IF(H81&lt;&gt;"",IF(D81&lt;&gt;H81,IF(D81&gt;H81,"D","V"),""),""),"")))</f>
        <v>V</v>
      </c>
      <c r="F74" s="33" t="s">
        <v>81</v>
      </c>
      <c r="G74" s="33" t="s">
        <v>81</v>
      </c>
      <c r="H74" s="117"/>
      <c r="I74" s="33">
        <f>IF(B74&lt;&gt;"",2,"")</f>
        <v>2</v>
      </c>
      <c r="J74" s="33" t="str">
        <f>IF(I74&lt;&gt;"",P74,"")</f>
        <v>GABRIEL MÜLLER POPI PEDROSA RAMOS</v>
      </c>
      <c r="K74" s="33" t="str">
        <f>IFERROR(IF(J74="","",VLOOKUP(J74,LISTAS!$F$5:$G$1004,2,0)),"0")</f>
        <v>ESCOLA VILLARE</v>
      </c>
      <c r="L74" s="130" t="str">
        <f>IF(H73=3,"PRATA",IF(H73=4,"OURO",IF(H73=5,"OURO","")))</f>
        <v>PRATA</v>
      </c>
      <c r="M74" s="20">
        <f>IF(B74&lt;&gt;"",COUNTIF(D74:G74,"V")+(SUMIF(B79:B81,B74,D79:E81)/1000)+(SUMIF(J79:J81,B74,H79:I81)/1000)-(SUMIF(B79:B81,B74,H79:I81)/1000)-(SUMIF(J79:J81,B74,D79:E81)/1000)+0.002,"")</f>
        <v>1.0029999999999999</v>
      </c>
      <c r="N74" s="20" t="str">
        <f t="shared" ref="N74" si="2">IF(B74="","",B74)</f>
        <v>GABRIEL MÜLLER POPI PEDROSA RAMOS</v>
      </c>
      <c r="O74" s="20">
        <f>IF(B74&lt;&gt;"",LARGE(M73:M75,2),"")</f>
        <v>1.0029999999999999</v>
      </c>
      <c r="P74" s="20" t="str">
        <f>VLOOKUP(O74,M73:N75,2,0)</f>
        <v>GABRIEL MÜLLER POPI PEDROSA RAMOS</v>
      </c>
    </row>
    <row r="75" spans="2:16" ht="18" customHeight="1" x14ac:dyDescent="0.25">
      <c r="B75" s="33" t="s">
        <v>492</v>
      </c>
      <c r="C75" s="33" t="str">
        <f>IFERROR(IF(B75="","",VLOOKUP(B75,LISTAS!$F$5:$G$1004,2,0)),"0")</f>
        <v>COLÉGIO ARBOS - UNIDADE SANTO ANDRÉ</v>
      </c>
      <c r="D75" s="33" t="str">
        <f>IF(H73&lt;3,"",IF(H73=3,IF(D79&lt;&gt;"",IF(H79&lt;&gt;"",IF(D79&lt;&gt;H79,IF(D79&gt;H79,"D","V"),""),""),"")))</f>
        <v>V</v>
      </c>
      <c r="E75" s="33" t="str">
        <f>IF(H73&lt;3,"",IF(H73=3,IF(D80&lt;&gt;"",IF(H80&lt;&gt;"",IF(D80&lt;&gt;H80,IF(D80&gt;H80,"D","V"),""),""),"")))</f>
        <v>V</v>
      </c>
      <c r="F75" s="33" t="s">
        <v>81</v>
      </c>
      <c r="G75" s="33" t="s">
        <v>81</v>
      </c>
      <c r="H75" s="117"/>
      <c r="I75" s="33">
        <f>IF(B75&lt;&gt;"",3,"")</f>
        <v>3</v>
      </c>
      <c r="J75" s="33" t="str">
        <f>IF(I75&lt;&gt;"",P75,"")</f>
        <v>MATHEUS MOREIRA CHAGAS</v>
      </c>
      <c r="K75" s="33" t="str">
        <f>IFERROR(IF(J75="","",VLOOKUP(J75,LISTAS!$F$5:$G$1004,2,0)),"0")</f>
        <v>ESCOLA STAGIUM</v>
      </c>
      <c r="L75" s="130" t="str">
        <f>IF(H73=3,"BRONZE",IF(H73=4,"PRATA",IF(H73=5,"OURO","")))</f>
        <v>BRONZE</v>
      </c>
      <c r="M75" s="20">
        <f>IF(B75&lt;&gt;"",COUNTIF(D75:G75,"V")+(SUMIF(B79:B81,B75,D79:E81)/1000)+(SUMIF(J79:J81,B75,H79:I81)/1000)-(SUMIF(B79:B81,B75,H79:I81)/1000)-(SUMIF(J79:J81,B75,D79:E81)/1000)+0.001,"")</f>
        <v>2.004</v>
      </c>
      <c r="N75" s="20" t="str">
        <f>IF(B75="","",B75)</f>
        <v>GABRIEL ALEXANDRE FRANCHI</v>
      </c>
      <c r="O75" s="20">
        <f>IF(B75&lt;&gt;"",LARGE(M73:M75,3),"")</f>
        <v>-1E-3</v>
      </c>
      <c r="P75" s="20" t="str">
        <f>VLOOKUP(O75,M73:N75,2,0)</f>
        <v>MATHEUS MOREIRA CHAGAS</v>
      </c>
    </row>
    <row r="76" spans="2:16" ht="18" customHeight="1" x14ac:dyDescent="0.25">
      <c r="B76" s="79"/>
      <c r="C76" s="79"/>
      <c r="D76" s="79"/>
      <c r="E76" s="79"/>
      <c r="F76" s="79"/>
      <c r="G76" s="79"/>
      <c r="I76" s="80"/>
      <c r="J76" s="79"/>
      <c r="K76" s="81"/>
      <c r="L76" s="81"/>
    </row>
    <row r="77" spans="2:16" ht="23.25" customHeight="1" x14ac:dyDescent="0.25">
      <c r="B77" s="82" t="s">
        <v>40</v>
      </c>
      <c r="C77" s="79"/>
      <c r="D77" s="79"/>
      <c r="E77" s="79"/>
      <c r="F77" s="79"/>
      <c r="G77" s="79"/>
      <c r="H77" s="79"/>
      <c r="I77" s="79"/>
      <c r="J77" s="79"/>
      <c r="K77" s="79"/>
      <c r="L77" s="79"/>
    </row>
    <row r="78" spans="2:16" ht="18" customHeight="1" x14ac:dyDescent="0.25">
      <c r="B78" s="132" t="s">
        <v>15</v>
      </c>
      <c r="C78" s="132" t="s">
        <v>0</v>
      </c>
      <c r="D78" s="258" t="s">
        <v>41</v>
      </c>
      <c r="E78" s="259"/>
      <c r="F78" s="259"/>
      <c r="G78" s="259"/>
      <c r="H78" s="259"/>
      <c r="I78" s="260"/>
      <c r="J78" s="132" t="s">
        <v>15</v>
      </c>
      <c r="K78" s="132" t="s">
        <v>0</v>
      </c>
      <c r="L78" s="79"/>
    </row>
    <row r="79" spans="2:16" ht="18" customHeight="1" x14ac:dyDescent="0.25">
      <c r="B79" s="33" t="str">
        <f>IF(H73=3,B73,"")</f>
        <v>MATHEUS MOREIRA CHAGAS</v>
      </c>
      <c r="C79" s="33" t="str">
        <f>IFERROR(IF(B79="","",VLOOKUP(B79,LISTAS!$F$5:$G$1004,2,0)),"0")</f>
        <v>ESCOLA STAGIUM</v>
      </c>
      <c r="D79" s="253">
        <v>0</v>
      </c>
      <c r="E79" s="254"/>
      <c r="F79" s="253" t="s">
        <v>38</v>
      </c>
      <c r="G79" s="254"/>
      <c r="H79" s="253">
        <v>2</v>
      </c>
      <c r="I79" s="254"/>
      <c r="J79" s="111" t="str">
        <f>IF(H73=3,B75,"")</f>
        <v>GABRIEL ALEXANDRE FRANCHI</v>
      </c>
      <c r="K79" s="33" t="str">
        <f>IFERROR(IF(J79="","",VLOOKUP(J79,LISTAS!$F$5:$G$1004,2,0)),"0")</f>
        <v>COLÉGIO ARBOS - UNIDADE SANTO ANDRÉ</v>
      </c>
      <c r="L79" s="81"/>
    </row>
    <row r="80" spans="2:16" ht="18" customHeight="1" x14ac:dyDescent="0.25">
      <c r="B80" s="33" t="str">
        <f>IF(H73=3,B74,"")</f>
        <v>GABRIEL MÜLLER POPI PEDROSA RAMOS</v>
      </c>
      <c r="C80" s="33" t="str">
        <f>IFERROR(IF(B80="","",VLOOKUP(B80,LISTAS!$F$5:$G$1004,2,0)),"0")</f>
        <v>ESCOLA VILLARE</v>
      </c>
      <c r="D80" s="253">
        <v>1</v>
      </c>
      <c r="E80" s="254"/>
      <c r="F80" s="253" t="s">
        <v>38</v>
      </c>
      <c r="G80" s="254"/>
      <c r="H80" s="253">
        <v>2</v>
      </c>
      <c r="I80" s="254"/>
      <c r="J80" s="111" t="str">
        <f>IF(H73=3,B75,"")</f>
        <v>GABRIEL ALEXANDRE FRANCHI</v>
      </c>
      <c r="K80" s="33" t="str">
        <f>IFERROR(IF(J80="","",VLOOKUP(J80,LISTAS!$F$5:$G$1004,2,0)),"0")</f>
        <v>COLÉGIO ARBOS - UNIDADE SANTO ANDRÉ</v>
      </c>
      <c r="L80" s="79"/>
    </row>
    <row r="81" spans="2:16" ht="18" customHeight="1" x14ac:dyDescent="0.25">
      <c r="B81" s="33" t="str">
        <f>IF(H73=3,B73,"")</f>
        <v>MATHEUS MOREIRA CHAGAS</v>
      </c>
      <c r="C81" s="33" t="str">
        <f>IFERROR(IF(B81="","",VLOOKUP(B81,LISTAS!$F$5:$G$1004,2,0)),"0")</f>
        <v>ESCOLA STAGIUM</v>
      </c>
      <c r="D81" s="253">
        <v>0</v>
      </c>
      <c r="E81" s="254"/>
      <c r="F81" s="253" t="s">
        <v>38</v>
      </c>
      <c r="G81" s="254"/>
      <c r="H81" s="253">
        <v>2</v>
      </c>
      <c r="I81" s="254"/>
      <c r="J81" s="111" t="str">
        <f>IF(H73=3,B74,"")</f>
        <v>GABRIEL MÜLLER POPI PEDROSA RAMOS</v>
      </c>
      <c r="K81" s="33" t="str">
        <f>IFERROR(IF(J81="","",VLOOKUP(J81,LISTAS!$F$5:$G$1004,2,0)),"0")</f>
        <v>ESCOLA VILLARE</v>
      </c>
      <c r="L81" s="81"/>
    </row>
    <row r="84" spans="2:16" ht="30" customHeight="1" x14ac:dyDescent="0.25">
      <c r="B84" s="161" t="s">
        <v>50</v>
      </c>
      <c r="C84" s="79"/>
      <c r="D84" s="255" t="s">
        <v>42</v>
      </c>
      <c r="E84" s="256"/>
      <c r="F84" s="256"/>
      <c r="G84" s="257"/>
      <c r="H84" s="113"/>
      <c r="I84" s="255" t="s">
        <v>3</v>
      </c>
      <c r="J84" s="256"/>
      <c r="K84" s="256"/>
      <c r="L84" s="256"/>
    </row>
    <row r="85" spans="2:16" ht="18" customHeight="1" x14ac:dyDescent="0.25">
      <c r="B85" s="132" t="s">
        <v>15</v>
      </c>
      <c r="C85" s="132" t="s">
        <v>0</v>
      </c>
      <c r="D85" s="132" t="s">
        <v>43</v>
      </c>
      <c r="E85" s="132" t="s">
        <v>44</v>
      </c>
      <c r="F85" s="132" t="s">
        <v>77</v>
      </c>
      <c r="G85" s="132" t="s">
        <v>78</v>
      </c>
      <c r="H85" s="114"/>
      <c r="I85" s="132" t="s">
        <v>18</v>
      </c>
      <c r="J85" s="132" t="s">
        <v>15</v>
      </c>
      <c r="K85" s="132" t="s">
        <v>0</v>
      </c>
      <c r="L85" s="132" t="s">
        <v>45</v>
      </c>
    </row>
    <row r="86" spans="2:16" ht="18" customHeight="1" x14ac:dyDescent="0.25">
      <c r="B86" s="33" t="s">
        <v>602</v>
      </c>
      <c r="C86" s="33" t="str">
        <f>IFERROR(IF(B86="","",VLOOKUP(B86,LISTAS!$F$5:$G$1004,2,0)),"0")</f>
        <v>RIO BRANCO - SBC</v>
      </c>
      <c r="D86" s="33" t="str">
        <f>IF(H86&lt;3,"",IF(H86=3,IF(D92&lt;&gt;"",IF(H92&lt;&gt;"",IF(D92&lt;&gt;H92,IF(D92&gt;H92,"V","D"),""),""),"")))</f>
        <v>D</v>
      </c>
      <c r="E86" s="33" t="str">
        <f>IF(H86&lt;3,"",IF(H86=3,IF(D94&lt;&gt;"",IF(H94&lt;&gt;"",IF(D94&lt;&gt;H94,IF(D94&gt;H94,"V","D"),""),""),"")))</f>
        <v>D</v>
      </c>
      <c r="F86" s="33" t="s">
        <v>81</v>
      </c>
      <c r="G86" s="33" t="s">
        <v>81</v>
      </c>
      <c r="H86" s="117">
        <f>COUNTA(B86:B88)</f>
        <v>3</v>
      </c>
      <c r="I86" s="33">
        <f>IF(B86&lt;&gt;"",1,"")</f>
        <v>1</v>
      </c>
      <c r="J86" s="33" t="str">
        <f>IF(I86&lt;&gt;"",P86,"")</f>
        <v>KAUAN CAMARGO</v>
      </c>
      <c r="K86" s="33" t="str">
        <f>IFERROR(IF(J86="","",VLOOKUP(J86,LISTAS!$F$5:$G$1004,2,0)),"0")</f>
        <v>COLÉGIO MARCONI - GRU</v>
      </c>
      <c r="L86" s="130" t="str">
        <f>IF(H86=3,"OURO",IF(H86=4,"OURO",IF(H86=5,"OURO","")))</f>
        <v>OURO</v>
      </c>
      <c r="M86" s="20">
        <f>IF(B86&lt;&gt;"",COUNTIF(D86:G86,"V")+(SUMIF(B92:B94,B86,D92:E94)/1000)+(SUMIF(J92:J94,B86,H92:I94)/1000)-(SUMIF(B92:B94,B86,H92:I94)/1000)-(SUMIF(J92:J94,B86,D92:E94)/1000)+0.003,"")</f>
        <v>0</v>
      </c>
      <c r="N86" s="20" t="str">
        <f>IF(B86="","",B86)</f>
        <v>GUSTAVO CANO</v>
      </c>
      <c r="O86" s="20">
        <f>IF(B86&lt;&gt;"",LARGE(M86:M88,1),"")</f>
        <v>2.0059999999999993</v>
      </c>
      <c r="P86" s="20" t="str">
        <f>VLOOKUP(O86,M86:N88,2,0)</f>
        <v>KAUAN CAMARGO</v>
      </c>
    </row>
    <row r="87" spans="2:16" ht="18" customHeight="1" x14ac:dyDescent="0.25">
      <c r="B87" s="33" t="s">
        <v>507</v>
      </c>
      <c r="C87" s="33" t="str">
        <f>IFERROR(IF(B87="","",VLOOKUP(B87,LISTAS!$F$5:$G$1004,2,0)),"0")</f>
        <v>COLÉGIO MARCONI - GRU</v>
      </c>
      <c r="D87" s="33" t="str">
        <f>IF(H86&lt;3,"",IF(H86=3,IF(D93&lt;&gt;"",IF(H93&lt;&gt;"",IF(D93&lt;&gt;H93,IF(D93&gt;H93,"V","D"),""),""),"")))</f>
        <v>V</v>
      </c>
      <c r="E87" s="33" t="str">
        <f>IF(H86&lt;3,"",IF(H86=3,IF(D94&lt;&gt;"",IF(H94&lt;&gt;"",IF(D94&lt;&gt;H94,IF(D94&gt;H94,"D","V"),""),""),"")))</f>
        <v>V</v>
      </c>
      <c r="F87" s="33" t="s">
        <v>81</v>
      </c>
      <c r="G87" s="33" t="s">
        <v>81</v>
      </c>
      <c r="H87" s="117"/>
      <c r="I87" s="33">
        <f>IF(B87&lt;&gt;"",2,"")</f>
        <v>2</v>
      </c>
      <c r="J87" s="33" t="str">
        <f>IF(I87&lt;&gt;"",P87,"")</f>
        <v>MURILO KENZO KIYOMOTO SHIGENO</v>
      </c>
      <c r="K87" s="33" t="str">
        <f>IFERROR(IF(J87="","",VLOOKUP(J87,LISTAS!$F$5:$G$1004,2,0)),"0")</f>
        <v>LICEU JARDIM</v>
      </c>
      <c r="L87" s="130" t="str">
        <f>IF(H86=3,"PRATA",IF(H86=4,"OURO",IF(H86=5,"OURO","")))</f>
        <v>PRATA</v>
      </c>
      <c r="M87" s="20">
        <f>IF(B87&lt;&gt;"",COUNTIF(D87:G87,"V")+(SUMIF(B92:B94,B87,D92:E94)/1000)+(SUMIF(J92:J94,B87,H92:I94)/1000)-(SUMIF(B92:B94,B87,H92:I94)/1000)-(SUMIF(J92:J94,B87,D92:E94)/1000)+0.002,"")</f>
        <v>2.0059999999999993</v>
      </c>
      <c r="N87" s="20" t="str">
        <f t="shared" ref="N87" si="3">IF(B87="","",B87)</f>
        <v>KAUAN CAMARGO</v>
      </c>
      <c r="O87" s="20">
        <f>IF(B87&lt;&gt;"",LARGE(M86:M88,2),"")</f>
        <v>1</v>
      </c>
      <c r="P87" s="20" t="str">
        <f>VLOOKUP(O87,M86:N88,2,0)</f>
        <v>MURILO KENZO KIYOMOTO SHIGENO</v>
      </c>
    </row>
    <row r="88" spans="2:16" ht="18" customHeight="1" x14ac:dyDescent="0.25">
      <c r="B88" s="33" t="s">
        <v>531</v>
      </c>
      <c r="C88" s="33" t="str">
        <f>IFERROR(IF(B88="","",VLOOKUP(B88,LISTAS!$F$5:$G$1004,2,0)),"0")</f>
        <v>LICEU JARDIM</v>
      </c>
      <c r="D88" s="33" t="str">
        <f>IF(H86&lt;3,"",IF(H86=3,IF(D92&lt;&gt;"",IF(H92&lt;&gt;"",IF(D92&lt;&gt;H92,IF(D92&gt;H92,"D","V"),""),""),"")))</f>
        <v>V</v>
      </c>
      <c r="E88" s="33" t="str">
        <f>IF(H86&lt;3,"",IF(H86=3,IF(D93&lt;&gt;"",IF(H93&lt;&gt;"",IF(D93&lt;&gt;H93,IF(D93&gt;H93,"D","V"),""),""),"")))</f>
        <v>D</v>
      </c>
      <c r="F88" s="33" t="s">
        <v>81</v>
      </c>
      <c r="G88" s="33" t="s">
        <v>81</v>
      </c>
      <c r="H88" s="117"/>
      <c r="I88" s="33">
        <f>IF(B88&lt;&gt;"",3,"")</f>
        <v>3</v>
      </c>
      <c r="J88" s="33" t="str">
        <f>IF(I88&lt;&gt;"",P88,"")</f>
        <v>GUSTAVO CANO</v>
      </c>
      <c r="K88" s="33" t="str">
        <f>IFERROR(IF(J88="","",VLOOKUP(J88,LISTAS!$F$5:$G$1004,2,0)),"0")</f>
        <v>RIO BRANCO - SBC</v>
      </c>
      <c r="L88" s="130" t="str">
        <f>IF(H86=3,"BRONZE",IF(H86=4,"PRATA",IF(H86=5,"OURO","")))</f>
        <v>BRONZE</v>
      </c>
      <c r="M88" s="20">
        <f>IF(B88&lt;&gt;"",COUNTIF(D88:G88,"V")+(SUMIF(B92:B94,B88,D92:E94)/1000)+(SUMIF(J92:J94,B88,H92:I94)/1000)-(SUMIF(B92:B94,B88,H92:I94)/1000)-(SUMIF(J92:J94,B88,D92:E94)/1000)+0.001,"")</f>
        <v>1</v>
      </c>
      <c r="N88" s="20" t="str">
        <f>IF(B88="","",B88)</f>
        <v>MURILO KENZO KIYOMOTO SHIGENO</v>
      </c>
      <c r="O88" s="20">
        <f>IF(B88&lt;&gt;"",LARGE(M86:M88,3),"")</f>
        <v>0</v>
      </c>
      <c r="P88" s="20" t="str">
        <f>VLOOKUP(O88,M86:N88,2,0)</f>
        <v>GUSTAVO CANO</v>
      </c>
    </row>
    <row r="89" spans="2:16" ht="18" customHeight="1" x14ac:dyDescent="0.25">
      <c r="B89" s="79"/>
      <c r="C89" s="79"/>
      <c r="D89" s="79"/>
      <c r="E89" s="79"/>
      <c r="F89" s="79"/>
      <c r="G89" s="79"/>
      <c r="I89" s="80"/>
      <c r="J89" s="79"/>
      <c r="K89" s="81"/>
      <c r="L89" s="81"/>
    </row>
    <row r="90" spans="2:16" ht="23.25" customHeight="1" x14ac:dyDescent="0.25">
      <c r="B90" s="82" t="s">
        <v>40</v>
      </c>
      <c r="C90" s="79"/>
      <c r="D90" s="79"/>
      <c r="E90" s="79"/>
      <c r="F90" s="79"/>
      <c r="G90" s="79"/>
      <c r="H90" s="79"/>
      <c r="I90" s="79"/>
      <c r="J90" s="79"/>
      <c r="K90" s="79"/>
      <c r="L90" s="79"/>
    </row>
    <row r="91" spans="2:16" ht="18" customHeight="1" x14ac:dyDescent="0.25">
      <c r="B91" s="132" t="s">
        <v>15</v>
      </c>
      <c r="C91" s="132" t="s">
        <v>0</v>
      </c>
      <c r="D91" s="258" t="s">
        <v>41</v>
      </c>
      <c r="E91" s="259"/>
      <c r="F91" s="259"/>
      <c r="G91" s="259"/>
      <c r="H91" s="259"/>
      <c r="I91" s="260"/>
      <c r="J91" s="132" t="s">
        <v>15</v>
      </c>
      <c r="K91" s="132" t="s">
        <v>0</v>
      </c>
      <c r="L91" s="79"/>
    </row>
    <row r="92" spans="2:16" ht="18" customHeight="1" x14ac:dyDescent="0.25">
      <c r="B92" s="33" t="str">
        <f>IF(H86=3,B86,"")</f>
        <v>GUSTAVO CANO</v>
      </c>
      <c r="C92" s="33" t="str">
        <f>IFERROR(IF(B92="","",VLOOKUP(B92,LISTAS!$F$5:$G$1004,2,0)),"0")</f>
        <v>RIO BRANCO - SBC</v>
      </c>
      <c r="D92" s="253">
        <v>1</v>
      </c>
      <c r="E92" s="254"/>
      <c r="F92" s="253" t="s">
        <v>38</v>
      </c>
      <c r="G92" s="254"/>
      <c r="H92" s="253">
        <v>2</v>
      </c>
      <c r="I92" s="254"/>
      <c r="J92" s="111" t="str">
        <f>IF(H86=3,B88,"")</f>
        <v>MURILO KENZO KIYOMOTO SHIGENO</v>
      </c>
      <c r="K92" s="33" t="str">
        <f>IFERROR(IF(J92="","",VLOOKUP(J92,LISTAS!$F$5:$G$1004,2,0)),"0")</f>
        <v>LICEU JARDIM</v>
      </c>
      <c r="L92" s="81"/>
    </row>
    <row r="93" spans="2:16" ht="18" customHeight="1" x14ac:dyDescent="0.25">
      <c r="B93" s="33" t="str">
        <f>IF(H86=3,B87,"")</f>
        <v>KAUAN CAMARGO</v>
      </c>
      <c r="C93" s="33" t="str">
        <f>IFERROR(IF(B93="","",VLOOKUP(B93,LISTAS!$F$5:$G$1004,2,0)),"0")</f>
        <v>COLÉGIO MARCONI - GRU</v>
      </c>
      <c r="D93" s="253">
        <v>2</v>
      </c>
      <c r="E93" s="254"/>
      <c r="F93" s="253" t="s">
        <v>38</v>
      </c>
      <c r="G93" s="254"/>
      <c r="H93" s="253">
        <v>0</v>
      </c>
      <c r="I93" s="254"/>
      <c r="J93" s="111" t="str">
        <f>IF(H86=3,B88,"")</f>
        <v>MURILO KENZO KIYOMOTO SHIGENO</v>
      </c>
      <c r="K93" s="33" t="str">
        <f>IFERROR(IF(J93="","",VLOOKUP(J93,LISTAS!$F$5:$G$1004,2,0)),"0")</f>
        <v>LICEU JARDIM</v>
      </c>
      <c r="L93" s="79"/>
    </row>
    <row r="94" spans="2:16" ht="18" customHeight="1" x14ac:dyDescent="0.25">
      <c r="B94" s="33" t="str">
        <f>IF(H86=3,B86,"")</f>
        <v>GUSTAVO CANO</v>
      </c>
      <c r="C94" s="33" t="str">
        <f>IFERROR(IF(B94="","",VLOOKUP(B94,LISTAS!$F$5:$G$1004,2,0)),"0")</f>
        <v>RIO BRANCO - SBC</v>
      </c>
      <c r="D94" s="253">
        <v>0</v>
      </c>
      <c r="E94" s="254"/>
      <c r="F94" s="253" t="s">
        <v>38</v>
      </c>
      <c r="G94" s="254"/>
      <c r="H94" s="253">
        <v>2</v>
      </c>
      <c r="I94" s="254"/>
      <c r="J94" s="111" t="str">
        <f>IF(H86=3,B87,"")</f>
        <v>KAUAN CAMARGO</v>
      </c>
      <c r="K94" s="33" t="str">
        <f>IFERROR(IF(J94="","",VLOOKUP(J94,LISTAS!$F$5:$G$1004,2,0)),"0")</f>
        <v>COLÉGIO MARCONI - GRU</v>
      </c>
      <c r="L94" s="81"/>
    </row>
    <row r="97" spans="2:16" ht="30" customHeight="1" x14ac:dyDescent="0.25">
      <c r="B97" s="161" t="s">
        <v>51</v>
      </c>
      <c r="C97" s="79"/>
      <c r="D97" s="255" t="s">
        <v>42</v>
      </c>
      <c r="E97" s="256"/>
      <c r="F97" s="256"/>
      <c r="G97" s="257"/>
      <c r="H97" s="113"/>
      <c r="I97" s="255" t="s">
        <v>3</v>
      </c>
      <c r="J97" s="256"/>
      <c r="K97" s="256"/>
      <c r="L97" s="256"/>
    </row>
    <row r="98" spans="2:16" ht="18" customHeight="1" x14ac:dyDescent="0.25">
      <c r="B98" s="132" t="s">
        <v>15</v>
      </c>
      <c r="C98" s="132" t="s">
        <v>0</v>
      </c>
      <c r="D98" s="132" t="s">
        <v>43</v>
      </c>
      <c r="E98" s="132" t="s">
        <v>44</v>
      </c>
      <c r="F98" s="132" t="s">
        <v>77</v>
      </c>
      <c r="G98" s="132" t="s">
        <v>78</v>
      </c>
      <c r="H98" s="114"/>
      <c r="I98" s="132" t="s">
        <v>18</v>
      </c>
      <c r="J98" s="132" t="s">
        <v>15</v>
      </c>
      <c r="K98" s="132" t="s">
        <v>0</v>
      </c>
      <c r="L98" s="132" t="s">
        <v>45</v>
      </c>
    </row>
    <row r="99" spans="2:16" ht="18" customHeight="1" x14ac:dyDescent="0.25">
      <c r="B99" s="33" t="s">
        <v>537</v>
      </c>
      <c r="C99" s="33" t="str">
        <f>IFERROR(IF(B99="","",VLOOKUP(B99,LISTAS!$F$5:$G$1004,2,0)),"0")</f>
        <v>ESCOLA VILLARE</v>
      </c>
      <c r="D99" s="33" t="str">
        <f>IF(H99&lt;3,"",IF(H99=3,IF(D105&lt;&gt;"",IF(H105&lt;&gt;"",IF(D105&lt;&gt;H105,IF(D105&gt;H105,"V","D"),""),""),"")))</f>
        <v>V</v>
      </c>
      <c r="E99" s="33" t="str">
        <f>IF(H99&lt;3,"",IF(H99=3,IF(D107&lt;&gt;"",IF(H107&lt;&gt;"",IF(D107&lt;&gt;H107,IF(D107&gt;H107,"V","D"),""),""),"")))</f>
        <v>V</v>
      </c>
      <c r="F99" s="33" t="s">
        <v>81</v>
      </c>
      <c r="G99" s="33" t="s">
        <v>81</v>
      </c>
      <c r="H99" s="117">
        <f>COUNTA(B99:B101)</f>
        <v>3</v>
      </c>
      <c r="I99" s="33">
        <f>IF(B99&lt;&gt;"",1,"")</f>
        <v>1</v>
      </c>
      <c r="J99" s="33" t="str">
        <f>IF(I99&lt;&gt;"",P99,"")</f>
        <v>PEDRO RODRIGUES GUASTELLA</v>
      </c>
      <c r="K99" s="33" t="str">
        <f>IFERROR(IF(J99="","",VLOOKUP(J99,LISTAS!$F$5:$G$1004,2,0)),"0")</f>
        <v>ESCOLA VILLARE</v>
      </c>
      <c r="L99" s="130" t="str">
        <f>IF(H99=3,"OURO",IF(H99=4,"OURO",IF(H99=5,"OURO","")))</f>
        <v>OURO</v>
      </c>
      <c r="M99" s="20">
        <f>IF(B99&lt;&gt;"",COUNTIF(D99:G99,"V")+(SUMIF(B105:B107,B99,D105:E107)/1000)+(SUMIF(J105:J107,B99,H105:I107)/1000)-(SUMIF(B105:B107,B99,H105:I107)/1000)-(SUMIF(J105:J107,B99,D105:E107)/1000)+0.003,"")</f>
        <v>2.0060000000000002</v>
      </c>
      <c r="N99" s="20" t="str">
        <f>IF(B99="","",B99)</f>
        <v>PEDRO RODRIGUES GUASTELLA</v>
      </c>
      <c r="O99" s="20">
        <f>IF(B99&lt;&gt;"",LARGE(M99:M101,1),"")</f>
        <v>2.0060000000000002</v>
      </c>
      <c r="P99" s="20" t="str">
        <f>VLOOKUP(O99,M99:N101,2,0)</f>
        <v>PEDRO RODRIGUES GUASTELLA</v>
      </c>
    </row>
    <row r="100" spans="2:16" ht="18" customHeight="1" x14ac:dyDescent="0.25">
      <c r="B100" s="33" t="s">
        <v>527</v>
      </c>
      <c r="C100" s="33" t="str">
        <f>IFERROR(IF(B100="","",VLOOKUP(B100,LISTAS!$F$5:$G$1004,2,0)),"0")</f>
        <v>COLÉGIO ENGENHEIRO SALVADOR ARENA</v>
      </c>
      <c r="D100" s="33" t="str">
        <f>IF(H99&lt;3,"",IF(H99=3,IF(D106&lt;&gt;"",IF(H106&lt;&gt;"",IF(D106&lt;&gt;H106,IF(D106&gt;H106,"V","D"),""),""),"")))</f>
        <v>V</v>
      </c>
      <c r="E100" s="33" t="str">
        <f>IF(H99&lt;3,"",IF(H99=3,IF(D107&lt;&gt;"",IF(H107&lt;&gt;"",IF(D107&lt;&gt;H107,IF(D107&gt;H107,"D","V"),""),""),"")))</f>
        <v>D</v>
      </c>
      <c r="F100" s="33" t="s">
        <v>81</v>
      </c>
      <c r="G100" s="33" t="s">
        <v>81</v>
      </c>
      <c r="H100" s="117"/>
      <c r="I100" s="33">
        <f>IF(B100&lt;&gt;"",2,"")</f>
        <v>2</v>
      </c>
      <c r="J100" s="33" t="str">
        <f>IF(I100&lt;&gt;"",P100,"")</f>
        <v>MIGUEL CUNHA DA SILVA</v>
      </c>
      <c r="K100" s="33" t="str">
        <f>IFERROR(IF(J100="","",VLOOKUP(J100,LISTAS!$F$5:$G$1004,2,0)),"0")</f>
        <v>COLÉGIO ENGENHEIRO SALVADOR ARENA</v>
      </c>
      <c r="L100" s="130" t="str">
        <f>IF(H99=3,"PRATA",IF(H99=4,"OURO",IF(H99=5,"OURO","")))</f>
        <v>PRATA</v>
      </c>
      <c r="M100" s="20">
        <f>IF(B100&lt;&gt;"",COUNTIF(D100:G100,"V")+(SUMIF(B105:B107,B100,D105:E107)/1000)+(SUMIF(J105:J107,B100,H105:I107)/1000)-(SUMIF(B105:B107,B100,H105:I107)/1000)-(SUMIF(J105:J107,B100,D105:E107)/1000)+0.002,"")</f>
        <v>1.0029999999999999</v>
      </c>
      <c r="N100" s="20" t="str">
        <f>IF(B100="","",B100)</f>
        <v>MIGUEL CUNHA DA SILVA</v>
      </c>
      <c r="O100" s="20">
        <f>IF(B100&lt;&gt;"",LARGE(M99:M101,2),"")</f>
        <v>1.0029999999999999</v>
      </c>
      <c r="P100" s="20" t="str">
        <f>VLOOKUP(O100,M99:N101,2,0)</f>
        <v>MIGUEL CUNHA DA SILVA</v>
      </c>
    </row>
    <row r="101" spans="2:16" ht="18" customHeight="1" x14ac:dyDescent="0.25">
      <c r="B101" s="33" t="s">
        <v>533</v>
      </c>
      <c r="C101" s="33" t="str">
        <f>IFERROR(IF(B101="","",VLOOKUP(B101,LISTAS!$F$5:$G$1004,2,0)),"0")</f>
        <v>ESCOLA STAGIUM</v>
      </c>
      <c r="D101" s="33" t="str">
        <f>IF(H99&lt;3,"",IF(H99=3,IF(D105&lt;&gt;"",IF(H105&lt;&gt;"",IF(D105&lt;&gt;H105,IF(D105&gt;H105,"D","V"),""),""),"")))</f>
        <v>D</v>
      </c>
      <c r="E101" s="33" t="str">
        <f>IF(H99&lt;3,"",IF(H99=3,IF(D106&lt;&gt;"",IF(H106&lt;&gt;"",IF(D106&lt;&gt;H106,IF(D106&gt;H106,"D","V"),""),""),"")))</f>
        <v>D</v>
      </c>
      <c r="F101" s="33" t="s">
        <v>81</v>
      </c>
      <c r="G101" s="33" t="s">
        <v>81</v>
      </c>
      <c r="H101" s="117"/>
      <c r="I101" s="33">
        <f>IF(B101&lt;&gt;"",3,"")</f>
        <v>3</v>
      </c>
      <c r="J101" s="33" t="str">
        <f>IF(I101&lt;&gt;"",P101,"")</f>
        <v>NICOLAS CLEBER SANTOS TAVARES</v>
      </c>
      <c r="K101" s="33" t="str">
        <f>IFERROR(IF(J101="","",VLOOKUP(J101,LISTAS!$F$5:$G$1004,2,0)),"0")</f>
        <v>ESCOLA STAGIUM</v>
      </c>
      <c r="L101" s="130" t="str">
        <f>IF(H99=3,"BRONZE",IF(H99=4,"PRATA",IF(H99=5,"OURO","")))</f>
        <v>BRONZE</v>
      </c>
      <c r="M101" s="20">
        <f>IF(B101&lt;&gt;"",COUNTIF(D101:G101,"V")+(SUMIF(B105:B107,B101,D105:E107)/1000)+(SUMIF(J105:J107,B101,H105:I107)/1000)-(SUMIF(B105:B107,B101,H105:I107)/1000)-(SUMIF(J105:J107,B101,D105:E107)/1000)+0.001,"")</f>
        <v>-3.0000000000000001E-3</v>
      </c>
      <c r="N101" s="20" t="str">
        <f>IF(B101="","",B101)</f>
        <v>NICOLAS CLEBER SANTOS TAVARES</v>
      </c>
      <c r="O101" s="20">
        <f>IF(B101&lt;&gt;"",LARGE(M99:M101,3),"")</f>
        <v>-3.0000000000000001E-3</v>
      </c>
      <c r="P101" s="20" t="str">
        <f>VLOOKUP(O101,M99:N101,2,0)</f>
        <v>NICOLAS CLEBER SANTOS TAVARES</v>
      </c>
    </row>
    <row r="102" spans="2:16" ht="18" customHeight="1" x14ac:dyDescent="0.25">
      <c r="B102" s="79"/>
      <c r="C102" s="79"/>
      <c r="D102" s="79"/>
      <c r="E102" s="79"/>
      <c r="F102" s="79"/>
      <c r="G102" s="79"/>
      <c r="I102" s="80"/>
      <c r="J102" s="79"/>
      <c r="K102" s="81"/>
      <c r="L102" s="81"/>
    </row>
    <row r="103" spans="2:16" ht="23.25" customHeight="1" x14ac:dyDescent="0.25">
      <c r="B103" s="82" t="s">
        <v>40</v>
      </c>
      <c r="C103" s="79"/>
      <c r="D103" s="79"/>
      <c r="E103" s="79"/>
      <c r="F103" s="79"/>
      <c r="G103" s="79"/>
      <c r="H103" s="79"/>
      <c r="I103" s="79"/>
      <c r="J103" s="79"/>
      <c r="K103" s="79"/>
      <c r="L103" s="79"/>
    </row>
    <row r="104" spans="2:16" ht="18" customHeight="1" x14ac:dyDescent="0.25">
      <c r="B104" s="132" t="s">
        <v>15</v>
      </c>
      <c r="C104" s="132" t="s">
        <v>0</v>
      </c>
      <c r="D104" s="258" t="s">
        <v>41</v>
      </c>
      <c r="E104" s="259"/>
      <c r="F104" s="259"/>
      <c r="G104" s="259"/>
      <c r="H104" s="259"/>
      <c r="I104" s="260"/>
      <c r="J104" s="132" t="s">
        <v>15</v>
      </c>
      <c r="K104" s="132" t="s">
        <v>0</v>
      </c>
      <c r="L104" s="79"/>
    </row>
    <row r="105" spans="2:16" ht="18" customHeight="1" x14ac:dyDescent="0.25">
      <c r="B105" s="33" t="str">
        <f>IF(H99=3,B99,"")</f>
        <v>PEDRO RODRIGUES GUASTELLA</v>
      </c>
      <c r="C105" s="33" t="str">
        <f>IFERROR(IF(B105="","",VLOOKUP(B105,LISTAS!$F$5:$G$1004,2,0)),"0")</f>
        <v>ESCOLA VILLARE</v>
      </c>
      <c r="D105" s="253">
        <v>2</v>
      </c>
      <c r="E105" s="254"/>
      <c r="F105" s="253" t="s">
        <v>38</v>
      </c>
      <c r="G105" s="254"/>
      <c r="H105" s="253">
        <v>0</v>
      </c>
      <c r="I105" s="254"/>
      <c r="J105" s="111" t="str">
        <f>IF(H99=3,B101,"")</f>
        <v>NICOLAS CLEBER SANTOS TAVARES</v>
      </c>
      <c r="K105" s="33" t="str">
        <f>IFERROR(IF(J105="","",VLOOKUP(J105,LISTAS!$F$5:$G$1004,2,0)),"0")</f>
        <v>ESCOLA STAGIUM</v>
      </c>
      <c r="L105" s="81"/>
    </row>
    <row r="106" spans="2:16" ht="18" customHeight="1" x14ac:dyDescent="0.25">
      <c r="B106" s="33" t="str">
        <f>IF(H99=3,B100,"")</f>
        <v>MIGUEL CUNHA DA SILVA</v>
      </c>
      <c r="C106" s="33" t="str">
        <f>IFERROR(IF(B106="","",VLOOKUP(B106,LISTAS!$F$5:$G$1004,2,0)),"0")</f>
        <v>COLÉGIO ENGENHEIRO SALVADOR ARENA</v>
      </c>
      <c r="D106" s="253">
        <v>2</v>
      </c>
      <c r="E106" s="254"/>
      <c r="F106" s="253" t="s">
        <v>38</v>
      </c>
      <c r="G106" s="254"/>
      <c r="H106" s="253">
        <v>0</v>
      </c>
      <c r="I106" s="254"/>
      <c r="J106" s="111" t="str">
        <f>IF(H99=3,B101,"")</f>
        <v>NICOLAS CLEBER SANTOS TAVARES</v>
      </c>
      <c r="K106" s="33" t="str">
        <f>IFERROR(IF(J106="","",VLOOKUP(J106,LISTAS!$F$5:$G$1004,2,0)),"0")</f>
        <v>ESCOLA STAGIUM</v>
      </c>
      <c r="L106" s="79"/>
    </row>
    <row r="107" spans="2:16" ht="18" customHeight="1" x14ac:dyDescent="0.25">
      <c r="B107" s="33" t="str">
        <f>IF(H99=3,B99,"")</f>
        <v>PEDRO RODRIGUES GUASTELLA</v>
      </c>
      <c r="C107" s="33" t="str">
        <f>IFERROR(IF(B107="","",VLOOKUP(B107,LISTAS!$F$5:$G$1004,2,0)),"0")</f>
        <v>ESCOLA VILLARE</v>
      </c>
      <c r="D107" s="253">
        <v>2</v>
      </c>
      <c r="E107" s="254"/>
      <c r="F107" s="253" t="s">
        <v>38</v>
      </c>
      <c r="G107" s="254"/>
      <c r="H107" s="253">
        <v>1</v>
      </c>
      <c r="I107" s="254"/>
      <c r="J107" s="111" t="str">
        <f>IF(H99=3,B100,"")</f>
        <v>MIGUEL CUNHA DA SILVA</v>
      </c>
      <c r="K107" s="33" t="str">
        <f>IFERROR(IF(J107="","",VLOOKUP(J107,LISTAS!$F$5:$G$1004,2,0)),"0")</f>
        <v>COLÉGIO ENGENHEIRO SALVADOR ARENA</v>
      </c>
      <c r="L107" s="81"/>
    </row>
    <row r="110" spans="2:16" ht="30" customHeight="1" x14ac:dyDescent="0.25">
      <c r="B110" s="161" t="s">
        <v>52</v>
      </c>
      <c r="C110" s="79"/>
      <c r="D110" s="255" t="s">
        <v>42</v>
      </c>
      <c r="E110" s="256"/>
      <c r="F110" s="256"/>
      <c r="G110" s="257"/>
      <c r="H110" s="113"/>
      <c r="I110" s="255" t="s">
        <v>3</v>
      </c>
      <c r="J110" s="256"/>
      <c r="K110" s="256"/>
      <c r="L110" s="256"/>
    </row>
    <row r="111" spans="2:16" ht="18" customHeight="1" x14ac:dyDescent="0.25">
      <c r="B111" s="132" t="s">
        <v>15</v>
      </c>
      <c r="C111" s="132" t="s">
        <v>0</v>
      </c>
      <c r="D111" s="132" t="s">
        <v>43</v>
      </c>
      <c r="E111" s="132" t="s">
        <v>44</v>
      </c>
      <c r="F111" s="132" t="s">
        <v>77</v>
      </c>
      <c r="G111" s="132" t="s">
        <v>78</v>
      </c>
      <c r="H111" s="114"/>
      <c r="I111" s="132" t="s">
        <v>18</v>
      </c>
      <c r="J111" s="132" t="s">
        <v>15</v>
      </c>
      <c r="K111" s="132" t="s">
        <v>0</v>
      </c>
      <c r="L111" s="132" t="s">
        <v>45</v>
      </c>
    </row>
    <row r="112" spans="2:16" ht="18" customHeight="1" x14ac:dyDescent="0.25">
      <c r="B112" s="33" t="s">
        <v>502</v>
      </c>
      <c r="C112" s="33" t="str">
        <f>IFERROR(IF(B112="","",VLOOKUP(B112,LISTAS!$F$5:$G$1004,2,0)),"0")</f>
        <v>COLÉGIO ARBOS - UNIDADE SANTO ANDRÉ</v>
      </c>
      <c r="D112" s="33" t="str">
        <f>IF(H112&lt;3,"",IF(H112=3,IF(D118&lt;&gt;"",IF(H118&lt;&gt;"",IF(D118&lt;&gt;H118,IF(D118&gt;H118,"V","D"),""),""),"")))</f>
        <v>D</v>
      </c>
      <c r="E112" s="33" t="str">
        <f>IF(H112&lt;3,"",IF(H112=3,IF(D120&lt;&gt;"",IF(H120&lt;&gt;"",IF(D120&lt;&gt;H120,IF(D120&gt;H120,"V","D"),""),""),"")))</f>
        <v>V</v>
      </c>
      <c r="F112" s="33" t="s">
        <v>81</v>
      </c>
      <c r="G112" s="33" t="s">
        <v>81</v>
      </c>
      <c r="H112" s="117">
        <f>COUNTA(B112:B114)</f>
        <v>3</v>
      </c>
      <c r="I112" s="33">
        <f>IF(B112&lt;&gt;"",1,"")</f>
        <v>1</v>
      </c>
      <c r="J112" s="33" t="str">
        <f>IF(I112&lt;&gt;"",P112,"")</f>
        <v>MATEUS ISHII ZUCARELI</v>
      </c>
      <c r="K112" s="33" t="str">
        <f>IFERROR(IF(J112="","",VLOOKUP(J112,LISTAS!$F$5:$G$1004,2,0)),"0")</f>
        <v>ESCOLA VILLARE</v>
      </c>
      <c r="L112" s="130" t="str">
        <f>IF(H112=3,"OURO",IF(H112=4,"OURO",IF(H112=5,"OURO","")))</f>
        <v>OURO</v>
      </c>
      <c r="M112" s="20">
        <f>IF(B112&lt;&gt;"",COUNTIF(D112:G112,"V")+(SUMIF(B118:B120,B112,D118:E120)/1000)+(SUMIF(J118:J120,B112,H118:I120)/1000)-(SUMIF(B118:B120,B112,H118:I120)/1000)-(SUMIF(J118:J120,B112,D118:E120)/1000)+0.003,"")</f>
        <v>1.0029999999999999</v>
      </c>
      <c r="N112" s="20" t="str">
        <f>IF(B112="","",B112)</f>
        <v>JOÃO EMÍLIO DE SOUZA BASTOS</v>
      </c>
      <c r="O112" s="20">
        <f>IF(B112&lt;&gt;"",LARGE(M112:M114,1),"")</f>
        <v>2.0049999999999999</v>
      </c>
      <c r="P112" s="20" t="str">
        <f>VLOOKUP(O112,M112:N114,2,0)</f>
        <v>MATEUS ISHII ZUCARELI</v>
      </c>
    </row>
    <row r="113" spans="2:16" ht="18" customHeight="1" x14ac:dyDescent="0.25">
      <c r="B113" s="33" t="s">
        <v>539</v>
      </c>
      <c r="C113" s="33" t="str">
        <f>IFERROR(IF(B113="","",VLOOKUP(B113,LISTAS!$F$5:$G$1004,2,0)),"0")</f>
        <v>ESCOLA STAGIUM</v>
      </c>
      <c r="D113" s="33" t="str">
        <f>IF(H112&lt;3,"",IF(H112=3,IF(D119&lt;&gt;"",IF(H119&lt;&gt;"",IF(D119&lt;&gt;H119,IF(D119&gt;H119,"V","D"),""),""),"")))</f>
        <v>D</v>
      </c>
      <c r="E113" s="33" t="str">
        <f>IF(H112&lt;3,"",IF(H112=3,IF(D120&lt;&gt;"",IF(H120&lt;&gt;"",IF(D120&lt;&gt;H120,IF(D120&gt;H120,"D","V"),""),""),"")))</f>
        <v>D</v>
      </c>
      <c r="F113" s="33" t="s">
        <v>81</v>
      </c>
      <c r="G113" s="33" t="s">
        <v>81</v>
      </c>
      <c r="H113" s="117"/>
      <c r="I113" s="33">
        <f>IF(B113&lt;&gt;"",2,"")</f>
        <v>2</v>
      </c>
      <c r="J113" s="33" t="str">
        <f>IF(I113&lt;&gt;"",P113,"")</f>
        <v>JOÃO EMÍLIO DE SOUZA BASTOS</v>
      </c>
      <c r="K113" s="33" t="str">
        <f>IFERROR(IF(J113="","",VLOOKUP(J113,LISTAS!$F$5:$G$1004,2,0)),"0")</f>
        <v>COLÉGIO ARBOS - UNIDADE SANTO ANDRÉ</v>
      </c>
      <c r="L113" s="130" t="str">
        <f>IF(H112=3,"PRATA",IF(H112=4,"OURO",IF(H112=5,"OURO","")))</f>
        <v>PRATA</v>
      </c>
      <c r="M113" s="20">
        <f>IF(B113&lt;&gt;"",COUNTIF(D113:G113,"V")+(SUMIF(B118:B120,B113,D118:E120)/1000)+(SUMIF(J118:J120,B113,H118:I120)/1000)-(SUMIF(B118:B120,B113,H118:I120)/1000)-(SUMIF(J118:J120,B113,D118:E120)/1000)+0.002,"")</f>
        <v>-2E-3</v>
      </c>
      <c r="N113" s="20" t="str">
        <f t="shared" ref="N113" si="4">IF(B113="","",B113)</f>
        <v>RAPHAEL FERNANDES DE ALMEIDA</v>
      </c>
      <c r="O113" s="20">
        <f>IF(B113&lt;&gt;"",LARGE(M112:M114,2),"")</f>
        <v>1.0029999999999999</v>
      </c>
      <c r="P113" s="20" t="str">
        <f>VLOOKUP(O113,M112:N114,2,0)</f>
        <v>JOÃO EMÍLIO DE SOUZA BASTOS</v>
      </c>
    </row>
    <row r="114" spans="2:16" ht="18" customHeight="1" x14ac:dyDescent="0.25">
      <c r="B114" s="33" t="s">
        <v>521</v>
      </c>
      <c r="C114" s="33" t="str">
        <f>IFERROR(IF(B114="","",VLOOKUP(B114,LISTAS!$F$5:$G$1004,2,0)),"0")</f>
        <v>ESCOLA VILLARE</v>
      </c>
      <c r="D114" s="33" t="str">
        <f>IF(H112&lt;3,"",IF(H112=3,IF(D118&lt;&gt;"",IF(H118&lt;&gt;"",IF(D118&lt;&gt;H118,IF(D118&gt;H118,"D","V"),""),""),"")))</f>
        <v>V</v>
      </c>
      <c r="E114" s="33" t="str">
        <f>IF(H112&lt;3,"",IF(H112=3,IF(D119&lt;&gt;"",IF(H119&lt;&gt;"",IF(D119&lt;&gt;H119,IF(D119&gt;H119,"D","V"),""),""),"")))</f>
        <v>V</v>
      </c>
      <c r="F114" s="33" t="s">
        <v>81</v>
      </c>
      <c r="G114" s="33" t="s">
        <v>81</v>
      </c>
      <c r="H114" s="117"/>
      <c r="I114" s="33">
        <f>IF(B114&lt;&gt;"",3,"")</f>
        <v>3</v>
      </c>
      <c r="J114" s="33" t="str">
        <f>IF(I114&lt;&gt;"",P114,"")</f>
        <v>RAPHAEL FERNANDES DE ALMEIDA</v>
      </c>
      <c r="K114" s="33" t="str">
        <f>IFERROR(IF(J114="","",VLOOKUP(J114,LISTAS!$F$5:$G$1004,2,0)),"0")</f>
        <v>ESCOLA STAGIUM</v>
      </c>
      <c r="L114" s="130" t="str">
        <f>IF(H112=3,"BRONZE",IF(H112=4,"PRATA",IF(H112=5,"OURO","")))</f>
        <v>BRONZE</v>
      </c>
      <c r="M114" s="20">
        <f>IF(B114&lt;&gt;"",COUNTIF(D114:G114,"V")+(SUMIF(B118:B120,B114,D118:E120)/1000)+(SUMIF(J118:J120,B114,H118:I120)/1000)-(SUMIF(B118:B120,B114,H118:I120)/1000)-(SUMIF(J118:J120,B114,D118:E120)/1000)+0.001,"")</f>
        <v>2.0049999999999999</v>
      </c>
      <c r="N114" s="20" t="str">
        <f>IF(B114="","",B114)</f>
        <v>MATEUS ISHII ZUCARELI</v>
      </c>
      <c r="O114" s="20">
        <f>IF(B114&lt;&gt;"",LARGE(M112:M114,3),"")</f>
        <v>-2E-3</v>
      </c>
      <c r="P114" s="20" t="str">
        <f>VLOOKUP(O114,M112:N114,2,0)</f>
        <v>RAPHAEL FERNANDES DE ALMEIDA</v>
      </c>
    </row>
    <row r="115" spans="2:16" ht="18" customHeight="1" x14ac:dyDescent="0.25">
      <c r="B115" s="79"/>
      <c r="C115" s="79"/>
      <c r="D115" s="79"/>
      <c r="E115" s="79"/>
      <c r="F115" s="79"/>
      <c r="G115" s="79"/>
      <c r="I115" s="80"/>
      <c r="J115" s="79"/>
      <c r="K115" s="81"/>
      <c r="L115" s="81"/>
    </row>
    <row r="116" spans="2:16" ht="23.25" customHeight="1" x14ac:dyDescent="0.25">
      <c r="B116" s="82" t="s">
        <v>40</v>
      </c>
      <c r="C116" s="79"/>
      <c r="D116" s="79"/>
      <c r="E116" s="79"/>
      <c r="F116" s="79"/>
      <c r="G116" s="79"/>
      <c r="H116" s="79"/>
      <c r="I116" s="79"/>
      <c r="J116" s="79"/>
      <c r="K116" s="79"/>
      <c r="L116" s="79"/>
    </row>
    <row r="117" spans="2:16" ht="18" customHeight="1" x14ac:dyDescent="0.25">
      <c r="B117" s="132" t="s">
        <v>15</v>
      </c>
      <c r="C117" s="132" t="s">
        <v>0</v>
      </c>
      <c r="D117" s="258" t="s">
        <v>41</v>
      </c>
      <c r="E117" s="259"/>
      <c r="F117" s="259"/>
      <c r="G117" s="259"/>
      <c r="H117" s="259"/>
      <c r="I117" s="260"/>
      <c r="J117" s="132" t="s">
        <v>15</v>
      </c>
      <c r="K117" s="132" t="s">
        <v>0</v>
      </c>
      <c r="L117" s="79"/>
    </row>
    <row r="118" spans="2:16" ht="18" customHeight="1" x14ac:dyDescent="0.25">
      <c r="B118" s="33" t="str">
        <f>IF(H112=3,B112,"")</f>
        <v>JOÃO EMÍLIO DE SOUZA BASTOS</v>
      </c>
      <c r="C118" s="33" t="str">
        <f>IFERROR(IF(B118="","",VLOOKUP(B118,LISTAS!$F$5:$G$1004,2,0)),"0")</f>
        <v>COLÉGIO ARBOS - UNIDADE SANTO ANDRÉ</v>
      </c>
      <c r="D118" s="253">
        <v>0</v>
      </c>
      <c r="E118" s="254"/>
      <c r="F118" s="253" t="s">
        <v>38</v>
      </c>
      <c r="G118" s="254"/>
      <c r="H118" s="253">
        <v>2</v>
      </c>
      <c r="I118" s="254"/>
      <c r="J118" s="111" t="str">
        <f>IF(H112=3,B114,"")</f>
        <v>MATEUS ISHII ZUCARELI</v>
      </c>
      <c r="K118" s="33" t="str">
        <f>IFERROR(IF(J118="","",VLOOKUP(J118,LISTAS!$F$5:$G$1004,2,0)),"0")</f>
        <v>ESCOLA VILLARE</v>
      </c>
      <c r="L118" s="81"/>
    </row>
    <row r="119" spans="2:16" ht="18" customHeight="1" x14ac:dyDescent="0.25">
      <c r="B119" s="33" t="str">
        <f>IF(H112=3,B113,"")</f>
        <v>RAPHAEL FERNANDES DE ALMEIDA</v>
      </c>
      <c r="C119" s="33" t="str">
        <f>IFERROR(IF(B119="","",VLOOKUP(B119,LISTAS!$F$5:$G$1004,2,0)),"0")</f>
        <v>ESCOLA STAGIUM</v>
      </c>
      <c r="D119" s="253">
        <v>0</v>
      </c>
      <c r="E119" s="254"/>
      <c r="F119" s="253" t="s">
        <v>38</v>
      </c>
      <c r="G119" s="254"/>
      <c r="H119" s="253">
        <v>2</v>
      </c>
      <c r="I119" s="254"/>
      <c r="J119" s="111" t="str">
        <f>IF(H112=3,B114,"")</f>
        <v>MATEUS ISHII ZUCARELI</v>
      </c>
      <c r="K119" s="33" t="str">
        <f>IFERROR(IF(J119="","",VLOOKUP(J119,LISTAS!$F$5:$G$1004,2,0)),"0")</f>
        <v>ESCOLA VILLARE</v>
      </c>
      <c r="L119" s="79"/>
    </row>
    <row r="120" spans="2:16" ht="18" customHeight="1" x14ac:dyDescent="0.25">
      <c r="B120" s="33" t="str">
        <f>IF(H112=3,B112,"")</f>
        <v>JOÃO EMÍLIO DE SOUZA BASTOS</v>
      </c>
      <c r="C120" s="33" t="str">
        <f>IFERROR(IF(B120="","",VLOOKUP(B120,LISTAS!$F$5:$G$1004,2,0)),"0")</f>
        <v>COLÉGIO ARBOS - UNIDADE SANTO ANDRÉ</v>
      </c>
      <c r="D120" s="253">
        <v>2</v>
      </c>
      <c r="E120" s="254"/>
      <c r="F120" s="253" t="s">
        <v>38</v>
      </c>
      <c r="G120" s="254"/>
      <c r="H120" s="253">
        <v>0</v>
      </c>
      <c r="I120" s="254"/>
      <c r="J120" s="111" t="str">
        <f>IF(H112=3,B113,"")</f>
        <v>RAPHAEL FERNANDES DE ALMEIDA</v>
      </c>
      <c r="K120" s="33" t="str">
        <f>IFERROR(IF(J120="","",VLOOKUP(J120,LISTAS!$F$5:$G$1004,2,0)),"0")</f>
        <v>ESCOLA STAGIUM</v>
      </c>
      <c r="L120" s="81"/>
    </row>
    <row r="123" spans="2:16" ht="30" customHeight="1" x14ac:dyDescent="0.25">
      <c r="B123" s="161" t="s">
        <v>53</v>
      </c>
      <c r="C123" s="79"/>
      <c r="D123" s="255" t="s">
        <v>42</v>
      </c>
      <c r="E123" s="256"/>
      <c r="F123" s="256"/>
      <c r="G123" s="257"/>
      <c r="H123" s="113"/>
      <c r="I123" s="255" t="s">
        <v>3</v>
      </c>
      <c r="J123" s="256"/>
      <c r="K123" s="256"/>
      <c r="L123" s="256"/>
    </row>
    <row r="124" spans="2:16" ht="18" customHeight="1" x14ac:dyDescent="0.25">
      <c r="B124" s="132" t="s">
        <v>15</v>
      </c>
      <c r="C124" s="132" t="s">
        <v>0</v>
      </c>
      <c r="D124" s="132" t="s">
        <v>43</v>
      </c>
      <c r="E124" s="132" t="s">
        <v>44</v>
      </c>
      <c r="F124" s="132" t="s">
        <v>77</v>
      </c>
      <c r="G124" s="132" t="s">
        <v>78</v>
      </c>
      <c r="H124" s="114"/>
      <c r="I124" s="132" t="s">
        <v>18</v>
      </c>
      <c r="J124" s="132" t="s">
        <v>15</v>
      </c>
      <c r="K124" s="132" t="s">
        <v>0</v>
      </c>
      <c r="L124" s="132" t="s">
        <v>45</v>
      </c>
    </row>
    <row r="125" spans="2:16" ht="18" customHeight="1" x14ac:dyDescent="0.25">
      <c r="B125" s="33" t="s">
        <v>601</v>
      </c>
      <c r="C125" s="33" t="str">
        <f>IFERROR(IF(B125="","",VLOOKUP(B125,LISTAS!$F$5:$G$1004,2,0)),"0")</f>
        <v>BYE</v>
      </c>
      <c r="D125" s="33" t="str">
        <f>IF(H125&lt;3,"",IF(H125=3,IF(D131&lt;&gt;"",IF(H131&lt;&gt;"",IF(D131&lt;&gt;H131,IF(D131&gt;H131,"V","D"),""),""),"")))</f>
        <v>D</v>
      </c>
      <c r="E125" s="33" t="str">
        <f>IF(H125&lt;3,"",IF(H125=3,IF(D133&lt;&gt;"",IF(H133&lt;&gt;"",IF(D133&lt;&gt;H133,IF(D133&gt;H133,"V","D"),""),""),"")))</f>
        <v>D</v>
      </c>
      <c r="F125" s="33" t="s">
        <v>81</v>
      </c>
      <c r="G125" s="33" t="s">
        <v>81</v>
      </c>
      <c r="H125" s="117">
        <f>COUNTA(B125:B127)</f>
        <v>3</v>
      </c>
      <c r="I125" s="33">
        <f>IF(B125&lt;&gt;"",1,"")</f>
        <v>1</v>
      </c>
      <c r="J125" s="33" t="str">
        <f>IF(I125&lt;&gt;"",P125,"")</f>
        <v>FELIPE ANTONIO DE SÁ EIRAS QUISPE</v>
      </c>
      <c r="K125" s="33" t="str">
        <f>IFERROR(IF(J125="","",VLOOKUP(J125,LISTAS!$F$5:$G$1004,2,0)),"0")</f>
        <v>COLEGIO PETROPOLIS</v>
      </c>
      <c r="L125" s="130" t="str">
        <f>IF(H125=3,"OURO",IF(H125=4,"OURO",IF(H125=5,"OURO","")))</f>
        <v>OURO</v>
      </c>
      <c r="M125" s="20">
        <f>IF(B125&lt;&gt;"",COUNTIF(D125:G125,"V")+(SUMIF(B131:B133,B125,D131:E133)/1000)+(SUMIF(J131:J133,B125,H131:I133)/1000)-(SUMIF(B131:B133,B125,H131:I133)/1000)-(SUMIF(J131:J133,B125,D131:E133)/1000)+0.003,"")</f>
        <v>-1E-3</v>
      </c>
      <c r="N125" s="20" t="str">
        <f>IF(B125="","",B125)</f>
        <v>BYE</v>
      </c>
      <c r="O125" s="20">
        <f>IF(B125&lt;&gt;"",LARGE(M125:M127,1),"")</f>
        <v>2.0059999999999993</v>
      </c>
      <c r="P125" s="20" t="str">
        <f>VLOOKUP(O125,M125:N127,2,0)</f>
        <v>FELIPE ANTONIO DE SÁ EIRAS QUISPE</v>
      </c>
    </row>
    <row r="126" spans="2:16" ht="18" customHeight="1" x14ac:dyDescent="0.25">
      <c r="B126" s="33" t="s">
        <v>491</v>
      </c>
      <c r="C126" s="33" t="str">
        <f>IFERROR(IF(B126="","",VLOOKUP(B126,LISTAS!$F$5:$G$1004,2,0)),"0")</f>
        <v>COLEGIO PETROPOLIS</v>
      </c>
      <c r="D126" s="33" t="str">
        <f>IF(H125&lt;3,"",IF(H125=3,IF(D132&lt;&gt;"",IF(H132&lt;&gt;"",IF(D132&lt;&gt;H132,IF(D132&gt;H132,"V","D"),""),""),"")))</f>
        <v>V</v>
      </c>
      <c r="E126" s="33" t="str">
        <f>IF(H125&lt;3,"",IF(H125=3,IF(D133&lt;&gt;"",IF(H133&lt;&gt;"",IF(D133&lt;&gt;H133,IF(D133&gt;H133,"D","V"),""),""),"")))</f>
        <v>V</v>
      </c>
      <c r="F126" s="33" t="s">
        <v>81</v>
      </c>
      <c r="G126" s="33" t="s">
        <v>81</v>
      </c>
      <c r="H126" s="117"/>
      <c r="I126" s="33">
        <f>IF(B126&lt;&gt;"",2,"")</f>
        <v>2</v>
      </c>
      <c r="J126" s="33" t="str">
        <f>IF(I126&lt;&gt;"",P126,"")</f>
        <v>ARTHUR FIORAVANTE</v>
      </c>
      <c r="K126" s="33" t="str">
        <f>IFERROR(IF(J126="","",VLOOKUP(J126,LISTAS!$F$5:$G$1004,2,0)),"0")</f>
        <v>COLÉGIO MARCONI - GRU</v>
      </c>
      <c r="L126" s="130" t="str">
        <f>IF(H125=3,"PRATA",IF(H125=4,"OURO",IF(H125=5,"OURO","")))</f>
        <v>PRATA</v>
      </c>
      <c r="M126" s="20">
        <f>IF(B126&lt;&gt;"",COUNTIF(D126:G126,"V")+(SUMIF(B131:B133,B126,D131:E133)/1000)+(SUMIF(J131:J133,B126,H131:I133)/1000)-(SUMIF(B131:B133,B126,H131:I133)/1000)-(SUMIF(J131:J133,B126,D131:E133)/1000)+0.002,"")</f>
        <v>2.0059999999999993</v>
      </c>
      <c r="N126" s="20" t="str">
        <f t="shared" ref="N126" si="5">IF(B126="","",B126)</f>
        <v>FELIPE ANTONIO DE SÁ EIRAS QUISPE</v>
      </c>
      <c r="O126" s="20">
        <f>IF(B126&lt;&gt;"",LARGE(M125:M127,2),"")</f>
        <v>1.0009999999999999</v>
      </c>
      <c r="P126" s="20" t="str">
        <f>VLOOKUP(O126,M125:N127,2,0)</f>
        <v>ARTHUR FIORAVANTE</v>
      </c>
    </row>
    <row r="127" spans="2:16" ht="18" customHeight="1" x14ac:dyDescent="0.25">
      <c r="B127" s="33" t="s">
        <v>482</v>
      </c>
      <c r="C127" s="33" t="str">
        <f>IFERROR(IF(B127="","",VLOOKUP(B127,LISTAS!$F$5:$G$1004,2,0)),"0")</f>
        <v>COLÉGIO MARCONI - GRU</v>
      </c>
      <c r="D127" s="33" t="str">
        <f>IF(H125&lt;3,"",IF(H125=3,IF(D131&lt;&gt;"",IF(H131&lt;&gt;"",IF(D131&lt;&gt;H131,IF(D131&gt;H131,"D","V"),""),""),"")))</f>
        <v>V</v>
      </c>
      <c r="E127" s="33" t="str">
        <f>IF(H125&lt;3,"",IF(H125=3,IF(D132&lt;&gt;"",IF(H132&lt;&gt;"",IF(D132&lt;&gt;H132,IF(D132&gt;H132,"D","V"),""),""),"")))</f>
        <v>D</v>
      </c>
      <c r="F127" s="33" t="s">
        <v>81</v>
      </c>
      <c r="G127" s="33" t="s">
        <v>81</v>
      </c>
      <c r="H127" s="117"/>
      <c r="I127" s="33">
        <f>IF(B127&lt;&gt;"",3,"")</f>
        <v>3</v>
      </c>
      <c r="J127" s="33" t="str">
        <f>IF(I127&lt;&gt;"",P127,"")</f>
        <v>BYE</v>
      </c>
      <c r="K127" s="33" t="str">
        <f>IFERROR(IF(J127="","",VLOOKUP(J127,LISTAS!$F$5:$G$1004,2,0)),"0")</f>
        <v>BYE</v>
      </c>
      <c r="L127" s="130" t="str">
        <f>IF(H125=3,"BRONZE",IF(H125=4,"PRATA",IF(H125=5,"OURO","")))</f>
        <v>BRONZE</v>
      </c>
      <c r="M127" s="20">
        <f>IF(B127&lt;&gt;"",COUNTIF(D127:G127,"V")+(SUMIF(B131:B133,B127,D131:E133)/1000)+(SUMIF(J131:J133,B127,H131:I133)/1000)-(SUMIF(B131:B133,B127,H131:I133)/1000)-(SUMIF(J131:J133,B127,D131:E133)/1000)+0.001,"")</f>
        <v>1.0009999999999999</v>
      </c>
      <c r="N127" s="20" t="str">
        <f>IF(B127="","",B127)</f>
        <v>ARTHUR FIORAVANTE</v>
      </c>
      <c r="O127" s="20">
        <f>IF(B127&lt;&gt;"",LARGE(M125:M127,3),"")</f>
        <v>-1E-3</v>
      </c>
      <c r="P127" s="20" t="str">
        <f>VLOOKUP(O127,M125:N127,2,0)</f>
        <v>BYE</v>
      </c>
    </row>
    <row r="128" spans="2:16" ht="18" customHeight="1" x14ac:dyDescent="0.25">
      <c r="B128" s="79"/>
      <c r="C128" s="79"/>
      <c r="D128" s="79"/>
      <c r="E128" s="79"/>
      <c r="F128" s="79"/>
      <c r="G128" s="79"/>
      <c r="I128" s="80"/>
      <c r="J128" s="79"/>
      <c r="K128" s="81"/>
      <c r="L128" s="81"/>
    </row>
    <row r="129" spans="2:16" ht="23.25" customHeight="1" x14ac:dyDescent="0.25">
      <c r="B129" s="82" t="s">
        <v>40</v>
      </c>
      <c r="C129" s="79"/>
      <c r="D129" s="79"/>
      <c r="E129" s="79"/>
      <c r="F129" s="79"/>
      <c r="G129" s="79"/>
      <c r="H129" s="79"/>
      <c r="I129" s="79"/>
      <c r="J129" s="79"/>
      <c r="K129" s="79"/>
      <c r="L129" s="79"/>
    </row>
    <row r="130" spans="2:16" ht="18" customHeight="1" x14ac:dyDescent="0.25">
      <c r="B130" s="132" t="s">
        <v>15</v>
      </c>
      <c r="C130" s="132" t="s">
        <v>0</v>
      </c>
      <c r="D130" s="258" t="s">
        <v>41</v>
      </c>
      <c r="E130" s="259"/>
      <c r="F130" s="259"/>
      <c r="G130" s="259"/>
      <c r="H130" s="259"/>
      <c r="I130" s="260"/>
      <c r="J130" s="132" t="s">
        <v>15</v>
      </c>
      <c r="K130" s="132" t="s">
        <v>0</v>
      </c>
      <c r="L130" s="79"/>
    </row>
    <row r="131" spans="2:16" ht="18" customHeight="1" x14ac:dyDescent="0.25">
      <c r="B131" s="33" t="str">
        <f>IF(H125=3,B125,"")</f>
        <v>BYE</v>
      </c>
      <c r="C131" s="33" t="str">
        <f>IFERROR(IF(B131="","",VLOOKUP(B131,LISTAS!$F$5:$G$1004,2,0)),"0")</f>
        <v>BYE</v>
      </c>
      <c r="D131" s="253">
        <v>0</v>
      </c>
      <c r="E131" s="254"/>
      <c r="F131" s="253" t="s">
        <v>38</v>
      </c>
      <c r="G131" s="254"/>
      <c r="H131" s="253">
        <v>2</v>
      </c>
      <c r="I131" s="254"/>
      <c r="J131" s="111" t="str">
        <f>IF(H125=3,B127,"")</f>
        <v>ARTHUR FIORAVANTE</v>
      </c>
      <c r="K131" s="33" t="str">
        <f>IFERROR(IF(J131="","",VLOOKUP(J131,LISTAS!$F$5:$G$1004,2,0)),"0")</f>
        <v>COLÉGIO MARCONI - GRU</v>
      </c>
      <c r="L131" s="81"/>
    </row>
    <row r="132" spans="2:16" ht="18" customHeight="1" x14ac:dyDescent="0.25">
      <c r="B132" s="33" t="str">
        <f>IF(H125=3,B126,"")</f>
        <v>FELIPE ANTONIO DE SÁ EIRAS QUISPE</v>
      </c>
      <c r="C132" s="33" t="str">
        <f>IFERROR(IF(B132="","",VLOOKUP(B132,LISTAS!$F$5:$G$1004,2,0)),"0")</f>
        <v>COLEGIO PETROPOLIS</v>
      </c>
      <c r="D132" s="253">
        <v>2</v>
      </c>
      <c r="E132" s="254"/>
      <c r="F132" s="253" t="s">
        <v>38</v>
      </c>
      <c r="G132" s="254"/>
      <c r="H132" s="253">
        <v>0</v>
      </c>
      <c r="I132" s="254"/>
      <c r="J132" s="111" t="str">
        <f>IF(H125=3,B127,"")</f>
        <v>ARTHUR FIORAVANTE</v>
      </c>
      <c r="K132" s="33" t="str">
        <f>IFERROR(IF(J132="","",VLOOKUP(J132,LISTAS!$F$5:$G$1004,2,0)),"0")</f>
        <v>COLÉGIO MARCONI - GRU</v>
      </c>
      <c r="L132" s="79"/>
    </row>
    <row r="133" spans="2:16" ht="18" customHeight="1" x14ac:dyDescent="0.25">
      <c r="B133" s="33" t="str">
        <f>IF(H125=3,B125,"")</f>
        <v>BYE</v>
      </c>
      <c r="C133" s="33" t="str">
        <f>IFERROR(IF(B133="","",VLOOKUP(B133,LISTAS!$F$5:$G$1004,2,0)),"0")</f>
        <v>BYE</v>
      </c>
      <c r="D133" s="253">
        <v>0</v>
      </c>
      <c r="E133" s="254"/>
      <c r="F133" s="253" t="s">
        <v>38</v>
      </c>
      <c r="G133" s="254"/>
      <c r="H133" s="253">
        <v>2</v>
      </c>
      <c r="I133" s="254"/>
      <c r="J133" s="111" t="str">
        <f>IF(H125=3,B126,"")</f>
        <v>FELIPE ANTONIO DE SÁ EIRAS QUISPE</v>
      </c>
      <c r="K133" s="33" t="str">
        <f>IFERROR(IF(J133="","",VLOOKUP(J133,LISTAS!$F$5:$G$1004,2,0)),"0")</f>
        <v>COLEGIO PETROPOLIS</v>
      </c>
      <c r="L133" s="81"/>
    </row>
    <row r="136" spans="2:16" ht="30" customHeight="1" x14ac:dyDescent="0.25">
      <c r="B136" s="161" t="s">
        <v>54</v>
      </c>
      <c r="C136" s="79"/>
      <c r="D136" s="255" t="s">
        <v>42</v>
      </c>
      <c r="E136" s="256"/>
      <c r="F136" s="256"/>
      <c r="G136" s="257"/>
      <c r="H136" s="113"/>
      <c r="I136" s="255" t="s">
        <v>3</v>
      </c>
      <c r="J136" s="256"/>
      <c r="K136" s="256"/>
      <c r="L136" s="256"/>
    </row>
    <row r="137" spans="2:16" ht="18" customHeight="1" x14ac:dyDescent="0.25">
      <c r="B137" s="132" t="s">
        <v>15</v>
      </c>
      <c r="C137" s="132" t="s">
        <v>0</v>
      </c>
      <c r="D137" s="132" t="s">
        <v>43</v>
      </c>
      <c r="E137" s="132" t="s">
        <v>44</v>
      </c>
      <c r="F137" s="132" t="s">
        <v>77</v>
      </c>
      <c r="G137" s="132" t="s">
        <v>78</v>
      </c>
      <c r="H137" s="114"/>
      <c r="I137" s="132" t="s">
        <v>18</v>
      </c>
      <c r="J137" s="132" t="s">
        <v>15</v>
      </c>
      <c r="K137" s="132" t="s">
        <v>0</v>
      </c>
      <c r="L137" s="132" t="s">
        <v>45</v>
      </c>
    </row>
    <row r="138" spans="2:16" ht="18" customHeight="1" x14ac:dyDescent="0.25">
      <c r="B138" s="33" t="s">
        <v>540</v>
      </c>
      <c r="C138" s="33" t="str">
        <f>IFERROR(IF(B138="","",VLOOKUP(B138,LISTAS!$F$5:$G$1004,2,0)),"0")</f>
        <v>ESCOLA VILLARE</v>
      </c>
      <c r="D138" s="33" t="str">
        <f>IF(H138&lt;3,"",IF(H138=3,IF(D144&lt;&gt;"",IF(H144&lt;&gt;"",IF(D144&lt;&gt;H144,IF(D144&gt;H144,"V","D"),""),""),"")))</f>
        <v>V</v>
      </c>
      <c r="E138" s="33" t="str">
        <f>IF(H138&lt;3,"",IF(H138=3,IF(D146&lt;&gt;"",IF(H146&lt;&gt;"",IF(D146&lt;&gt;H146,IF(D146&gt;H146,"V","D"),""),""),"")))</f>
        <v>D</v>
      </c>
      <c r="F138" s="33" t="s">
        <v>81</v>
      </c>
      <c r="G138" s="33" t="s">
        <v>81</v>
      </c>
      <c r="H138" s="117">
        <f>COUNTA(B138:B140)</f>
        <v>3</v>
      </c>
      <c r="I138" s="33">
        <f>IF(B138&lt;&gt;"",1,"")</f>
        <v>1</v>
      </c>
      <c r="J138" s="33" t="str">
        <f>IF(I138&lt;&gt;"",P138,"")</f>
        <v>PEDRO HENRIQUE VIEIRA DE MELLO BARROS</v>
      </c>
      <c r="K138" s="33" t="str">
        <f>IFERROR(IF(J138="","",VLOOKUP(J138,LISTAS!$F$5:$G$1004,2,0)),"0")</f>
        <v>EXTERNATO SANTO ANTONIO</v>
      </c>
      <c r="L138" s="130" t="str">
        <f>IF(H138=3,"OURO",IF(H138=4,"OURO",IF(H138=5,"OURO","")))</f>
        <v>OURO</v>
      </c>
      <c r="M138" s="20">
        <f>IF(B138&lt;&gt;"",COUNTIF(D138:G138,"V")+(SUMIF(B144:B146,B138,D144:E146)/1000)+(SUMIF(J144:J146,B138,H144:I146)/1000)-(SUMIF(B144:B146,B138,H144:I146)/1000)-(SUMIF(J144:J146,B138,D144:E146)/1000)+0.003,"")</f>
        <v>1.0029999999999999</v>
      </c>
      <c r="N138" s="20" t="str">
        <f>IF(B138="","",B138)</f>
        <v>RODRIGO LAVIOLA GONZALEZ</v>
      </c>
      <c r="O138" s="20">
        <f>IF(B138&lt;&gt;"",LARGE(M138:M140,1),"")</f>
        <v>2.0059999999999993</v>
      </c>
      <c r="P138" s="20" t="str">
        <f>VLOOKUP(O138,M138:N140,2,0)</f>
        <v>PEDRO HENRIQUE VIEIRA DE MELLO BARROS</v>
      </c>
    </row>
    <row r="139" spans="2:16" ht="18" customHeight="1" x14ac:dyDescent="0.25">
      <c r="B139" s="33" t="s">
        <v>536</v>
      </c>
      <c r="C139" s="33" t="str">
        <f>IFERROR(IF(B139="","",VLOOKUP(B139,LISTAS!$F$5:$G$1004,2,0)),"0")</f>
        <v>EXTERNATO SANTO ANTONIO</v>
      </c>
      <c r="D139" s="33" t="str">
        <f>IF(H138&lt;3,"",IF(H138=3,IF(D145&lt;&gt;"",IF(H145&lt;&gt;"",IF(D145&lt;&gt;H145,IF(D145&gt;H145,"V","D"),""),""),"")))</f>
        <v>V</v>
      </c>
      <c r="E139" s="33" t="str">
        <f>IF(H138&lt;3,"",IF(H138=3,IF(D146&lt;&gt;"",IF(H146&lt;&gt;"",IF(D146&lt;&gt;H146,IF(D146&gt;H146,"D","V"),""),""),"")))</f>
        <v>V</v>
      </c>
      <c r="F139" s="33" t="s">
        <v>81</v>
      </c>
      <c r="G139" s="33" t="s">
        <v>81</v>
      </c>
      <c r="H139" s="117"/>
      <c r="I139" s="33">
        <f>IF(B139&lt;&gt;"",2,"")</f>
        <v>2</v>
      </c>
      <c r="J139" s="33" t="str">
        <f>IF(I139&lt;&gt;"",P139,"")</f>
        <v>RODRIGO LAVIOLA GONZALEZ</v>
      </c>
      <c r="K139" s="33" t="str">
        <f>IFERROR(IF(J139="","",VLOOKUP(J139,LISTAS!$F$5:$G$1004,2,0)),"0")</f>
        <v>ESCOLA VILLARE</v>
      </c>
      <c r="L139" s="130" t="str">
        <f>IF(H138=3,"PRATA",IF(H138=4,"OURO",IF(H138=5,"OURO","")))</f>
        <v>PRATA</v>
      </c>
      <c r="M139" s="20">
        <f>IF(B139&lt;&gt;"",COUNTIF(D139:G139,"V")+(SUMIF(B144:B146,B139,D144:E146)/1000)+(SUMIF(J144:J146,B139,H144:I146)/1000)-(SUMIF(B144:B146,B139,H144:I146)/1000)-(SUMIF(J144:J146,B139,D144:E146)/1000)+0.002,"")</f>
        <v>2.0059999999999993</v>
      </c>
      <c r="N139" s="20" t="str">
        <f t="shared" ref="N139" si="6">IF(B139="","",B139)</f>
        <v>PEDRO HENRIQUE VIEIRA DE MELLO BARROS</v>
      </c>
      <c r="O139" s="20">
        <f>IF(B139&lt;&gt;"",LARGE(M138:M140,2),"")</f>
        <v>1.0029999999999999</v>
      </c>
      <c r="P139" s="20" t="str">
        <f>VLOOKUP(O139,M138:N140,2,0)</f>
        <v>RODRIGO LAVIOLA GONZALEZ</v>
      </c>
    </row>
    <row r="140" spans="2:16" ht="18" customHeight="1" x14ac:dyDescent="0.25">
      <c r="B140" s="33" t="s">
        <v>601</v>
      </c>
      <c r="C140" s="33" t="str">
        <f>IFERROR(IF(B140="","",VLOOKUP(B140,LISTAS!$F$5:$G$1004,2,0)),"0")</f>
        <v>BYE</v>
      </c>
      <c r="D140" s="33" t="str">
        <f>IF(H138&lt;3,"",IF(H138=3,IF(D144&lt;&gt;"",IF(H144&lt;&gt;"",IF(D144&lt;&gt;H144,IF(D144&gt;H144,"D","V"),""),""),"")))</f>
        <v>D</v>
      </c>
      <c r="E140" s="33" t="str">
        <f>IF(H138&lt;3,"",IF(H138=3,IF(D145&lt;&gt;"",IF(H145&lt;&gt;"",IF(D145&lt;&gt;H145,IF(D145&gt;H145,"D","V"),""),""),"")))</f>
        <v>D</v>
      </c>
      <c r="F140" s="33" t="s">
        <v>81</v>
      </c>
      <c r="G140" s="33" t="s">
        <v>81</v>
      </c>
      <c r="H140" s="117"/>
      <c r="I140" s="33">
        <f>IF(B140&lt;&gt;"",3,"")</f>
        <v>3</v>
      </c>
      <c r="J140" s="33" t="str">
        <f>IF(I140&lt;&gt;"",P140,"")</f>
        <v>BYE</v>
      </c>
      <c r="K140" s="33" t="str">
        <f>IFERROR(IF(J140="","",VLOOKUP(J140,LISTAS!$F$5:$G$1004,2,0)),"0")</f>
        <v>BYE</v>
      </c>
      <c r="L140" s="130" t="str">
        <f>IF(H138=3,"BRONZE",IF(H138=4,"PRATA",IF(H138=5,"OURO","")))</f>
        <v>BRONZE</v>
      </c>
      <c r="M140" s="20">
        <f>IF(B140&lt;&gt;"",COUNTIF(D140:G140,"V")+(SUMIF(B144:B146,B140,D144:E146)/1000)+(SUMIF(J144:J146,B140,H144:I146)/1000)-(SUMIF(B144:B146,B140,H144:I146)/1000)-(SUMIF(J144:J146,B140,D144:E146)/1000)+0.001,"")</f>
        <v>-3.0000000000000001E-3</v>
      </c>
      <c r="N140" s="20" t="str">
        <f>IF(B140="","",B140)</f>
        <v>BYE</v>
      </c>
      <c r="O140" s="20">
        <f>IF(B140&lt;&gt;"",LARGE(M138:M140,3),"")</f>
        <v>-3.0000000000000001E-3</v>
      </c>
      <c r="P140" s="20" t="str">
        <f>VLOOKUP(O140,M138:N140,2,0)</f>
        <v>BYE</v>
      </c>
    </row>
    <row r="141" spans="2:16" ht="18" customHeight="1" x14ac:dyDescent="0.25">
      <c r="B141" s="79"/>
      <c r="C141" s="79"/>
      <c r="D141" s="79"/>
      <c r="E141" s="79"/>
      <c r="F141" s="79"/>
      <c r="G141" s="79"/>
      <c r="I141" s="80"/>
      <c r="J141" s="79"/>
      <c r="K141" s="81"/>
      <c r="L141" s="81"/>
    </row>
    <row r="142" spans="2:16" ht="23.25" customHeight="1" x14ac:dyDescent="0.25">
      <c r="B142" s="82" t="s">
        <v>40</v>
      </c>
      <c r="C142" s="79"/>
      <c r="D142" s="79"/>
      <c r="E142" s="79"/>
      <c r="F142" s="79"/>
      <c r="G142" s="79"/>
      <c r="H142" s="79"/>
      <c r="I142" s="79"/>
      <c r="J142" s="79"/>
      <c r="K142" s="79"/>
      <c r="L142" s="79"/>
    </row>
    <row r="143" spans="2:16" ht="18" customHeight="1" x14ac:dyDescent="0.25">
      <c r="B143" s="132" t="s">
        <v>15</v>
      </c>
      <c r="C143" s="132" t="s">
        <v>0</v>
      </c>
      <c r="D143" s="258" t="s">
        <v>41</v>
      </c>
      <c r="E143" s="259"/>
      <c r="F143" s="259"/>
      <c r="G143" s="259"/>
      <c r="H143" s="259"/>
      <c r="I143" s="260"/>
      <c r="J143" s="132" t="s">
        <v>15</v>
      </c>
      <c r="K143" s="132" t="s">
        <v>0</v>
      </c>
      <c r="L143" s="79"/>
    </row>
    <row r="144" spans="2:16" ht="18" customHeight="1" x14ac:dyDescent="0.25">
      <c r="B144" s="33" t="str">
        <f>IF(H138=3,B138,"")</f>
        <v>RODRIGO LAVIOLA GONZALEZ</v>
      </c>
      <c r="C144" s="33" t="str">
        <f>IFERROR(IF(B144="","",VLOOKUP(B144,LISTAS!$F$5:$G$1004,2,0)),"0")</f>
        <v>ESCOLA VILLARE</v>
      </c>
      <c r="D144" s="253">
        <v>2</v>
      </c>
      <c r="E144" s="254"/>
      <c r="F144" s="253" t="s">
        <v>38</v>
      </c>
      <c r="G144" s="254"/>
      <c r="H144" s="253">
        <v>0</v>
      </c>
      <c r="I144" s="254"/>
      <c r="J144" s="111" t="str">
        <f>IF(H138=3,B140,"")</f>
        <v>BYE</v>
      </c>
      <c r="K144" s="33" t="str">
        <f>IFERROR(IF(J144="","",VLOOKUP(J144,LISTAS!$F$5:$G$1004,2,0)),"0")</f>
        <v>BYE</v>
      </c>
      <c r="L144" s="81"/>
    </row>
    <row r="145" spans="2:16" ht="18" customHeight="1" x14ac:dyDescent="0.25">
      <c r="B145" s="33" t="str">
        <f>IF(H138=3,B139,"")</f>
        <v>PEDRO HENRIQUE VIEIRA DE MELLO BARROS</v>
      </c>
      <c r="C145" s="33" t="str">
        <f>IFERROR(IF(B145="","",VLOOKUP(B145,LISTAS!$F$5:$G$1004,2,0)),"0")</f>
        <v>EXTERNATO SANTO ANTONIO</v>
      </c>
      <c r="D145" s="253">
        <v>2</v>
      </c>
      <c r="E145" s="254"/>
      <c r="F145" s="253" t="s">
        <v>38</v>
      </c>
      <c r="G145" s="254"/>
      <c r="H145" s="253">
        <v>0</v>
      </c>
      <c r="I145" s="254"/>
      <c r="J145" s="111" t="str">
        <f>IF(H138=3,B140,"")</f>
        <v>BYE</v>
      </c>
      <c r="K145" s="33" t="str">
        <f>IFERROR(IF(J145="","",VLOOKUP(J145,LISTAS!$F$5:$G$1004,2,0)),"0")</f>
        <v>BYE</v>
      </c>
      <c r="L145" s="79"/>
    </row>
    <row r="146" spans="2:16" ht="18" customHeight="1" x14ac:dyDescent="0.25">
      <c r="B146" s="33" t="str">
        <f>IF(H138=3,B138,"")</f>
        <v>RODRIGO LAVIOLA GONZALEZ</v>
      </c>
      <c r="C146" s="33" t="str">
        <f>IFERROR(IF(B146="","",VLOOKUP(B146,LISTAS!$F$5:$G$1004,2,0)),"0")</f>
        <v>ESCOLA VILLARE</v>
      </c>
      <c r="D146" s="253">
        <v>0</v>
      </c>
      <c r="E146" s="254"/>
      <c r="F146" s="253" t="s">
        <v>38</v>
      </c>
      <c r="G146" s="254"/>
      <c r="H146" s="253">
        <v>2</v>
      </c>
      <c r="I146" s="254"/>
      <c r="J146" s="111" t="str">
        <f>IF(H138=3,B139,"")</f>
        <v>PEDRO HENRIQUE VIEIRA DE MELLO BARROS</v>
      </c>
      <c r="K146" s="33" t="str">
        <f>IFERROR(IF(J146="","",VLOOKUP(J146,LISTAS!$F$5:$G$1004,2,0)),"0")</f>
        <v>EXTERNATO SANTO ANTONIO</v>
      </c>
      <c r="L146" s="81"/>
    </row>
    <row r="149" spans="2:16" ht="30" customHeight="1" x14ac:dyDescent="0.25">
      <c r="B149" s="161" t="s">
        <v>55</v>
      </c>
      <c r="C149" s="79"/>
      <c r="D149" s="255" t="s">
        <v>42</v>
      </c>
      <c r="E149" s="256"/>
      <c r="F149" s="256"/>
      <c r="G149" s="257"/>
      <c r="H149" s="113"/>
      <c r="I149" s="255" t="s">
        <v>3</v>
      </c>
      <c r="J149" s="256"/>
      <c r="K149" s="256"/>
      <c r="L149" s="256"/>
    </row>
    <row r="150" spans="2:16" ht="18" customHeight="1" x14ac:dyDescent="0.25">
      <c r="B150" s="132" t="s">
        <v>15</v>
      </c>
      <c r="C150" s="132" t="s">
        <v>0</v>
      </c>
      <c r="D150" s="132" t="s">
        <v>43</v>
      </c>
      <c r="E150" s="132" t="s">
        <v>44</v>
      </c>
      <c r="F150" s="132" t="s">
        <v>77</v>
      </c>
      <c r="G150" s="132" t="s">
        <v>78</v>
      </c>
      <c r="H150" s="114"/>
      <c r="I150" s="132" t="s">
        <v>18</v>
      </c>
      <c r="J150" s="132" t="s">
        <v>15</v>
      </c>
      <c r="K150" s="132" t="s">
        <v>0</v>
      </c>
      <c r="L150" s="132" t="s">
        <v>45</v>
      </c>
    </row>
    <row r="151" spans="2:16" ht="18" customHeight="1" x14ac:dyDescent="0.25">
      <c r="B151" s="33" t="s">
        <v>509</v>
      </c>
      <c r="C151" s="33" t="str">
        <f>IFERROR(IF(B151="","",VLOOKUP(B151,LISTAS!$F$5:$G$1004,2,0)),"0")</f>
        <v>LICEU JARDIM</v>
      </c>
      <c r="D151" s="33" t="str">
        <f>IF(H151&lt;3,"",IF(H151=3,IF(D157&lt;&gt;"",IF(H157&lt;&gt;"",IF(D157&lt;&gt;H157,IF(D157&gt;H157,"V","D"),""),""),"")))</f>
        <v>D</v>
      </c>
      <c r="E151" s="33" t="str">
        <f>IF(H151&lt;3,"",IF(H151=3,IF(D159&lt;&gt;"",IF(H159&lt;&gt;"",IF(D159&lt;&gt;H159,IF(D159&gt;H159,"V","D"),""),""),"")))</f>
        <v>D</v>
      </c>
      <c r="F151" s="33" t="s">
        <v>81</v>
      </c>
      <c r="G151" s="33" t="s">
        <v>81</v>
      </c>
      <c r="H151" s="117">
        <f>COUNTA(B151:B153)</f>
        <v>3</v>
      </c>
      <c r="I151" s="33">
        <f>IF(B151&lt;&gt;"",1,"")</f>
        <v>1</v>
      </c>
      <c r="J151" s="33" t="str">
        <f>IF(I151&lt;&gt;"",P151,"")</f>
        <v>MURILO HENRIQUE DELFIOL</v>
      </c>
      <c r="K151" s="33" t="str">
        <f>IFERROR(IF(J151="","",VLOOKUP(J151,LISTAS!$F$5:$G$1004,2,0)),"0")</f>
        <v>COLÉGIO ENGENHEIRO SALVADOR ARENA</v>
      </c>
      <c r="L151" s="130" t="str">
        <f>IF(H151=3,"OURO",IF(H151=4,"OURO",IF(H151=5,"OURO","")))</f>
        <v>OURO</v>
      </c>
      <c r="M151" s="20">
        <f>IF(B151&lt;&gt;"",COUNTIF(D151:G151,"V")+(SUMIF(B157:B159,B151,D157:E159)/1000)+(SUMIF(J157:J159,B151,H157:I159)/1000)-(SUMIF(B157:B159,B151,H157:I159)/1000)-(SUMIF(J157:J159,B151,D157:E159)/1000)+0.003,"")</f>
        <v>-1E-3</v>
      </c>
      <c r="N151" s="20" t="str">
        <f>IF(B151="","",B151)</f>
        <v>LEONARDO CALANDRELLI SILVA</v>
      </c>
      <c r="O151" s="20">
        <f>IF(B151&lt;&gt;"",LARGE(M151:M153,1),"")</f>
        <v>2.0059999999999993</v>
      </c>
      <c r="P151" s="20" t="str">
        <f>VLOOKUP(O151,M151:N153,2,0)</f>
        <v>MURILO HENRIQUE DELFIOL</v>
      </c>
    </row>
    <row r="152" spans="2:16" ht="18" customHeight="1" x14ac:dyDescent="0.25">
      <c r="B152" s="33" t="s">
        <v>530</v>
      </c>
      <c r="C152" s="33" t="str">
        <f>IFERROR(IF(B152="","",VLOOKUP(B152,LISTAS!$F$5:$G$1004,2,0)),"0")</f>
        <v>COLÉGIO ENGENHEIRO SALVADOR ARENA</v>
      </c>
      <c r="D152" s="33" t="str">
        <f>IF(H151&lt;3,"",IF(H151=3,IF(D158&lt;&gt;"",IF(H158&lt;&gt;"",IF(D158&lt;&gt;H158,IF(D158&gt;H158,"V","D"),""),""),"")))</f>
        <v>V</v>
      </c>
      <c r="E152" s="33" t="str">
        <f>IF(H151&lt;3,"",IF(H151=3,IF(D159&lt;&gt;"",IF(H159&lt;&gt;"",IF(D159&lt;&gt;H159,IF(D159&gt;H159,"D","V"),""),""),"")))</f>
        <v>V</v>
      </c>
      <c r="F152" s="33" t="s">
        <v>81</v>
      </c>
      <c r="G152" s="33" t="s">
        <v>81</v>
      </c>
      <c r="H152" s="117"/>
      <c r="I152" s="33">
        <f>IF(B152&lt;&gt;"",2,"")</f>
        <v>2</v>
      </c>
      <c r="J152" s="33" t="str">
        <f>IF(I152&lt;&gt;"",P152,"")</f>
        <v>MATHEUS HENRIQUE SGOBI</v>
      </c>
      <c r="K152" s="33" t="str">
        <f>IFERROR(IF(J152="","",VLOOKUP(J152,LISTAS!$F$5:$G$1004,2,0)),"0")</f>
        <v>COLÉGIO ARBOS - UNIDADE SANTO ANDRÉ</v>
      </c>
      <c r="L152" s="130" t="str">
        <f>IF(H151=3,"PRATA",IF(H151=4,"OURO",IF(H151=5,"OURO","")))</f>
        <v>PRATA</v>
      </c>
      <c r="M152" s="20">
        <f>IF(B152&lt;&gt;"",COUNTIF(D152:G152,"V")+(SUMIF(B157:B159,B152,D157:E159)/1000)+(SUMIF(J157:J159,B152,H157:I159)/1000)-(SUMIF(B157:B159,B152,H157:I159)/1000)-(SUMIF(J157:J159,B152,D157:E159)/1000)+0.002,"")</f>
        <v>2.0059999999999993</v>
      </c>
      <c r="N152" s="20" t="str">
        <f>IF(B152="","",B152)</f>
        <v>MURILO HENRIQUE DELFIOL</v>
      </c>
      <c r="O152" s="20">
        <f>IF(B152&lt;&gt;"",LARGE(M151:M153,2),"")</f>
        <v>1.0009999999999999</v>
      </c>
      <c r="P152" s="20" t="str">
        <f>VLOOKUP(O152,M151:N153,2,0)</f>
        <v>MATHEUS HENRIQUE SGOBI</v>
      </c>
    </row>
    <row r="153" spans="2:16" ht="18" customHeight="1" x14ac:dyDescent="0.25">
      <c r="B153" s="33" t="s">
        <v>179</v>
      </c>
      <c r="C153" s="33" t="str">
        <f>IFERROR(IF(B153="","",VLOOKUP(B153,LISTAS!$F$5:$G$1004,2,0)),"0")</f>
        <v>COLÉGIO ARBOS - UNIDADE SANTO ANDRÉ</v>
      </c>
      <c r="D153" s="33" t="str">
        <f>IF(H151&lt;3,"",IF(H151=3,IF(D157&lt;&gt;"",IF(H157&lt;&gt;"",IF(D157&lt;&gt;H157,IF(D157&gt;H157,"D","V"),""),""),"")))</f>
        <v>V</v>
      </c>
      <c r="E153" s="33" t="str">
        <f>IF(H151&lt;3,"",IF(H151=3,IF(D158&lt;&gt;"",IF(H158&lt;&gt;"",IF(D158&lt;&gt;H158,IF(D158&gt;H158,"D","V"),""),""),"")))</f>
        <v>D</v>
      </c>
      <c r="F153" s="33" t="s">
        <v>81</v>
      </c>
      <c r="G153" s="33" t="s">
        <v>81</v>
      </c>
      <c r="H153" s="117"/>
      <c r="I153" s="33">
        <f>IF(B153&lt;&gt;"",3,"")</f>
        <v>3</v>
      </c>
      <c r="J153" s="33" t="str">
        <f>IF(I153&lt;&gt;"",P153,"")</f>
        <v>LEONARDO CALANDRELLI SILVA</v>
      </c>
      <c r="K153" s="33" t="str">
        <f>IFERROR(IF(J153="","",VLOOKUP(J153,LISTAS!$F$5:$G$1004,2,0)),"0")</f>
        <v>LICEU JARDIM</v>
      </c>
      <c r="L153" s="130" t="str">
        <f>IF(H151=3,"BRONZE",IF(H151=4,"PRATA",IF(H151=5,"OURO","")))</f>
        <v>BRONZE</v>
      </c>
      <c r="M153" s="20">
        <f>IF(B153&lt;&gt;"",COUNTIF(D153:G153,"V")+(SUMIF(B157:B159,B153,D157:E159)/1000)+(SUMIF(J157:J159,B153,H157:I159)/1000)-(SUMIF(B157:B159,B153,H157:I159)/1000)-(SUMIF(J157:J159,B153,D157:E159)/1000)+0.001,"")</f>
        <v>1.0009999999999999</v>
      </c>
      <c r="N153" s="20" t="str">
        <f>IF(B153="","",B153)</f>
        <v>MATHEUS HENRIQUE SGOBI</v>
      </c>
      <c r="O153" s="20">
        <f>IF(B153&lt;&gt;"",LARGE(M151:M153,3),"")</f>
        <v>-1E-3</v>
      </c>
      <c r="P153" s="20" t="str">
        <f>VLOOKUP(O153,M151:N153,2,0)</f>
        <v>LEONARDO CALANDRELLI SILVA</v>
      </c>
    </row>
    <row r="154" spans="2:16" ht="18" customHeight="1" x14ac:dyDescent="0.25">
      <c r="B154" s="79"/>
      <c r="C154" s="79"/>
      <c r="D154" s="79"/>
      <c r="E154" s="79"/>
      <c r="F154" s="79"/>
      <c r="G154" s="79"/>
      <c r="I154" s="80"/>
      <c r="J154" s="79"/>
      <c r="K154" s="81"/>
      <c r="L154" s="81"/>
    </row>
    <row r="155" spans="2:16" ht="23.25" customHeight="1" x14ac:dyDescent="0.25">
      <c r="B155" s="82" t="s">
        <v>40</v>
      </c>
      <c r="C155" s="79"/>
      <c r="D155" s="79"/>
      <c r="E155" s="79"/>
      <c r="F155" s="79"/>
      <c r="G155" s="79"/>
      <c r="H155" s="79"/>
      <c r="I155" s="79"/>
      <c r="J155" s="79"/>
      <c r="K155" s="79"/>
      <c r="L155" s="79"/>
    </row>
    <row r="156" spans="2:16" ht="18" customHeight="1" x14ac:dyDescent="0.25">
      <c r="B156" s="132" t="s">
        <v>15</v>
      </c>
      <c r="C156" s="132" t="s">
        <v>0</v>
      </c>
      <c r="D156" s="258" t="s">
        <v>41</v>
      </c>
      <c r="E156" s="259"/>
      <c r="F156" s="259"/>
      <c r="G156" s="259"/>
      <c r="H156" s="259"/>
      <c r="I156" s="260"/>
      <c r="J156" s="132" t="s">
        <v>15</v>
      </c>
      <c r="K156" s="132" t="s">
        <v>0</v>
      </c>
      <c r="L156" s="79"/>
    </row>
    <row r="157" spans="2:16" ht="18" customHeight="1" x14ac:dyDescent="0.25">
      <c r="B157" s="33" t="str">
        <f>IF(H151=3,B151,"")</f>
        <v>LEONARDO CALANDRELLI SILVA</v>
      </c>
      <c r="C157" s="33" t="str">
        <f>IFERROR(IF(B157="","",VLOOKUP(B157,LISTAS!$F$5:$G$1004,2,0)),"0")</f>
        <v>LICEU JARDIM</v>
      </c>
      <c r="D157" s="253">
        <v>0</v>
      </c>
      <c r="E157" s="254"/>
      <c r="F157" s="253" t="s">
        <v>38</v>
      </c>
      <c r="G157" s="254"/>
      <c r="H157" s="253">
        <v>2</v>
      </c>
      <c r="I157" s="254"/>
      <c r="J157" s="111" t="str">
        <f>IF(H151=3,B153,"")</f>
        <v>MATHEUS HENRIQUE SGOBI</v>
      </c>
      <c r="K157" s="33" t="str">
        <f>IFERROR(IF(J157="","",VLOOKUP(J157,LISTAS!$F$5:$G$1004,2,0)),"0")</f>
        <v>COLÉGIO ARBOS - UNIDADE SANTO ANDRÉ</v>
      </c>
      <c r="L157" s="81"/>
    </row>
    <row r="158" spans="2:16" ht="18" customHeight="1" x14ac:dyDescent="0.25">
      <c r="B158" s="33" t="str">
        <f>IF(H151=3,B152,"")</f>
        <v>MURILO HENRIQUE DELFIOL</v>
      </c>
      <c r="C158" s="33" t="str">
        <f>IFERROR(IF(B158="","",VLOOKUP(B158,LISTAS!$F$5:$G$1004,2,0)),"0")</f>
        <v>COLÉGIO ENGENHEIRO SALVADOR ARENA</v>
      </c>
      <c r="D158" s="253">
        <v>2</v>
      </c>
      <c r="E158" s="254"/>
      <c r="F158" s="253" t="s">
        <v>38</v>
      </c>
      <c r="G158" s="254"/>
      <c r="H158" s="253">
        <v>0</v>
      </c>
      <c r="I158" s="254"/>
      <c r="J158" s="111" t="str">
        <f>IF(H151=3,B153,"")</f>
        <v>MATHEUS HENRIQUE SGOBI</v>
      </c>
      <c r="K158" s="33" t="str">
        <f>IFERROR(IF(J158="","",VLOOKUP(J158,LISTAS!$F$5:$G$1004,2,0)),"0")</f>
        <v>COLÉGIO ARBOS - UNIDADE SANTO ANDRÉ</v>
      </c>
      <c r="L158" s="79"/>
    </row>
    <row r="159" spans="2:16" ht="18" customHeight="1" x14ac:dyDescent="0.25">
      <c r="B159" s="33" t="str">
        <f>IF(H151=3,B151,"")</f>
        <v>LEONARDO CALANDRELLI SILVA</v>
      </c>
      <c r="C159" s="33" t="str">
        <f>IFERROR(IF(B159="","",VLOOKUP(B159,LISTAS!$F$5:$G$1004,2,0)),"0")</f>
        <v>LICEU JARDIM</v>
      </c>
      <c r="D159" s="253">
        <v>0</v>
      </c>
      <c r="E159" s="254"/>
      <c r="F159" s="253" t="s">
        <v>38</v>
      </c>
      <c r="G159" s="254"/>
      <c r="H159" s="253">
        <v>2</v>
      </c>
      <c r="I159" s="254"/>
      <c r="J159" s="111" t="str">
        <f>IF(H151=3,B152,"")</f>
        <v>MURILO HENRIQUE DELFIOL</v>
      </c>
      <c r="K159" s="33" t="str">
        <f>IFERROR(IF(J159="","",VLOOKUP(J159,LISTAS!$F$5:$G$1004,2,0)),"0")</f>
        <v>COLÉGIO ENGENHEIRO SALVADOR ARENA</v>
      </c>
      <c r="L159" s="81"/>
    </row>
    <row r="162" spans="2:16" ht="30" customHeight="1" x14ac:dyDescent="0.25">
      <c r="B162" s="161" t="s">
        <v>56</v>
      </c>
      <c r="C162" s="79"/>
      <c r="D162" s="255" t="s">
        <v>42</v>
      </c>
      <c r="E162" s="256"/>
      <c r="F162" s="256"/>
      <c r="G162" s="257"/>
      <c r="H162" s="113"/>
      <c r="I162" s="255" t="s">
        <v>3</v>
      </c>
      <c r="J162" s="256"/>
      <c r="K162" s="256"/>
      <c r="L162" s="256"/>
    </row>
    <row r="163" spans="2:16" ht="18" customHeight="1" x14ac:dyDescent="0.25">
      <c r="B163" s="132" t="s">
        <v>15</v>
      </c>
      <c r="C163" s="132" t="s">
        <v>0</v>
      </c>
      <c r="D163" s="132" t="s">
        <v>43</v>
      </c>
      <c r="E163" s="132" t="s">
        <v>44</v>
      </c>
      <c r="F163" s="132" t="s">
        <v>77</v>
      </c>
      <c r="G163" s="132" t="s">
        <v>78</v>
      </c>
      <c r="H163" s="114"/>
      <c r="I163" s="132" t="s">
        <v>18</v>
      </c>
      <c r="J163" s="132" t="s">
        <v>15</v>
      </c>
      <c r="K163" s="132" t="s">
        <v>0</v>
      </c>
      <c r="L163" s="132" t="s">
        <v>45</v>
      </c>
    </row>
    <row r="164" spans="2:16" ht="18" customHeight="1" x14ac:dyDescent="0.25">
      <c r="B164" s="33" t="s">
        <v>499</v>
      </c>
      <c r="C164" s="33" t="str">
        <f>IFERROR(IF(B164="","",VLOOKUP(B164,LISTAS!$F$5:$G$1004,2,0)),"0")</f>
        <v>COLÉGIO ARBOS SÃO CAETANO DO SUL</v>
      </c>
      <c r="D164" s="33" t="str">
        <f>IF(H164&lt;3,"",IF(H164=3,IF(D170&lt;&gt;"",IF(H170&lt;&gt;"",IF(D170&lt;&gt;H170,IF(D170&gt;H170,"V","D"),""),""),"")))</f>
        <v>V</v>
      </c>
      <c r="E164" s="33" t="str">
        <f>IF(H164&lt;3,"",IF(H164=3,IF(D172&lt;&gt;"",IF(H172&lt;&gt;"",IF(D172&lt;&gt;H172,IF(D172&gt;H172,"V","D"),""),""),"")))</f>
        <v>V</v>
      </c>
      <c r="F164" s="33" t="s">
        <v>81</v>
      </c>
      <c r="G164" s="33" t="s">
        <v>81</v>
      </c>
      <c r="H164" s="117">
        <f>COUNTA(B164:B166)</f>
        <v>3</v>
      </c>
      <c r="I164" s="33">
        <f>IF(B164&lt;&gt;"",1,"")</f>
        <v>1</v>
      </c>
      <c r="J164" s="33" t="str">
        <f>IF(I164&lt;&gt;"",P164,"")</f>
        <v>GUSTAVO NILANDER DE LIMA</v>
      </c>
      <c r="K164" s="33" t="str">
        <f>IFERROR(IF(J164="","",VLOOKUP(J164,LISTAS!$F$5:$G$1004,2,0)),"0")</f>
        <v>COLÉGIO ARBOS SÃO CAETANO DO SUL</v>
      </c>
      <c r="L164" s="130" t="str">
        <f>IF(H164=3,"OURO",IF(H164=4,"OURO",IF(H164=5,"OURO","")))</f>
        <v>OURO</v>
      </c>
      <c r="M164" s="20">
        <f>IF(B164&lt;&gt;"",COUNTIF(D164:G164,"V")+(SUMIF(B170:B172,B164,D170:E172)/1000)+(SUMIF(J170:J172,B164,H170:I172)/1000)-(SUMIF(B170:B172,B164,H170:I172)/1000)-(SUMIF(J170:J172,B164,D170:E172)/1000)+0.003,"")</f>
        <v>2.0070000000000001</v>
      </c>
      <c r="N164" s="20" t="str">
        <f>IF(B164="","",B164)</f>
        <v>GUSTAVO NILANDER DE LIMA</v>
      </c>
      <c r="O164" s="20">
        <f>IF(B164&lt;&gt;"",LARGE(M164:M166,1),"")</f>
        <v>2.0070000000000001</v>
      </c>
      <c r="P164" s="20" t="str">
        <f>VLOOKUP(O164,M164:N166,2,0)</f>
        <v>GUSTAVO NILANDER DE LIMA</v>
      </c>
    </row>
    <row r="165" spans="2:16" ht="18" customHeight="1" x14ac:dyDescent="0.25">
      <c r="B165" s="33" t="s">
        <v>601</v>
      </c>
      <c r="C165" s="33" t="str">
        <f>IFERROR(IF(B165="","",VLOOKUP(B165,LISTAS!$F$5:$G$1004,2,0)),"0")</f>
        <v>BYE</v>
      </c>
      <c r="D165" s="33" t="str">
        <f>IF(H164&lt;3,"",IF(H164=3,IF(D171&lt;&gt;"",IF(H171&lt;&gt;"",IF(D171&lt;&gt;H171,IF(D171&gt;H171,"V","D"),""),""),"")))</f>
        <v/>
      </c>
      <c r="E165" s="33" t="str">
        <f>IF(H164&lt;3,"",IF(H164=3,IF(D172&lt;&gt;"",IF(H172&lt;&gt;"",IF(D172&lt;&gt;H172,IF(D172&gt;H172,"D","V"),""),""),"")))</f>
        <v>D</v>
      </c>
      <c r="F165" s="33" t="s">
        <v>81</v>
      </c>
      <c r="G165" s="33" t="s">
        <v>81</v>
      </c>
      <c r="H165" s="117"/>
      <c r="I165" s="33">
        <f>IF(B165&lt;&gt;"",2,"")</f>
        <v>2</v>
      </c>
      <c r="J165" s="33" t="str">
        <f>IF(I165&lt;&gt;"",P165,"")</f>
        <v>BYE</v>
      </c>
      <c r="K165" s="33" t="str">
        <f>IFERROR(IF(J165="","",VLOOKUP(J165,LISTAS!$F$5:$G$1004,2,0)),"0")</f>
        <v>BYE</v>
      </c>
      <c r="L165" s="130" t="str">
        <f>IF(H164=3,"PRATA",IF(H164=4,"OURO",IF(H164=5,"OURO","")))</f>
        <v>PRATA</v>
      </c>
      <c r="M165" s="20">
        <f>IF(B165&lt;&gt;"",COUNTIF(D165:G165,"V")+(SUMIF(B170:B172,B165,D170:E172)/1000)+(SUMIF(J170:J172,B165,H170:I172)/1000)-(SUMIF(B170:B172,B165,H170:I172)/1000)-(SUMIF(J170:J172,B165,D170:E172)/1000)+0.002,"")</f>
        <v>-2E-3</v>
      </c>
      <c r="N165" s="20" t="str">
        <f t="shared" ref="N165" si="7">IF(B165="","",B165)</f>
        <v>BYE</v>
      </c>
      <c r="O165" s="20">
        <f>IF(B165&lt;&gt;"",LARGE(M164:M166,2),"")</f>
        <v>-2E-3</v>
      </c>
      <c r="P165" s="20" t="str">
        <f>VLOOKUP(O165,M164:N166,2,0)</f>
        <v>BYE</v>
      </c>
    </row>
    <row r="166" spans="2:16" ht="18" customHeight="1" x14ac:dyDescent="0.25">
      <c r="B166" s="33" t="s">
        <v>601</v>
      </c>
      <c r="C166" s="33" t="str">
        <f>IFERROR(IF(B166="","",VLOOKUP(B166,LISTAS!$F$5:$G$1004,2,0)),"0")</f>
        <v>BYE</v>
      </c>
      <c r="D166" s="33" t="str">
        <f>IF(H164&lt;3,"",IF(H164=3,IF(D170&lt;&gt;"",IF(H170&lt;&gt;"",IF(D170&lt;&gt;H170,IF(D170&gt;H170,"D","V"),""),""),"")))</f>
        <v>D</v>
      </c>
      <c r="E166" s="33" t="str">
        <f>IF(H164&lt;3,"",IF(H164=3,IF(D171&lt;&gt;"",IF(H171&lt;&gt;"",IF(D171&lt;&gt;H171,IF(D171&gt;H171,"D","V"),""),""),"")))</f>
        <v/>
      </c>
      <c r="F166" s="33" t="s">
        <v>81</v>
      </c>
      <c r="G166" s="33" t="s">
        <v>81</v>
      </c>
      <c r="H166" s="117"/>
      <c r="I166" s="33">
        <f>IF(B166&lt;&gt;"",3,"")</f>
        <v>3</v>
      </c>
      <c r="J166" s="33" t="str">
        <f>IF(I166&lt;&gt;"",P166,"")</f>
        <v>BYE</v>
      </c>
      <c r="K166" s="33" t="str">
        <f>IFERROR(IF(J166="","",VLOOKUP(J166,LISTAS!$F$5:$G$1004,2,0)),"0")</f>
        <v>BYE</v>
      </c>
      <c r="L166" s="130" t="str">
        <f>IF(H164=3,"BRONZE",IF(H164=4,"PRATA",IF(H164=5,"OURO","")))</f>
        <v>BRONZE</v>
      </c>
      <c r="M166" s="20">
        <f>IF(B166&lt;&gt;"",COUNTIF(D166:G166,"V")+(SUMIF(B170:B172,B166,D170:E172)/1000)+(SUMIF(J170:J172,B166,H170:I172)/1000)-(SUMIF(B170:B172,B166,H170:I172)/1000)-(SUMIF(J170:J172,B166,D170:E172)/1000)+0.001,"")</f>
        <v>-3.0000000000000001E-3</v>
      </c>
      <c r="N166" s="20" t="str">
        <f>IF(B166="","",B166)</f>
        <v>BYE</v>
      </c>
      <c r="O166" s="20">
        <f>IF(B166&lt;&gt;"",LARGE(M164:M166,3),"")</f>
        <v>-3.0000000000000001E-3</v>
      </c>
      <c r="P166" s="20" t="str">
        <f>VLOOKUP(O166,M164:N166,2,0)</f>
        <v>BYE</v>
      </c>
    </row>
    <row r="167" spans="2:16" ht="18" customHeight="1" x14ac:dyDescent="0.25">
      <c r="B167" s="79"/>
      <c r="C167" s="79"/>
      <c r="D167" s="79"/>
      <c r="E167" s="79"/>
      <c r="F167" s="79"/>
      <c r="G167" s="79"/>
      <c r="I167" s="80"/>
      <c r="J167" s="79"/>
      <c r="K167" s="81"/>
      <c r="L167" s="81"/>
    </row>
    <row r="168" spans="2:16" ht="23.25" customHeight="1" x14ac:dyDescent="0.25">
      <c r="B168" s="82" t="s">
        <v>40</v>
      </c>
      <c r="C168" s="79"/>
      <c r="D168" s="79"/>
      <c r="E168" s="79"/>
      <c r="F168" s="79"/>
      <c r="G168" s="79"/>
      <c r="H168" s="79"/>
      <c r="I168" s="79"/>
      <c r="J168" s="79"/>
      <c r="K168" s="79"/>
      <c r="L168" s="79"/>
    </row>
    <row r="169" spans="2:16" ht="18" customHeight="1" x14ac:dyDescent="0.25">
      <c r="B169" s="132" t="s">
        <v>15</v>
      </c>
      <c r="C169" s="132" t="s">
        <v>0</v>
      </c>
      <c r="D169" s="258" t="s">
        <v>41</v>
      </c>
      <c r="E169" s="259"/>
      <c r="F169" s="259"/>
      <c r="G169" s="259"/>
      <c r="H169" s="259"/>
      <c r="I169" s="260"/>
      <c r="J169" s="132" t="s">
        <v>15</v>
      </c>
      <c r="K169" s="132" t="s">
        <v>0</v>
      </c>
      <c r="L169" s="79"/>
    </row>
    <row r="170" spans="2:16" ht="18" customHeight="1" x14ac:dyDescent="0.25">
      <c r="B170" s="33" t="str">
        <f>IF(H164=3,B164,"")</f>
        <v>GUSTAVO NILANDER DE LIMA</v>
      </c>
      <c r="C170" s="33" t="str">
        <f>IFERROR(IF(B170="","",VLOOKUP(B170,LISTAS!$F$5:$G$1004,2,0)),"0")</f>
        <v>COLÉGIO ARBOS SÃO CAETANO DO SUL</v>
      </c>
      <c r="D170" s="253">
        <v>2</v>
      </c>
      <c r="E170" s="254"/>
      <c r="F170" s="253" t="s">
        <v>38</v>
      </c>
      <c r="G170" s="254"/>
      <c r="H170" s="253">
        <v>0</v>
      </c>
      <c r="I170" s="254"/>
      <c r="J170" s="111" t="str">
        <f>IF(H164=3,B166,"")</f>
        <v>BYE</v>
      </c>
      <c r="K170" s="33" t="str">
        <f>IFERROR(IF(J170="","",VLOOKUP(J170,LISTAS!$F$5:$G$1004,2,0)),"0")</f>
        <v>BYE</v>
      </c>
      <c r="L170" s="81"/>
    </row>
    <row r="171" spans="2:16" ht="18" customHeight="1" x14ac:dyDescent="0.25">
      <c r="B171" s="33" t="str">
        <f>IF(H164=3,B165,"")</f>
        <v>BYE</v>
      </c>
      <c r="C171" s="33" t="str">
        <f>IFERROR(IF(B171="","",VLOOKUP(B171,LISTAS!$F$5:$G$1004,2,0)),"0")</f>
        <v>BYE</v>
      </c>
      <c r="D171" s="253">
        <v>0</v>
      </c>
      <c r="E171" s="254"/>
      <c r="F171" s="253" t="s">
        <v>38</v>
      </c>
      <c r="G171" s="254"/>
      <c r="H171" s="253">
        <v>0</v>
      </c>
      <c r="I171" s="254"/>
      <c r="J171" s="111" t="str">
        <f>IF(H164=3,B166,"")</f>
        <v>BYE</v>
      </c>
      <c r="K171" s="33" t="str">
        <f>IFERROR(IF(J171="","",VLOOKUP(J171,LISTAS!$F$5:$G$1004,2,0)),"0")</f>
        <v>BYE</v>
      </c>
      <c r="L171" s="79"/>
    </row>
    <row r="172" spans="2:16" ht="18" customHeight="1" x14ac:dyDescent="0.25">
      <c r="B172" s="33" t="str">
        <f>IF(H164=3,B164,"")</f>
        <v>GUSTAVO NILANDER DE LIMA</v>
      </c>
      <c r="C172" s="33" t="str">
        <f>IFERROR(IF(B172="","",VLOOKUP(B172,LISTAS!$F$5:$G$1004,2,0)),"0")</f>
        <v>COLÉGIO ARBOS SÃO CAETANO DO SUL</v>
      </c>
      <c r="D172" s="253">
        <v>2</v>
      </c>
      <c r="E172" s="254"/>
      <c r="F172" s="253" t="s">
        <v>38</v>
      </c>
      <c r="G172" s="254"/>
      <c r="H172" s="253">
        <v>0</v>
      </c>
      <c r="I172" s="254"/>
      <c r="J172" s="111" t="str">
        <f>IF(H164=3,B165,"")</f>
        <v>BYE</v>
      </c>
      <c r="K172" s="33" t="str">
        <f>IFERROR(IF(J172="","",VLOOKUP(J172,LISTAS!$F$5:$G$1004,2,0)),"0")</f>
        <v>BYE</v>
      </c>
      <c r="L172" s="81"/>
    </row>
    <row r="175" spans="2:16" ht="30" customHeight="1" x14ac:dyDescent="0.25">
      <c r="B175" s="161" t="s">
        <v>57</v>
      </c>
      <c r="C175" s="79"/>
      <c r="D175" s="255" t="s">
        <v>42</v>
      </c>
      <c r="E175" s="256"/>
      <c r="F175" s="256"/>
      <c r="G175" s="257"/>
      <c r="H175" s="113"/>
      <c r="I175" s="255" t="s">
        <v>3</v>
      </c>
      <c r="J175" s="256"/>
      <c r="K175" s="256"/>
      <c r="L175" s="256"/>
    </row>
    <row r="176" spans="2:16" ht="18" customHeight="1" x14ac:dyDescent="0.25">
      <c r="B176" s="132" t="s">
        <v>15</v>
      </c>
      <c r="C176" s="132" t="s">
        <v>0</v>
      </c>
      <c r="D176" s="132" t="s">
        <v>43</v>
      </c>
      <c r="E176" s="132" t="s">
        <v>44</v>
      </c>
      <c r="F176" s="132" t="s">
        <v>77</v>
      </c>
      <c r="G176" s="132" t="s">
        <v>78</v>
      </c>
      <c r="H176" s="114"/>
      <c r="I176" s="132" t="s">
        <v>18</v>
      </c>
      <c r="J176" s="132" t="s">
        <v>15</v>
      </c>
      <c r="K176" s="132" t="s">
        <v>0</v>
      </c>
      <c r="L176" s="132" t="s">
        <v>45</v>
      </c>
    </row>
    <row r="177" spans="2:16" ht="18" customHeight="1" x14ac:dyDescent="0.25">
      <c r="B177" s="33" t="s">
        <v>545</v>
      </c>
      <c r="C177" s="33" t="str">
        <f>IFERROR(IF(B177="","",VLOOKUP(B177,LISTAS!$F$5:$G$1004,2,0)),"0")</f>
        <v>COLÉGIO ENGENHEIRO SALVADOR ARENA</v>
      </c>
      <c r="D177" s="33" t="str">
        <f>IF(H177&lt;3,"",IF(H177=3,IF(D183&lt;&gt;"",IF(H183&lt;&gt;"",IF(D183&lt;&gt;H183,IF(D183&gt;H183,"V","D"),""),""),"")))</f>
        <v>V</v>
      </c>
      <c r="E177" s="33" t="str">
        <f>IF(H177&lt;3,"",IF(H177=3,IF(D185&lt;&gt;"",IF(H185&lt;&gt;"",IF(D185&lt;&gt;H185,IF(D185&gt;H185,"V","D"),""),""),"")))</f>
        <v>D</v>
      </c>
      <c r="F177" s="33" t="s">
        <v>81</v>
      </c>
      <c r="G177" s="33" t="s">
        <v>81</v>
      </c>
      <c r="H177" s="117">
        <f>COUNTA(B177:B179)</f>
        <v>3</v>
      </c>
      <c r="I177" s="33">
        <f>IF(B177&lt;&gt;"",1,"")</f>
        <v>1</v>
      </c>
      <c r="J177" s="33" t="str">
        <f>IF(I177&lt;&gt;"",P177,"")</f>
        <v>MATHEUS SOBRAL NEGRETI</v>
      </c>
      <c r="K177" s="33" t="str">
        <f>IFERROR(IF(J177="","",VLOOKUP(J177,LISTAS!$F$5:$G$1004,2,0)),"0")</f>
        <v>COLÉGIO STOCCO</v>
      </c>
      <c r="L177" s="130" t="str">
        <f>IF(H177=3,"OURO",IF(H177=4,"OURO",IF(H177=5,"OURO","")))</f>
        <v>OURO</v>
      </c>
      <c r="M177" s="20">
        <f>IF(B177&lt;&gt;"",COUNTIF(D177:G177,"V")+(SUMIF(B183:B185,B177,D183:E185)/1000)+(SUMIF(J183:J185,B177,H183:I185)/1000)-(SUMIF(B183:B185,B177,H183:I185)/1000)-(SUMIF(J183:J185,B177,D183:E185)/1000)+0.003,"")</f>
        <v>1.0029999999999999</v>
      </c>
      <c r="N177" s="20" t="str">
        <f>IF(B177="","",B177)</f>
        <v>THIAGO SILVESTRE MORGAN</v>
      </c>
      <c r="O177" s="20">
        <f>IF(B177&lt;&gt;"",LARGE(M177:M179,1),"")</f>
        <v>2.0059999999999993</v>
      </c>
      <c r="P177" s="20" t="str">
        <f>VLOOKUP(O177,M177:N179,2,0)</f>
        <v>MATHEUS SOBRAL NEGRETI</v>
      </c>
    </row>
    <row r="178" spans="2:16" ht="18" customHeight="1" x14ac:dyDescent="0.25">
      <c r="B178" s="33" t="s">
        <v>524</v>
      </c>
      <c r="C178" s="33" t="str">
        <f>IFERROR(IF(B178="","",VLOOKUP(B178,LISTAS!$F$5:$G$1004,2,0)),"0")</f>
        <v>COLÉGIO STOCCO</v>
      </c>
      <c r="D178" s="33" t="str">
        <f>IF(H177&lt;3,"",IF(H177=3,IF(D184&lt;&gt;"",IF(H184&lt;&gt;"",IF(D184&lt;&gt;H184,IF(D184&gt;H184,"V","D"),""),""),"")))</f>
        <v>V</v>
      </c>
      <c r="E178" s="33" t="str">
        <f>IF(H177&lt;3,"",IF(H177=3,IF(D185&lt;&gt;"",IF(H185&lt;&gt;"",IF(D185&lt;&gt;H185,IF(D185&gt;H185,"D","V"),""),""),"")))</f>
        <v>V</v>
      </c>
      <c r="F178" s="33" t="s">
        <v>81</v>
      </c>
      <c r="G178" s="33" t="s">
        <v>81</v>
      </c>
      <c r="H178" s="117"/>
      <c r="I178" s="33">
        <f>IF(B178&lt;&gt;"",2,"")</f>
        <v>2</v>
      </c>
      <c r="J178" s="33" t="str">
        <f>IF(I178&lt;&gt;"",P178,"")</f>
        <v>THIAGO SILVESTRE MORGAN</v>
      </c>
      <c r="K178" s="33" t="str">
        <f>IFERROR(IF(J178="","",VLOOKUP(J178,LISTAS!$F$5:$G$1004,2,0)),"0")</f>
        <v>COLÉGIO ENGENHEIRO SALVADOR ARENA</v>
      </c>
      <c r="L178" s="130" t="str">
        <f>IF(H177=3,"PRATA",IF(H177=4,"OURO",IF(H177=5,"OURO","")))</f>
        <v>PRATA</v>
      </c>
      <c r="M178" s="20">
        <f>IF(B178&lt;&gt;"",COUNTIF(D178:G178,"V")+(SUMIF(B183:B185,B178,D183:E185)/1000)+(SUMIF(J183:J185,B178,H183:I185)/1000)-(SUMIF(B183:B185,B178,H183:I185)/1000)-(SUMIF(J183:J185,B178,D183:E185)/1000)+0.002,"")</f>
        <v>2.0059999999999993</v>
      </c>
      <c r="N178" s="20" t="str">
        <f t="shared" ref="N178" si="8">IF(B178="","",B178)</f>
        <v>MATHEUS SOBRAL NEGRETI</v>
      </c>
      <c r="O178" s="20">
        <f>IF(B178&lt;&gt;"",LARGE(M177:M179,2),"")</f>
        <v>1.0029999999999999</v>
      </c>
      <c r="P178" s="20" t="str">
        <f>VLOOKUP(O178,M177:N179,2,0)</f>
        <v>THIAGO SILVESTRE MORGAN</v>
      </c>
    </row>
    <row r="179" spans="2:16" ht="18" customHeight="1" x14ac:dyDescent="0.25">
      <c r="B179" s="33" t="s">
        <v>494</v>
      </c>
      <c r="C179" s="33" t="str">
        <f>IFERROR(IF(B179="","",VLOOKUP(B179,LISTAS!$F$5:$G$1004,2,0)),"0")</f>
        <v>COLÉGIO SÃO MAURO</v>
      </c>
      <c r="D179" s="33" t="str">
        <f>IF(H177&lt;3,"",IF(H177=3,IF(D183&lt;&gt;"",IF(H183&lt;&gt;"",IF(D183&lt;&gt;H183,IF(D183&gt;H183,"D","V"),""),""),"")))</f>
        <v>D</v>
      </c>
      <c r="E179" s="33" t="str">
        <f>IF(H177&lt;3,"",IF(H177=3,IF(D184&lt;&gt;"",IF(H184&lt;&gt;"",IF(D184&lt;&gt;H184,IF(D184&gt;H184,"D","V"),""),""),"")))</f>
        <v>D</v>
      </c>
      <c r="F179" s="33" t="s">
        <v>81</v>
      </c>
      <c r="G179" s="33" t="s">
        <v>81</v>
      </c>
      <c r="H179" s="117"/>
      <c r="I179" s="33">
        <f>IF(B179&lt;&gt;"",3,"")</f>
        <v>3</v>
      </c>
      <c r="J179" s="33" t="str">
        <f>IF(I179&lt;&gt;"",P179,"")</f>
        <v>GABRIEL EDUARDO MARINELLI PEGO</v>
      </c>
      <c r="K179" s="33" t="str">
        <f>IFERROR(IF(J179="","",VLOOKUP(J179,LISTAS!$F$5:$G$1004,2,0)),"0")</f>
        <v>COLÉGIO SÃO MAURO</v>
      </c>
      <c r="L179" s="130" t="str">
        <f>IF(H177=3,"BRONZE",IF(H177=4,"PRATA",IF(H177=5,"OURO","")))</f>
        <v>BRONZE</v>
      </c>
      <c r="M179" s="20">
        <f>IF(B179&lt;&gt;"",COUNTIF(D179:G179,"V")+(SUMIF(B183:B185,B179,D183:E185)/1000)+(SUMIF(J183:J185,B179,H183:I185)/1000)-(SUMIF(B183:B185,B179,H183:I185)/1000)-(SUMIF(J183:J185,B179,D183:E185)/1000)+0.001,"")</f>
        <v>-3.0000000000000001E-3</v>
      </c>
      <c r="N179" s="20" t="str">
        <f>IF(B179="","",B179)</f>
        <v>GABRIEL EDUARDO MARINELLI PEGO</v>
      </c>
      <c r="O179" s="20">
        <f>IF(B179&lt;&gt;"",LARGE(M177:M179,3),"")</f>
        <v>-3.0000000000000001E-3</v>
      </c>
      <c r="P179" s="20" t="str">
        <f>VLOOKUP(O179,M177:N179,2,0)</f>
        <v>GABRIEL EDUARDO MARINELLI PEGO</v>
      </c>
    </row>
    <row r="180" spans="2:16" ht="18" customHeight="1" x14ac:dyDescent="0.25">
      <c r="B180" s="79"/>
      <c r="C180" s="79"/>
      <c r="D180" s="79"/>
      <c r="E180" s="79"/>
      <c r="F180" s="79"/>
      <c r="G180" s="79"/>
      <c r="I180" s="80"/>
      <c r="J180" s="79"/>
      <c r="K180" s="81"/>
      <c r="L180" s="81"/>
    </row>
    <row r="181" spans="2:16" ht="23.25" customHeight="1" x14ac:dyDescent="0.25">
      <c r="B181" s="82" t="s">
        <v>40</v>
      </c>
      <c r="C181" s="79"/>
      <c r="D181" s="79"/>
      <c r="E181" s="79"/>
      <c r="F181" s="79"/>
      <c r="G181" s="79"/>
      <c r="H181" s="79"/>
      <c r="I181" s="79"/>
      <c r="J181" s="79"/>
      <c r="K181" s="79"/>
      <c r="L181" s="79"/>
    </row>
    <row r="182" spans="2:16" ht="18" customHeight="1" x14ac:dyDescent="0.25">
      <c r="B182" s="132" t="s">
        <v>15</v>
      </c>
      <c r="C182" s="132" t="s">
        <v>0</v>
      </c>
      <c r="D182" s="258" t="s">
        <v>41</v>
      </c>
      <c r="E182" s="259"/>
      <c r="F182" s="259"/>
      <c r="G182" s="259"/>
      <c r="H182" s="259"/>
      <c r="I182" s="260"/>
      <c r="J182" s="132" t="s">
        <v>15</v>
      </c>
      <c r="K182" s="132" t="s">
        <v>0</v>
      </c>
      <c r="L182" s="79"/>
    </row>
    <row r="183" spans="2:16" ht="18" customHeight="1" x14ac:dyDescent="0.25">
      <c r="B183" s="33" t="str">
        <f>IF(H177=3,B177,"")</f>
        <v>THIAGO SILVESTRE MORGAN</v>
      </c>
      <c r="C183" s="33" t="str">
        <f>IFERROR(IF(B183="","",VLOOKUP(B183,LISTAS!$F$5:$G$1004,2,0)),"0")</f>
        <v>COLÉGIO ENGENHEIRO SALVADOR ARENA</v>
      </c>
      <c r="D183" s="253">
        <v>2</v>
      </c>
      <c r="E183" s="254"/>
      <c r="F183" s="253" t="s">
        <v>38</v>
      </c>
      <c r="G183" s="254"/>
      <c r="H183" s="253">
        <v>0</v>
      </c>
      <c r="I183" s="254"/>
      <c r="J183" s="111" t="str">
        <f>IF(H177=3,B179,"")</f>
        <v>GABRIEL EDUARDO MARINELLI PEGO</v>
      </c>
      <c r="K183" s="33" t="str">
        <f>IFERROR(IF(J183="","",VLOOKUP(J183,LISTAS!$F$5:$G$1004,2,0)),"0")</f>
        <v>COLÉGIO SÃO MAURO</v>
      </c>
      <c r="L183" s="81"/>
    </row>
    <row r="184" spans="2:16" ht="18" customHeight="1" x14ac:dyDescent="0.25">
      <c r="B184" s="33" t="str">
        <f>IF(H177=3,B178,"")</f>
        <v>MATHEUS SOBRAL NEGRETI</v>
      </c>
      <c r="C184" s="33" t="str">
        <f>IFERROR(IF(B184="","",VLOOKUP(B184,LISTAS!$F$5:$G$1004,2,0)),"0")</f>
        <v>COLÉGIO STOCCO</v>
      </c>
      <c r="D184" s="253">
        <v>2</v>
      </c>
      <c r="E184" s="254"/>
      <c r="F184" s="253" t="s">
        <v>38</v>
      </c>
      <c r="G184" s="254"/>
      <c r="H184" s="253">
        <v>0</v>
      </c>
      <c r="I184" s="254"/>
      <c r="J184" s="111" t="str">
        <f>IF(H177=3,B179,"")</f>
        <v>GABRIEL EDUARDO MARINELLI PEGO</v>
      </c>
      <c r="K184" s="33" t="str">
        <f>IFERROR(IF(J184="","",VLOOKUP(J184,LISTAS!$F$5:$G$1004,2,0)),"0")</f>
        <v>COLÉGIO SÃO MAURO</v>
      </c>
      <c r="L184" s="79"/>
    </row>
    <row r="185" spans="2:16" ht="18" customHeight="1" x14ac:dyDescent="0.25">
      <c r="B185" s="33" t="str">
        <f>IF(H177=3,B177,"")</f>
        <v>THIAGO SILVESTRE MORGAN</v>
      </c>
      <c r="C185" s="33" t="str">
        <f>IFERROR(IF(B185="","",VLOOKUP(B185,LISTAS!$F$5:$G$1004,2,0)),"0")</f>
        <v>COLÉGIO ENGENHEIRO SALVADOR ARENA</v>
      </c>
      <c r="D185" s="253">
        <v>0</v>
      </c>
      <c r="E185" s="254"/>
      <c r="F185" s="253" t="s">
        <v>38</v>
      </c>
      <c r="G185" s="254"/>
      <c r="H185" s="253">
        <v>2</v>
      </c>
      <c r="I185" s="254"/>
      <c r="J185" s="111" t="str">
        <f>IF(H177=3,B178,"")</f>
        <v>MATHEUS SOBRAL NEGRETI</v>
      </c>
      <c r="K185" s="33" t="str">
        <f>IFERROR(IF(J185="","",VLOOKUP(J185,LISTAS!$F$5:$G$1004,2,0)),"0")</f>
        <v>COLÉGIO STOCCO</v>
      </c>
      <c r="L185" s="81"/>
    </row>
    <row r="188" spans="2:16" ht="30" customHeight="1" x14ac:dyDescent="0.25">
      <c r="B188" s="161" t="s">
        <v>58</v>
      </c>
      <c r="C188" s="79"/>
      <c r="D188" s="255" t="s">
        <v>42</v>
      </c>
      <c r="E188" s="256"/>
      <c r="F188" s="256"/>
      <c r="G188" s="257"/>
      <c r="H188" s="113"/>
      <c r="I188" s="255" t="s">
        <v>3</v>
      </c>
      <c r="J188" s="256"/>
      <c r="K188" s="256"/>
      <c r="L188" s="256"/>
    </row>
    <row r="189" spans="2:16" ht="18" customHeight="1" x14ac:dyDescent="0.25">
      <c r="B189" s="132" t="s">
        <v>15</v>
      </c>
      <c r="C189" s="132" t="s">
        <v>0</v>
      </c>
      <c r="D189" s="132" t="s">
        <v>43</v>
      </c>
      <c r="E189" s="132" t="s">
        <v>44</v>
      </c>
      <c r="F189" s="132" t="s">
        <v>77</v>
      </c>
      <c r="G189" s="132" t="s">
        <v>78</v>
      </c>
      <c r="H189" s="114"/>
      <c r="I189" s="132" t="s">
        <v>18</v>
      </c>
      <c r="J189" s="132" t="s">
        <v>15</v>
      </c>
      <c r="K189" s="132" t="s">
        <v>0</v>
      </c>
      <c r="L189" s="132" t="s">
        <v>45</v>
      </c>
    </row>
    <row r="190" spans="2:16" ht="18" customHeight="1" x14ac:dyDescent="0.25">
      <c r="B190" s="33" t="s">
        <v>504</v>
      </c>
      <c r="C190" s="33" t="str">
        <f>IFERROR(IF(B190="","",VLOOKUP(B190,LISTAS!$F$5:$G$1004,2,0)),"0")</f>
        <v>COLÉGIO SÃO MAURO</v>
      </c>
      <c r="D190" s="33" t="str">
        <f>IF(H190&lt;3,"",IF(H190=3,IF(D196&lt;&gt;"",IF(H196&lt;&gt;"",IF(D196&lt;&gt;H196,IF(D196&gt;H196,"V","D"),""),""),"")))</f>
        <v>D</v>
      </c>
      <c r="E190" s="33" t="str">
        <f>IF(H190&lt;3,"",IF(H190=3,IF(D198&lt;&gt;"",IF(H198&lt;&gt;"",IF(D198&lt;&gt;H198,IF(D198&gt;H198,"V","D"),""),""),"")))</f>
        <v>D</v>
      </c>
      <c r="F190" s="33" t="s">
        <v>81</v>
      </c>
      <c r="G190" s="33" t="s">
        <v>81</v>
      </c>
      <c r="H190" s="117">
        <f>COUNTA(B190:B192)</f>
        <v>3</v>
      </c>
      <c r="I190" s="33">
        <f>IF(B190&lt;&gt;"",1,"")</f>
        <v>1</v>
      </c>
      <c r="J190" s="33" t="str">
        <f>IF(I190&lt;&gt;"",P190,"")</f>
        <v>NATAN DREER DURAN</v>
      </c>
      <c r="K190" s="33" t="str">
        <f>IFERROR(IF(J190="","",VLOOKUP(J190,LISTAS!$F$5:$G$1004,2,0)),"0")</f>
        <v>COLÉGIO ARBOS SÃO CAETANO DO SUL</v>
      </c>
      <c r="L190" s="130" t="str">
        <f>IF(H190=3,"OURO",IF(H190=4,"OURO",IF(H190=5,"OURO","")))</f>
        <v>OURO</v>
      </c>
      <c r="M190" s="20">
        <f>IF(B190&lt;&gt;"",COUNTIF(D190:G190,"V")+(SUMIF(B196:B198,B190,D196:E198)/1000)+(SUMIF(J196:J198,B190,H196:I198)/1000)-(SUMIF(B196:B198,B190,H196:I198)/1000)-(SUMIF(J196:J198,B190,D196:E198)/1000)+0.003,"")</f>
        <v>-1E-3</v>
      </c>
      <c r="N190" s="20" t="str">
        <f>IF(B190="","",B190)</f>
        <v>JOSÉ LUÍS FERNANDES VALENÇA</v>
      </c>
      <c r="O190" s="20">
        <f>IF(B190&lt;&gt;"",LARGE(M190:M192,1),"")</f>
        <v>2.0049999999999999</v>
      </c>
      <c r="P190" s="20" t="str">
        <f>VLOOKUP(O190,M190:N192,2,0)</f>
        <v>NATAN DREER DURAN</v>
      </c>
    </row>
    <row r="191" spans="2:16" ht="18" customHeight="1" x14ac:dyDescent="0.25">
      <c r="B191" s="33" t="s">
        <v>542</v>
      </c>
      <c r="C191" s="33" t="str">
        <f>IFERROR(IF(B191="","",VLOOKUP(B191,LISTAS!$F$5:$G$1004,2,0)),"0")</f>
        <v>COLÉGIO VÉRTICE</v>
      </c>
      <c r="D191" s="33" t="str">
        <f>IF(H190&lt;3,"",IF(H190=3,IF(D197&lt;&gt;"",IF(H197&lt;&gt;"",IF(D197&lt;&gt;H197,IF(D197&gt;H197,"V","D"),""),""),"")))</f>
        <v>D</v>
      </c>
      <c r="E191" s="33" t="str">
        <f>IF(H190&lt;3,"",IF(H190=3,IF(D198&lt;&gt;"",IF(H198&lt;&gt;"",IF(D198&lt;&gt;H198,IF(D198&gt;H198,"D","V"),""),""),"")))</f>
        <v>V</v>
      </c>
      <c r="F191" s="33" t="s">
        <v>81</v>
      </c>
      <c r="G191" s="33" t="s">
        <v>81</v>
      </c>
      <c r="H191" s="117"/>
      <c r="I191" s="33">
        <f>IF(B191&lt;&gt;"",2,"")</f>
        <v>2</v>
      </c>
      <c r="J191" s="33" t="str">
        <f>IF(I191&lt;&gt;"",P191,"")</f>
        <v>SANDRO MOZES SILVESTRINI</v>
      </c>
      <c r="K191" s="33" t="str">
        <f>IFERROR(IF(J191="","",VLOOKUP(J191,LISTAS!$F$5:$G$1004,2,0)),"0")</f>
        <v>COLÉGIO VÉRTICE</v>
      </c>
      <c r="L191" s="130" t="str">
        <f>IF(H190=3,"PRATA",IF(H190=4,"OURO",IF(H190=5,"OURO","")))</f>
        <v>PRATA</v>
      </c>
      <c r="M191" s="20">
        <f>IF(B191&lt;&gt;"",COUNTIF(D191:G191,"V")+(SUMIF(B196:B198,B191,D196:E198)/1000)+(SUMIF(J196:J198,B191,H196:I198)/1000)-(SUMIF(B196:B198,B191,H196:I198)/1000)-(SUMIF(J196:J198,B191,D196:E198)/1000)+0.002,"")</f>
        <v>1.002</v>
      </c>
      <c r="N191" s="20" t="str">
        <f t="shared" ref="N191" si="9">IF(B191="","",B191)</f>
        <v>SANDRO MOZES SILVESTRINI</v>
      </c>
      <c r="O191" s="20">
        <f>IF(B191&lt;&gt;"",LARGE(M190:M192,2),"")</f>
        <v>1.002</v>
      </c>
      <c r="P191" s="20" t="str">
        <f>VLOOKUP(O191,M190:N192,2,0)</f>
        <v>SANDRO MOZES SILVESTRINI</v>
      </c>
    </row>
    <row r="192" spans="2:16" ht="18" customHeight="1" x14ac:dyDescent="0.25">
      <c r="B192" s="33" t="s">
        <v>532</v>
      </c>
      <c r="C192" s="33" t="str">
        <f>IFERROR(IF(B192="","",VLOOKUP(B192,LISTAS!$F$5:$G$1004,2,0)),"0")</f>
        <v>COLÉGIO ARBOS SÃO CAETANO DO SUL</v>
      </c>
      <c r="D192" s="33" t="str">
        <f>IF(H190&lt;3,"",IF(H190=3,IF(D196&lt;&gt;"",IF(H196&lt;&gt;"",IF(D196&lt;&gt;H196,IF(D196&gt;H196,"D","V"),""),""),"")))</f>
        <v>V</v>
      </c>
      <c r="E192" s="33" t="str">
        <f>IF(H190&lt;3,"",IF(H190=3,IF(D197&lt;&gt;"",IF(H197&lt;&gt;"",IF(D197&lt;&gt;H197,IF(D197&gt;H197,"D","V"),""),""),"")))</f>
        <v>V</v>
      </c>
      <c r="F192" s="33" t="s">
        <v>81</v>
      </c>
      <c r="G192" s="33" t="s">
        <v>81</v>
      </c>
      <c r="H192" s="117"/>
      <c r="I192" s="33">
        <f>IF(B192&lt;&gt;"",3,"")</f>
        <v>3</v>
      </c>
      <c r="J192" s="33" t="str">
        <f>IF(I192&lt;&gt;"",P192,"")</f>
        <v>JOSÉ LUÍS FERNANDES VALENÇA</v>
      </c>
      <c r="K192" s="33" t="str">
        <f>IFERROR(IF(J192="","",VLOOKUP(J192,LISTAS!$F$5:$G$1004,2,0)),"0")</f>
        <v>COLÉGIO SÃO MAURO</v>
      </c>
      <c r="L192" s="130" t="str">
        <f>IF(H190=3,"BRONZE",IF(H190=4,"PRATA",IF(H190=5,"OURO","")))</f>
        <v>BRONZE</v>
      </c>
      <c r="M192" s="20">
        <f>IF(B192&lt;&gt;"",COUNTIF(D192:G192,"V")+(SUMIF(B196:B198,B192,D196:E198)/1000)+(SUMIF(J196:J198,B192,H196:I198)/1000)-(SUMIF(B196:B198,B192,H196:I198)/1000)-(SUMIF(J196:J198,B192,D196:E198)/1000)+0.001,"")</f>
        <v>2.0049999999999999</v>
      </c>
      <c r="N192" s="20" t="str">
        <f>IF(B192="","",B192)</f>
        <v>NATAN DREER DURAN</v>
      </c>
      <c r="O192" s="20">
        <f>IF(B192&lt;&gt;"",LARGE(M190:M192,3),"")</f>
        <v>-1E-3</v>
      </c>
      <c r="P192" s="20" t="str">
        <f>VLOOKUP(O192,M190:N192,2,0)</f>
        <v>JOSÉ LUÍS FERNANDES VALENÇA</v>
      </c>
    </row>
    <row r="193" spans="2:16" ht="18" customHeight="1" x14ac:dyDescent="0.25">
      <c r="B193" s="79"/>
      <c r="C193" s="79"/>
      <c r="D193" s="79"/>
      <c r="E193" s="79"/>
      <c r="F193" s="79"/>
      <c r="G193" s="79"/>
      <c r="I193" s="80"/>
      <c r="J193" s="79"/>
      <c r="K193" s="81"/>
      <c r="L193" s="81"/>
    </row>
    <row r="194" spans="2:16" ht="23.25" customHeight="1" x14ac:dyDescent="0.25">
      <c r="B194" s="82" t="s">
        <v>40</v>
      </c>
      <c r="C194" s="79"/>
      <c r="D194" s="79"/>
      <c r="E194" s="79"/>
      <c r="F194" s="79"/>
      <c r="G194" s="79"/>
      <c r="H194" s="79"/>
      <c r="I194" s="79"/>
      <c r="J194" s="79"/>
      <c r="K194" s="79"/>
      <c r="L194" s="79"/>
    </row>
    <row r="195" spans="2:16" ht="18" customHeight="1" x14ac:dyDescent="0.25">
      <c r="B195" s="132" t="s">
        <v>15</v>
      </c>
      <c r="C195" s="132" t="s">
        <v>0</v>
      </c>
      <c r="D195" s="258" t="s">
        <v>41</v>
      </c>
      <c r="E195" s="259"/>
      <c r="F195" s="259"/>
      <c r="G195" s="259"/>
      <c r="H195" s="259"/>
      <c r="I195" s="260"/>
      <c r="J195" s="132" t="s">
        <v>15</v>
      </c>
      <c r="K195" s="132" t="s">
        <v>0</v>
      </c>
      <c r="L195" s="79"/>
    </row>
    <row r="196" spans="2:16" ht="18" customHeight="1" x14ac:dyDescent="0.25">
      <c r="B196" s="33" t="str">
        <f>IF(H190=3,B190,"")</f>
        <v>JOSÉ LUÍS FERNANDES VALENÇA</v>
      </c>
      <c r="C196" s="33" t="str">
        <f>IFERROR(IF(B196="","",VLOOKUP(B196,LISTAS!$F$5:$G$1004,2,0)),"0")</f>
        <v>COLÉGIO SÃO MAURO</v>
      </c>
      <c r="D196" s="253">
        <v>0</v>
      </c>
      <c r="E196" s="254"/>
      <c r="F196" s="253" t="s">
        <v>38</v>
      </c>
      <c r="G196" s="254"/>
      <c r="H196" s="253">
        <v>2</v>
      </c>
      <c r="I196" s="254"/>
      <c r="J196" s="111" t="str">
        <f>IF(H190=3,B192,"")</f>
        <v>NATAN DREER DURAN</v>
      </c>
      <c r="K196" s="33" t="str">
        <f>IFERROR(IF(J196="","",VLOOKUP(J196,LISTAS!$F$5:$G$1004,2,0)),"0")</f>
        <v>COLÉGIO ARBOS SÃO CAETANO DO SUL</v>
      </c>
      <c r="L196" s="81"/>
    </row>
    <row r="197" spans="2:16" ht="18" customHeight="1" x14ac:dyDescent="0.25">
      <c r="B197" s="33" t="str">
        <f>IF(H190=3,B191,"")</f>
        <v>SANDRO MOZES SILVESTRINI</v>
      </c>
      <c r="C197" s="33" t="str">
        <f>IFERROR(IF(B197="","",VLOOKUP(B197,LISTAS!$F$5:$G$1004,2,0)),"0")</f>
        <v>COLÉGIO VÉRTICE</v>
      </c>
      <c r="D197" s="253">
        <v>0</v>
      </c>
      <c r="E197" s="254"/>
      <c r="F197" s="253" t="s">
        <v>38</v>
      </c>
      <c r="G197" s="254"/>
      <c r="H197" s="253">
        <v>2</v>
      </c>
      <c r="I197" s="254"/>
      <c r="J197" s="111" t="str">
        <f>IF(H190=3,B192,"")</f>
        <v>NATAN DREER DURAN</v>
      </c>
      <c r="K197" s="33" t="str">
        <f>IFERROR(IF(J197="","",VLOOKUP(J197,LISTAS!$F$5:$G$1004,2,0)),"0")</f>
        <v>COLÉGIO ARBOS SÃO CAETANO DO SUL</v>
      </c>
      <c r="L197" s="79"/>
    </row>
    <row r="198" spans="2:16" ht="18" customHeight="1" x14ac:dyDescent="0.25">
      <c r="B198" s="33" t="str">
        <f>IF(H190=3,B190,"")</f>
        <v>JOSÉ LUÍS FERNANDES VALENÇA</v>
      </c>
      <c r="C198" s="33" t="str">
        <f>IFERROR(IF(B198="","",VLOOKUP(B198,LISTAS!$F$5:$G$1004,2,0)),"0")</f>
        <v>COLÉGIO SÃO MAURO</v>
      </c>
      <c r="D198" s="253">
        <v>0</v>
      </c>
      <c r="E198" s="254"/>
      <c r="F198" s="253" t="s">
        <v>38</v>
      </c>
      <c r="G198" s="254"/>
      <c r="H198" s="253">
        <v>2</v>
      </c>
      <c r="I198" s="254"/>
      <c r="J198" s="111" t="str">
        <f>IF(H190=3,B191,"")</f>
        <v>SANDRO MOZES SILVESTRINI</v>
      </c>
      <c r="K198" s="33" t="str">
        <f>IFERROR(IF(J198="","",VLOOKUP(J198,LISTAS!$F$5:$G$1004,2,0)),"0")</f>
        <v>COLÉGIO VÉRTICE</v>
      </c>
      <c r="L198" s="81"/>
    </row>
    <row r="201" spans="2:16" ht="30" customHeight="1" x14ac:dyDescent="0.25">
      <c r="B201" s="161" t="s">
        <v>59</v>
      </c>
      <c r="C201" s="79"/>
      <c r="D201" s="255" t="s">
        <v>42</v>
      </c>
      <c r="E201" s="256"/>
      <c r="F201" s="256"/>
      <c r="G201" s="257"/>
      <c r="H201" s="113"/>
      <c r="I201" s="255" t="s">
        <v>3</v>
      </c>
      <c r="J201" s="256"/>
      <c r="K201" s="256"/>
      <c r="L201" s="256"/>
    </row>
    <row r="202" spans="2:16" ht="18" customHeight="1" x14ac:dyDescent="0.25">
      <c r="B202" s="132" t="s">
        <v>15</v>
      </c>
      <c r="C202" s="132" t="s">
        <v>0</v>
      </c>
      <c r="D202" s="132" t="s">
        <v>43</v>
      </c>
      <c r="E202" s="132" t="s">
        <v>44</v>
      </c>
      <c r="F202" s="132" t="s">
        <v>77</v>
      </c>
      <c r="G202" s="132" t="s">
        <v>78</v>
      </c>
      <c r="H202" s="114"/>
      <c r="I202" s="132" t="s">
        <v>18</v>
      </c>
      <c r="J202" s="132" t="s">
        <v>15</v>
      </c>
      <c r="K202" s="132" t="s">
        <v>0</v>
      </c>
      <c r="L202" s="132" t="s">
        <v>45</v>
      </c>
    </row>
    <row r="203" spans="2:16" ht="18" customHeight="1" x14ac:dyDescent="0.25">
      <c r="B203" s="33" t="s">
        <v>510</v>
      </c>
      <c r="C203" s="33" t="str">
        <f>IFERROR(IF(B203="","",VLOOKUP(B203,LISTAS!$F$5:$G$1004,2,0)),"0")</f>
        <v>COLEGIO PETROPOLIS</v>
      </c>
      <c r="D203" s="33" t="str">
        <f>IF(H203&lt;3,"",IF(H203=3,IF(D209&lt;&gt;"",IF(H209&lt;&gt;"",IF(D209&lt;&gt;H209,IF(D209&gt;H209,"V","D"),""),""),"")))</f>
        <v>D</v>
      </c>
      <c r="E203" s="33" t="str">
        <f>IF(H203&lt;3,"",IF(H203=3,IF(D211&lt;&gt;"",IF(H211&lt;&gt;"",IF(D211&lt;&gt;H211,IF(D211&gt;H211,"V","D"),""),""),"")))</f>
        <v>D</v>
      </c>
      <c r="F203" s="33" t="s">
        <v>81</v>
      </c>
      <c r="G203" s="33" t="s">
        <v>81</v>
      </c>
      <c r="H203" s="117">
        <f>COUNTA(B203:B205)</f>
        <v>3</v>
      </c>
      <c r="I203" s="33">
        <f>IF(B203&lt;&gt;"",1,"")</f>
        <v>1</v>
      </c>
      <c r="J203" s="33" t="str">
        <f>IF(I203&lt;&gt;"",P203,"")</f>
        <v>SAMUEL COSTA BRAZ</v>
      </c>
      <c r="K203" s="33" t="str">
        <f>IFERROR(IF(J203="","",VLOOKUP(J203,LISTAS!$F$5:$G$1004,2,0)),"0")</f>
        <v>ESCOLA STAGIUM</v>
      </c>
      <c r="L203" s="130" t="str">
        <f>IF(H203=3,"OURO",IF(H203=4,"OURO",IF(H203=5,"OURO","")))</f>
        <v>OURO</v>
      </c>
      <c r="M203" s="20">
        <f>IF(B203&lt;&gt;"",COUNTIF(D203:G203,"V")+(SUMIF(B209:B211,B203,D209:E211)/1000)+(SUMIF(J209:J211,B203,H209:I211)/1000)-(SUMIF(B209:B211,B203,H209:I211)/1000)-(SUMIF(J209:J211,B203,D209:E211)/1000)+0.003,"")</f>
        <v>-1E-3</v>
      </c>
      <c r="N203" s="20" t="str">
        <f>IF(B203="","",B203)</f>
        <v>LEONARDO GUIRELLI DE ABREU</v>
      </c>
      <c r="O203" s="20">
        <f>IF(B203&lt;&gt;"",LARGE(M203:M205,1),"")</f>
        <v>2.0049999999999999</v>
      </c>
      <c r="P203" s="20" t="str">
        <f>VLOOKUP(O203,M203:N205,2,0)</f>
        <v>SAMUEL COSTA BRAZ</v>
      </c>
    </row>
    <row r="204" spans="2:16" ht="18" customHeight="1" x14ac:dyDescent="0.25">
      <c r="B204" s="33" t="s">
        <v>535</v>
      </c>
      <c r="C204" s="33" t="str">
        <f>IFERROR(IF(B204="","",VLOOKUP(B204,LISTAS!$F$5:$G$1004,2,0)),"0")</f>
        <v>COLÉGIO ARBOS - UNIDADE SANTO ANDRÉ</v>
      </c>
      <c r="D204" s="33" t="str">
        <f>IF(H203&lt;3,"",IF(H203=3,IF(D210&lt;&gt;"",IF(H210&lt;&gt;"",IF(D210&lt;&gt;H210,IF(D210&gt;H210,"V","D"),""),""),"")))</f>
        <v>D</v>
      </c>
      <c r="E204" s="33" t="str">
        <f>IF(H203&lt;3,"",IF(H203=3,IF(D211&lt;&gt;"",IF(H211&lt;&gt;"",IF(D211&lt;&gt;H211,IF(D211&gt;H211,"D","V"),""),""),"")))</f>
        <v>V</v>
      </c>
      <c r="F204" s="33" t="s">
        <v>81</v>
      </c>
      <c r="G204" s="33" t="s">
        <v>81</v>
      </c>
      <c r="H204" s="117"/>
      <c r="I204" s="33">
        <f>IF(B204&lt;&gt;"",2,"")</f>
        <v>2</v>
      </c>
      <c r="J204" s="33" t="str">
        <f>IF(I204&lt;&gt;"",P204,"")</f>
        <v>PABLO VASQUES GOMES</v>
      </c>
      <c r="K204" s="33" t="str">
        <f>IFERROR(IF(J204="","",VLOOKUP(J204,LISTAS!$F$5:$G$1004,2,0)),"0")</f>
        <v>COLÉGIO ARBOS - UNIDADE SANTO ANDRÉ</v>
      </c>
      <c r="L204" s="130" t="str">
        <f>IF(H203=3,"PRATA",IF(H203=4,"OURO",IF(H203=5,"OURO","")))</f>
        <v>PRATA</v>
      </c>
      <c r="M204" s="20">
        <f>IF(B204&lt;&gt;"",COUNTIF(D204:G204,"V")+(SUMIF(B209:B211,B204,D209:E211)/1000)+(SUMIF(J209:J211,B204,H209:I211)/1000)-(SUMIF(B209:B211,B204,H209:I211)/1000)-(SUMIF(J209:J211,B204,D209:E211)/1000)+0.002,"")</f>
        <v>1.002</v>
      </c>
      <c r="N204" s="20" t="str">
        <f t="shared" ref="N204" si="10">IF(B204="","",B204)</f>
        <v>PABLO VASQUES GOMES</v>
      </c>
      <c r="O204" s="20">
        <f>IF(B204&lt;&gt;"",LARGE(M203:M205,2),"")</f>
        <v>1.002</v>
      </c>
      <c r="P204" s="20" t="str">
        <f>VLOOKUP(O204,M203:N205,2,0)</f>
        <v>PABLO VASQUES GOMES</v>
      </c>
    </row>
    <row r="205" spans="2:16" ht="18" customHeight="1" x14ac:dyDescent="0.25">
      <c r="B205" s="33" t="s">
        <v>541</v>
      </c>
      <c r="C205" s="33" t="str">
        <f>IFERROR(IF(B205="","",VLOOKUP(B205,LISTAS!$F$5:$G$1004,2,0)),"0")</f>
        <v>ESCOLA STAGIUM</v>
      </c>
      <c r="D205" s="33" t="str">
        <f>IF(H203&lt;3,"",IF(H203=3,IF(D209&lt;&gt;"",IF(H209&lt;&gt;"",IF(D209&lt;&gt;H209,IF(D209&gt;H209,"D","V"),""),""),"")))</f>
        <v>V</v>
      </c>
      <c r="E205" s="33" t="str">
        <f>IF(H203&lt;3,"",IF(H203=3,IF(D210&lt;&gt;"",IF(H210&lt;&gt;"",IF(D210&lt;&gt;H210,IF(D210&gt;H210,"D","V"),""),""),"")))</f>
        <v>V</v>
      </c>
      <c r="F205" s="33" t="s">
        <v>81</v>
      </c>
      <c r="G205" s="33" t="s">
        <v>81</v>
      </c>
      <c r="H205" s="117"/>
      <c r="I205" s="33">
        <f>IF(B205&lt;&gt;"",3,"")</f>
        <v>3</v>
      </c>
      <c r="J205" s="33" t="str">
        <f>IF(I205&lt;&gt;"",P205,"")</f>
        <v>LEONARDO GUIRELLI DE ABREU</v>
      </c>
      <c r="K205" s="33" t="str">
        <f>IFERROR(IF(J205="","",VLOOKUP(J205,LISTAS!$F$5:$G$1004,2,0)),"0")</f>
        <v>COLEGIO PETROPOLIS</v>
      </c>
      <c r="L205" s="130" t="str">
        <f>IF(H203=3,"BRONZE",IF(H203=4,"PRATA",IF(H203=5,"OURO","")))</f>
        <v>BRONZE</v>
      </c>
      <c r="M205" s="20">
        <f>IF(B205&lt;&gt;"",COUNTIF(D205:G205,"V")+(SUMIF(B209:B211,B205,D209:E211)/1000)+(SUMIF(J209:J211,B205,H209:I211)/1000)-(SUMIF(B209:B211,B205,H209:I211)/1000)-(SUMIF(J209:J211,B205,D209:E211)/1000)+0.001,"")</f>
        <v>2.0049999999999999</v>
      </c>
      <c r="N205" s="20" t="str">
        <f>IF(B205="","",B205)</f>
        <v>SAMUEL COSTA BRAZ</v>
      </c>
      <c r="O205" s="20">
        <f>IF(B205&lt;&gt;"",LARGE(M203:M205,3),"")</f>
        <v>-1E-3</v>
      </c>
      <c r="P205" s="20" t="str">
        <f>VLOOKUP(O205,M203:N205,2,0)</f>
        <v>LEONARDO GUIRELLI DE ABREU</v>
      </c>
    </row>
    <row r="206" spans="2:16" ht="18" customHeight="1" x14ac:dyDescent="0.25">
      <c r="B206" s="79"/>
      <c r="C206" s="79"/>
      <c r="D206" s="79"/>
      <c r="E206" s="79"/>
      <c r="F206" s="79"/>
      <c r="G206" s="79"/>
      <c r="I206" s="80"/>
      <c r="J206" s="79"/>
      <c r="K206" s="81"/>
      <c r="L206" s="81"/>
    </row>
    <row r="207" spans="2:16" ht="23.25" customHeight="1" x14ac:dyDescent="0.25">
      <c r="B207" s="82" t="s">
        <v>40</v>
      </c>
      <c r="C207" s="79"/>
      <c r="D207" s="79"/>
      <c r="E207" s="79"/>
      <c r="F207" s="79"/>
      <c r="G207" s="79"/>
      <c r="H207" s="79"/>
      <c r="I207" s="79"/>
      <c r="J207" s="79"/>
      <c r="K207" s="79"/>
      <c r="L207" s="79"/>
    </row>
    <row r="208" spans="2:16" ht="18" customHeight="1" x14ac:dyDescent="0.25">
      <c r="B208" s="132" t="s">
        <v>15</v>
      </c>
      <c r="C208" s="132" t="s">
        <v>0</v>
      </c>
      <c r="D208" s="258" t="s">
        <v>41</v>
      </c>
      <c r="E208" s="259"/>
      <c r="F208" s="259"/>
      <c r="G208" s="259"/>
      <c r="H208" s="259"/>
      <c r="I208" s="260"/>
      <c r="J208" s="132" t="s">
        <v>15</v>
      </c>
      <c r="K208" s="132" t="s">
        <v>0</v>
      </c>
      <c r="L208" s="79"/>
    </row>
    <row r="209" spans="2:16" ht="18" customHeight="1" x14ac:dyDescent="0.25">
      <c r="B209" s="33" t="str">
        <f>IF(H203=3,B203,"")</f>
        <v>LEONARDO GUIRELLI DE ABREU</v>
      </c>
      <c r="C209" s="33" t="str">
        <f>IFERROR(IF(B209="","",VLOOKUP(B209,LISTAS!$F$5:$G$1004,2,0)),"0")</f>
        <v>COLEGIO PETROPOLIS</v>
      </c>
      <c r="D209" s="253">
        <v>0</v>
      </c>
      <c r="E209" s="254"/>
      <c r="F209" s="253" t="s">
        <v>38</v>
      </c>
      <c r="G209" s="254"/>
      <c r="H209" s="253">
        <v>2</v>
      </c>
      <c r="I209" s="254"/>
      <c r="J209" s="111" t="str">
        <f>IF(H203=3,B205,"")</f>
        <v>SAMUEL COSTA BRAZ</v>
      </c>
      <c r="K209" s="33" t="str">
        <f>IFERROR(IF(J209="","",VLOOKUP(J209,LISTAS!$F$5:$G$1004,2,0)),"0")</f>
        <v>ESCOLA STAGIUM</v>
      </c>
      <c r="L209" s="81"/>
    </row>
    <row r="210" spans="2:16" ht="18" customHeight="1" x14ac:dyDescent="0.25">
      <c r="B210" s="33" t="str">
        <f>IF(H203=3,B204,"")</f>
        <v>PABLO VASQUES GOMES</v>
      </c>
      <c r="C210" s="33" t="str">
        <f>IFERROR(IF(B210="","",VLOOKUP(B210,LISTAS!$F$5:$G$1004,2,0)),"0")</f>
        <v>COLÉGIO ARBOS - UNIDADE SANTO ANDRÉ</v>
      </c>
      <c r="D210" s="253">
        <v>0</v>
      </c>
      <c r="E210" s="254"/>
      <c r="F210" s="253" t="s">
        <v>38</v>
      </c>
      <c r="G210" s="254"/>
      <c r="H210" s="253">
        <v>2</v>
      </c>
      <c r="I210" s="254"/>
      <c r="J210" s="111" t="str">
        <f>IF(H203=3,B205,"")</f>
        <v>SAMUEL COSTA BRAZ</v>
      </c>
      <c r="K210" s="33" t="str">
        <f>IFERROR(IF(J210="","",VLOOKUP(J210,LISTAS!$F$5:$G$1004,2,0)),"0")</f>
        <v>ESCOLA STAGIUM</v>
      </c>
      <c r="L210" s="79"/>
    </row>
    <row r="211" spans="2:16" ht="18" customHeight="1" x14ac:dyDescent="0.25">
      <c r="B211" s="33" t="str">
        <f>IF(H203=3,B203,"")</f>
        <v>LEONARDO GUIRELLI DE ABREU</v>
      </c>
      <c r="C211" s="33" t="str">
        <f>IFERROR(IF(B211="","",VLOOKUP(B211,LISTAS!$F$5:$G$1004,2,0)),"0")</f>
        <v>COLEGIO PETROPOLIS</v>
      </c>
      <c r="D211" s="253">
        <v>0</v>
      </c>
      <c r="E211" s="254"/>
      <c r="F211" s="253" t="s">
        <v>38</v>
      </c>
      <c r="G211" s="254"/>
      <c r="H211" s="253">
        <v>2</v>
      </c>
      <c r="I211" s="254"/>
      <c r="J211" s="111" t="str">
        <f>IF(H203=3,B204,"")</f>
        <v>PABLO VASQUES GOMES</v>
      </c>
      <c r="K211" s="33" t="str">
        <f>IFERROR(IF(J211="","",VLOOKUP(J211,LISTAS!$F$5:$G$1004,2,0)),"0")</f>
        <v>COLÉGIO ARBOS - UNIDADE SANTO ANDRÉ</v>
      </c>
      <c r="L211" s="81"/>
    </row>
    <row r="214" spans="2:16" ht="30" customHeight="1" x14ac:dyDescent="0.25">
      <c r="B214" s="161" t="s">
        <v>60</v>
      </c>
      <c r="C214" s="79"/>
      <c r="D214" s="255" t="s">
        <v>42</v>
      </c>
      <c r="E214" s="256"/>
      <c r="F214" s="256"/>
      <c r="G214" s="257"/>
      <c r="H214" s="113"/>
      <c r="I214" s="255" t="s">
        <v>3</v>
      </c>
      <c r="J214" s="256"/>
      <c r="K214" s="256"/>
      <c r="L214" s="256"/>
    </row>
    <row r="215" spans="2:16" ht="18" customHeight="1" x14ac:dyDescent="0.25">
      <c r="B215" s="132" t="s">
        <v>15</v>
      </c>
      <c r="C215" s="132" t="s">
        <v>0</v>
      </c>
      <c r="D215" s="132" t="s">
        <v>43</v>
      </c>
      <c r="E215" s="132" t="s">
        <v>44</v>
      </c>
      <c r="F215" s="132" t="s">
        <v>77</v>
      </c>
      <c r="G215" s="132" t="s">
        <v>78</v>
      </c>
      <c r="H215" s="114"/>
      <c r="I215" s="132" t="s">
        <v>18</v>
      </c>
      <c r="J215" s="132" t="s">
        <v>15</v>
      </c>
      <c r="K215" s="132" t="s">
        <v>0</v>
      </c>
      <c r="L215" s="132" t="s">
        <v>45</v>
      </c>
    </row>
    <row r="216" spans="2:16" ht="18" customHeight="1" x14ac:dyDescent="0.25">
      <c r="B216" s="33" t="s">
        <v>501</v>
      </c>
      <c r="C216" s="33" t="str">
        <f>IFERROR(IF(B216="","",VLOOKUP(B216,LISTAS!$F$5:$G$1004,2,0)),"0")</f>
        <v>COLÉGIO BANDEIRANTES</v>
      </c>
      <c r="D216" s="33" t="str">
        <f>IF(H216&lt;3,"",IF(H216=3,IF(D222&lt;&gt;"",IF(H222&lt;&gt;"",IF(D222&lt;&gt;H222,IF(D222&gt;H222,"V","D"),""),""),"")))</f>
        <v>V</v>
      </c>
      <c r="E216" s="33" t="str">
        <f>IF(H216&lt;3,"",IF(H216=3,IF(D224&lt;&gt;"",IF(H224&lt;&gt;"",IF(D224&lt;&gt;H224,IF(D224&gt;H224,"V","D"),""),""),"")))</f>
        <v>V</v>
      </c>
      <c r="F216" s="33" t="s">
        <v>81</v>
      </c>
      <c r="G216" s="33" t="s">
        <v>81</v>
      </c>
      <c r="H216" s="117">
        <f>COUNTA(B216:B218)</f>
        <v>3</v>
      </c>
      <c r="I216" s="33">
        <f>IF(B216&lt;&gt;"",1,"")</f>
        <v>1</v>
      </c>
      <c r="J216" s="33" t="str">
        <f>IF(I216&lt;&gt;"",P216,"")</f>
        <v>HENRIQUE STUGINSKI STOFFA KOYAMA</v>
      </c>
      <c r="K216" s="33" t="str">
        <f>IFERROR(IF(J216="","",VLOOKUP(J216,LISTAS!$F$5:$G$1004,2,0)),"0")</f>
        <v>COLÉGIO BANDEIRANTES</v>
      </c>
      <c r="L216" s="130" t="str">
        <f>IF(H216=3,"OURO",IF(H216=4,"OURO",IF(H216=5,"OURO","")))</f>
        <v>OURO</v>
      </c>
      <c r="M216" s="20">
        <f>IF(B216&lt;&gt;"",COUNTIF(D216:G216,"V")+(SUMIF(B222:B224,B216,D222:E224)/1000)+(SUMIF(J222:J224,B216,H222:I224)/1000)-(SUMIF(B222:B224,B216,H222:I224)/1000)-(SUMIF(J222:J224,B216,D222:E224)/1000)+0.003,"")</f>
        <v>2.0070000000000001</v>
      </c>
      <c r="N216" s="20" t="str">
        <f>IF(B216="","",B216)</f>
        <v>HENRIQUE STUGINSKI STOFFA KOYAMA</v>
      </c>
      <c r="O216" s="20">
        <f>IF(B216&lt;&gt;"",LARGE(M216:M218,1),"")</f>
        <v>2.0070000000000001</v>
      </c>
      <c r="P216" s="20" t="str">
        <f>VLOOKUP(O216,M216:N218,2,0)</f>
        <v>HENRIQUE STUGINSKI STOFFA KOYAMA</v>
      </c>
    </row>
    <row r="217" spans="2:16" ht="18" customHeight="1" x14ac:dyDescent="0.25">
      <c r="B217" s="33" t="s">
        <v>493</v>
      </c>
      <c r="C217" s="33" t="str">
        <f>IFERROR(IF(B217="","",VLOOKUP(B217,LISTAS!$F$5:$G$1004,2,0)),"0")</f>
        <v>COLÉGIO ARBOS DE SÃO BERNARDO DO CAMPO</v>
      </c>
      <c r="D217" s="33" t="str">
        <f>IF(H216&lt;3,"",IF(H216=3,IF(D223&lt;&gt;"",IF(H223&lt;&gt;"",IF(D223&lt;&gt;H223,IF(D223&gt;H223,"V","D"),""),""),"")))</f>
        <v>V</v>
      </c>
      <c r="E217" s="33" t="str">
        <f>IF(H216&lt;3,"",IF(H216=3,IF(D224&lt;&gt;"",IF(H224&lt;&gt;"",IF(D224&lt;&gt;H224,IF(D224&gt;H224,"D","V"),""),""),"")))</f>
        <v>D</v>
      </c>
      <c r="F217" s="33" t="s">
        <v>81</v>
      </c>
      <c r="G217" s="33" t="s">
        <v>81</v>
      </c>
      <c r="H217" s="117"/>
      <c r="I217" s="33">
        <f>IF(B217&lt;&gt;"",2,"")</f>
        <v>2</v>
      </c>
      <c r="J217" s="33" t="str">
        <f>IF(I217&lt;&gt;"",P217,"")</f>
        <v>GABRIEL DE MELLO PIRES</v>
      </c>
      <c r="K217" s="33" t="str">
        <f>IFERROR(IF(J217="","",VLOOKUP(J217,LISTAS!$F$5:$G$1004,2,0)),"0")</f>
        <v>COLÉGIO ARBOS DE SÃO BERNARDO DO CAMPO</v>
      </c>
      <c r="L217" s="130" t="str">
        <f>IF(H216=3,"PRATA",IF(H216=4,"OURO",IF(H216=5,"OURO","")))</f>
        <v>PRATA</v>
      </c>
      <c r="M217" s="20">
        <f>IF(B217&lt;&gt;"",COUNTIF(D217:G217,"V")+(SUMIF(B222:B224,B217,D222:E224)/1000)+(SUMIF(J222:J224,B217,H222:I224)/1000)-(SUMIF(B222:B224,B217,H222:I224)/1000)-(SUMIF(J222:J224,B217,D222:E224)/1000)+0.002,"")</f>
        <v>1.0010000000000001</v>
      </c>
      <c r="N217" s="20" t="str">
        <f t="shared" ref="N217" si="11">IF(B217="","",B217)</f>
        <v>GABRIEL DE MELLO PIRES</v>
      </c>
      <c r="O217" s="20">
        <f>IF(B217&lt;&gt;"",LARGE(M216:M218,2),"")</f>
        <v>1.0010000000000001</v>
      </c>
      <c r="P217" s="20" t="str">
        <f>VLOOKUP(O217,M216:N218,2,0)</f>
        <v>GABRIEL DE MELLO PIRES</v>
      </c>
    </row>
    <row r="218" spans="2:16" ht="18" customHeight="1" x14ac:dyDescent="0.25">
      <c r="B218" s="33" t="s">
        <v>659</v>
      </c>
      <c r="C218" s="33" t="str">
        <f>IFERROR(IF(B218="","",VLOOKUP(B218,LISTAS!$F$5:$G$1004,2,0)),"0")</f>
        <v>EDUCANDÁRIO - S.A</v>
      </c>
      <c r="D218" s="33" t="str">
        <f>IF(H216&lt;3,"",IF(H216=3,IF(D222&lt;&gt;"",IF(H222&lt;&gt;"",IF(D222&lt;&gt;H222,IF(D222&gt;H222,"D","V"),""),""),"")))</f>
        <v>D</v>
      </c>
      <c r="E218" s="33" t="str">
        <f>IF(H216&lt;3,"",IF(H216=3,IF(D223&lt;&gt;"",IF(H223&lt;&gt;"",IF(D223&lt;&gt;H223,IF(D223&gt;H223,"D","V"),""),""),"")))</f>
        <v>D</v>
      </c>
      <c r="F218" s="33" t="s">
        <v>81</v>
      </c>
      <c r="G218" s="33" t="s">
        <v>81</v>
      </c>
      <c r="H218" s="117"/>
      <c r="I218" s="33">
        <f>IF(B218&lt;&gt;"",3,"")</f>
        <v>3</v>
      </c>
      <c r="J218" s="33" t="str">
        <f>IF(I218&lt;&gt;"",P218,"")</f>
        <v>FELIPE RIBEIRO DA SILVA MOREIRA</v>
      </c>
      <c r="K218" s="33" t="str">
        <f>IFERROR(IF(J218="","",VLOOKUP(J218,LISTAS!$F$5:$G$1004,2,0)),"0")</f>
        <v>EDUCANDÁRIO - S.A</v>
      </c>
      <c r="L218" s="130" t="str">
        <f>IF(H216=3,"BRONZE",IF(H216=4,"PRATA",IF(H216=5,"OURO","")))</f>
        <v>BRONZE</v>
      </c>
      <c r="M218" s="20">
        <f>IF(B218&lt;&gt;"",COUNTIF(D218:G218,"V")+(SUMIF(B222:B224,B218,D222:E224)/1000)+(SUMIF(J222:J224,B218,H222:I224)/1000)-(SUMIF(B222:B224,B218,H222:I224)/1000)-(SUMIF(J222:J224,B218,D222:E224)/1000)+0.001,"")</f>
        <v>-2E-3</v>
      </c>
      <c r="N218" s="20" t="str">
        <f>IF(B218="","",B218)</f>
        <v>FELIPE RIBEIRO DA SILVA MOREIRA</v>
      </c>
      <c r="O218" s="20">
        <f>IF(B218&lt;&gt;"",LARGE(M216:M218,3),"")</f>
        <v>-2E-3</v>
      </c>
      <c r="P218" s="20" t="str">
        <f>VLOOKUP(O218,M216:N218,2,0)</f>
        <v>FELIPE RIBEIRO DA SILVA MOREIRA</v>
      </c>
    </row>
    <row r="219" spans="2:16" ht="18" customHeight="1" x14ac:dyDescent="0.25">
      <c r="B219" s="79"/>
      <c r="C219" s="79"/>
      <c r="D219" s="79"/>
      <c r="E219" s="79"/>
      <c r="F219" s="79"/>
      <c r="G219" s="79"/>
      <c r="I219" s="80"/>
      <c r="J219" s="79"/>
      <c r="K219" s="81"/>
      <c r="L219" s="81"/>
    </row>
    <row r="220" spans="2:16" ht="23.25" customHeight="1" x14ac:dyDescent="0.25">
      <c r="B220" s="82" t="s">
        <v>40</v>
      </c>
      <c r="C220" s="79"/>
      <c r="D220" s="79"/>
      <c r="E220" s="79"/>
      <c r="F220" s="79"/>
      <c r="G220" s="79"/>
      <c r="H220" s="79"/>
      <c r="I220" s="79"/>
      <c r="J220" s="79"/>
      <c r="K220" s="79"/>
      <c r="L220" s="79"/>
    </row>
    <row r="221" spans="2:16" ht="18" customHeight="1" x14ac:dyDescent="0.25">
      <c r="B221" s="132" t="s">
        <v>15</v>
      </c>
      <c r="C221" s="132" t="s">
        <v>0</v>
      </c>
      <c r="D221" s="258" t="s">
        <v>41</v>
      </c>
      <c r="E221" s="259"/>
      <c r="F221" s="259"/>
      <c r="G221" s="259"/>
      <c r="H221" s="259"/>
      <c r="I221" s="260"/>
      <c r="J221" s="132" t="s">
        <v>15</v>
      </c>
      <c r="K221" s="132" t="s">
        <v>0</v>
      </c>
      <c r="L221" s="79"/>
    </row>
    <row r="222" spans="2:16" ht="18" customHeight="1" x14ac:dyDescent="0.25">
      <c r="B222" s="33" t="str">
        <f>IF(H216=3,B216,"")</f>
        <v>HENRIQUE STUGINSKI STOFFA KOYAMA</v>
      </c>
      <c r="C222" s="33" t="str">
        <f>IFERROR(IF(B222="","",VLOOKUP(B222,LISTAS!$F$5:$G$1004,2,0)),"0")</f>
        <v>COLÉGIO BANDEIRANTES</v>
      </c>
      <c r="D222" s="253">
        <v>2</v>
      </c>
      <c r="E222" s="254"/>
      <c r="F222" s="253" t="s">
        <v>38</v>
      </c>
      <c r="G222" s="254"/>
      <c r="H222" s="253">
        <v>0</v>
      </c>
      <c r="I222" s="254"/>
      <c r="J222" s="111" t="str">
        <f>IF(H216=3,B218,"")</f>
        <v>FELIPE RIBEIRO DA SILVA MOREIRA</v>
      </c>
      <c r="K222" s="33" t="str">
        <f>IFERROR(IF(J222="","",VLOOKUP(J222,LISTAS!$F$5:$G$1004,2,0)),"0")</f>
        <v>EDUCANDÁRIO - S.A</v>
      </c>
      <c r="L222" s="81"/>
    </row>
    <row r="223" spans="2:16" ht="18" customHeight="1" x14ac:dyDescent="0.25">
      <c r="B223" s="33" t="str">
        <f>IF(H216=3,B217,"")</f>
        <v>GABRIEL DE MELLO PIRES</v>
      </c>
      <c r="C223" s="33" t="str">
        <f>IFERROR(IF(B223="","",VLOOKUP(B223,LISTAS!$F$5:$G$1004,2,0)),"0")</f>
        <v>COLÉGIO ARBOS DE SÃO BERNARDO DO CAMPO</v>
      </c>
      <c r="D223" s="253">
        <v>2</v>
      </c>
      <c r="E223" s="254"/>
      <c r="F223" s="253" t="s">
        <v>38</v>
      </c>
      <c r="G223" s="254"/>
      <c r="H223" s="253">
        <v>1</v>
      </c>
      <c r="I223" s="254"/>
      <c r="J223" s="111" t="str">
        <f>IF(H216=3,B218,"")</f>
        <v>FELIPE RIBEIRO DA SILVA MOREIRA</v>
      </c>
      <c r="K223" s="33" t="str">
        <f>IFERROR(IF(J223="","",VLOOKUP(J223,LISTAS!$F$5:$G$1004,2,0)),"0")</f>
        <v>EDUCANDÁRIO - S.A</v>
      </c>
      <c r="L223" s="79"/>
    </row>
    <row r="224" spans="2:16" ht="18" customHeight="1" x14ac:dyDescent="0.25">
      <c r="B224" s="33" t="str">
        <f>IF(H216=3,B216,"")</f>
        <v>HENRIQUE STUGINSKI STOFFA KOYAMA</v>
      </c>
      <c r="C224" s="33" t="str">
        <f>IFERROR(IF(B224="","",VLOOKUP(B224,LISTAS!$F$5:$G$1004,2,0)),"0")</f>
        <v>COLÉGIO BANDEIRANTES</v>
      </c>
      <c r="D224" s="253">
        <v>2</v>
      </c>
      <c r="E224" s="254"/>
      <c r="F224" s="253" t="s">
        <v>38</v>
      </c>
      <c r="G224" s="254"/>
      <c r="H224" s="253">
        <v>0</v>
      </c>
      <c r="I224" s="254"/>
      <c r="J224" s="111" t="str">
        <f>IF(H216=3,B217,"")</f>
        <v>GABRIEL DE MELLO PIRES</v>
      </c>
      <c r="K224" s="33" t="str">
        <f>IFERROR(IF(J224="","",VLOOKUP(J224,LISTAS!$F$5:$G$1004,2,0)),"0")</f>
        <v>COLÉGIO ARBOS DE SÃO BERNARDO DO CAMPO</v>
      </c>
      <c r="L224" s="81"/>
    </row>
    <row r="227" spans="2:16" ht="30" customHeight="1" x14ac:dyDescent="0.25">
      <c r="B227" s="161" t="s">
        <v>61</v>
      </c>
      <c r="C227" s="79"/>
      <c r="D227" s="255" t="s">
        <v>42</v>
      </c>
      <c r="E227" s="256"/>
      <c r="F227" s="256"/>
      <c r="G227" s="257"/>
      <c r="H227" s="113"/>
      <c r="I227" s="255" t="s">
        <v>3</v>
      </c>
      <c r="J227" s="256"/>
      <c r="K227" s="256"/>
      <c r="L227" s="256"/>
    </row>
    <row r="228" spans="2:16" ht="18" customHeight="1" x14ac:dyDescent="0.25">
      <c r="B228" s="132" t="s">
        <v>15</v>
      </c>
      <c r="C228" s="132" t="s">
        <v>0</v>
      </c>
      <c r="D228" s="132" t="s">
        <v>43</v>
      </c>
      <c r="E228" s="132" t="s">
        <v>44</v>
      </c>
      <c r="F228" s="132" t="s">
        <v>77</v>
      </c>
      <c r="G228" s="132" t="s">
        <v>78</v>
      </c>
      <c r="H228" s="114"/>
      <c r="I228" s="132" t="s">
        <v>18</v>
      </c>
      <c r="J228" s="132" t="s">
        <v>15</v>
      </c>
      <c r="K228" s="132" t="s">
        <v>0</v>
      </c>
      <c r="L228" s="132" t="s">
        <v>45</v>
      </c>
    </row>
    <row r="229" spans="2:16" ht="18" customHeight="1" x14ac:dyDescent="0.25">
      <c r="B229" s="33" t="s">
        <v>503</v>
      </c>
      <c r="C229" s="33" t="str">
        <f>IFERROR(IF(B229="","",VLOOKUP(B229,LISTAS!$F$5:$G$1004,2,0)),"0")</f>
        <v>COLÉGIO ARBOS DE SÃO BERNARDO DO CAMPO</v>
      </c>
      <c r="D229" s="33" t="str">
        <f>IF(H229&lt;3,"",IF(H229=3,IF(D235&lt;&gt;"",IF(H235&lt;&gt;"",IF(D235&lt;&gt;H235,IF(D235&gt;H235,"V","D"),""),""),"")))</f>
        <v>V</v>
      </c>
      <c r="E229" s="33" t="str">
        <f>IF(H229&lt;3,"",IF(H229=3,IF(D237&lt;&gt;"",IF(H237&lt;&gt;"",IF(D237&lt;&gt;H237,IF(D237&gt;H237,"V","D"),""),""),"")))</f>
        <v>V</v>
      </c>
      <c r="F229" s="33" t="s">
        <v>81</v>
      </c>
      <c r="G229" s="33" t="s">
        <v>81</v>
      </c>
      <c r="H229" s="117">
        <f>COUNTA(B229:B231)</f>
        <v>3</v>
      </c>
      <c r="I229" s="33">
        <f>IF(B229&lt;&gt;"",1,"")</f>
        <v>1</v>
      </c>
      <c r="J229" s="33" t="str">
        <f>IF(I229&lt;&gt;"",P229,"")</f>
        <v>JORGE DE OLIVEIRA MACEDO</v>
      </c>
      <c r="K229" s="33" t="str">
        <f>IFERROR(IF(J229="","",VLOOKUP(J229,LISTAS!$F$5:$G$1004,2,0)),"0")</f>
        <v>COLÉGIO ARBOS DE SÃO BERNARDO DO CAMPO</v>
      </c>
      <c r="L229" s="130" t="str">
        <f>IF(H229=3,"OURO",IF(H229=4,"OURO",IF(H229=5,"OURO","")))</f>
        <v>OURO</v>
      </c>
      <c r="M229" s="20">
        <f>IF(B229&lt;&gt;"",COUNTIF(D229:G229,"V")+(SUMIF(B235:B237,B229,D235:E237)/1000)+(SUMIF(J235:J237,B229,H235:I237)/1000)-(SUMIF(B235:B237,B229,H235:I237)/1000)-(SUMIF(J235:J237,B229,D235:E237)/1000)+0.003,"")</f>
        <v>2.0070000000000001</v>
      </c>
      <c r="N229" s="20" t="str">
        <f>IF(B229="","",B229)</f>
        <v>JORGE DE OLIVEIRA MACEDO</v>
      </c>
      <c r="O229" s="20">
        <f>IF(B229&lt;&gt;"",LARGE(M229:M231,1),"")</f>
        <v>2.0070000000000001</v>
      </c>
      <c r="P229" s="20" t="str">
        <f>VLOOKUP(O229,M229:N231,2,0)</f>
        <v>JORGE DE OLIVEIRA MACEDO</v>
      </c>
    </row>
    <row r="230" spans="2:16" ht="18" customHeight="1" x14ac:dyDescent="0.25">
      <c r="B230" s="33" t="s">
        <v>601</v>
      </c>
      <c r="C230" s="33" t="str">
        <f>IFERROR(IF(B230="","",VLOOKUP(B230,LISTAS!$F$5:$G$1004,2,0)),"0")</f>
        <v>BYE</v>
      </c>
      <c r="D230" s="33" t="str">
        <f>IF(H229&lt;3,"",IF(H229=3,IF(D236&lt;&gt;"",IF(H236&lt;&gt;"",IF(D236&lt;&gt;H236,IF(D236&gt;H236,"V","D"),""),""),"")))</f>
        <v/>
      </c>
      <c r="E230" s="33" t="str">
        <f>IF(H229&lt;3,"",IF(H229=3,IF(D237&lt;&gt;"",IF(H237&lt;&gt;"",IF(D237&lt;&gt;H237,IF(D237&gt;H237,"D","V"),""),""),"")))</f>
        <v>D</v>
      </c>
      <c r="F230" s="33" t="s">
        <v>81</v>
      </c>
      <c r="G230" s="33" t="s">
        <v>81</v>
      </c>
      <c r="H230" s="117"/>
      <c r="I230" s="33">
        <f>IF(B230&lt;&gt;"",2,"")</f>
        <v>2</v>
      </c>
      <c r="J230" s="33" t="str">
        <f>IF(I230&lt;&gt;"",P230,"")</f>
        <v>BYE</v>
      </c>
      <c r="K230" s="33" t="str">
        <f>IFERROR(IF(J230="","",VLOOKUP(J230,LISTAS!$F$5:$G$1004,2,0)),"0")</f>
        <v>BYE</v>
      </c>
      <c r="L230" s="130" t="str">
        <f>IF(H229=3,"PRATA",IF(H229=4,"OURO",IF(H229=5,"OURO","")))</f>
        <v>PRATA</v>
      </c>
      <c r="M230" s="20">
        <f>IF(B230&lt;&gt;"",COUNTIF(D230:G230,"V")+(SUMIF(B235:B237,B230,D235:E237)/1000)+(SUMIF(J235:J237,B230,H235:I237)/1000)-(SUMIF(B235:B237,B230,H235:I237)/1000)-(SUMIF(J235:J237,B230,D235:E237)/1000)+0.002,"")</f>
        <v>-2E-3</v>
      </c>
      <c r="N230" s="20" t="str">
        <f t="shared" ref="N230" si="12">IF(B230="","",B230)</f>
        <v>BYE</v>
      </c>
      <c r="O230" s="20">
        <f>IF(B230&lt;&gt;"",LARGE(M229:M231,2),"")</f>
        <v>-2E-3</v>
      </c>
      <c r="P230" s="20" t="str">
        <f>VLOOKUP(O230,M229:N231,2,0)</f>
        <v>BYE</v>
      </c>
    </row>
    <row r="231" spans="2:16" ht="18" customHeight="1" x14ac:dyDescent="0.25">
      <c r="B231" s="33" t="s">
        <v>601</v>
      </c>
      <c r="C231" s="33" t="str">
        <f>IFERROR(IF(B231="","",VLOOKUP(B231,LISTAS!$F$5:$G$1004,2,0)),"0")</f>
        <v>BYE</v>
      </c>
      <c r="D231" s="33" t="str">
        <f>IF(H229&lt;3,"",IF(H229=3,IF(D235&lt;&gt;"",IF(H235&lt;&gt;"",IF(D235&lt;&gt;H235,IF(D235&gt;H235,"D","V"),""),""),"")))</f>
        <v>D</v>
      </c>
      <c r="E231" s="33" t="str">
        <f>IF(H229&lt;3,"",IF(H229=3,IF(D236&lt;&gt;"",IF(H236&lt;&gt;"",IF(D236&lt;&gt;H236,IF(D236&gt;H236,"D","V"),""),""),"")))</f>
        <v/>
      </c>
      <c r="F231" s="33" t="s">
        <v>81</v>
      </c>
      <c r="G231" s="33" t="s">
        <v>81</v>
      </c>
      <c r="H231" s="117"/>
      <c r="I231" s="33">
        <f>IF(B231&lt;&gt;"",3,"")</f>
        <v>3</v>
      </c>
      <c r="J231" s="33" t="str">
        <f>IF(I231&lt;&gt;"",P231,"")</f>
        <v>BYE</v>
      </c>
      <c r="K231" s="33" t="str">
        <f>IFERROR(IF(J231="","",VLOOKUP(J231,LISTAS!$F$5:$G$1004,2,0)),"0")</f>
        <v>BYE</v>
      </c>
      <c r="L231" s="130" t="str">
        <f>IF(H229=3,"BRONZE",IF(H229=4,"PRATA",IF(H229=5,"OURO","")))</f>
        <v>BRONZE</v>
      </c>
      <c r="M231" s="20">
        <f>IF(B231&lt;&gt;"",COUNTIF(D231:G231,"V")+(SUMIF(B235:B237,B231,D235:E237)/1000)+(SUMIF(J235:J237,B231,H235:I237)/1000)-(SUMIF(B235:B237,B231,H235:I237)/1000)-(SUMIF(J235:J237,B231,D235:E237)/1000)+0.001,"")</f>
        <v>-3.0000000000000001E-3</v>
      </c>
      <c r="N231" s="20" t="str">
        <f>IF(B231="","",B231)</f>
        <v>BYE</v>
      </c>
      <c r="O231" s="20">
        <f>IF(B231&lt;&gt;"",LARGE(M229:M231,3),"")</f>
        <v>-3.0000000000000001E-3</v>
      </c>
      <c r="P231" s="20" t="str">
        <f>VLOOKUP(O231,M229:N231,2,0)</f>
        <v>BYE</v>
      </c>
    </row>
    <row r="232" spans="2:16" ht="18" customHeight="1" x14ac:dyDescent="0.25">
      <c r="B232" s="79"/>
      <c r="C232" s="79"/>
      <c r="D232" s="79"/>
      <c r="E232" s="79"/>
      <c r="F232" s="79"/>
      <c r="G232" s="79"/>
      <c r="I232" s="80"/>
      <c r="J232" s="79"/>
      <c r="K232" s="81"/>
      <c r="L232" s="81"/>
    </row>
    <row r="233" spans="2:16" ht="23.25" customHeight="1" x14ac:dyDescent="0.25">
      <c r="B233" s="82" t="s">
        <v>40</v>
      </c>
      <c r="C233" s="79"/>
      <c r="D233" s="79"/>
      <c r="E233" s="79"/>
      <c r="F233" s="79"/>
      <c r="G233" s="79"/>
      <c r="H233" s="79"/>
      <c r="I233" s="79"/>
      <c r="J233" s="79"/>
      <c r="K233" s="79"/>
      <c r="L233" s="79"/>
    </row>
    <row r="234" spans="2:16" ht="18" customHeight="1" x14ac:dyDescent="0.25">
      <c r="B234" s="132" t="s">
        <v>15</v>
      </c>
      <c r="C234" s="132" t="s">
        <v>0</v>
      </c>
      <c r="D234" s="258" t="s">
        <v>41</v>
      </c>
      <c r="E234" s="259"/>
      <c r="F234" s="259"/>
      <c r="G234" s="259"/>
      <c r="H234" s="259"/>
      <c r="I234" s="260"/>
      <c r="J234" s="132" t="s">
        <v>15</v>
      </c>
      <c r="K234" s="132" t="s">
        <v>0</v>
      </c>
      <c r="L234" s="79"/>
    </row>
    <row r="235" spans="2:16" ht="18" customHeight="1" x14ac:dyDescent="0.25">
      <c r="B235" s="33" t="str">
        <f>IF(H229=3,B229,"")</f>
        <v>JORGE DE OLIVEIRA MACEDO</v>
      </c>
      <c r="C235" s="33" t="str">
        <f>IFERROR(IF(B235="","",VLOOKUP(B235,LISTAS!$F$5:$G$1004,2,0)),"0")</f>
        <v>COLÉGIO ARBOS DE SÃO BERNARDO DO CAMPO</v>
      </c>
      <c r="D235" s="253">
        <v>2</v>
      </c>
      <c r="E235" s="254"/>
      <c r="F235" s="253" t="s">
        <v>38</v>
      </c>
      <c r="G235" s="254"/>
      <c r="H235" s="253">
        <v>0</v>
      </c>
      <c r="I235" s="254"/>
      <c r="J235" s="111" t="str">
        <f>IF(H229=3,B231,"")</f>
        <v>BYE</v>
      </c>
      <c r="K235" s="33" t="str">
        <f>IFERROR(IF(J235="","",VLOOKUP(J235,LISTAS!$F$5:$G$1004,2,0)),"0")</f>
        <v>BYE</v>
      </c>
      <c r="L235" s="81"/>
    </row>
    <row r="236" spans="2:16" ht="18" customHeight="1" x14ac:dyDescent="0.25">
      <c r="B236" s="33" t="str">
        <f>IF(H229=3,B230,"")</f>
        <v>BYE</v>
      </c>
      <c r="C236" s="33" t="str">
        <f>IFERROR(IF(B236="","",VLOOKUP(B236,LISTAS!$F$5:$G$1004,2,0)),"0")</f>
        <v>BYE</v>
      </c>
      <c r="D236" s="253">
        <v>0</v>
      </c>
      <c r="E236" s="254"/>
      <c r="F236" s="253" t="s">
        <v>38</v>
      </c>
      <c r="G236" s="254"/>
      <c r="H236" s="253">
        <v>0</v>
      </c>
      <c r="I236" s="254"/>
      <c r="J236" s="111" t="str">
        <f>IF(H229=3,B231,"")</f>
        <v>BYE</v>
      </c>
      <c r="K236" s="33" t="str">
        <f>IFERROR(IF(J236="","",VLOOKUP(J236,LISTAS!$F$5:$G$1004,2,0)),"0")</f>
        <v>BYE</v>
      </c>
      <c r="L236" s="79"/>
    </row>
    <row r="237" spans="2:16" ht="18" customHeight="1" x14ac:dyDescent="0.25">
      <c r="B237" s="33" t="str">
        <f>IF(H229=3,B229,"")</f>
        <v>JORGE DE OLIVEIRA MACEDO</v>
      </c>
      <c r="C237" s="33" t="str">
        <f>IFERROR(IF(B237="","",VLOOKUP(B237,LISTAS!$F$5:$G$1004,2,0)),"0")</f>
        <v>COLÉGIO ARBOS DE SÃO BERNARDO DO CAMPO</v>
      </c>
      <c r="D237" s="253">
        <v>2</v>
      </c>
      <c r="E237" s="254"/>
      <c r="F237" s="253" t="s">
        <v>38</v>
      </c>
      <c r="G237" s="254"/>
      <c r="H237" s="253">
        <v>0</v>
      </c>
      <c r="I237" s="254"/>
      <c r="J237" s="111" t="str">
        <f>IF(H229=3,B230,"")</f>
        <v>BYE</v>
      </c>
      <c r="K237" s="33" t="str">
        <f>IFERROR(IF(J237="","",VLOOKUP(J237,LISTAS!$F$5:$G$1004,2,0)),"0")</f>
        <v>BYE</v>
      </c>
      <c r="L237" s="81"/>
    </row>
    <row r="240" spans="2:16" ht="30" customHeight="1" x14ac:dyDescent="0.25">
      <c r="B240" s="161" t="s">
        <v>62</v>
      </c>
      <c r="C240" s="79"/>
      <c r="D240" s="255" t="s">
        <v>42</v>
      </c>
      <c r="E240" s="256"/>
      <c r="F240" s="256"/>
      <c r="G240" s="257"/>
      <c r="H240" s="113"/>
      <c r="I240" s="255" t="s">
        <v>3</v>
      </c>
      <c r="J240" s="256"/>
      <c r="K240" s="256"/>
      <c r="L240" s="256"/>
    </row>
    <row r="241" spans="2:16" ht="18" customHeight="1" x14ac:dyDescent="0.25">
      <c r="B241" s="132" t="s">
        <v>15</v>
      </c>
      <c r="C241" s="132" t="s">
        <v>0</v>
      </c>
      <c r="D241" s="132" t="s">
        <v>43</v>
      </c>
      <c r="E241" s="132" t="s">
        <v>44</v>
      </c>
      <c r="F241" s="132" t="s">
        <v>77</v>
      </c>
      <c r="G241" s="132" t="s">
        <v>78</v>
      </c>
      <c r="H241" s="114"/>
      <c r="I241" s="132" t="s">
        <v>18</v>
      </c>
      <c r="J241" s="132" t="s">
        <v>15</v>
      </c>
      <c r="K241" s="132" t="s">
        <v>0</v>
      </c>
      <c r="L241" s="132" t="s">
        <v>45</v>
      </c>
    </row>
    <row r="242" spans="2:16" ht="18" customHeight="1" x14ac:dyDescent="0.25">
      <c r="B242" s="33" t="s">
        <v>660</v>
      </c>
      <c r="C242" s="33" t="str">
        <f>IFERROR(IF(B242="","",VLOOKUP(B242,LISTAS!$F$5:$G$1004,2,0)),"0")</f>
        <v>EDUCANDÁRIO - S.A</v>
      </c>
      <c r="D242" s="33" t="str">
        <f>IF(H242&lt;3,"",IF(H242=3,IF(D248&lt;&gt;"",IF(H248&lt;&gt;"",IF(D248&lt;&gt;H248,IF(D248&gt;H248,"V","D"),""),""),"")))</f>
        <v>V</v>
      </c>
      <c r="E242" s="33" t="str">
        <f>IF(H242&lt;3,"",IF(H242=3,IF(D250&lt;&gt;"",IF(H250&lt;&gt;"",IF(D250&lt;&gt;H250,IF(D250&gt;H250,"V","D"),""),""),"")))</f>
        <v>V</v>
      </c>
      <c r="F242" s="33" t="s">
        <v>81</v>
      </c>
      <c r="G242" s="33" t="s">
        <v>81</v>
      </c>
      <c r="H242" s="117">
        <f>COUNTA(B242:B244)</f>
        <v>3</v>
      </c>
      <c r="I242" s="33">
        <f>IF(B242&lt;&gt;"",1,"")</f>
        <v>1</v>
      </c>
      <c r="J242" s="33" t="str">
        <f>IF(I242&lt;&gt;"",P242,"")</f>
        <v>LIONEL ROMANINI GLAL</v>
      </c>
      <c r="K242" s="33" t="str">
        <f>IFERROR(IF(J242="","",VLOOKUP(J242,LISTAS!$F$5:$G$1004,2,0)),"0")</f>
        <v>EDUCANDÁRIO - S.A</v>
      </c>
      <c r="L242" s="130" t="str">
        <f>IF(H242=3,"OURO",IF(H242=4,"OURO",IF(H242=5,"OURO","")))</f>
        <v>OURO</v>
      </c>
      <c r="M242" s="20">
        <f>IF(B242&lt;&gt;"",COUNTIF(D242:G242,"V")+(SUMIF(B248:B250,B242,D248:E250)/1000)+(SUMIF(J248:J250,B242,H248:I250)/1000)-(SUMIF(B248:B250,B242,H248:I250)/1000)-(SUMIF(J248:J250,B242,D248:E250)/1000)+0.003,"")</f>
        <v>2.0060000000000002</v>
      </c>
      <c r="N242" s="20" t="str">
        <f>IF(B242="","",B242)</f>
        <v>LIONEL ROMANINI GLAL</v>
      </c>
      <c r="O242" s="20">
        <f>IF(B242&lt;&gt;"",LARGE(M242:M244,1),"")</f>
        <v>2.0060000000000002</v>
      </c>
      <c r="P242" s="20" t="str">
        <f>VLOOKUP(O242,M242:N244,2,0)</f>
        <v>LIONEL ROMANINI GLAL</v>
      </c>
    </row>
    <row r="243" spans="2:16" ht="18" customHeight="1" x14ac:dyDescent="0.25">
      <c r="B243" s="33" t="s">
        <v>647</v>
      </c>
      <c r="C243" s="33" t="str">
        <f>IFERROR(IF(B243="","",VLOOKUP(B243,LISTAS!$F$5:$G$1004,2,0)),"0")</f>
        <v>ESCOLA INTERAÇÃO</v>
      </c>
      <c r="D243" s="33" t="str">
        <f>IF(H242&lt;3,"",IF(H242=3,IF(D249&lt;&gt;"",IF(H249&lt;&gt;"",IF(D249&lt;&gt;H249,IF(D249&gt;H249,"V","D"),""),""),"")))</f>
        <v>D</v>
      </c>
      <c r="E243" s="33" t="str">
        <f>IF(H242&lt;3,"",IF(H242=3,IF(D250&lt;&gt;"",IF(H250&lt;&gt;"",IF(D250&lt;&gt;H250,IF(D250&gt;H250,"D","V"),""),""),"")))</f>
        <v>D</v>
      </c>
      <c r="F243" s="33" t="s">
        <v>81</v>
      </c>
      <c r="G243" s="33" t="s">
        <v>81</v>
      </c>
      <c r="H243" s="117"/>
      <c r="I243" s="33">
        <f>IF(B243&lt;&gt;"",2,"")</f>
        <v>2</v>
      </c>
      <c r="J243" s="33" t="str">
        <f>IF(I243&lt;&gt;"",P243,"")</f>
        <v>BYE</v>
      </c>
      <c r="K243" s="33" t="str">
        <f>IFERROR(IF(J243="","",VLOOKUP(J243,LISTAS!$F$5:$G$1004,2,0)),"0")</f>
        <v>BYE</v>
      </c>
      <c r="L243" s="130" t="str">
        <f>IF(H242=3,"PRATA",IF(H242=4,"OURO",IF(H242=5,"OURO","")))</f>
        <v>PRATA</v>
      </c>
      <c r="M243" s="20">
        <f>IF(B243&lt;&gt;"",COUNTIF(D243:G243,"V")+(SUMIF(B248:B250,B243,D248:E250)/1000)+(SUMIF(J248:J250,B243,H248:I250)/1000)-(SUMIF(B248:B250,B243,H248:I250)/1000)-(SUMIF(J248:J250,B243,D248:E250)/1000)+0.002,"")</f>
        <v>-1E-3</v>
      </c>
      <c r="N243" s="20" t="str">
        <f t="shared" ref="N243" si="13">IF(B243="","",B243)</f>
        <v>Vitor Moretto Gifu</v>
      </c>
      <c r="O243" s="20">
        <f>IF(B243&lt;&gt;"",LARGE(M242:M244,2),"")</f>
        <v>1.0009999999999999</v>
      </c>
      <c r="P243" s="20" t="str">
        <f>VLOOKUP(O243,M242:N244,2,0)</f>
        <v>BYE</v>
      </c>
    </row>
    <row r="244" spans="2:16" ht="18" customHeight="1" x14ac:dyDescent="0.25">
      <c r="B244" s="33" t="s">
        <v>601</v>
      </c>
      <c r="C244" s="33" t="str">
        <f>IFERROR(IF(B244="","",VLOOKUP(B244,LISTAS!$F$5:$G$1004,2,0)),"0")</f>
        <v>BYE</v>
      </c>
      <c r="D244" s="33" t="str">
        <f>IF(H242&lt;3,"",IF(H242=3,IF(D248&lt;&gt;"",IF(H248&lt;&gt;"",IF(D248&lt;&gt;H248,IF(D248&gt;H248,"D","V"),""),""),"")))</f>
        <v>D</v>
      </c>
      <c r="E244" s="33" t="str">
        <f>IF(H242&lt;3,"",IF(H242=3,IF(D249&lt;&gt;"",IF(H249&lt;&gt;"",IF(D249&lt;&gt;H249,IF(D249&gt;H249,"D","V"),""),""),"")))</f>
        <v>V</v>
      </c>
      <c r="F244" s="33" t="s">
        <v>81</v>
      </c>
      <c r="G244" s="33" t="s">
        <v>81</v>
      </c>
      <c r="H244" s="117"/>
      <c r="I244" s="33">
        <f>IF(B244&lt;&gt;"",3,"")</f>
        <v>3</v>
      </c>
      <c r="J244" s="33" t="str">
        <f>IF(I244&lt;&gt;"",P244,"")</f>
        <v>Vitor Moretto Gifu</v>
      </c>
      <c r="K244" s="33" t="str">
        <f>IFERROR(IF(J244="","",VLOOKUP(J244,LISTAS!$F$5:$G$1004,2,0)),"0")</f>
        <v>ESCOLA INTERAÇÃO</v>
      </c>
      <c r="L244" s="130" t="str">
        <f>IF(H242=3,"BRONZE",IF(H242=4,"PRATA",IF(H242=5,"OURO","")))</f>
        <v>BRONZE</v>
      </c>
      <c r="M244" s="20">
        <f>IF(B244&lt;&gt;"",COUNTIF(D244:G244,"V")+(SUMIF(B248:B250,B244,D248:E250)/1000)+(SUMIF(J248:J250,B244,H248:I250)/1000)-(SUMIF(B248:B250,B244,H248:I250)/1000)-(SUMIF(J248:J250,B244,D248:E250)/1000)+0.001,"")</f>
        <v>1.0009999999999999</v>
      </c>
      <c r="N244" s="20" t="str">
        <f>IF(B244="","",B244)</f>
        <v>BYE</v>
      </c>
      <c r="O244" s="20">
        <f>IF(B244&lt;&gt;"",LARGE(M242:M244,3),"")</f>
        <v>-1E-3</v>
      </c>
      <c r="P244" s="20" t="str">
        <f>VLOOKUP(O244,M242:N244,2,0)</f>
        <v>Vitor Moretto Gifu</v>
      </c>
    </row>
    <row r="245" spans="2:16" ht="18" customHeight="1" x14ac:dyDescent="0.25">
      <c r="B245" s="79"/>
      <c r="C245" s="79"/>
      <c r="D245" s="79"/>
      <c r="E245" s="79"/>
      <c r="F245" s="79"/>
      <c r="G245" s="79"/>
      <c r="I245" s="80"/>
      <c r="J245" s="79"/>
      <c r="K245" s="81"/>
      <c r="L245" s="81"/>
    </row>
    <row r="246" spans="2:16" ht="23.25" customHeight="1" x14ac:dyDescent="0.25">
      <c r="B246" s="82" t="s">
        <v>40</v>
      </c>
      <c r="C246" s="79"/>
      <c r="D246" s="79"/>
      <c r="E246" s="79"/>
      <c r="F246" s="79"/>
      <c r="G246" s="79"/>
      <c r="H246" s="79"/>
      <c r="I246" s="79"/>
      <c r="J246" s="79"/>
      <c r="K246" s="79"/>
      <c r="L246" s="79"/>
    </row>
    <row r="247" spans="2:16" ht="18" customHeight="1" x14ac:dyDescent="0.25">
      <c r="B247" s="132" t="s">
        <v>15</v>
      </c>
      <c r="C247" s="132" t="s">
        <v>0</v>
      </c>
      <c r="D247" s="258" t="s">
        <v>41</v>
      </c>
      <c r="E247" s="259"/>
      <c r="F247" s="259"/>
      <c r="G247" s="259"/>
      <c r="H247" s="259"/>
      <c r="I247" s="260"/>
      <c r="J247" s="132" t="s">
        <v>15</v>
      </c>
      <c r="K247" s="132" t="s">
        <v>0</v>
      </c>
      <c r="L247" s="79"/>
    </row>
    <row r="248" spans="2:16" ht="18" customHeight="1" x14ac:dyDescent="0.25">
      <c r="B248" s="33" t="str">
        <f>IF(H242=3,B242,"")</f>
        <v>LIONEL ROMANINI GLAL</v>
      </c>
      <c r="C248" s="33" t="str">
        <f>IFERROR(IF(B248="","",VLOOKUP(B248,LISTAS!$F$5:$G$1004,2,0)),"0")</f>
        <v>EDUCANDÁRIO - S.A</v>
      </c>
      <c r="D248" s="253">
        <v>2</v>
      </c>
      <c r="E248" s="254"/>
      <c r="F248" s="253" t="s">
        <v>38</v>
      </c>
      <c r="G248" s="254"/>
      <c r="H248" s="253">
        <v>0</v>
      </c>
      <c r="I248" s="254"/>
      <c r="J248" s="111" t="str">
        <f>IF(H242=3,B244,"")</f>
        <v>BYE</v>
      </c>
      <c r="K248" s="33" t="str">
        <f>IFERROR(IF(J248="","",VLOOKUP(J248,LISTAS!$F$5:$G$1004,2,0)),"0")</f>
        <v>BYE</v>
      </c>
      <c r="L248" s="81"/>
    </row>
    <row r="249" spans="2:16" ht="18" customHeight="1" x14ac:dyDescent="0.25">
      <c r="B249" s="33" t="str">
        <f>IF(H242=3,B243,"")</f>
        <v>Vitor Moretto Gifu</v>
      </c>
      <c r="C249" s="33" t="str">
        <f>IFERROR(IF(B249="","",VLOOKUP(B249,LISTAS!$F$5:$G$1004,2,0)),"0")</f>
        <v>ESCOLA INTERAÇÃO</v>
      </c>
      <c r="D249" s="253">
        <v>0</v>
      </c>
      <c r="E249" s="254"/>
      <c r="F249" s="253" t="s">
        <v>38</v>
      </c>
      <c r="G249" s="254"/>
      <c r="H249" s="253">
        <v>2</v>
      </c>
      <c r="I249" s="254"/>
      <c r="J249" s="111" t="str">
        <f>IF(H242=3,B244,"")</f>
        <v>BYE</v>
      </c>
      <c r="K249" s="33" t="str">
        <f>IFERROR(IF(J249="","",VLOOKUP(J249,LISTAS!$F$5:$G$1004,2,0)),"0")</f>
        <v>BYE</v>
      </c>
      <c r="L249" s="79"/>
    </row>
    <row r="250" spans="2:16" ht="18" customHeight="1" x14ac:dyDescent="0.25">
      <c r="B250" s="33" t="str">
        <f>IF(H242=3,B242,"")</f>
        <v>LIONEL ROMANINI GLAL</v>
      </c>
      <c r="C250" s="33" t="str">
        <f>IFERROR(IF(B250="","",VLOOKUP(B250,LISTAS!$F$5:$G$1004,2,0)),"0")</f>
        <v>EDUCANDÁRIO - S.A</v>
      </c>
      <c r="D250" s="253">
        <v>2</v>
      </c>
      <c r="E250" s="254"/>
      <c r="F250" s="253" t="s">
        <v>38</v>
      </c>
      <c r="G250" s="254"/>
      <c r="H250" s="253">
        <v>1</v>
      </c>
      <c r="I250" s="254"/>
      <c r="J250" s="111" t="str">
        <f>IF(H242=3,B243,"")</f>
        <v>Vitor Moretto Gifu</v>
      </c>
      <c r="K250" s="33" t="str">
        <f>IFERROR(IF(J250="","",VLOOKUP(J250,LISTAS!$F$5:$G$1004,2,0)),"0")</f>
        <v>ESCOLA INTERAÇÃO</v>
      </c>
      <c r="L250" s="81"/>
    </row>
    <row r="253" spans="2:16" ht="30" customHeight="1" x14ac:dyDescent="0.25">
      <c r="B253" s="161" t="s">
        <v>63</v>
      </c>
      <c r="C253" s="79"/>
      <c r="D253" s="255" t="s">
        <v>42</v>
      </c>
      <c r="E253" s="256"/>
      <c r="F253" s="256"/>
      <c r="G253" s="257"/>
      <c r="H253" s="113"/>
      <c r="I253" s="255" t="s">
        <v>3</v>
      </c>
      <c r="J253" s="256"/>
      <c r="K253" s="256"/>
      <c r="L253" s="256"/>
    </row>
    <row r="254" spans="2:16" ht="18" customHeight="1" x14ac:dyDescent="0.25">
      <c r="B254" s="132" t="s">
        <v>15</v>
      </c>
      <c r="C254" s="132" t="s">
        <v>0</v>
      </c>
      <c r="D254" s="132" t="s">
        <v>43</v>
      </c>
      <c r="E254" s="132" t="s">
        <v>44</v>
      </c>
      <c r="F254" s="132" t="s">
        <v>77</v>
      </c>
      <c r="G254" s="132" t="s">
        <v>78</v>
      </c>
      <c r="H254" s="114"/>
      <c r="I254" s="132" t="s">
        <v>18</v>
      </c>
      <c r="J254" s="132" t="s">
        <v>15</v>
      </c>
      <c r="K254" s="132" t="s">
        <v>0</v>
      </c>
      <c r="L254" s="132" t="s">
        <v>45</v>
      </c>
    </row>
    <row r="255" spans="2:16" ht="18" customHeight="1" x14ac:dyDescent="0.25">
      <c r="B255" s="33" t="s">
        <v>79</v>
      </c>
      <c r="C255" s="33" t="str">
        <f>IFERROR(IF(B255="","",VLOOKUP(B255,LISTAS!$F$5:$G$1004,2,0)),"0")</f>
        <v>0</v>
      </c>
      <c r="D255" s="33" t="str">
        <f>IF(H255&lt;3,"",IF(H255=3,IF(D261&lt;&gt;"",IF(H261&lt;&gt;"",IF(D261&lt;&gt;H261,IF(D261&gt;H261,"V","D"),""),""),"")))</f>
        <v/>
      </c>
      <c r="E255" s="33" t="str">
        <f>IF(H255&lt;3,"",IF(H255=3,IF(D263&lt;&gt;"",IF(H263&lt;&gt;"",IF(D263&lt;&gt;H263,IF(D263&gt;H263,"V","D"),""),""),"")))</f>
        <v/>
      </c>
      <c r="F255" s="33" t="s">
        <v>81</v>
      </c>
      <c r="G255" s="33" t="s">
        <v>81</v>
      </c>
      <c r="H255" s="117">
        <f>COUNTA(B255:B257)</f>
        <v>2</v>
      </c>
      <c r="I255" s="33">
        <f>IF(B255&lt;&gt;"",1,"")</f>
        <v>1</v>
      </c>
      <c r="J255" s="33" t="str">
        <f>IF(I255&lt;&gt;"",P255,"")</f>
        <v>EQUIPE 91</v>
      </c>
      <c r="K255" s="33" t="str">
        <f>IFERROR(IF(J255="","",VLOOKUP(J255,LISTAS!$F$5:$G$1004,2,0)),"0")</f>
        <v>0</v>
      </c>
      <c r="L255" s="130" t="str">
        <f>IF(H255=3,"OURO",IF(H255=4,"OURO",IF(H255=5,"OURO","")))</f>
        <v/>
      </c>
      <c r="M255" s="20">
        <f>IF(B255&lt;&gt;"",COUNTIF(D255:G255,"V")+(SUMIF(B261:B263,B255,D261:E263)/1000)+(SUMIF(J261:J263,B255,H261:I263)/1000)-(SUMIF(B261:B263,B255,H261:I263)/1000)-(SUMIF(J261:J263,B255,D261:E263)/1000)+0.003,"")</f>
        <v>3.0000000000000001E-3</v>
      </c>
      <c r="N255" s="20" t="str">
        <f>IF(B255="","",B255)</f>
        <v>EQUIPE 91</v>
      </c>
      <c r="O255" s="20">
        <f>IF(B255&lt;&gt;"",LARGE(M255:M257,1),"")</f>
        <v>3.0000000000000001E-3</v>
      </c>
      <c r="P255" s="20" t="str">
        <f>VLOOKUP(O255,M255:N257,2,0)</f>
        <v>EQUIPE 91</v>
      </c>
    </row>
    <row r="256" spans="2:16" ht="18" customHeight="1" x14ac:dyDescent="0.25">
      <c r="B256" s="33" t="s">
        <v>80</v>
      </c>
      <c r="C256" s="33" t="str">
        <f>IFERROR(IF(B256="","",VLOOKUP(B256,LISTAS!$F$5:$G$1004,2,0)),"0")</f>
        <v>0</v>
      </c>
      <c r="D256" s="33" t="str">
        <f>IF(H255&lt;3,"",IF(H255=3,IF(D262&lt;&gt;"",IF(H262&lt;&gt;"",IF(D262&lt;&gt;H262,IF(D262&gt;H262,"V","D"),""),""),"")))</f>
        <v/>
      </c>
      <c r="E256" s="33" t="str">
        <f>IF(H255&lt;3,"",IF(H255=3,IF(D263&lt;&gt;"",IF(H263&lt;&gt;"",IF(D263&lt;&gt;H263,IF(D263&gt;H263,"D","V"),""),""),"")))</f>
        <v/>
      </c>
      <c r="F256" s="33" t="s">
        <v>81</v>
      </c>
      <c r="G256" s="33" t="s">
        <v>81</v>
      </c>
      <c r="H256" s="117"/>
      <c r="I256" s="33">
        <f>IF(B256&lt;&gt;"",2,"")</f>
        <v>2</v>
      </c>
      <c r="J256" s="33" t="str">
        <f>IF(I256&lt;&gt;"",P256,"")</f>
        <v>EQUIPE 92</v>
      </c>
      <c r="K256" s="33" t="str">
        <f>IFERROR(IF(J256="","",VLOOKUP(J256,LISTAS!$F$5:$G$1004,2,0)),"0")</f>
        <v>0</v>
      </c>
      <c r="L256" s="130" t="str">
        <f>IF(H255=3,"PRATA",IF(H255=4,"OURO",IF(H255=5,"OURO","")))</f>
        <v/>
      </c>
      <c r="M256" s="20">
        <f>IF(B256&lt;&gt;"",COUNTIF(D256:G256,"V")+(SUMIF(B261:B263,B256,D261:E263)/1000)+(SUMIF(J261:J263,B256,H261:I263)/1000)-(SUMIF(B261:B263,B256,H261:I263)/1000)-(SUMIF(J261:J263,B256,D261:E263)/1000)+0.002,"")</f>
        <v>2E-3</v>
      </c>
      <c r="N256" s="20" t="str">
        <f t="shared" ref="N256" si="14">IF(B256="","",B256)</f>
        <v>EQUIPE 92</v>
      </c>
      <c r="O256" s="20">
        <f>IF(B256&lt;&gt;"",LARGE(M255:M257,2),"")</f>
        <v>2E-3</v>
      </c>
      <c r="P256" s="20" t="str">
        <f>VLOOKUP(O256,M255:N257,2,0)</f>
        <v>EQUIPE 92</v>
      </c>
    </row>
    <row r="257" spans="2:16" ht="18" customHeight="1" x14ac:dyDescent="0.25">
      <c r="B257" s="33"/>
      <c r="C257" s="33" t="str">
        <f>IFERROR(IF(B257="","",VLOOKUP(B257,LISTAS!$F$5:$G$1004,2,0)),"0")</f>
        <v/>
      </c>
      <c r="D257" s="33" t="str">
        <f>IF(H255&lt;3,"",IF(H255=3,IF(D261&lt;&gt;"",IF(H261&lt;&gt;"",IF(D261&lt;&gt;H261,IF(D261&gt;H261,"D","V"),""),""),"")))</f>
        <v/>
      </c>
      <c r="E257" s="33" t="str">
        <f>IF(H255&lt;3,"",IF(H255=3,IF(D262&lt;&gt;"",IF(H262&lt;&gt;"",IF(D262&lt;&gt;H262,IF(D262&gt;H262,"D","V"),""),""),"")))</f>
        <v/>
      </c>
      <c r="F257" s="33" t="s">
        <v>81</v>
      </c>
      <c r="G257" s="33" t="s">
        <v>81</v>
      </c>
      <c r="H257" s="117"/>
      <c r="I257" s="33" t="str">
        <f>IF(B257&lt;&gt;"",3,"")</f>
        <v/>
      </c>
      <c r="J257" s="33" t="str">
        <f>IF(I257&lt;&gt;"",P257,"")</f>
        <v/>
      </c>
      <c r="K257" s="33" t="str">
        <f>IFERROR(IF(J257="","",VLOOKUP(J257,LISTAS!$F$5:$G$1004,2,0)),"0")</f>
        <v/>
      </c>
      <c r="L257" s="130" t="str">
        <f>IF(H255=3,"BRONZE",IF(H255=4,"PRATA",IF(H255=5,"OURO","")))</f>
        <v/>
      </c>
      <c r="M257" s="20" t="str">
        <f>IF(B257&lt;&gt;"",COUNTIF(D257:G257,"V")+(SUMIF(B261:B263,B257,D261:E263)/1000)+(SUMIF(J261:J263,B257,H261:I263)/1000)-(SUMIF(B261:B263,B257,H261:I263)/1000)-(SUMIF(J261:J263,B257,D261:E263)/1000)+0.001,"")</f>
        <v/>
      </c>
      <c r="N257" s="20" t="str">
        <f>IF(B257="","",B257)</f>
        <v/>
      </c>
      <c r="O257" s="20" t="str">
        <f>IF(B257&lt;&gt;"",LARGE(M255:M257,3),"")</f>
        <v/>
      </c>
      <c r="P257" s="20" t="str">
        <f>VLOOKUP(O257,M255:N257,2,0)</f>
        <v/>
      </c>
    </row>
    <row r="258" spans="2:16" ht="18" customHeight="1" x14ac:dyDescent="0.25">
      <c r="B258" s="79"/>
      <c r="C258" s="79"/>
      <c r="D258" s="79"/>
      <c r="E258" s="79"/>
      <c r="F258" s="79"/>
      <c r="G258" s="79"/>
      <c r="I258" s="80"/>
      <c r="J258" s="79"/>
      <c r="K258" s="81"/>
      <c r="L258" s="81"/>
    </row>
    <row r="259" spans="2:16" ht="23.25" customHeight="1" x14ac:dyDescent="0.25">
      <c r="B259" s="82" t="s">
        <v>40</v>
      </c>
      <c r="C259" s="79"/>
      <c r="D259" s="79"/>
      <c r="E259" s="79"/>
      <c r="F259" s="79"/>
      <c r="G259" s="79"/>
      <c r="H259" s="79"/>
      <c r="I259" s="79"/>
      <c r="J259" s="79"/>
      <c r="K259" s="79"/>
      <c r="L259" s="79"/>
    </row>
    <row r="260" spans="2:16" ht="18" customHeight="1" x14ac:dyDescent="0.25">
      <c r="B260" s="132" t="s">
        <v>15</v>
      </c>
      <c r="C260" s="132" t="s">
        <v>0</v>
      </c>
      <c r="D260" s="258" t="s">
        <v>41</v>
      </c>
      <c r="E260" s="259"/>
      <c r="F260" s="259"/>
      <c r="G260" s="259"/>
      <c r="H260" s="259"/>
      <c r="I260" s="260"/>
      <c r="J260" s="132" t="s">
        <v>15</v>
      </c>
      <c r="K260" s="132" t="s">
        <v>0</v>
      </c>
      <c r="L260" s="79"/>
    </row>
    <row r="261" spans="2:16" ht="18" customHeight="1" x14ac:dyDescent="0.25">
      <c r="B261" s="33" t="str">
        <f>IF(H255=3,B255,"")</f>
        <v/>
      </c>
      <c r="C261" s="33" t="str">
        <f>IFERROR(IF(B261="","",VLOOKUP(B261,LISTAS!$F$5:$G$1004,2,0)),"0")</f>
        <v/>
      </c>
      <c r="D261" s="253"/>
      <c r="E261" s="254"/>
      <c r="F261" s="253" t="s">
        <v>38</v>
      </c>
      <c r="G261" s="254"/>
      <c r="H261" s="253"/>
      <c r="I261" s="254"/>
      <c r="J261" s="111" t="str">
        <f>IF(H255=3,B257,"")</f>
        <v/>
      </c>
      <c r="K261" s="33" t="str">
        <f>IFERROR(IF(J261="","",VLOOKUP(J261,LISTAS!$F$5:$G$1004,2,0)),"0")</f>
        <v/>
      </c>
      <c r="L261" s="81"/>
    </row>
    <row r="262" spans="2:16" ht="18" customHeight="1" x14ac:dyDescent="0.25">
      <c r="B262" s="33" t="str">
        <f>IF(H255=3,B256,"")</f>
        <v/>
      </c>
      <c r="C262" s="33" t="str">
        <f>IFERROR(IF(B262="","",VLOOKUP(B262,LISTAS!$F$5:$G$1004,2,0)),"0")</f>
        <v/>
      </c>
      <c r="D262" s="253"/>
      <c r="E262" s="254"/>
      <c r="F262" s="253" t="s">
        <v>38</v>
      </c>
      <c r="G262" s="254"/>
      <c r="H262" s="253"/>
      <c r="I262" s="254"/>
      <c r="J262" s="111" t="str">
        <f>IF(H255=3,B257,"")</f>
        <v/>
      </c>
      <c r="K262" s="33" t="str">
        <f>IFERROR(IF(J262="","",VLOOKUP(J262,LISTAS!$F$5:$G$1004,2,0)),"0")</f>
        <v/>
      </c>
      <c r="L262" s="79"/>
    </row>
    <row r="263" spans="2:16" ht="18" customHeight="1" x14ac:dyDescent="0.25">
      <c r="B263" s="33" t="str">
        <f>IF(H255=3,B255,"")</f>
        <v/>
      </c>
      <c r="C263" s="33" t="str">
        <f>IFERROR(IF(B263="","",VLOOKUP(B263,LISTAS!$F$5:$G$1004,2,0)),"0")</f>
        <v/>
      </c>
      <c r="D263" s="253"/>
      <c r="E263" s="254"/>
      <c r="F263" s="253" t="s">
        <v>38</v>
      </c>
      <c r="G263" s="254"/>
      <c r="H263" s="253"/>
      <c r="I263" s="254"/>
      <c r="J263" s="111" t="str">
        <f>IF(H255=3,B256,"")</f>
        <v/>
      </c>
      <c r="K263" s="33" t="str">
        <f>IFERROR(IF(J263="","",VLOOKUP(J263,LISTAS!$F$5:$G$1004,2,0)),"0")</f>
        <v/>
      </c>
      <c r="L263" s="81"/>
    </row>
    <row r="266" spans="2:16" ht="30" customHeight="1" x14ac:dyDescent="0.25">
      <c r="B266" s="161" t="s">
        <v>64</v>
      </c>
      <c r="C266" s="79"/>
      <c r="D266" s="255" t="s">
        <v>42</v>
      </c>
      <c r="E266" s="256"/>
      <c r="F266" s="256"/>
      <c r="G266" s="257"/>
      <c r="H266" s="113"/>
      <c r="I266" s="255" t="s">
        <v>3</v>
      </c>
      <c r="J266" s="256"/>
      <c r="K266" s="256"/>
      <c r="L266" s="256"/>
    </row>
    <row r="267" spans="2:16" ht="18" customHeight="1" x14ac:dyDescent="0.25">
      <c r="B267" s="132" t="s">
        <v>15</v>
      </c>
      <c r="C267" s="132" t="s">
        <v>0</v>
      </c>
      <c r="D267" s="132" t="s">
        <v>43</v>
      </c>
      <c r="E267" s="132" t="s">
        <v>44</v>
      </c>
      <c r="F267" s="132" t="s">
        <v>77</v>
      </c>
      <c r="G267" s="132" t="s">
        <v>78</v>
      </c>
      <c r="H267" s="114"/>
      <c r="I267" s="132" t="s">
        <v>18</v>
      </c>
      <c r="J267" s="132" t="s">
        <v>15</v>
      </c>
      <c r="K267" s="132" t="s">
        <v>0</v>
      </c>
      <c r="L267" s="132" t="s">
        <v>45</v>
      </c>
    </row>
    <row r="268" spans="2:16" ht="18" customHeight="1" x14ac:dyDescent="0.25">
      <c r="B268" s="33"/>
      <c r="C268" s="33" t="str">
        <f>IFERROR(IF(B268="","",VLOOKUP(B268,LISTAS!$F$5:$G$1004,2,0)),"0")</f>
        <v/>
      </c>
      <c r="D268" s="33" t="str">
        <f>IF(H268&lt;3,"",IF(H268=3,IF(D274&lt;&gt;"",IF(H274&lt;&gt;"",IF(D274&lt;&gt;H274,IF(D274&gt;H274,"V","D"),""),""),"")))</f>
        <v/>
      </c>
      <c r="E268" s="33" t="str">
        <f>IF(H268&lt;3,"",IF(H268=3,IF(D276&lt;&gt;"",IF(H276&lt;&gt;"",IF(D276&lt;&gt;H276,IF(D276&gt;H276,"V","D"),""),""),"")))</f>
        <v/>
      </c>
      <c r="F268" s="33" t="s">
        <v>81</v>
      </c>
      <c r="G268" s="33" t="s">
        <v>81</v>
      </c>
      <c r="H268" s="117">
        <f>COUNTA(B268:B270)</f>
        <v>0</v>
      </c>
      <c r="I268" s="33" t="str">
        <f>IF(B268&lt;&gt;"",1,"")</f>
        <v/>
      </c>
      <c r="J268" s="33" t="str">
        <f>IF(I268&lt;&gt;"",P268,"")</f>
        <v/>
      </c>
      <c r="K268" s="33" t="str">
        <f>IFERROR(IF(J268="","",VLOOKUP(J268,LISTAS!$F$5:$G$1004,2,0)),"0")</f>
        <v/>
      </c>
      <c r="L268" s="130" t="str">
        <f>IF(H268=3,"OURO",IF(H268=4,"OURO",IF(H268=5,"OURO","")))</f>
        <v/>
      </c>
      <c r="M268" s="20" t="str">
        <f>IF(B268&lt;&gt;"",COUNTIF(D268:G268,"V")+(SUMIF(B274:B276,B268,D274:E276)/1000)+(SUMIF(J274:J276,B268,H274:I276)/1000)-(SUMIF(B274:B276,B268,H274:I276)/1000)-(SUMIF(J274:J276,B268,D274:E276)/1000)+0.003,"")</f>
        <v/>
      </c>
      <c r="N268" s="20" t="str">
        <f>IF(B268="","",B268)</f>
        <v/>
      </c>
      <c r="O268" s="20" t="str">
        <f>IF(B268&lt;&gt;"",LARGE(M268:M270,1),"")</f>
        <v/>
      </c>
      <c r="P268" s="20" t="str">
        <f>VLOOKUP(O268,M268:N270,2,0)</f>
        <v/>
      </c>
    </row>
    <row r="269" spans="2:16" ht="18" customHeight="1" x14ac:dyDescent="0.25">
      <c r="B269" s="33"/>
      <c r="C269" s="33" t="str">
        <f>IFERROR(IF(B269="","",VLOOKUP(B269,LISTAS!$F$5:$G$1004,2,0)),"0")</f>
        <v/>
      </c>
      <c r="D269" s="33" t="str">
        <f>IF(H268&lt;3,"",IF(H268=3,IF(D275&lt;&gt;"",IF(H275&lt;&gt;"",IF(D275&lt;&gt;H275,IF(D275&gt;H275,"V","D"),""),""),"")))</f>
        <v/>
      </c>
      <c r="E269" s="33" t="str">
        <f>IF(H268&lt;3,"",IF(H268=3,IF(D276&lt;&gt;"",IF(H276&lt;&gt;"",IF(D276&lt;&gt;H276,IF(D276&gt;H276,"D","V"),""),""),"")))</f>
        <v/>
      </c>
      <c r="F269" s="33" t="s">
        <v>81</v>
      </c>
      <c r="G269" s="33" t="s">
        <v>81</v>
      </c>
      <c r="H269" s="117"/>
      <c r="I269" s="33" t="str">
        <f>IF(B269&lt;&gt;"",2,"")</f>
        <v/>
      </c>
      <c r="J269" s="33" t="str">
        <f>IF(I269&lt;&gt;"",P269,"")</f>
        <v/>
      </c>
      <c r="K269" s="33" t="str">
        <f>IFERROR(IF(J269="","",VLOOKUP(J269,LISTAS!$F$5:$G$1004,2,0)),"0")</f>
        <v/>
      </c>
      <c r="L269" s="130" t="str">
        <f>IF(H268=3,"PRATA",IF(H268=4,"OURO",IF(H268=5,"OURO","")))</f>
        <v/>
      </c>
      <c r="M269" s="20" t="str">
        <f>IF(B269&lt;&gt;"",COUNTIF(D269:G269,"V")+(SUMIF(B274:B276,B269,D274:E276)/1000)+(SUMIF(J274:J276,B269,H274:I276)/1000)-(SUMIF(B274:B276,B269,H274:I276)/1000)-(SUMIF(J274:J276,B269,D274:E276)/1000)+0.002,"")</f>
        <v/>
      </c>
      <c r="N269" s="20" t="str">
        <f t="shared" ref="N269" si="15">IF(B269="","",B269)</f>
        <v/>
      </c>
      <c r="O269" s="20" t="str">
        <f>IF(B269&lt;&gt;"",LARGE(M268:M270,2),"")</f>
        <v/>
      </c>
      <c r="P269" s="20" t="str">
        <f>VLOOKUP(O269,M268:N270,2,0)</f>
        <v/>
      </c>
    </row>
    <row r="270" spans="2:16" ht="18" customHeight="1" x14ac:dyDescent="0.25">
      <c r="B270" s="33"/>
      <c r="C270" s="33" t="str">
        <f>IFERROR(IF(B270="","",VLOOKUP(B270,LISTAS!$F$5:$G$1004,2,0)),"0")</f>
        <v/>
      </c>
      <c r="D270" s="33" t="str">
        <f>IF(H268&lt;3,"",IF(H268=3,IF(D274&lt;&gt;"",IF(H274&lt;&gt;"",IF(D274&lt;&gt;H274,IF(D274&gt;H274,"D","V"),""),""),"")))</f>
        <v/>
      </c>
      <c r="E270" s="33" t="str">
        <f>IF(H268&lt;3,"",IF(H268=3,IF(D275&lt;&gt;"",IF(H275&lt;&gt;"",IF(D275&lt;&gt;H275,IF(D275&gt;H275,"D","V"),""),""),"")))</f>
        <v/>
      </c>
      <c r="F270" s="33" t="s">
        <v>81</v>
      </c>
      <c r="G270" s="33" t="s">
        <v>81</v>
      </c>
      <c r="H270" s="117"/>
      <c r="I270" s="33" t="str">
        <f>IF(B270&lt;&gt;"",3,"")</f>
        <v/>
      </c>
      <c r="J270" s="33" t="str">
        <f>IF(I270&lt;&gt;"",P270,"")</f>
        <v/>
      </c>
      <c r="K270" s="33" t="str">
        <f>IFERROR(IF(J270="","",VLOOKUP(J270,LISTAS!$F$5:$G$1004,2,0)),"0")</f>
        <v/>
      </c>
      <c r="L270" s="130" t="str">
        <f>IF(H268=3,"BRONZE",IF(H268=4,"PRATA",IF(H268=5,"OURO","")))</f>
        <v/>
      </c>
      <c r="M270" s="20" t="str">
        <f>IF(B270&lt;&gt;"",COUNTIF(D270:G270,"V")+(SUMIF(B274:B276,B270,D274:E276)/1000)+(SUMIF(J274:J276,B270,H274:I276)/1000)-(SUMIF(B274:B276,B270,H274:I276)/1000)-(SUMIF(J274:J276,B270,D274:E276)/1000)+0.001,"")</f>
        <v/>
      </c>
      <c r="N270" s="20" t="str">
        <f>IF(B270="","",B270)</f>
        <v/>
      </c>
      <c r="O270" s="20" t="str">
        <f>IF(B270&lt;&gt;"",LARGE(M268:M270,3),"")</f>
        <v/>
      </c>
      <c r="P270" s="20" t="str">
        <f>VLOOKUP(O270,M268:N270,2,0)</f>
        <v/>
      </c>
    </row>
    <row r="271" spans="2:16" ht="18" customHeight="1" x14ac:dyDescent="0.25">
      <c r="B271" s="79"/>
      <c r="C271" s="79"/>
      <c r="D271" s="79"/>
      <c r="E271" s="79"/>
      <c r="F271" s="79"/>
      <c r="G271" s="79"/>
      <c r="I271" s="80"/>
      <c r="J271" s="79"/>
      <c r="K271" s="81"/>
      <c r="L271" s="81"/>
    </row>
    <row r="272" spans="2:16" ht="23.25" customHeight="1" x14ac:dyDescent="0.25">
      <c r="B272" s="82" t="s">
        <v>40</v>
      </c>
      <c r="C272" s="79"/>
      <c r="D272" s="79"/>
      <c r="E272" s="79"/>
      <c r="F272" s="79"/>
      <c r="G272" s="79"/>
      <c r="H272" s="79"/>
      <c r="I272" s="79"/>
      <c r="J272" s="79"/>
      <c r="K272" s="79"/>
      <c r="L272" s="79"/>
    </row>
    <row r="273" spans="2:16" ht="18" customHeight="1" x14ac:dyDescent="0.25">
      <c r="B273" s="132" t="s">
        <v>15</v>
      </c>
      <c r="C273" s="132" t="s">
        <v>0</v>
      </c>
      <c r="D273" s="258" t="s">
        <v>41</v>
      </c>
      <c r="E273" s="259"/>
      <c r="F273" s="259"/>
      <c r="G273" s="259"/>
      <c r="H273" s="259"/>
      <c r="I273" s="260"/>
      <c r="J273" s="132" t="s">
        <v>15</v>
      </c>
      <c r="K273" s="132" t="s">
        <v>0</v>
      </c>
      <c r="L273" s="79"/>
    </row>
    <row r="274" spans="2:16" ht="18" customHeight="1" x14ac:dyDescent="0.25">
      <c r="B274" s="33" t="str">
        <f>IF(H268=3,B268,"")</f>
        <v/>
      </c>
      <c r="C274" s="33" t="str">
        <f>IFERROR(IF(B274="","",VLOOKUP(B274,LISTAS!$F$5:$G$1004,2,0)),"0")</f>
        <v/>
      </c>
      <c r="D274" s="253"/>
      <c r="E274" s="254"/>
      <c r="F274" s="253" t="s">
        <v>38</v>
      </c>
      <c r="G274" s="254"/>
      <c r="H274" s="253"/>
      <c r="I274" s="254"/>
      <c r="J274" s="111" t="str">
        <f>IF(H268=3,B270,"")</f>
        <v/>
      </c>
      <c r="K274" s="33" t="str">
        <f>IFERROR(IF(J274="","",VLOOKUP(J274,LISTAS!$F$5:$G$1004,2,0)),"0")</f>
        <v/>
      </c>
      <c r="L274" s="81"/>
    </row>
    <row r="275" spans="2:16" ht="18" customHeight="1" x14ac:dyDescent="0.25">
      <c r="B275" s="33" t="str">
        <f>IF(H268=3,B269,"")</f>
        <v/>
      </c>
      <c r="C275" s="33" t="str">
        <f>IFERROR(IF(B275="","",VLOOKUP(B275,LISTAS!$F$5:$G$1004,2,0)),"0")</f>
        <v/>
      </c>
      <c r="D275" s="253"/>
      <c r="E275" s="254"/>
      <c r="F275" s="253" t="s">
        <v>38</v>
      </c>
      <c r="G275" s="254"/>
      <c r="H275" s="253"/>
      <c r="I275" s="254"/>
      <c r="J275" s="111" t="str">
        <f>IF(H268=3,B270,"")</f>
        <v/>
      </c>
      <c r="K275" s="33" t="str">
        <f>IFERROR(IF(J275="","",VLOOKUP(J275,LISTAS!$F$5:$G$1004,2,0)),"0")</f>
        <v/>
      </c>
      <c r="L275" s="79"/>
    </row>
    <row r="276" spans="2:16" ht="18" customHeight="1" x14ac:dyDescent="0.25">
      <c r="B276" s="33" t="str">
        <f>IF(H268=3,B268,"")</f>
        <v/>
      </c>
      <c r="C276" s="33" t="str">
        <f>IFERROR(IF(B276="","",VLOOKUP(B276,LISTAS!$F$5:$G$1004,2,0)),"0")</f>
        <v/>
      </c>
      <c r="D276" s="253"/>
      <c r="E276" s="254"/>
      <c r="F276" s="253" t="s">
        <v>38</v>
      </c>
      <c r="G276" s="254"/>
      <c r="H276" s="253"/>
      <c r="I276" s="254"/>
      <c r="J276" s="111" t="str">
        <f>IF(H268=3,B269,"")</f>
        <v/>
      </c>
      <c r="K276" s="33" t="str">
        <f>IFERROR(IF(J276="","",VLOOKUP(J276,LISTAS!$F$5:$G$1004,2,0)),"0")</f>
        <v/>
      </c>
      <c r="L276" s="81"/>
    </row>
    <row r="279" spans="2:16" ht="30" customHeight="1" x14ac:dyDescent="0.25">
      <c r="B279" s="161" t="s">
        <v>65</v>
      </c>
      <c r="C279" s="79"/>
      <c r="D279" s="255" t="s">
        <v>42</v>
      </c>
      <c r="E279" s="256"/>
      <c r="F279" s="256"/>
      <c r="G279" s="257"/>
      <c r="H279" s="113"/>
      <c r="I279" s="255" t="s">
        <v>3</v>
      </c>
      <c r="J279" s="256"/>
      <c r="K279" s="256"/>
      <c r="L279" s="256"/>
    </row>
    <row r="280" spans="2:16" ht="18" customHeight="1" x14ac:dyDescent="0.25">
      <c r="B280" s="132" t="s">
        <v>15</v>
      </c>
      <c r="C280" s="132" t="s">
        <v>0</v>
      </c>
      <c r="D280" s="132" t="s">
        <v>43</v>
      </c>
      <c r="E280" s="132" t="s">
        <v>44</v>
      </c>
      <c r="F280" s="132" t="s">
        <v>77</v>
      </c>
      <c r="G280" s="132" t="s">
        <v>78</v>
      </c>
      <c r="H280" s="114"/>
      <c r="I280" s="132" t="s">
        <v>18</v>
      </c>
      <c r="J280" s="132" t="s">
        <v>15</v>
      </c>
      <c r="K280" s="132" t="s">
        <v>0</v>
      </c>
      <c r="L280" s="132" t="s">
        <v>45</v>
      </c>
    </row>
    <row r="281" spans="2:16" ht="18" customHeight="1" x14ac:dyDescent="0.25">
      <c r="B281" s="33"/>
      <c r="C281" s="33" t="str">
        <f>IFERROR(IF(B281="","",VLOOKUP(B281,LISTAS!$F$5:$G$1004,2,0)),"0")</f>
        <v/>
      </c>
      <c r="D281" s="33" t="str">
        <f>IF(H281&lt;3,"",IF(H281=3,IF(D287&lt;&gt;"",IF(H287&lt;&gt;"",IF(D287&lt;&gt;H287,IF(D287&gt;H287,"V","D"),""),""),"")))</f>
        <v/>
      </c>
      <c r="E281" s="33" t="str">
        <f>IF(H281&lt;3,"",IF(H281=3,IF(D289&lt;&gt;"",IF(H289&lt;&gt;"",IF(D289&lt;&gt;H289,IF(D289&gt;H289,"V","D"),""),""),"")))</f>
        <v/>
      </c>
      <c r="F281" s="33" t="s">
        <v>81</v>
      </c>
      <c r="G281" s="33" t="s">
        <v>81</v>
      </c>
      <c r="H281" s="117">
        <f>COUNTA(B281:B283)</f>
        <v>0</v>
      </c>
      <c r="I281" s="33" t="str">
        <f>IF(B281&lt;&gt;"",1,"")</f>
        <v/>
      </c>
      <c r="J281" s="33" t="str">
        <f>IF(I281&lt;&gt;"",P281,"")</f>
        <v/>
      </c>
      <c r="K281" s="33" t="str">
        <f>IFERROR(IF(J281="","",VLOOKUP(J281,LISTAS!$F$5:$G$1004,2,0)),"0")</f>
        <v/>
      </c>
      <c r="L281" s="130" t="str">
        <f>IF(H281=3,"OURO",IF(H281=4,"OURO",IF(H281=5,"OURO","")))</f>
        <v/>
      </c>
      <c r="M281" s="20" t="str">
        <f>IF(B281&lt;&gt;"",COUNTIF(D281:G281,"V")+(SUMIF(B287:B289,B281,D287:E289)/1000)+(SUMIF(J287:J289,B281,H287:I289)/1000)-(SUMIF(B287:B289,B281,H287:I289)/1000)-(SUMIF(J287:J289,B281,D287:E289)/1000)+0.003,"")</f>
        <v/>
      </c>
      <c r="N281" s="20" t="str">
        <f>IF(B281="","",B281)</f>
        <v/>
      </c>
      <c r="O281" s="20" t="str">
        <f>IF(B281&lt;&gt;"",LARGE(M281:M283,1),"")</f>
        <v/>
      </c>
      <c r="P281" s="20" t="str">
        <f>VLOOKUP(O281,M281:N283,2,0)</f>
        <v/>
      </c>
    </row>
    <row r="282" spans="2:16" ht="18" customHeight="1" x14ac:dyDescent="0.25">
      <c r="B282" s="33"/>
      <c r="C282" s="33" t="str">
        <f>IFERROR(IF(B282="","",VLOOKUP(B282,LISTAS!$F$5:$G$1004,2,0)),"0")</f>
        <v/>
      </c>
      <c r="D282" s="33" t="str">
        <f>IF(H281&lt;3,"",IF(H281=3,IF(D288&lt;&gt;"",IF(H288&lt;&gt;"",IF(D288&lt;&gt;H288,IF(D288&gt;H288,"V","D"),""),""),"")))</f>
        <v/>
      </c>
      <c r="E282" s="33" t="str">
        <f>IF(H281&lt;3,"",IF(H281=3,IF(D289&lt;&gt;"",IF(H289&lt;&gt;"",IF(D289&lt;&gt;H289,IF(D289&gt;H289,"D","V"),""),""),"")))</f>
        <v/>
      </c>
      <c r="F282" s="33" t="s">
        <v>81</v>
      </c>
      <c r="G282" s="33" t="s">
        <v>81</v>
      </c>
      <c r="H282" s="117"/>
      <c r="I282" s="33" t="str">
        <f>IF(B282&lt;&gt;"",2,"")</f>
        <v/>
      </c>
      <c r="J282" s="33" t="str">
        <f>IF(I282&lt;&gt;"",P282,"")</f>
        <v/>
      </c>
      <c r="K282" s="33" t="str">
        <f>IFERROR(IF(J282="","",VLOOKUP(J282,LISTAS!$F$5:$G$1004,2,0)),"0")</f>
        <v/>
      </c>
      <c r="L282" s="130" t="str">
        <f>IF(H281=3,"PRATA",IF(H281=4,"OURO",IF(H281=5,"OURO","")))</f>
        <v/>
      </c>
      <c r="M282" s="20" t="str">
        <f>IF(B282&lt;&gt;"",COUNTIF(D282:G282,"V")+(SUMIF(B287:B289,B282,D287:E289)/1000)+(SUMIF(J287:J289,B282,H287:I289)/1000)-(SUMIF(B287:B289,B282,H287:I289)/1000)-(SUMIF(J287:J289,B282,D287:E289)/1000)+0.002,"")</f>
        <v/>
      </c>
      <c r="N282" s="20" t="str">
        <f t="shared" ref="N282" si="16">IF(B282="","",B282)</f>
        <v/>
      </c>
      <c r="O282" s="20" t="str">
        <f>IF(B282&lt;&gt;"",LARGE(M281:M283,2),"")</f>
        <v/>
      </c>
      <c r="P282" s="20" t="str">
        <f>VLOOKUP(O282,M281:N283,2,0)</f>
        <v/>
      </c>
    </row>
    <row r="283" spans="2:16" ht="18" customHeight="1" x14ac:dyDescent="0.25">
      <c r="B283" s="33"/>
      <c r="C283" s="33" t="str">
        <f>IFERROR(IF(B283="","",VLOOKUP(B283,LISTAS!$F$5:$G$1004,2,0)),"0")</f>
        <v/>
      </c>
      <c r="D283" s="33" t="str">
        <f>IF(H281&lt;3,"",IF(H281=3,IF(D287&lt;&gt;"",IF(H287&lt;&gt;"",IF(D287&lt;&gt;H287,IF(D287&gt;H287,"D","V"),""),""),"")))</f>
        <v/>
      </c>
      <c r="E283" s="33" t="str">
        <f>IF(H281&lt;3,"",IF(H281=3,IF(D288&lt;&gt;"",IF(H288&lt;&gt;"",IF(D288&lt;&gt;H288,IF(D288&gt;H288,"D","V"),""),""),"")))</f>
        <v/>
      </c>
      <c r="F283" s="33" t="s">
        <v>81</v>
      </c>
      <c r="G283" s="33" t="s">
        <v>81</v>
      </c>
      <c r="H283" s="117"/>
      <c r="I283" s="33" t="str">
        <f>IF(B283&lt;&gt;"",3,"")</f>
        <v/>
      </c>
      <c r="J283" s="33" t="str">
        <f>IF(I283&lt;&gt;"",P283,"")</f>
        <v/>
      </c>
      <c r="K283" s="33" t="str">
        <f>IFERROR(IF(J283="","",VLOOKUP(J283,LISTAS!$F$5:$G$1004,2,0)),"0")</f>
        <v/>
      </c>
      <c r="L283" s="130" t="str">
        <f>IF(H281=3,"BRONZE",IF(H281=4,"PRATA",IF(H281=5,"OURO","")))</f>
        <v/>
      </c>
      <c r="M283" s="20" t="str">
        <f>IF(B283&lt;&gt;"",COUNTIF(D283:G283,"V")+(SUMIF(B287:B289,B283,D287:E289)/1000)+(SUMIF(J287:J289,B283,H287:I289)/1000)-(SUMIF(B287:B289,B283,H287:I289)/1000)-(SUMIF(J287:J289,B283,D287:E289)/1000)+0.001,"")</f>
        <v/>
      </c>
      <c r="N283" s="20" t="str">
        <f>IF(B283="","",B283)</f>
        <v/>
      </c>
      <c r="O283" s="20" t="str">
        <f>IF(B283&lt;&gt;"",LARGE(M281:M283,3),"")</f>
        <v/>
      </c>
      <c r="P283" s="20" t="str">
        <f>VLOOKUP(O283,M281:N283,2,0)</f>
        <v/>
      </c>
    </row>
    <row r="284" spans="2:16" ht="18" customHeight="1" x14ac:dyDescent="0.25">
      <c r="B284" s="79"/>
      <c r="C284" s="79"/>
      <c r="D284" s="79"/>
      <c r="E284" s="79"/>
      <c r="F284" s="79"/>
      <c r="G284" s="79"/>
      <c r="I284" s="80"/>
      <c r="J284" s="79"/>
      <c r="K284" s="81"/>
      <c r="L284" s="81"/>
    </row>
    <row r="285" spans="2:16" ht="23.25" customHeight="1" x14ac:dyDescent="0.25">
      <c r="B285" s="82" t="s">
        <v>40</v>
      </c>
      <c r="C285" s="79"/>
      <c r="D285" s="79"/>
      <c r="E285" s="79"/>
      <c r="F285" s="79"/>
      <c r="G285" s="79"/>
      <c r="H285" s="79"/>
      <c r="I285" s="79"/>
      <c r="J285" s="79"/>
      <c r="K285" s="79"/>
      <c r="L285" s="79"/>
    </row>
    <row r="286" spans="2:16" ht="18" customHeight="1" x14ac:dyDescent="0.25">
      <c r="B286" s="132" t="s">
        <v>15</v>
      </c>
      <c r="C286" s="132" t="s">
        <v>0</v>
      </c>
      <c r="D286" s="258" t="s">
        <v>41</v>
      </c>
      <c r="E286" s="259"/>
      <c r="F286" s="259"/>
      <c r="G286" s="259"/>
      <c r="H286" s="259"/>
      <c r="I286" s="260"/>
      <c r="J286" s="132" t="s">
        <v>15</v>
      </c>
      <c r="K286" s="132" t="s">
        <v>0</v>
      </c>
      <c r="L286" s="79"/>
    </row>
    <row r="287" spans="2:16" ht="18" customHeight="1" x14ac:dyDescent="0.25">
      <c r="B287" s="33" t="str">
        <f>IF(H281=3,B281,"")</f>
        <v/>
      </c>
      <c r="C287" s="33" t="str">
        <f>IFERROR(IF(B287="","",VLOOKUP(B287,LISTAS!$F$5:$G$1004,2,0)),"0")</f>
        <v/>
      </c>
      <c r="D287" s="253"/>
      <c r="E287" s="254"/>
      <c r="F287" s="253" t="s">
        <v>38</v>
      </c>
      <c r="G287" s="254"/>
      <c r="H287" s="253"/>
      <c r="I287" s="254"/>
      <c r="J287" s="111" t="str">
        <f>IF(H281=3,B283,"")</f>
        <v/>
      </c>
      <c r="K287" s="33" t="str">
        <f>IFERROR(IF(J287="","",VLOOKUP(J287,LISTAS!$F$5:$G$1004,2,0)),"0")</f>
        <v/>
      </c>
      <c r="L287" s="81"/>
    </row>
    <row r="288" spans="2:16" ht="18" customHeight="1" x14ac:dyDescent="0.25">
      <c r="B288" s="33" t="str">
        <f>IF(H281=3,B282,"")</f>
        <v/>
      </c>
      <c r="C288" s="33" t="str">
        <f>IFERROR(IF(B288="","",VLOOKUP(B288,LISTAS!$F$5:$G$1004,2,0)),"0")</f>
        <v/>
      </c>
      <c r="D288" s="253"/>
      <c r="E288" s="254"/>
      <c r="F288" s="253" t="s">
        <v>38</v>
      </c>
      <c r="G288" s="254"/>
      <c r="H288" s="253"/>
      <c r="I288" s="254"/>
      <c r="J288" s="111" t="str">
        <f>IF(H281=3,B283,"")</f>
        <v/>
      </c>
      <c r="K288" s="33" t="str">
        <f>IFERROR(IF(J288="","",VLOOKUP(J288,LISTAS!$F$5:$G$1004,2,0)),"0")</f>
        <v/>
      </c>
      <c r="L288" s="79"/>
    </row>
    <row r="289" spans="2:16" ht="18" customHeight="1" x14ac:dyDescent="0.25">
      <c r="B289" s="33" t="str">
        <f>IF(H281=3,B281,"")</f>
        <v/>
      </c>
      <c r="C289" s="33" t="str">
        <f>IFERROR(IF(B289="","",VLOOKUP(B289,LISTAS!$F$5:$G$1004,2,0)),"0")</f>
        <v/>
      </c>
      <c r="D289" s="253"/>
      <c r="E289" s="254"/>
      <c r="F289" s="253" t="s">
        <v>38</v>
      </c>
      <c r="G289" s="254"/>
      <c r="H289" s="253"/>
      <c r="I289" s="254"/>
      <c r="J289" s="111" t="str">
        <f>IF(H281=3,B282,"")</f>
        <v/>
      </c>
      <c r="K289" s="33" t="str">
        <f>IFERROR(IF(J289="","",VLOOKUP(J289,LISTAS!$F$5:$G$1004,2,0)),"0")</f>
        <v/>
      </c>
      <c r="L289" s="81"/>
    </row>
    <row r="292" spans="2:16" ht="30" customHeight="1" x14ac:dyDescent="0.25">
      <c r="B292" s="161" t="s">
        <v>66</v>
      </c>
      <c r="C292" s="79"/>
      <c r="D292" s="255" t="s">
        <v>42</v>
      </c>
      <c r="E292" s="256"/>
      <c r="F292" s="256"/>
      <c r="G292" s="257"/>
      <c r="H292" s="113"/>
      <c r="I292" s="255" t="s">
        <v>3</v>
      </c>
      <c r="J292" s="256"/>
      <c r="K292" s="256"/>
      <c r="L292" s="256"/>
    </row>
    <row r="293" spans="2:16" ht="18" customHeight="1" x14ac:dyDescent="0.25">
      <c r="B293" s="132" t="s">
        <v>15</v>
      </c>
      <c r="C293" s="132" t="s">
        <v>0</v>
      </c>
      <c r="D293" s="132" t="s">
        <v>43</v>
      </c>
      <c r="E293" s="132" t="s">
        <v>44</v>
      </c>
      <c r="F293" s="132" t="s">
        <v>77</v>
      </c>
      <c r="G293" s="132" t="s">
        <v>78</v>
      </c>
      <c r="H293" s="114"/>
      <c r="I293" s="132" t="s">
        <v>18</v>
      </c>
      <c r="J293" s="132" t="s">
        <v>15</v>
      </c>
      <c r="K293" s="132" t="s">
        <v>0</v>
      </c>
      <c r="L293" s="132" t="s">
        <v>45</v>
      </c>
    </row>
    <row r="294" spans="2:16" ht="18" customHeight="1" x14ac:dyDescent="0.25">
      <c r="B294" s="33"/>
      <c r="C294" s="33" t="str">
        <f>IFERROR(IF(B294="","",VLOOKUP(B294,LISTAS!$F$5:$G$1004,2,0)),"0")</f>
        <v/>
      </c>
      <c r="D294" s="33" t="str">
        <f>IF(H294&lt;3,"",IF(H294=3,IF(D300&lt;&gt;"",IF(H300&lt;&gt;"",IF(D300&lt;&gt;H300,IF(D300&gt;H300,"V","D"),""),""),"")))</f>
        <v/>
      </c>
      <c r="E294" s="33" t="str">
        <f>IF(H294&lt;3,"",IF(H294=3,IF(D302&lt;&gt;"",IF(H302&lt;&gt;"",IF(D302&lt;&gt;H302,IF(D302&gt;H302,"V","D"),""),""),"")))</f>
        <v/>
      </c>
      <c r="F294" s="33" t="s">
        <v>81</v>
      </c>
      <c r="G294" s="33" t="s">
        <v>81</v>
      </c>
      <c r="H294" s="117">
        <f>COUNTA(B294:B296)</f>
        <v>0</v>
      </c>
      <c r="I294" s="33" t="str">
        <f>IF(B294&lt;&gt;"",1,"")</f>
        <v/>
      </c>
      <c r="J294" s="33" t="str">
        <f>IF(I294&lt;&gt;"",P294,"")</f>
        <v/>
      </c>
      <c r="K294" s="33" t="str">
        <f>IFERROR(IF(J294="","",VLOOKUP(J294,LISTAS!$F$5:$G$1004,2,0)),"0")</f>
        <v/>
      </c>
      <c r="L294" s="130" t="str">
        <f>IF(H294=3,"OURO",IF(H294=4,"OURO",IF(H294=5,"OURO","")))</f>
        <v/>
      </c>
      <c r="M294" s="20" t="str">
        <f>IF(B294&lt;&gt;"",COUNTIF(D294:G294,"V")+(SUMIF(B300:B302,B294,D300:E302)/1000)+(SUMIF(J300:J302,B294,H300:I302)/1000)-(SUMIF(B300:B302,B294,H300:I302)/1000)-(SUMIF(J300:J302,B294,D300:E302)/1000)+0.003,"")</f>
        <v/>
      </c>
      <c r="N294" s="20" t="str">
        <f>IF(B294="","",B294)</f>
        <v/>
      </c>
      <c r="O294" s="20" t="str">
        <f>IF(B294&lt;&gt;"",LARGE(M294:M296,1),"")</f>
        <v/>
      </c>
      <c r="P294" s="20" t="str">
        <f>VLOOKUP(O294,M294:N296,2,0)</f>
        <v/>
      </c>
    </row>
    <row r="295" spans="2:16" ht="18" customHeight="1" x14ac:dyDescent="0.25">
      <c r="B295" s="33"/>
      <c r="C295" s="33" t="str">
        <f>IFERROR(IF(B295="","",VLOOKUP(B295,LISTAS!$F$5:$G$1004,2,0)),"0")</f>
        <v/>
      </c>
      <c r="D295" s="33" t="str">
        <f>IF(H294&lt;3,"",IF(H294=3,IF(D301&lt;&gt;"",IF(H301&lt;&gt;"",IF(D301&lt;&gt;H301,IF(D301&gt;H301,"V","D"),""),""),"")))</f>
        <v/>
      </c>
      <c r="E295" s="33" t="str">
        <f>IF(H294&lt;3,"",IF(H294=3,IF(D302&lt;&gt;"",IF(H302&lt;&gt;"",IF(D302&lt;&gt;H302,IF(D302&gt;H302,"D","V"),""),""),"")))</f>
        <v/>
      </c>
      <c r="F295" s="33" t="s">
        <v>81</v>
      </c>
      <c r="G295" s="33" t="s">
        <v>81</v>
      </c>
      <c r="H295" s="117"/>
      <c r="I295" s="33" t="str">
        <f>IF(B295&lt;&gt;"",2,"")</f>
        <v/>
      </c>
      <c r="J295" s="33" t="str">
        <f>IF(I295&lt;&gt;"",P295,"")</f>
        <v/>
      </c>
      <c r="K295" s="33" t="str">
        <f>IFERROR(IF(J295="","",VLOOKUP(J295,LISTAS!$F$5:$G$1004,2,0)),"0")</f>
        <v/>
      </c>
      <c r="L295" s="130" t="str">
        <f>IF(H294=3,"PRATA",IF(H294=4,"OURO",IF(H294=5,"OURO","")))</f>
        <v/>
      </c>
      <c r="M295" s="20" t="str">
        <f>IF(B295&lt;&gt;"",COUNTIF(D295:G295,"V")+(SUMIF(B300:B302,B295,D300:E302)/1000)+(SUMIF(J300:J302,B295,H300:I302)/1000)-(SUMIF(B300:B302,B295,H300:I302)/1000)-(SUMIF(J300:J302,B295,D300:E302)/1000)+0.002,"")</f>
        <v/>
      </c>
      <c r="N295" s="20" t="str">
        <f t="shared" ref="N295" si="17">IF(B295="","",B295)</f>
        <v/>
      </c>
      <c r="O295" s="20" t="str">
        <f>IF(B295&lt;&gt;"",LARGE(M294:M296,2),"")</f>
        <v/>
      </c>
      <c r="P295" s="20" t="str">
        <f>VLOOKUP(O295,M294:N296,2,0)</f>
        <v/>
      </c>
    </row>
    <row r="296" spans="2:16" ht="18" customHeight="1" x14ac:dyDescent="0.25">
      <c r="B296" s="33"/>
      <c r="C296" s="33" t="str">
        <f>IFERROR(IF(B296="","",VLOOKUP(B296,LISTAS!$F$5:$G$1004,2,0)),"0")</f>
        <v/>
      </c>
      <c r="D296" s="33" t="str">
        <f>IF(H294&lt;3,"",IF(H294=3,IF(D300&lt;&gt;"",IF(H300&lt;&gt;"",IF(D300&lt;&gt;H300,IF(D300&gt;H300,"D","V"),""),""),"")))</f>
        <v/>
      </c>
      <c r="E296" s="33" t="str">
        <f>IF(H294&lt;3,"",IF(H294=3,IF(D301&lt;&gt;"",IF(H301&lt;&gt;"",IF(D301&lt;&gt;H301,IF(D301&gt;H301,"D","V"),""),""),"")))</f>
        <v/>
      </c>
      <c r="F296" s="33" t="s">
        <v>81</v>
      </c>
      <c r="G296" s="33" t="s">
        <v>81</v>
      </c>
      <c r="H296" s="117"/>
      <c r="I296" s="33" t="str">
        <f>IF(B296&lt;&gt;"",3,"")</f>
        <v/>
      </c>
      <c r="J296" s="33" t="str">
        <f>IF(I296&lt;&gt;"",P296,"")</f>
        <v/>
      </c>
      <c r="K296" s="33" t="str">
        <f>IFERROR(IF(J296="","",VLOOKUP(J296,LISTAS!$F$5:$G$1004,2,0)),"0")</f>
        <v/>
      </c>
      <c r="L296" s="130" t="str">
        <f>IF(H294=3,"BRONZE",IF(H294=4,"PRATA",IF(H294=5,"OURO","")))</f>
        <v/>
      </c>
      <c r="M296" s="20" t="str">
        <f>IF(B296&lt;&gt;"",COUNTIF(D296:G296,"V")+(SUMIF(B300:B302,B296,D300:E302)/1000)+(SUMIF(J300:J302,B296,H300:I302)/1000)-(SUMIF(B300:B302,B296,H300:I302)/1000)-(SUMIF(J300:J302,B296,D300:E302)/1000)+0.001,"")</f>
        <v/>
      </c>
      <c r="N296" s="20" t="str">
        <f>IF(B296="","",B296)</f>
        <v/>
      </c>
      <c r="O296" s="20" t="str">
        <f>IF(B296&lt;&gt;"",LARGE(M294:M296,3),"")</f>
        <v/>
      </c>
      <c r="P296" s="20" t="str">
        <f>VLOOKUP(O296,M294:N296,2,0)</f>
        <v/>
      </c>
    </row>
    <row r="297" spans="2:16" ht="18" customHeight="1" x14ac:dyDescent="0.25">
      <c r="B297" s="79"/>
      <c r="C297" s="79"/>
      <c r="D297" s="79"/>
      <c r="E297" s="79"/>
      <c r="F297" s="79"/>
      <c r="G297" s="79"/>
      <c r="I297" s="80"/>
      <c r="J297" s="79"/>
      <c r="K297" s="81"/>
      <c r="L297" s="81"/>
    </row>
    <row r="298" spans="2:16" ht="23.25" customHeight="1" x14ac:dyDescent="0.25">
      <c r="B298" s="82" t="s">
        <v>40</v>
      </c>
      <c r="C298" s="79"/>
      <c r="D298" s="79"/>
      <c r="E298" s="79"/>
      <c r="F298" s="79"/>
      <c r="G298" s="79"/>
      <c r="H298" s="79"/>
      <c r="I298" s="79"/>
      <c r="J298" s="79"/>
      <c r="K298" s="79"/>
      <c r="L298" s="79"/>
    </row>
    <row r="299" spans="2:16" ht="18" customHeight="1" x14ac:dyDescent="0.25">
      <c r="B299" s="132" t="s">
        <v>15</v>
      </c>
      <c r="C299" s="132" t="s">
        <v>0</v>
      </c>
      <c r="D299" s="258" t="s">
        <v>41</v>
      </c>
      <c r="E299" s="259"/>
      <c r="F299" s="259"/>
      <c r="G299" s="259"/>
      <c r="H299" s="259"/>
      <c r="I299" s="260"/>
      <c r="J299" s="132" t="s">
        <v>15</v>
      </c>
      <c r="K299" s="132" t="s">
        <v>0</v>
      </c>
      <c r="L299" s="79"/>
    </row>
    <row r="300" spans="2:16" ht="18" customHeight="1" x14ac:dyDescent="0.25">
      <c r="B300" s="33" t="str">
        <f>IF(H294=3,B294,"")</f>
        <v/>
      </c>
      <c r="C300" s="33" t="str">
        <f>IFERROR(IF(B300="","",VLOOKUP(B300,LISTAS!$F$5:$G$1004,2,0)),"0")</f>
        <v/>
      </c>
      <c r="D300" s="253"/>
      <c r="E300" s="254"/>
      <c r="F300" s="253" t="s">
        <v>38</v>
      </c>
      <c r="G300" s="254"/>
      <c r="H300" s="253"/>
      <c r="I300" s="254"/>
      <c r="J300" s="111" t="str">
        <f>IF(H294=3,B296,"")</f>
        <v/>
      </c>
      <c r="K300" s="33" t="str">
        <f>IFERROR(IF(J300="","",VLOOKUP(J300,LISTAS!$F$5:$G$1004,2,0)),"0")</f>
        <v/>
      </c>
      <c r="L300" s="81"/>
    </row>
    <row r="301" spans="2:16" ht="18" customHeight="1" x14ac:dyDescent="0.25">
      <c r="B301" s="33" t="str">
        <f>IF(H294=3,B295,"")</f>
        <v/>
      </c>
      <c r="C301" s="33" t="str">
        <f>IFERROR(IF(B301="","",VLOOKUP(B301,LISTAS!$F$5:$G$1004,2,0)),"0")</f>
        <v/>
      </c>
      <c r="D301" s="253"/>
      <c r="E301" s="254"/>
      <c r="F301" s="253" t="s">
        <v>38</v>
      </c>
      <c r="G301" s="254"/>
      <c r="H301" s="253"/>
      <c r="I301" s="254"/>
      <c r="J301" s="111" t="str">
        <f>IF(H294=3,B296,"")</f>
        <v/>
      </c>
      <c r="K301" s="33" t="str">
        <f>IFERROR(IF(J301="","",VLOOKUP(J301,LISTAS!$F$5:$G$1004,2,0)),"0")</f>
        <v/>
      </c>
      <c r="L301" s="79"/>
    </row>
    <row r="302" spans="2:16" ht="18" customHeight="1" x14ac:dyDescent="0.25">
      <c r="B302" s="33" t="str">
        <f>IF(H294=3,B294,"")</f>
        <v/>
      </c>
      <c r="C302" s="33" t="str">
        <f>IFERROR(IF(B302="","",VLOOKUP(B302,LISTAS!$F$5:$G$1004,2,0)),"0")</f>
        <v/>
      </c>
      <c r="D302" s="253"/>
      <c r="E302" s="254"/>
      <c r="F302" s="253" t="s">
        <v>38</v>
      </c>
      <c r="G302" s="254"/>
      <c r="H302" s="253"/>
      <c r="I302" s="254"/>
      <c r="J302" s="111" t="str">
        <f>IF(H294=3,B295,"")</f>
        <v/>
      </c>
      <c r="K302" s="33" t="str">
        <f>IFERROR(IF(J302="","",VLOOKUP(J302,LISTAS!$F$5:$G$1004,2,0)),"0")</f>
        <v/>
      </c>
      <c r="L302" s="81"/>
    </row>
    <row r="305" spans="2:16" ht="30" customHeight="1" x14ac:dyDescent="0.25">
      <c r="B305" s="161" t="s">
        <v>67</v>
      </c>
      <c r="C305" s="79"/>
      <c r="D305" s="255" t="s">
        <v>42</v>
      </c>
      <c r="E305" s="256"/>
      <c r="F305" s="256"/>
      <c r="G305" s="257"/>
      <c r="H305" s="113"/>
      <c r="I305" s="255" t="s">
        <v>3</v>
      </c>
      <c r="J305" s="256"/>
      <c r="K305" s="256"/>
      <c r="L305" s="256"/>
    </row>
    <row r="306" spans="2:16" ht="18" customHeight="1" x14ac:dyDescent="0.25">
      <c r="B306" s="132" t="s">
        <v>15</v>
      </c>
      <c r="C306" s="132" t="s">
        <v>0</v>
      </c>
      <c r="D306" s="132" t="s">
        <v>43</v>
      </c>
      <c r="E306" s="132" t="s">
        <v>44</v>
      </c>
      <c r="F306" s="132" t="s">
        <v>77</v>
      </c>
      <c r="G306" s="132" t="s">
        <v>78</v>
      </c>
      <c r="H306" s="114"/>
      <c r="I306" s="132" t="s">
        <v>18</v>
      </c>
      <c r="J306" s="132" t="s">
        <v>15</v>
      </c>
      <c r="K306" s="132" t="s">
        <v>0</v>
      </c>
      <c r="L306" s="132" t="s">
        <v>45</v>
      </c>
    </row>
    <row r="307" spans="2:16" ht="18" customHeight="1" x14ac:dyDescent="0.25">
      <c r="B307" s="33"/>
      <c r="C307" s="33" t="str">
        <f>IFERROR(IF(B307="","",VLOOKUP(B307,LISTAS!$F$5:$G$1004,2,0)),"0")</f>
        <v/>
      </c>
      <c r="D307" s="33" t="str">
        <f>IF(H307&lt;3,"",IF(H307=3,IF(D313&lt;&gt;"",IF(H313&lt;&gt;"",IF(D313&lt;&gt;H313,IF(D313&gt;H313,"V","D"),""),""),"")))</f>
        <v/>
      </c>
      <c r="E307" s="33" t="str">
        <f>IF(H307&lt;3,"",IF(H307=3,IF(D315&lt;&gt;"",IF(H315&lt;&gt;"",IF(D315&lt;&gt;H315,IF(D315&gt;H315,"V","D"),""),""),"")))</f>
        <v/>
      </c>
      <c r="F307" s="33" t="s">
        <v>81</v>
      </c>
      <c r="G307" s="33" t="s">
        <v>81</v>
      </c>
      <c r="H307" s="117">
        <f>COUNTA(B307:B309)</f>
        <v>0</v>
      </c>
      <c r="I307" s="33" t="str">
        <f>IF(B307&lt;&gt;"",1,"")</f>
        <v/>
      </c>
      <c r="J307" s="33" t="str">
        <f>IF(I307&lt;&gt;"",P307,"")</f>
        <v/>
      </c>
      <c r="K307" s="33" t="str">
        <f>IFERROR(IF(J307="","",VLOOKUP(J307,LISTAS!$F$5:$G$1004,2,0)),"0")</f>
        <v/>
      </c>
      <c r="L307" s="130" t="str">
        <f>IF(H307=3,"OURO",IF(H307=4,"OURO",IF(H307=5,"OURO","")))</f>
        <v/>
      </c>
      <c r="M307" s="20" t="str">
        <f>IF(B307&lt;&gt;"",COUNTIF(D307:G307,"V")+(SUMIF(B313:B315,B307,D313:E315)/1000)+(SUMIF(J313:J315,B307,H313:I315)/1000)-(SUMIF(B313:B315,B307,H313:I315)/1000)-(SUMIF(J313:J315,B307,D313:E315)/1000)+0.003,"")</f>
        <v/>
      </c>
      <c r="N307" s="20" t="str">
        <f>IF(B307="","",B307)</f>
        <v/>
      </c>
      <c r="O307" s="20" t="str">
        <f>IF(B307&lt;&gt;"",LARGE(M307:M309,1),"")</f>
        <v/>
      </c>
      <c r="P307" s="20" t="str">
        <f>VLOOKUP(O307,M307:N309,2,0)</f>
        <v/>
      </c>
    </row>
    <row r="308" spans="2:16" ht="18" customHeight="1" x14ac:dyDescent="0.25">
      <c r="B308" s="33"/>
      <c r="C308" s="33" t="str">
        <f>IFERROR(IF(B308="","",VLOOKUP(B308,LISTAS!$F$5:$G$1004,2,0)),"0")</f>
        <v/>
      </c>
      <c r="D308" s="33" t="str">
        <f>IF(H307&lt;3,"",IF(H307=3,IF(D314&lt;&gt;"",IF(H314&lt;&gt;"",IF(D314&lt;&gt;H314,IF(D314&gt;H314,"V","D"),""),""),"")))</f>
        <v/>
      </c>
      <c r="E308" s="33" t="str">
        <f>IF(H307&lt;3,"",IF(H307=3,IF(D315&lt;&gt;"",IF(H315&lt;&gt;"",IF(D315&lt;&gt;H315,IF(D315&gt;H315,"D","V"),""),""),"")))</f>
        <v/>
      </c>
      <c r="F308" s="33" t="s">
        <v>81</v>
      </c>
      <c r="G308" s="33" t="s">
        <v>81</v>
      </c>
      <c r="H308" s="117"/>
      <c r="I308" s="33" t="str">
        <f>IF(B308&lt;&gt;"",2,"")</f>
        <v/>
      </c>
      <c r="J308" s="33" t="str">
        <f>IF(I308&lt;&gt;"",P308,"")</f>
        <v/>
      </c>
      <c r="K308" s="33" t="str">
        <f>IFERROR(IF(J308="","",VLOOKUP(J308,LISTAS!$F$5:$G$1004,2,0)),"0")</f>
        <v/>
      </c>
      <c r="L308" s="130" t="str">
        <f>IF(H307=3,"PRATA",IF(H307=4,"OURO",IF(H307=5,"OURO","")))</f>
        <v/>
      </c>
      <c r="M308" s="20" t="str">
        <f>IF(B308&lt;&gt;"",COUNTIF(D308:G308,"V")+(SUMIF(B313:B315,B308,D313:E315)/1000)+(SUMIF(J313:J315,B308,H313:I315)/1000)-(SUMIF(B313:B315,B308,H313:I315)/1000)-(SUMIF(J313:J315,B308,D313:E315)/1000)+0.002,"")</f>
        <v/>
      </c>
      <c r="N308" s="20" t="str">
        <f t="shared" ref="N308" si="18">IF(B308="","",B308)</f>
        <v/>
      </c>
      <c r="O308" s="20" t="str">
        <f>IF(B308&lt;&gt;"",LARGE(M307:M309,2),"")</f>
        <v/>
      </c>
      <c r="P308" s="20" t="str">
        <f>VLOOKUP(O308,M307:N309,2,0)</f>
        <v/>
      </c>
    </row>
    <row r="309" spans="2:16" ht="18" customHeight="1" x14ac:dyDescent="0.25">
      <c r="B309" s="33"/>
      <c r="C309" s="33" t="str">
        <f>IFERROR(IF(B309="","",VLOOKUP(B309,LISTAS!$F$5:$G$1004,2,0)),"0")</f>
        <v/>
      </c>
      <c r="D309" s="33" t="str">
        <f>IF(H307&lt;3,"",IF(H307=3,IF(D313&lt;&gt;"",IF(H313&lt;&gt;"",IF(D313&lt;&gt;H313,IF(D313&gt;H313,"D","V"),""),""),"")))</f>
        <v/>
      </c>
      <c r="E309" s="33" t="str">
        <f>IF(H307&lt;3,"",IF(H307=3,IF(D314&lt;&gt;"",IF(H314&lt;&gt;"",IF(D314&lt;&gt;H314,IF(D314&gt;H314,"D","V"),""),""),"")))</f>
        <v/>
      </c>
      <c r="F309" s="33" t="s">
        <v>81</v>
      </c>
      <c r="G309" s="33" t="s">
        <v>81</v>
      </c>
      <c r="H309" s="117"/>
      <c r="I309" s="33" t="str">
        <f>IF(B309&lt;&gt;"",3,"")</f>
        <v/>
      </c>
      <c r="J309" s="33" t="str">
        <f>IF(I309&lt;&gt;"",P309,"")</f>
        <v/>
      </c>
      <c r="K309" s="33" t="str">
        <f>IFERROR(IF(J309="","",VLOOKUP(J309,LISTAS!$F$5:$G$1004,2,0)),"0")</f>
        <v/>
      </c>
      <c r="L309" s="130" t="str">
        <f>IF(H307=3,"BRONZE",IF(H307=4,"PRATA",IF(H307=5,"OURO","")))</f>
        <v/>
      </c>
      <c r="M309" s="20" t="str">
        <f>IF(B309&lt;&gt;"",COUNTIF(D309:G309,"V")+(SUMIF(B313:B315,B309,D313:E315)/1000)+(SUMIF(J313:J315,B309,H313:I315)/1000)-(SUMIF(B313:B315,B309,H313:I315)/1000)-(SUMIF(J313:J315,B309,D313:E315)/1000)+0.001,"")</f>
        <v/>
      </c>
      <c r="N309" s="20" t="str">
        <f>IF(B309="","",B309)</f>
        <v/>
      </c>
      <c r="O309" s="20" t="str">
        <f>IF(B309&lt;&gt;"",LARGE(M307:M309,3),"")</f>
        <v/>
      </c>
      <c r="P309" s="20" t="str">
        <f>VLOOKUP(O309,M307:N309,2,0)</f>
        <v/>
      </c>
    </row>
    <row r="310" spans="2:16" ht="18" customHeight="1" x14ac:dyDescent="0.25">
      <c r="B310" s="79"/>
      <c r="C310" s="79"/>
      <c r="D310" s="79"/>
      <c r="E310" s="79"/>
      <c r="F310" s="79"/>
      <c r="G310" s="79"/>
      <c r="I310" s="80"/>
      <c r="J310" s="79"/>
      <c r="K310" s="81"/>
      <c r="L310" s="81"/>
    </row>
    <row r="311" spans="2:16" ht="23.25" customHeight="1" x14ac:dyDescent="0.25">
      <c r="B311" s="82" t="s">
        <v>40</v>
      </c>
      <c r="C311" s="79"/>
      <c r="D311" s="79"/>
      <c r="E311" s="79"/>
      <c r="F311" s="79"/>
      <c r="G311" s="79"/>
      <c r="H311" s="79"/>
      <c r="I311" s="79"/>
      <c r="J311" s="79"/>
      <c r="K311" s="79"/>
      <c r="L311" s="79"/>
    </row>
    <row r="312" spans="2:16" ht="18" customHeight="1" x14ac:dyDescent="0.25">
      <c r="B312" s="132" t="s">
        <v>15</v>
      </c>
      <c r="C312" s="132" t="s">
        <v>0</v>
      </c>
      <c r="D312" s="258" t="s">
        <v>41</v>
      </c>
      <c r="E312" s="259"/>
      <c r="F312" s="259"/>
      <c r="G312" s="259"/>
      <c r="H312" s="259"/>
      <c r="I312" s="260"/>
      <c r="J312" s="132" t="s">
        <v>15</v>
      </c>
      <c r="K312" s="132" t="s">
        <v>0</v>
      </c>
      <c r="L312" s="79"/>
    </row>
    <row r="313" spans="2:16" ht="18" customHeight="1" x14ac:dyDescent="0.25">
      <c r="B313" s="33" t="str">
        <f>IF(H307=3,B307,"")</f>
        <v/>
      </c>
      <c r="C313" s="33" t="str">
        <f>IF(B313="","",VLOOKUP(B313,LISTAS!$F$5:$G$964,2,0))</f>
        <v/>
      </c>
      <c r="D313" s="253"/>
      <c r="E313" s="254"/>
      <c r="F313" s="253" t="s">
        <v>38</v>
      </c>
      <c r="G313" s="254"/>
      <c r="H313" s="253"/>
      <c r="I313" s="254"/>
      <c r="J313" s="111" t="str">
        <f>IF(H307=3,B309,"")</f>
        <v/>
      </c>
      <c r="K313" s="33" t="str">
        <f>IF(J313="","",VLOOKUP(B313,LISTAS!$F$5:$G$964,2,0))</f>
        <v/>
      </c>
      <c r="L313" s="81"/>
    </row>
    <row r="314" spans="2:16" ht="18" customHeight="1" x14ac:dyDescent="0.25">
      <c r="B314" s="33" t="str">
        <f>IF(H307=3,B308,"")</f>
        <v/>
      </c>
      <c r="C314" s="33" t="str">
        <f>IF(B314="","",VLOOKUP(B314,LISTAS!$F$5:$G$964,2,0))</f>
        <v/>
      </c>
      <c r="D314" s="253"/>
      <c r="E314" s="254"/>
      <c r="F314" s="253" t="s">
        <v>38</v>
      </c>
      <c r="G314" s="254"/>
      <c r="H314" s="253"/>
      <c r="I314" s="254"/>
      <c r="J314" s="111" t="str">
        <f>IF(H307=3,B309,"")</f>
        <v/>
      </c>
      <c r="K314" s="33" t="str">
        <f>IF(J314="","",VLOOKUP(B314,LISTAS!$F$5:$G$964,2,0))</f>
        <v/>
      </c>
      <c r="L314" s="79"/>
    </row>
    <row r="315" spans="2:16" ht="18" customHeight="1" x14ac:dyDescent="0.25">
      <c r="B315" s="33" t="str">
        <f>IF(H307=3,B307,"")</f>
        <v/>
      </c>
      <c r="C315" s="33" t="str">
        <f>IF(B315="","",VLOOKUP(B315,LISTAS!$F$5:$G$964,2,0))</f>
        <v/>
      </c>
      <c r="D315" s="253"/>
      <c r="E315" s="254"/>
      <c r="F315" s="253" t="s">
        <v>38</v>
      </c>
      <c r="G315" s="254"/>
      <c r="H315" s="253"/>
      <c r="I315" s="254"/>
      <c r="J315" s="111" t="str">
        <f>IF(H307=3,B308,"")</f>
        <v/>
      </c>
      <c r="K315" s="33" t="str">
        <f>IF(J315="","",VLOOKUP(B315,LISTAS!$F$5:$G$964,2,0))</f>
        <v/>
      </c>
      <c r="L315" s="81"/>
    </row>
    <row r="318" spans="2:16" ht="30" customHeight="1" x14ac:dyDescent="0.25">
      <c r="B318" s="161" t="s">
        <v>68</v>
      </c>
      <c r="C318" s="79"/>
      <c r="D318" s="255" t="s">
        <v>42</v>
      </c>
      <c r="E318" s="256"/>
      <c r="F318" s="256"/>
      <c r="G318" s="257"/>
      <c r="H318" s="113"/>
      <c r="I318" s="255" t="s">
        <v>3</v>
      </c>
      <c r="J318" s="256"/>
      <c r="K318" s="256"/>
      <c r="L318" s="256"/>
    </row>
    <row r="319" spans="2:16" ht="18" customHeight="1" x14ac:dyDescent="0.25">
      <c r="B319" s="132" t="s">
        <v>15</v>
      </c>
      <c r="C319" s="132" t="s">
        <v>0</v>
      </c>
      <c r="D319" s="132" t="s">
        <v>43</v>
      </c>
      <c r="E319" s="132" t="s">
        <v>44</v>
      </c>
      <c r="F319" s="132" t="s">
        <v>77</v>
      </c>
      <c r="G319" s="132" t="s">
        <v>78</v>
      </c>
      <c r="H319" s="114"/>
      <c r="I319" s="132" t="s">
        <v>18</v>
      </c>
      <c r="J319" s="132" t="s">
        <v>15</v>
      </c>
      <c r="K319" s="132" t="s">
        <v>0</v>
      </c>
      <c r="L319" s="132" t="s">
        <v>45</v>
      </c>
    </row>
    <row r="320" spans="2:16" ht="18" customHeight="1" x14ac:dyDescent="0.25">
      <c r="B320" s="33"/>
      <c r="C320" s="33" t="str">
        <f>IFERROR(IF(B320="","",VLOOKUP(B320,LISTAS!$F$5:$G$1004,2,0)),"0")</f>
        <v/>
      </c>
      <c r="D320" s="33" t="str">
        <f>IF(H320&lt;3,"",IF(H320=3,IF(D326&lt;&gt;"",IF(H326&lt;&gt;"",IF(D326&lt;&gt;H326,IF(D326&gt;H326,"V","D"),""),""),"")))</f>
        <v/>
      </c>
      <c r="E320" s="33" t="str">
        <f>IF(H320&lt;3,"",IF(H320=3,IF(D328&lt;&gt;"",IF(H328&lt;&gt;"",IF(D328&lt;&gt;H328,IF(D328&gt;H328,"V","D"),""),""),"")))</f>
        <v/>
      </c>
      <c r="F320" s="33" t="s">
        <v>81</v>
      </c>
      <c r="G320" s="33" t="s">
        <v>81</v>
      </c>
      <c r="H320" s="117">
        <f>COUNTA(B320:B322)</f>
        <v>0</v>
      </c>
      <c r="I320" s="33" t="str">
        <f>IF(B320&lt;&gt;"",1,"")</f>
        <v/>
      </c>
      <c r="J320" s="33" t="str">
        <f>IF(I320&lt;&gt;"",P320,"")</f>
        <v/>
      </c>
      <c r="K320" s="33" t="str">
        <f>IFERROR(IF(J320="","",VLOOKUP(J320,LISTAS!$F$5:$G$1004,2,0)),"0")</f>
        <v/>
      </c>
      <c r="L320" s="130" t="str">
        <f>IF(H320=3,"OURO",IF(H320=4,"OURO",IF(H320=5,"OURO","")))</f>
        <v/>
      </c>
      <c r="M320" s="20" t="str">
        <f>IF(B320&lt;&gt;"",COUNTIF(D320:G320,"V")+(SUMIF(B326:B328,B320,D326:E328)/1000)+(SUMIF(J326:J328,B320,H326:I328)/1000)-(SUMIF(B326:B328,B320,H326:I328)/1000)-(SUMIF(J326:J328,B320,D326:E328)/1000)+0.003,"")</f>
        <v/>
      </c>
      <c r="N320" s="20" t="str">
        <f>IF(B320="","",B320)</f>
        <v/>
      </c>
      <c r="O320" s="20" t="str">
        <f>IF(B320&lt;&gt;"",LARGE(M320:M322,1),"")</f>
        <v/>
      </c>
      <c r="P320" s="20" t="str">
        <f>VLOOKUP(O320,M320:N322,2,0)</f>
        <v/>
      </c>
    </row>
    <row r="321" spans="2:16" ht="18" customHeight="1" x14ac:dyDescent="0.25">
      <c r="B321" s="33"/>
      <c r="C321" s="33" t="str">
        <f>IFERROR(IF(B321="","",VLOOKUP(B321,LISTAS!$F$5:$G$1004,2,0)),"0")</f>
        <v/>
      </c>
      <c r="D321" s="33" t="str">
        <f>IF(H320&lt;3,"",IF(H320=3,IF(D327&lt;&gt;"",IF(H327&lt;&gt;"",IF(D327&lt;&gt;H327,IF(D327&gt;H327,"V","D"),""),""),"")))</f>
        <v/>
      </c>
      <c r="E321" s="33" t="str">
        <f>IF(H320&lt;3,"",IF(H320=3,IF(D328&lt;&gt;"",IF(H328&lt;&gt;"",IF(D328&lt;&gt;H328,IF(D328&gt;H328,"D","V"),""),""),"")))</f>
        <v/>
      </c>
      <c r="F321" s="33" t="s">
        <v>81</v>
      </c>
      <c r="G321" s="33" t="s">
        <v>81</v>
      </c>
      <c r="H321" s="117"/>
      <c r="I321" s="33" t="str">
        <f>IF(B321&lt;&gt;"",2,"")</f>
        <v/>
      </c>
      <c r="J321" s="33" t="str">
        <f>IF(I321&lt;&gt;"",P321,"")</f>
        <v/>
      </c>
      <c r="K321" s="33" t="str">
        <f>IFERROR(IF(J321="","",VLOOKUP(J321,LISTAS!$F$5:$G$1004,2,0)),"0")</f>
        <v/>
      </c>
      <c r="L321" s="130" t="str">
        <f>IF(H320=3,"PRATA",IF(H320=4,"OURO",IF(H320=5,"OURO","")))</f>
        <v/>
      </c>
      <c r="M321" s="20" t="str">
        <f>IF(B321&lt;&gt;"",COUNTIF(D321:G321,"V")+(SUMIF(B326:B328,B321,D326:E328)/1000)+(SUMIF(J326:J328,B321,H326:I328)/1000)-(SUMIF(B326:B328,B321,H326:I328)/1000)-(SUMIF(J326:J328,B321,D326:E328)/1000)+0.002,"")</f>
        <v/>
      </c>
      <c r="N321" s="20" t="str">
        <f t="shared" ref="N321" si="19">IF(B321="","",B321)</f>
        <v/>
      </c>
      <c r="O321" s="20" t="str">
        <f>IF(B321&lt;&gt;"",LARGE(M320:M322,2),"")</f>
        <v/>
      </c>
      <c r="P321" s="20" t="str">
        <f>VLOOKUP(O321,M320:N322,2,0)</f>
        <v/>
      </c>
    </row>
    <row r="322" spans="2:16" ht="18" customHeight="1" x14ac:dyDescent="0.25">
      <c r="B322" s="33"/>
      <c r="C322" s="33" t="str">
        <f>IFERROR(IF(B322="","",VLOOKUP(B322,LISTAS!$F$5:$G$1004,2,0)),"0")</f>
        <v/>
      </c>
      <c r="D322" s="33" t="str">
        <f>IF(H320&lt;3,"",IF(H320=3,IF(D326&lt;&gt;"",IF(H326&lt;&gt;"",IF(D326&lt;&gt;H326,IF(D326&gt;H326,"D","V"),""),""),"")))</f>
        <v/>
      </c>
      <c r="E322" s="33" t="str">
        <f>IF(H320&lt;3,"",IF(H320=3,IF(D327&lt;&gt;"",IF(H327&lt;&gt;"",IF(D327&lt;&gt;H327,IF(D327&gt;H327,"D","V"),""),""),"")))</f>
        <v/>
      </c>
      <c r="F322" s="33" t="s">
        <v>81</v>
      </c>
      <c r="G322" s="33" t="s">
        <v>81</v>
      </c>
      <c r="H322" s="117"/>
      <c r="I322" s="33" t="str">
        <f>IF(B322&lt;&gt;"",3,"")</f>
        <v/>
      </c>
      <c r="J322" s="33" t="str">
        <f>IF(I322&lt;&gt;"",P322,"")</f>
        <v/>
      </c>
      <c r="K322" s="33" t="str">
        <f>IFERROR(IF(J322="","",VLOOKUP(J322,LISTAS!$F$5:$G$1004,2,0)),"0")</f>
        <v/>
      </c>
      <c r="L322" s="130" t="str">
        <f>IF(H320=3,"BRONZE",IF(H320=4,"PRATA",IF(H320=5,"OURO","")))</f>
        <v/>
      </c>
      <c r="M322" s="20" t="str">
        <f>IF(B322&lt;&gt;"",COUNTIF(D322:G322,"V")+(SUMIF(B326:B328,B322,D326:E328)/1000)+(SUMIF(J326:J328,B322,H326:I328)/1000)-(SUMIF(B326:B328,B322,H326:I328)/1000)-(SUMIF(J326:J328,B322,D326:E328)/1000)+0.001,"")</f>
        <v/>
      </c>
      <c r="N322" s="20" t="str">
        <f>IF(B322="","",B322)</f>
        <v/>
      </c>
      <c r="O322" s="20" t="str">
        <f>IF(B322&lt;&gt;"",LARGE(M320:M322,3),"")</f>
        <v/>
      </c>
      <c r="P322" s="20" t="str">
        <f>VLOOKUP(O322,M320:N322,2,0)</f>
        <v/>
      </c>
    </row>
    <row r="323" spans="2:16" ht="18" customHeight="1" x14ac:dyDescent="0.25">
      <c r="B323" s="79"/>
      <c r="C323" s="79"/>
      <c r="D323" s="79"/>
      <c r="E323" s="79"/>
      <c r="F323" s="79"/>
      <c r="G323" s="79"/>
      <c r="I323" s="80"/>
      <c r="J323" s="79"/>
      <c r="K323" s="81"/>
      <c r="L323" s="81"/>
    </row>
    <row r="324" spans="2:16" ht="23.25" customHeight="1" x14ac:dyDescent="0.25">
      <c r="B324" s="82" t="s">
        <v>40</v>
      </c>
      <c r="C324" s="79"/>
      <c r="D324" s="79"/>
      <c r="E324" s="79"/>
      <c r="F324" s="79"/>
      <c r="G324" s="79"/>
      <c r="H324" s="79"/>
      <c r="I324" s="79"/>
      <c r="J324" s="79"/>
      <c r="K324" s="79"/>
      <c r="L324" s="79"/>
    </row>
    <row r="325" spans="2:16" ht="18" customHeight="1" x14ac:dyDescent="0.25">
      <c r="B325" s="132" t="s">
        <v>15</v>
      </c>
      <c r="C325" s="132" t="s">
        <v>0</v>
      </c>
      <c r="D325" s="258" t="s">
        <v>41</v>
      </c>
      <c r="E325" s="259"/>
      <c r="F325" s="259"/>
      <c r="G325" s="259"/>
      <c r="H325" s="259"/>
      <c r="I325" s="260"/>
      <c r="J325" s="132" t="s">
        <v>15</v>
      </c>
      <c r="K325" s="132" t="s">
        <v>0</v>
      </c>
      <c r="L325" s="79"/>
    </row>
    <row r="326" spans="2:16" ht="18" customHeight="1" x14ac:dyDescent="0.25">
      <c r="B326" s="33" t="str">
        <f>IF(H320=3,B320,"")</f>
        <v/>
      </c>
      <c r="C326" s="33" t="str">
        <f>IFERROR(IF(B326="","",VLOOKUP(B326,LISTAS!$F$5:$G$1004,2,0)),"0")</f>
        <v/>
      </c>
      <c r="D326" s="253"/>
      <c r="E326" s="254"/>
      <c r="F326" s="253" t="s">
        <v>38</v>
      </c>
      <c r="G326" s="254"/>
      <c r="H326" s="253"/>
      <c r="I326" s="254"/>
      <c r="J326" s="111" t="str">
        <f>IF(H320=3,B322,"")</f>
        <v/>
      </c>
      <c r="K326" s="33" t="str">
        <f>IFERROR(IF(J326="","",VLOOKUP(J326,LISTAS!$F$5:$G$1004,2,0)),"0")</f>
        <v/>
      </c>
      <c r="L326" s="81"/>
    </row>
    <row r="327" spans="2:16" ht="18" customHeight="1" x14ac:dyDescent="0.25">
      <c r="B327" s="33" t="str">
        <f>IF(H320=3,B321,"")</f>
        <v/>
      </c>
      <c r="C327" s="33" t="str">
        <f>IFERROR(IF(B327="","",VLOOKUP(B327,LISTAS!$F$5:$G$1004,2,0)),"0")</f>
        <v/>
      </c>
      <c r="D327" s="253"/>
      <c r="E327" s="254"/>
      <c r="F327" s="253" t="s">
        <v>38</v>
      </c>
      <c r="G327" s="254"/>
      <c r="H327" s="253"/>
      <c r="I327" s="254"/>
      <c r="J327" s="111" t="str">
        <f>IF(H320=3,B322,"")</f>
        <v/>
      </c>
      <c r="K327" s="33" t="str">
        <f>IFERROR(IF(J327="","",VLOOKUP(J327,LISTAS!$F$5:$G$1004,2,0)),"0")</f>
        <v/>
      </c>
      <c r="L327" s="79"/>
    </row>
    <row r="328" spans="2:16" ht="18" customHeight="1" x14ac:dyDescent="0.25">
      <c r="B328" s="33" t="str">
        <f>IF(H320=3,B320,"")</f>
        <v/>
      </c>
      <c r="C328" s="33" t="str">
        <f>IFERROR(IF(B328="","",VLOOKUP(B328,LISTAS!$F$5:$G$1004,2,0)),"0")</f>
        <v/>
      </c>
      <c r="D328" s="253"/>
      <c r="E328" s="254"/>
      <c r="F328" s="253" t="s">
        <v>38</v>
      </c>
      <c r="G328" s="254"/>
      <c r="H328" s="253"/>
      <c r="I328" s="254"/>
      <c r="J328" s="111" t="str">
        <f>IF(H320=3,B321,"")</f>
        <v/>
      </c>
      <c r="K328" s="33" t="str">
        <f>IFERROR(IF(J328="","",VLOOKUP(J328,LISTAS!$F$5:$G$1004,2,0)),"0")</f>
        <v/>
      </c>
      <c r="L328" s="81"/>
    </row>
    <row r="331" spans="2:16" ht="30" customHeight="1" x14ac:dyDescent="0.25">
      <c r="B331" s="161" t="s">
        <v>69</v>
      </c>
      <c r="C331" s="79"/>
      <c r="D331" s="255" t="s">
        <v>42</v>
      </c>
      <c r="E331" s="256"/>
      <c r="F331" s="256"/>
      <c r="G331" s="257"/>
      <c r="H331" s="113"/>
      <c r="I331" s="255" t="s">
        <v>3</v>
      </c>
      <c r="J331" s="256"/>
      <c r="K331" s="256"/>
      <c r="L331" s="256"/>
    </row>
    <row r="332" spans="2:16" ht="18" customHeight="1" x14ac:dyDescent="0.25">
      <c r="B332" s="132" t="s">
        <v>15</v>
      </c>
      <c r="C332" s="132" t="s">
        <v>0</v>
      </c>
      <c r="D332" s="132" t="s">
        <v>43</v>
      </c>
      <c r="E332" s="132" t="s">
        <v>44</v>
      </c>
      <c r="F332" s="132" t="s">
        <v>77</v>
      </c>
      <c r="G332" s="132" t="s">
        <v>78</v>
      </c>
      <c r="H332" s="114"/>
      <c r="I332" s="132" t="s">
        <v>18</v>
      </c>
      <c r="J332" s="132" t="s">
        <v>15</v>
      </c>
      <c r="K332" s="132" t="s">
        <v>0</v>
      </c>
      <c r="L332" s="132" t="s">
        <v>45</v>
      </c>
    </row>
    <row r="333" spans="2:16" ht="18" customHeight="1" x14ac:dyDescent="0.25">
      <c r="B333" s="33"/>
      <c r="C333" s="33" t="str">
        <f>IFERROR(IF(B333="","",VLOOKUP(B333,LISTAS!$F$5:$G$1004,2,0)),"0")</f>
        <v/>
      </c>
      <c r="D333" s="33" t="str">
        <f>IF(H333&lt;3,"",IF(H333=3,IF(D339&lt;&gt;"",IF(H339&lt;&gt;"",IF(D339&lt;&gt;H339,IF(D339&gt;H339,"V","D"),""),""),"")))</f>
        <v/>
      </c>
      <c r="E333" s="33" t="str">
        <f>IF(H333&lt;3,"",IF(H333=3,IF(D341&lt;&gt;"",IF(H341&lt;&gt;"",IF(D341&lt;&gt;H341,IF(D341&gt;H341,"V","D"),""),""),"")))</f>
        <v/>
      </c>
      <c r="F333" s="33" t="s">
        <v>81</v>
      </c>
      <c r="G333" s="33" t="s">
        <v>81</v>
      </c>
      <c r="H333" s="117">
        <f>COUNTA(B333:B335)</f>
        <v>0</v>
      </c>
      <c r="I333" s="33" t="str">
        <f>IF(B333&lt;&gt;"",1,"")</f>
        <v/>
      </c>
      <c r="J333" s="33" t="str">
        <f>IF(I333&lt;&gt;"",P333,"")</f>
        <v/>
      </c>
      <c r="K333" s="33" t="str">
        <f>IFERROR(IF(J333="","",VLOOKUP(J333,LISTAS!$F$5:$G$1004,2,0)),"0")</f>
        <v/>
      </c>
      <c r="L333" s="130" t="str">
        <f>IF(H333=3,"OURO",IF(H333=4,"OURO",IF(H333=5,"OURO","")))</f>
        <v/>
      </c>
      <c r="M333" s="20" t="str">
        <f>IF(B333&lt;&gt;"",COUNTIF(D333:G333,"V")+(SUMIF(B339:B341,B333,D339:E341)/1000)+(SUMIF(J339:J341,B333,H339:I341)/1000)-(SUMIF(B339:B341,B333,H339:I341)/1000)-(SUMIF(J339:J341,B333,D339:E341)/1000)+0.003,"")</f>
        <v/>
      </c>
      <c r="N333" s="20" t="str">
        <f>IF(B333="","",B333)</f>
        <v/>
      </c>
      <c r="O333" s="20" t="str">
        <f>IF(B333&lt;&gt;"",LARGE(M333:M335,1),"")</f>
        <v/>
      </c>
      <c r="P333" s="20" t="str">
        <f>VLOOKUP(O333,M333:N335,2,0)</f>
        <v/>
      </c>
    </row>
    <row r="334" spans="2:16" ht="18" customHeight="1" x14ac:dyDescent="0.25">
      <c r="B334" s="33"/>
      <c r="C334" s="33" t="str">
        <f>IFERROR(IF(B334="","",VLOOKUP(B334,LISTAS!$F$5:$G$1004,2,0)),"0")</f>
        <v/>
      </c>
      <c r="D334" s="33" t="str">
        <f>IF(H333&lt;3,"",IF(H333=3,IF(D340&lt;&gt;"",IF(H340&lt;&gt;"",IF(D340&lt;&gt;H340,IF(D340&gt;H340,"V","D"),""),""),"")))</f>
        <v/>
      </c>
      <c r="E334" s="33" t="str">
        <f>IF(H333&lt;3,"",IF(H333=3,IF(D341&lt;&gt;"",IF(H341&lt;&gt;"",IF(D341&lt;&gt;H341,IF(D341&gt;H341,"D","V"),""),""),"")))</f>
        <v/>
      </c>
      <c r="F334" s="33" t="s">
        <v>81</v>
      </c>
      <c r="G334" s="33" t="s">
        <v>81</v>
      </c>
      <c r="H334" s="117"/>
      <c r="I334" s="33" t="str">
        <f>IF(B334&lt;&gt;"",2,"")</f>
        <v/>
      </c>
      <c r="J334" s="33" t="str">
        <f>IF(I334&lt;&gt;"",P334,"")</f>
        <v/>
      </c>
      <c r="K334" s="33" t="str">
        <f>IFERROR(IF(J334="","",VLOOKUP(J334,LISTAS!$F$5:$G$1004,2,0)),"0")</f>
        <v/>
      </c>
      <c r="L334" s="130" t="str">
        <f>IF(H333=3,"PRATA",IF(H333=4,"OURO",IF(H333=5,"OURO","")))</f>
        <v/>
      </c>
      <c r="M334" s="20" t="str">
        <f>IF(B334&lt;&gt;"",COUNTIF(D334:G334,"V")+(SUMIF(B339:B341,B334,D339:E341)/1000)+(SUMIF(J339:J341,B334,H339:I341)/1000)-(SUMIF(B339:B341,B334,H339:I341)/1000)-(SUMIF(J339:J341,B334,D339:E341)/1000)+0.002,"")</f>
        <v/>
      </c>
      <c r="N334" s="20" t="str">
        <f t="shared" ref="N334" si="20">IF(B334="","",B334)</f>
        <v/>
      </c>
      <c r="O334" s="20" t="str">
        <f>IF(B334&lt;&gt;"",LARGE(M333:M335,2),"")</f>
        <v/>
      </c>
      <c r="P334" s="20" t="str">
        <f>VLOOKUP(O334,M333:N335,2,0)</f>
        <v/>
      </c>
    </row>
    <row r="335" spans="2:16" ht="18" customHeight="1" x14ac:dyDescent="0.25">
      <c r="B335" s="33"/>
      <c r="C335" s="33" t="str">
        <f>IFERROR(IF(B335="","",VLOOKUP(B335,LISTAS!$F$5:$G$1004,2,0)),"0")</f>
        <v/>
      </c>
      <c r="D335" s="33" t="str">
        <f>IF(H333&lt;3,"",IF(H333=3,IF(D339&lt;&gt;"",IF(H339&lt;&gt;"",IF(D339&lt;&gt;H339,IF(D339&gt;H339,"D","V"),""),""),"")))</f>
        <v/>
      </c>
      <c r="E335" s="33" t="str">
        <f>IF(H333&lt;3,"",IF(H333=3,IF(D340&lt;&gt;"",IF(H340&lt;&gt;"",IF(D340&lt;&gt;H340,IF(D340&gt;H340,"D","V"),""),""),"")))</f>
        <v/>
      </c>
      <c r="F335" s="33" t="s">
        <v>81</v>
      </c>
      <c r="G335" s="33" t="s">
        <v>81</v>
      </c>
      <c r="H335" s="117"/>
      <c r="I335" s="33" t="str">
        <f>IF(B335&lt;&gt;"",3,"")</f>
        <v/>
      </c>
      <c r="J335" s="33" t="str">
        <f>IF(I335&lt;&gt;"",P335,"")</f>
        <v/>
      </c>
      <c r="K335" s="33" t="str">
        <f>IFERROR(IF(J335="","",VLOOKUP(J335,LISTAS!$F$5:$G$1004,2,0)),"0")</f>
        <v/>
      </c>
      <c r="L335" s="130" t="str">
        <f>IF(H333=3,"BRONZE",IF(H333=4,"PRATA",IF(H333=5,"OURO","")))</f>
        <v/>
      </c>
      <c r="M335" s="20" t="str">
        <f>IF(B335&lt;&gt;"",COUNTIF(D335:G335,"V")+(SUMIF(B339:B341,B335,D339:E341)/1000)+(SUMIF(J339:J341,B335,H339:I341)/1000)-(SUMIF(B339:B341,B335,H339:I341)/1000)-(SUMIF(J339:J341,B335,D339:E341)/1000)+0.001,"")</f>
        <v/>
      </c>
      <c r="N335" s="20" t="str">
        <f>IF(B335="","",B335)</f>
        <v/>
      </c>
      <c r="O335" s="20" t="str">
        <f>IF(B335&lt;&gt;"",LARGE(M333:M335,3),"")</f>
        <v/>
      </c>
      <c r="P335" s="20" t="str">
        <f>VLOOKUP(O335,M333:N335,2,0)</f>
        <v/>
      </c>
    </row>
    <row r="336" spans="2:16" ht="18" customHeight="1" x14ac:dyDescent="0.25">
      <c r="B336" s="79"/>
      <c r="C336" s="79"/>
      <c r="D336" s="79"/>
      <c r="E336" s="79"/>
      <c r="F336" s="79"/>
      <c r="G336" s="79"/>
      <c r="I336" s="80"/>
      <c r="J336" s="79"/>
      <c r="K336" s="81"/>
      <c r="L336" s="81"/>
    </row>
    <row r="337" spans="2:16" ht="23.25" customHeight="1" x14ac:dyDescent="0.25">
      <c r="B337" s="82" t="s">
        <v>40</v>
      </c>
      <c r="C337" s="79"/>
      <c r="D337" s="79"/>
      <c r="E337" s="79"/>
      <c r="F337" s="79"/>
      <c r="G337" s="79"/>
      <c r="H337" s="79"/>
      <c r="I337" s="79"/>
      <c r="J337" s="79"/>
      <c r="K337" s="79"/>
      <c r="L337" s="79"/>
    </row>
    <row r="338" spans="2:16" ht="18" customHeight="1" x14ac:dyDescent="0.25">
      <c r="B338" s="132" t="s">
        <v>15</v>
      </c>
      <c r="C338" s="132" t="s">
        <v>0</v>
      </c>
      <c r="D338" s="258" t="s">
        <v>41</v>
      </c>
      <c r="E338" s="259"/>
      <c r="F338" s="259"/>
      <c r="G338" s="259"/>
      <c r="H338" s="259"/>
      <c r="I338" s="260"/>
      <c r="J338" s="132" t="s">
        <v>15</v>
      </c>
      <c r="K338" s="132" t="s">
        <v>0</v>
      </c>
      <c r="L338" s="79"/>
    </row>
    <row r="339" spans="2:16" ht="18" customHeight="1" x14ac:dyDescent="0.25">
      <c r="B339" s="33" t="str">
        <f>IF(H333=3,B333,"")</f>
        <v/>
      </c>
      <c r="C339" s="33" t="str">
        <f>IFERROR(IF(B339="","",VLOOKUP(B339,LISTAS!$F$5:$G$1004,2,0)),"0")</f>
        <v/>
      </c>
      <c r="D339" s="253"/>
      <c r="E339" s="254"/>
      <c r="F339" s="253" t="s">
        <v>38</v>
      </c>
      <c r="G339" s="254"/>
      <c r="H339" s="253"/>
      <c r="I339" s="254"/>
      <c r="J339" s="111" t="str">
        <f>IF(H333=3,B335,"")</f>
        <v/>
      </c>
      <c r="K339" s="33" t="str">
        <f>IFERROR(IF(J339="","",VLOOKUP(J339,LISTAS!$F$5:$G$1004,2,0)),"0")</f>
        <v/>
      </c>
      <c r="L339" s="81"/>
    </row>
    <row r="340" spans="2:16" ht="18" customHeight="1" x14ac:dyDescent="0.25">
      <c r="B340" s="33" t="str">
        <f>IF(H333=3,B334,"")</f>
        <v/>
      </c>
      <c r="C340" s="33" t="str">
        <f>IFERROR(IF(B340="","",VLOOKUP(B340,LISTAS!$F$5:$G$1004,2,0)),"0")</f>
        <v/>
      </c>
      <c r="D340" s="253"/>
      <c r="E340" s="254"/>
      <c r="F340" s="253" t="s">
        <v>38</v>
      </c>
      <c r="G340" s="254"/>
      <c r="H340" s="253"/>
      <c r="I340" s="254"/>
      <c r="J340" s="111" t="str">
        <f>IF(H333=3,B335,"")</f>
        <v/>
      </c>
      <c r="K340" s="33" t="str">
        <f>IFERROR(IF(J340="","",VLOOKUP(J340,LISTAS!$F$5:$G$1004,2,0)),"0")</f>
        <v/>
      </c>
      <c r="L340" s="79"/>
    </row>
    <row r="341" spans="2:16" ht="18" customHeight="1" x14ac:dyDescent="0.25">
      <c r="B341" s="33" t="str">
        <f>IF(H333=3,B333,"")</f>
        <v/>
      </c>
      <c r="C341" s="33" t="str">
        <f>IFERROR(IF(B341="","",VLOOKUP(B341,LISTAS!$F$5:$G$1004,2,0)),"0")</f>
        <v/>
      </c>
      <c r="D341" s="253"/>
      <c r="E341" s="254"/>
      <c r="F341" s="253" t="s">
        <v>38</v>
      </c>
      <c r="G341" s="254"/>
      <c r="H341" s="253"/>
      <c r="I341" s="254"/>
      <c r="J341" s="111" t="str">
        <f>IF(H333=3,B334,"")</f>
        <v/>
      </c>
      <c r="K341" s="33" t="str">
        <f>IFERROR(IF(J341="","",VLOOKUP(J341,LISTAS!$F$5:$G$1004,2,0)),"0")</f>
        <v/>
      </c>
      <c r="L341" s="81"/>
    </row>
    <row r="344" spans="2:16" ht="30" customHeight="1" x14ac:dyDescent="0.25">
      <c r="B344" s="161" t="s">
        <v>70</v>
      </c>
      <c r="C344" s="79"/>
      <c r="D344" s="255" t="s">
        <v>42</v>
      </c>
      <c r="E344" s="256"/>
      <c r="F344" s="256"/>
      <c r="G344" s="257"/>
      <c r="H344" s="113"/>
      <c r="I344" s="255" t="s">
        <v>3</v>
      </c>
      <c r="J344" s="256"/>
      <c r="K344" s="256"/>
      <c r="L344" s="256"/>
    </row>
    <row r="345" spans="2:16" ht="18" customHeight="1" x14ac:dyDescent="0.25">
      <c r="B345" s="132" t="s">
        <v>15</v>
      </c>
      <c r="C345" s="132" t="s">
        <v>0</v>
      </c>
      <c r="D345" s="132" t="s">
        <v>43</v>
      </c>
      <c r="E345" s="132" t="s">
        <v>44</v>
      </c>
      <c r="F345" s="132" t="s">
        <v>77</v>
      </c>
      <c r="G345" s="132" t="s">
        <v>78</v>
      </c>
      <c r="H345" s="114"/>
      <c r="I345" s="132" t="s">
        <v>18</v>
      </c>
      <c r="J345" s="132" t="s">
        <v>15</v>
      </c>
      <c r="K345" s="132" t="s">
        <v>0</v>
      </c>
      <c r="L345" s="132" t="s">
        <v>45</v>
      </c>
    </row>
    <row r="346" spans="2:16" ht="18" customHeight="1" x14ac:dyDescent="0.25">
      <c r="B346" s="33"/>
      <c r="C346" s="33" t="str">
        <f>IFERROR(IF(B346="","",VLOOKUP(B346,LISTAS!$F$5:$G$1004,2,0)),"0")</f>
        <v/>
      </c>
      <c r="D346" s="33" t="str">
        <f>IF(H346&lt;3,"",IF(H346=3,IF(D352&lt;&gt;"",IF(H352&lt;&gt;"",IF(D352&lt;&gt;H352,IF(D352&gt;H352,"V","D"),""),""),"")))</f>
        <v/>
      </c>
      <c r="E346" s="33" t="str">
        <f>IF(H346&lt;3,"",IF(H346=3,IF(D354&lt;&gt;"",IF(H354&lt;&gt;"",IF(D354&lt;&gt;H354,IF(D354&gt;H354,"V","D"),""),""),"")))</f>
        <v/>
      </c>
      <c r="F346" s="33" t="s">
        <v>81</v>
      </c>
      <c r="G346" s="33" t="s">
        <v>81</v>
      </c>
      <c r="H346" s="117">
        <f>COUNTA(B346:B348)</f>
        <v>0</v>
      </c>
      <c r="I346" s="33" t="str">
        <f>IF(B346&lt;&gt;"",1,"")</f>
        <v/>
      </c>
      <c r="J346" s="33" t="str">
        <f>IF(I346&lt;&gt;"",P346,"")</f>
        <v/>
      </c>
      <c r="K346" s="33" t="str">
        <f>IFERROR(IF(J346="","",VLOOKUP(J346,LISTAS!$F$5:$G$1004,2,0)),"0")</f>
        <v/>
      </c>
      <c r="L346" s="130" t="str">
        <f>IF(H346=3,"OURO",IF(H346=4,"OURO",IF(H346=5,"OURO","")))</f>
        <v/>
      </c>
      <c r="M346" s="20" t="str">
        <f>IF(B346&lt;&gt;"",COUNTIF(D346:G346,"V")+(SUMIF(B352:B354,B346,D352:E354)/1000)+(SUMIF(J352:J354,B346,H352:I354)/1000)-(SUMIF(B352:B354,B346,H352:I354)/1000)-(SUMIF(J352:J354,B346,D352:E354)/1000)+0.003,"")</f>
        <v/>
      </c>
      <c r="N346" s="20" t="str">
        <f>IF(B346="","",B346)</f>
        <v/>
      </c>
      <c r="O346" s="20" t="str">
        <f>IF(B346&lt;&gt;"",LARGE(M346:M348,1),"")</f>
        <v/>
      </c>
      <c r="P346" s="20" t="str">
        <f>VLOOKUP(O346,M346:N348,2,0)</f>
        <v/>
      </c>
    </row>
    <row r="347" spans="2:16" ht="18" customHeight="1" x14ac:dyDescent="0.25">
      <c r="B347" s="33"/>
      <c r="C347" s="33" t="str">
        <f>IFERROR(IF(B347="","",VLOOKUP(B347,LISTAS!$F$5:$G$1004,2,0)),"0")</f>
        <v/>
      </c>
      <c r="D347" s="33" t="str">
        <f>IF(H346&lt;3,"",IF(H346=3,IF(D353&lt;&gt;"",IF(H353&lt;&gt;"",IF(D353&lt;&gt;H353,IF(D353&gt;H353,"V","D"),""),""),"")))</f>
        <v/>
      </c>
      <c r="E347" s="33" t="str">
        <f>IF(H346&lt;3,"",IF(H346=3,IF(D354&lt;&gt;"",IF(H354&lt;&gt;"",IF(D354&lt;&gt;H354,IF(D354&gt;H354,"D","V"),""),""),"")))</f>
        <v/>
      </c>
      <c r="F347" s="33" t="s">
        <v>81</v>
      </c>
      <c r="G347" s="33" t="s">
        <v>81</v>
      </c>
      <c r="H347" s="117"/>
      <c r="I347" s="33" t="str">
        <f>IF(B347&lt;&gt;"",2,"")</f>
        <v/>
      </c>
      <c r="J347" s="33" t="str">
        <f>IF(I347&lt;&gt;"",P347,"")</f>
        <v/>
      </c>
      <c r="K347" s="33" t="str">
        <f>IFERROR(IF(J347="","",VLOOKUP(J347,LISTAS!$F$5:$G$1004,2,0)),"0")</f>
        <v/>
      </c>
      <c r="L347" s="130" t="str">
        <f>IF(H346=3,"PRATA",IF(H346=4,"OURO",IF(H346=5,"OURO","")))</f>
        <v/>
      </c>
      <c r="M347" s="20" t="str">
        <f>IF(B347&lt;&gt;"",COUNTIF(D347:G347,"V")+(SUMIF(B352:B354,B347,D352:E354)/1000)+(SUMIF(J352:J354,B347,H352:I354)/1000)-(SUMIF(B352:B354,B347,H352:I354)/1000)-(SUMIF(J352:J354,B347,D352:E354)/1000)+0.002,"")</f>
        <v/>
      </c>
      <c r="N347" s="20" t="str">
        <f t="shared" ref="N347" si="21">IF(B347="","",B347)</f>
        <v/>
      </c>
      <c r="O347" s="20" t="str">
        <f>IF(B347&lt;&gt;"",LARGE(M346:M348,2),"")</f>
        <v/>
      </c>
      <c r="P347" s="20" t="str">
        <f>VLOOKUP(O347,M346:N348,2,0)</f>
        <v/>
      </c>
    </row>
    <row r="348" spans="2:16" ht="18" customHeight="1" x14ac:dyDescent="0.25">
      <c r="B348" s="33"/>
      <c r="C348" s="33" t="str">
        <f>IFERROR(IF(B348="","",VLOOKUP(B348,LISTAS!$F$5:$G$1004,2,0)),"0")</f>
        <v/>
      </c>
      <c r="D348" s="33" t="str">
        <f>IF(H346&lt;3,"",IF(H346=3,IF(D352&lt;&gt;"",IF(H352&lt;&gt;"",IF(D352&lt;&gt;H352,IF(D352&gt;H352,"D","V"),""),""),"")))</f>
        <v/>
      </c>
      <c r="E348" s="33" t="str">
        <f>IF(H346&lt;3,"",IF(H346=3,IF(D353&lt;&gt;"",IF(H353&lt;&gt;"",IF(D353&lt;&gt;H353,IF(D353&gt;H353,"D","V"),""),""),"")))</f>
        <v/>
      </c>
      <c r="F348" s="33" t="s">
        <v>81</v>
      </c>
      <c r="G348" s="33" t="s">
        <v>81</v>
      </c>
      <c r="H348" s="117"/>
      <c r="I348" s="33" t="str">
        <f>IF(B348&lt;&gt;"",3,"")</f>
        <v/>
      </c>
      <c r="J348" s="33" t="str">
        <f>IF(I348&lt;&gt;"",P348,"")</f>
        <v/>
      </c>
      <c r="K348" s="33" t="str">
        <f>IFERROR(IF(J348="","",VLOOKUP(J348,LISTAS!$F$5:$G$1004,2,0)),"0")</f>
        <v/>
      </c>
      <c r="L348" s="130" t="str">
        <f>IF(H346=3,"BRONZE",IF(H346=4,"PRATA",IF(H346=5,"OURO","")))</f>
        <v/>
      </c>
      <c r="M348" s="20" t="str">
        <f>IF(B348&lt;&gt;"",COUNTIF(D348:G348,"V")+(SUMIF(B352:B354,B348,D352:E354)/1000)+(SUMIF(J352:J354,B348,H352:I354)/1000)-(SUMIF(B352:B354,B348,H352:I354)/1000)-(SUMIF(J352:J354,B348,D352:E354)/1000)+0.001,"")</f>
        <v/>
      </c>
      <c r="N348" s="20" t="str">
        <f>IF(B348="","",B348)</f>
        <v/>
      </c>
      <c r="O348" s="20" t="str">
        <f>IF(B348&lt;&gt;"",LARGE(M346:M348,3),"")</f>
        <v/>
      </c>
      <c r="P348" s="20" t="str">
        <f>VLOOKUP(O348,M346:N348,2,0)</f>
        <v/>
      </c>
    </row>
    <row r="349" spans="2:16" ht="18" customHeight="1" x14ac:dyDescent="0.25">
      <c r="B349" s="79"/>
      <c r="C349" s="79"/>
      <c r="D349" s="79"/>
      <c r="E349" s="79"/>
      <c r="F349" s="79"/>
      <c r="G349" s="79"/>
      <c r="I349" s="80"/>
      <c r="J349" s="79"/>
      <c r="K349" s="81"/>
      <c r="L349" s="81"/>
    </row>
    <row r="350" spans="2:16" ht="23.25" customHeight="1" x14ac:dyDescent="0.25">
      <c r="B350" s="82" t="s">
        <v>40</v>
      </c>
      <c r="C350" s="79"/>
      <c r="D350" s="79"/>
      <c r="E350" s="79"/>
      <c r="F350" s="79"/>
      <c r="G350" s="79"/>
      <c r="H350" s="79"/>
      <c r="I350" s="79"/>
      <c r="J350" s="79"/>
      <c r="K350" s="79"/>
      <c r="L350" s="79"/>
    </row>
    <row r="351" spans="2:16" ht="18" customHeight="1" x14ac:dyDescent="0.25">
      <c r="B351" s="132" t="s">
        <v>15</v>
      </c>
      <c r="C351" s="132" t="s">
        <v>0</v>
      </c>
      <c r="D351" s="258" t="s">
        <v>41</v>
      </c>
      <c r="E351" s="259"/>
      <c r="F351" s="259"/>
      <c r="G351" s="259"/>
      <c r="H351" s="259"/>
      <c r="I351" s="260"/>
      <c r="J351" s="132" t="s">
        <v>15</v>
      </c>
      <c r="K351" s="132" t="s">
        <v>0</v>
      </c>
      <c r="L351" s="79"/>
    </row>
    <row r="352" spans="2:16" ht="18" customHeight="1" x14ac:dyDescent="0.25">
      <c r="B352" s="33" t="str">
        <f>IF(H346=3,B346,"")</f>
        <v/>
      </c>
      <c r="C352" s="33" t="str">
        <f>IFERROR(IF(B352="","",VLOOKUP(B352,LISTAS!$F$5:$G$1004,2,0)),"0")</f>
        <v/>
      </c>
      <c r="D352" s="253"/>
      <c r="E352" s="254"/>
      <c r="F352" s="253" t="s">
        <v>38</v>
      </c>
      <c r="G352" s="254"/>
      <c r="H352" s="253"/>
      <c r="I352" s="254"/>
      <c r="J352" s="111" t="str">
        <f>IF(H346=3,B348,"")</f>
        <v/>
      </c>
      <c r="K352" s="33" t="str">
        <f>IFERROR(IF(J352="","",VLOOKUP(J352,LISTAS!$F$5:$G$1004,2,0)),"0")</f>
        <v/>
      </c>
      <c r="L352" s="81"/>
    </row>
    <row r="353" spans="2:16" ht="18" customHeight="1" x14ac:dyDescent="0.25">
      <c r="B353" s="33" t="str">
        <f>IF(H346=3,B347,"")</f>
        <v/>
      </c>
      <c r="C353" s="33" t="str">
        <f>IFERROR(IF(B353="","",VLOOKUP(B353,LISTAS!$F$5:$G$1004,2,0)),"0")</f>
        <v/>
      </c>
      <c r="D353" s="253"/>
      <c r="E353" s="254"/>
      <c r="F353" s="253" t="s">
        <v>38</v>
      </c>
      <c r="G353" s="254"/>
      <c r="H353" s="253"/>
      <c r="I353" s="254"/>
      <c r="J353" s="111" t="str">
        <f>IF(H346=3,B348,"")</f>
        <v/>
      </c>
      <c r="K353" s="33" t="str">
        <f>IFERROR(IF(J353="","",VLOOKUP(J353,LISTAS!$F$5:$G$1004,2,0)),"0")</f>
        <v/>
      </c>
      <c r="L353" s="79"/>
    </row>
    <row r="354" spans="2:16" ht="18" customHeight="1" x14ac:dyDescent="0.25">
      <c r="B354" s="33" t="str">
        <f>IF(H346=3,B346,"")</f>
        <v/>
      </c>
      <c r="C354" s="33" t="str">
        <f>IFERROR(IF(B354="","",VLOOKUP(B354,LISTAS!$F$5:$G$1004,2,0)),"0")</f>
        <v/>
      </c>
      <c r="D354" s="253"/>
      <c r="E354" s="254"/>
      <c r="F354" s="253" t="s">
        <v>38</v>
      </c>
      <c r="G354" s="254"/>
      <c r="H354" s="253"/>
      <c r="I354" s="254"/>
      <c r="J354" s="111" t="str">
        <f>IF(H346=3,B347,"")</f>
        <v/>
      </c>
      <c r="K354" s="33" t="str">
        <f>IFERROR(IF(J354="","",VLOOKUP(J354,LISTAS!$F$5:$G$1004,2,0)),"0")</f>
        <v/>
      </c>
      <c r="L354" s="81"/>
    </row>
    <row r="357" spans="2:16" ht="30" customHeight="1" x14ac:dyDescent="0.25">
      <c r="B357" s="161" t="s">
        <v>71</v>
      </c>
      <c r="C357" s="79"/>
      <c r="D357" s="255" t="s">
        <v>42</v>
      </c>
      <c r="E357" s="256"/>
      <c r="F357" s="256"/>
      <c r="G357" s="257"/>
      <c r="H357" s="113"/>
      <c r="I357" s="255" t="s">
        <v>3</v>
      </c>
      <c r="J357" s="256"/>
      <c r="K357" s="256"/>
      <c r="L357" s="256"/>
    </row>
    <row r="358" spans="2:16" ht="18" customHeight="1" x14ac:dyDescent="0.25">
      <c r="B358" s="132" t="s">
        <v>15</v>
      </c>
      <c r="C358" s="132" t="s">
        <v>0</v>
      </c>
      <c r="D358" s="132" t="s">
        <v>43</v>
      </c>
      <c r="E358" s="132" t="s">
        <v>44</v>
      </c>
      <c r="F358" s="132" t="s">
        <v>77</v>
      </c>
      <c r="G358" s="132" t="s">
        <v>78</v>
      </c>
      <c r="H358" s="114"/>
      <c r="I358" s="132" t="s">
        <v>18</v>
      </c>
      <c r="J358" s="132" t="s">
        <v>15</v>
      </c>
      <c r="K358" s="132" t="s">
        <v>0</v>
      </c>
      <c r="L358" s="132" t="s">
        <v>45</v>
      </c>
    </row>
    <row r="359" spans="2:16" ht="18" customHeight="1" x14ac:dyDescent="0.25">
      <c r="B359" s="33"/>
      <c r="C359" s="33" t="str">
        <f>IFERROR(IF(B359="","",VLOOKUP(B359,LISTAS!$F$5:$G$1004,2,0)),"0")</f>
        <v/>
      </c>
      <c r="D359" s="33" t="str">
        <f>IF(H359&lt;3,"",IF(H359=3,IF(D365&lt;&gt;"",IF(H365&lt;&gt;"",IF(D365&lt;&gt;H365,IF(D365&gt;H365,"V","D"),""),""),"")))</f>
        <v/>
      </c>
      <c r="E359" s="33" t="str">
        <f>IF(H359&lt;3,"",IF(H359=3,IF(D367&lt;&gt;"",IF(H367&lt;&gt;"",IF(D367&lt;&gt;H367,IF(D367&gt;H367,"V","D"),""),""),"")))</f>
        <v/>
      </c>
      <c r="F359" s="33" t="s">
        <v>81</v>
      </c>
      <c r="G359" s="33" t="s">
        <v>81</v>
      </c>
      <c r="H359" s="117">
        <f>COUNTA(B359:B361)</f>
        <v>0</v>
      </c>
      <c r="I359" s="33" t="str">
        <f>IF(B359&lt;&gt;"",1,"")</f>
        <v/>
      </c>
      <c r="J359" s="33" t="str">
        <f>IF(I359&lt;&gt;"",P359,"")</f>
        <v/>
      </c>
      <c r="K359" s="33" t="str">
        <f>IFERROR(IF(J359="","",VLOOKUP(J359,LISTAS!$F$5:$G$1004,2,0)),"0")</f>
        <v/>
      </c>
      <c r="L359" s="130" t="str">
        <f>IF(H359=3,"OURO",IF(H359=4,"OURO",IF(H359=5,"OURO","")))</f>
        <v/>
      </c>
      <c r="M359" s="20" t="str">
        <f>IF(B359&lt;&gt;"",COUNTIF(D359:G359,"V")+(SUMIF(B365:B367,B359,D365:E367)/1000)+(SUMIF(J365:J367,B359,H365:I367)/1000)-(SUMIF(B365:B367,B359,H365:I367)/1000)-(SUMIF(J365:J367,B359,D365:E367)/1000)+0.003,"")</f>
        <v/>
      </c>
      <c r="N359" s="20" t="str">
        <f>IF(B359="","",B359)</f>
        <v/>
      </c>
      <c r="O359" s="20" t="str">
        <f>IF(B359&lt;&gt;"",LARGE(M359:M361,1),"")</f>
        <v/>
      </c>
      <c r="P359" s="20" t="str">
        <f>VLOOKUP(O359,M359:N361,2,0)</f>
        <v/>
      </c>
    </row>
    <row r="360" spans="2:16" ht="18" customHeight="1" x14ac:dyDescent="0.25">
      <c r="B360" s="33"/>
      <c r="C360" s="33" t="str">
        <f>IFERROR(IF(B360="","",VLOOKUP(B360,LISTAS!$F$5:$G$1004,2,0)),"0")</f>
        <v/>
      </c>
      <c r="D360" s="33" t="str">
        <f>IF(H359&lt;3,"",IF(H359=3,IF(D366&lt;&gt;"",IF(H366&lt;&gt;"",IF(D366&lt;&gt;H366,IF(D366&gt;H366,"V","D"),""),""),"")))</f>
        <v/>
      </c>
      <c r="E360" s="33" t="str">
        <f>IF(H359&lt;3,"",IF(H359=3,IF(D367&lt;&gt;"",IF(H367&lt;&gt;"",IF(D367&lt;&gt;H367,IF(D367&gt;H367,"D","V"),""),""),"")))</f>
        <v/>
      </c>
      <c r="F360" s="33" t="s">
        <v>81</v>
      </c>
      <c r="G360" s="33" t="s">
        <v>81</v>
      </c>
      <c r="H360" s="117"/>
      <c r="I360" s="33" t="str">
        <f>IF(B360&lt;&gt;"",2,"")</f>
        <v/>
      </c>
      <c r="J360" s="33" t="str">
        <f>IF(I360&lt;&gt;"",P360,"")</f>
        <v/>
      </c>
      <c r="K360" s="33" t="str">
        <f>IFERROR(IF(J360="","",VLOOKUP(J360,LISTAS!$F$5:$G$1004,2,0)),"0")</f>
        <v/>
      </c>
      <c r="L360" s="130" t="str">
        <f>IF(H359=3,"PRATA",IF(H359=4,"OURO",IF(H359=5,"OURO","")))</f>
        <v/>
      </c>
      <c r="M360" s="20" t="str">
        <f>IF(B360&lt;&gt;"",COUNTIF(D360:G360,"V")+(SUMIF(B365:B367,B360,D365:E367)/1000)+(SUMIF(J365:J367,B360,H365:I367)/1000)-(SUMIF(B365:B367,B360,H365:I367)/1000)-(SUMIF(J365:J367,B360,D365:E367)/1000)+0.002,"")</f>
        <v/>
      </c>
      <c r="N360" s="20" t="str">
        <f t="shared" ref="N360" si="22">IF(B360="","",B360)</f>
        <v/>
      </c>
      <c r="O360" s="20" t="str">
        <f>IF(B360&lt;&gt;"",LARGE(M359:M361,2),"")</f>
        <v/>
      </c>
      <c r="P360" s="20" t="str">
        <f>VLOOKUP(O360,M359:N361,2,0)</f>
        <v/>
      </c>
    </row>
    <row r="361" spans="2:16" ht="18" customHeight="1" x14ac:dyDescent="0.25">
      <c r="B361" s="33"/>
      <c r="C361" s="33" t="str">
        <f>IFERROR(IF(B361="","",VLOOKUP(B361,LISTAS!$F$5:$G$1004,2,0)),"0")</f>
        <v/>
      </c>
      <c r="D361" s="33" t="str">
        <f>IF(H359&lt;3,"",IF(H359=3,IF(D365&lt;&gt;"",IF(H365&lt;&gt;"",IF(D365&lt;&gt;H365,IF(D365&gt;H365,"D","V"),""),""),"")))</f>
        <v/>
      </c>
      <c r="E361" s="33" t="str">
        <f>IF(H359&lt;3,"",IF(H359=3,IF(D366&lt;&gt;"",IF(H366&lt;&gt;"",IF(D366&lt;&gt;H366,IF(D366&gt;H366,"D","V"),""),""),"")))</f>
        <v/>
      </c>
      <c r="F361" s="33" t="s">
        <v>81</v>
      </c>
      <c r="G361" s="33" t="s">
        <v>81</v>
      </c>
      <c r="H361" s="117"/>
      <c r="I361" s="33" t="str">
        <f>IF(B361&lt;&gt;"",3,"")</f>
        <v/>
      </c>
      <c r="J361" s="33" t="str">
        <f>IF(I361&lt;&gt;"",P361,"")</f>
        <v/>
      </c>
      <c r="K361" s="33" t="str">
        <f>IFERROR(IF(J361="","",VLOOKUP(J361,LISTAS!$F$5:$G$1004,2,0)),"0")</f>
        <v/>
      </c>
      <c r="L361" s="130" t="str">
        <f>IF(H359=3,"BRONZE",IF(H359=4,"PRATA",IF(H359=5,"OURO","")))</f>
        <v/>
      </c>
      <c r="M361" s="20" t="str">
        <f>IF(B361&lt;&gt;"",COUNTIF(D361:G361,"V")+(SUMIF(B365:B367,B361,D365:E367)/1000)+(SUMIF(J365:J367,B361,H365:I367)/1000)-(SUMIF(B365:B367,B361,H365:I367)/1000)-(SUMIF(J365:J367,B361,D365:E367)/1000)+0.001,"")</f>
        <v/>
      </c>
      <c r="N361" s="20" t="str">
        <f>IF(B361="","",B361)</f>
        <v/>
      </c>
      <c r="O361" s="20" t="str">
        <f>IF(B361&lt;&gt;"",LARGE(M359:M361,3),"")</f>
        <v/>
      </c>
      <c r="P361" s="20" t="str">
        <f>VLOOKUP(O361,M359:N361,2,0)</f>
        <v/>
      </c>
    </row>
    <row r="362" spans="2:16" ht="18" customHeight="1" x14ac:dyDescent="0.25">
      <c r="B362" s="79"/>
      <c r="C362" s="79"/>
      <c r="D362" s="79"/>
      <c r="E362" s="79"/>
      <c r="F362" s="79"/>
      <c r="G362" s="79"/>
      <c r="I362" s="80"/>
      <c r="J362" s="79"/>
      <c r="K362" s="81"/>
      <c r="L362" s="81"/>
    </row>
    <row r="363" spans="2:16" ht="23.25" customHeight="1" x14ac:dyDescent="0.25">
      <c r="B363" s="82" t="s">
        <v>40</v>
      </c>
      <c r="C363" s="79"/>
      <c r="D363" s="79"/>
      <c r="E363" s="79"/>
      <c r="F363" s="79"/>
      <c r="G363" s="79"/>
      <c r="H363" s="79"/>
      <c r="I363" s="79"/>
      <c r="J363" s="79"/>
      <c r="K363" s="79"/>
      <c r="L363" s="79"/>
    </row>
    <row r="364" spans="2:16" ht="18" customHeight="1" x14ac:dyDescent="0.25">
      <c r="B364" s="132" t="s">
        <v>15</v>
      </c>
      <c r="C364" s="132" t="s">
        <v>0</v>
      </c>
      <c r="D364" s="258" t="s">
        <v>41</v>
      </c>
      <c r="E364" s="259"/>
      <c r="F364" s="259"/>
      <c r="G364" s="259"/>
      <c r="H364" s="259"/>
      <c r="I364" s="260"/>
      <c r="J364" s="132" t="s">
        <v>15</v>
      </c>
      <c r="K364" s="132" t="s">
        <v>0</v>
      </c>
      <c r="L364" s="79"/>
    </row>
    <row r="365" spans="2:16" ht="18" customHeight="1" x14ac:dyDescent="0.25">
      <c r="B365" s="33" t="str">
        <f>IF(H359=3,B359,"")</f>
        <v/>
      </c>
      <c r="C365" s="33" t="str">
        <f>IFERROR(IF(B365="","",VLOOKUP(B365,LISTAS!$F$5:$G$1004,2,0)),"0")</f>
        <v/>
      </c>
      <c r="D365" s="253"/>
      <c r="E365" s="254"/>
      <c r="F365" s="253" t="s">
        <v>38</v>
      </c>
      <c r="G365" s="254"/>
      <c r="H365" s="253"/>
      <c r="I365" s="254"/>
      <c r="J365" s="111" t="str">
        <f>IF(H359=3,B361,"")</f>
        <v/>
      </c>
      <c r="K365" s="33" t="str">
        <f>IFERROR(IF(J365="","",VLOOKUP(J365,LISTAS!$F$5:$G$1004,2,0)),"0")</f>
        <v/>
      </c>
      <c r="L365" s="81"/>
    </row>
    <row r="366" spans="2:16" ht="18" customHeight="1" x14ac:dyDescent="0.25">
      <c r="B366" s="33" t="str">
        <f>IF(H359=3,B360,"")</f>
        <v/>
      </c>
      <c r="C366" s="33" t="str">
        <f>IFERROR(IF(B366="","",VLOOKUP(B366,LISTAS!$F$5:$G$1004,2,0)),"0")</f>
        <v/>
      </c>
      <c r="D366" s="253"/>
      <c r="E366" s="254"/>
      <c r="F366" s="253" t="s">
        <v>38</v>
      </c>
      <c r="G366" s="254"/>
      <c r="H366" s="253"/>
      <c r="I366" s="254"/>
      <c r="J366" s="111" t="str">
        <f>IF(H359=3,B361,"")</f>
        <v/>
      </c>
      <c r="K366" s="33" t="str">
        <f>IFERROR(IF(J366="","",VLOOKUP(J366,LISTAS!$F$5:$G$1004,2,0)),"0")</f>
        <v/>
      </c>
      <c r="L366" s="79"/>
    </row>
    <row r="367" spans="2:16" ht="18" customHeight="1" x14ac:dyDescent="0.25">
      <c r="B367" s="33" t="str">
        <f>IF(H359=3,B359,"")</f>
        <v/>
      </c>
      <c r="C367" s="33" t="str">
        <f>IFERROR(IF(B367="","",VLOOKUP(B367,LISTAS!$F$5:$G$1004,2,0)),"0")</f>
        <v/>
      </c>
      <c r="D367" s="253"/>
      <c r="E367" s="254"/>
      <c r="F367" s="253" t="s">
        <v>38</v>
      </c>
      <c r="G367" s="254"/>
      <c r="H367" s="253"/>
      <c r="I367" s="254"/>
      <c r="J367" s="111" t="str">
        <f>IF(H359=3,B360,"")</f>
        <v/>
      </c>
      <c r="K367" s="33" t="str">
        <f>IFERROR(IF(J367="","",VLOOKUP(J367,LISTAS!$F$5:$G$1004,2,0)),"0")</f>
        <v/>
      </c>
      <c r="L367" s="81"/>
    </row>
    <row r="370" spans="2:16" ht="30" customHeight="1" x14ac:dyDescent="0.25">
      <c r="B370" s="161" t="s">
        <v>72</v>
      </c>
      <c r="C370" s="79"/>
      <c r="D370" s="255" t="s">
        <v>42</v>
      </c>
      <c r="E370" s="256"/>
      <c r="F370" s="256"/>
      <c r="G370" s="257"/>
      <c r="H370" s="113"/>
      <c r="I370" s="255" t="s">
        <v>3</v>
      </c>
      <c r="J370" s="256"/>
      <c r="K370" s="256"/>
      <c r="L370" s="256"/>
    </row>
    <row r="371" spans="2:16" ht="18" customHeight="1" x14ac:dyDescent="0.25">
      <c r="B371" s="132" t="s">
        <v>15</v>
      </c>
      <c r="C371" s="132" t="s">
        <v>0</v>
      </c>
      <c r="D371" s="132" t="s">
        <v>43</v>
      </c>
      <c r="E371" s="132" t="s">
        <v>44</v>
      </c>
      <c r="F371" s="132" t="s">
        <v>77</v>
      </c>
      <c r="G371" s="132" t="s">
        <v>78</v>
      </c>
      <c r="H371" s="114"/>
      <c r="I371" s="132" t="s">
        <v>18</v>
      </c>
      <c r="J371" s="132" t="s">
        <v>15</v>
      </c>
      <c r="K371" s="132" t="s">
        <v>0</v>
      </c>
      <c r="L371" s="132" t="s">
        <v>45</v>
      </c>
    </row>
    <row r="372" spans="2:16" ht="18" customHeight="1" x14ac:dyDescent="0.25">
      <c r="B372" s="33"/>
      <c r="C372" s="33" t="str">
        <f>IFERROR(IF(B372="","",VLOOKUP(B372,LISTAS!$F$5:$G$1004,2,0)),"0")</f>
        <v/>
      </c>
      <c r="D372" s="33" t="str">
        <f>IF(H372&lt;3,"",IF(H372=3,IF(D378&lt;&gt;"",IF(H378&lt;&gt;"",IF(D378&lt;&gt;H378,IF(D378&gt;H378,"V","D"),""),""),"")))</f>
        <v/>
      </c>
      <c r="E372" s="33" t="str">
        <f>IF(H372&lt;3,"",IF(H372=3,IF(D380&lt;&gt;"",IF(H380&lt;&gt;"",IF(D380&lt;&gt;H380,IF(D380&gt;H380,"V","D"),""),""),"")))</f>
        <v/>
      </c>
      <c r="F372" s="33" t="s">
        <v>81</v>
      </c>
      <c r="G372" s="33" t="s">
        <v>81</v>
      </c>
      <c r="H372" s="117">
        <f>COUNTA(B372:B374)</f>
        <v>0</v>
      </c>
      <c r="I372" s="33" t="str">
        <f>IF(B372&lt;&gt;"",1,"")</f>
        <v/>
      </c>
      <c r="J372" s="33" t="str">
        <f>IF(I372&lt;&gt;"",P372,"")</f>
        <v/>
      </c>
      <c r="K372" s="33" t="str">
        <f>IFERROR(IF(J372="","",VLOOKUP(J372,LISTAS!$F$5:$G$1004,2,0)),"0")</f>
        <v/>
      </c>
      <c r="L372" s="130" t="str">
        <f>IF(H372=3,"OURO",IF(H372=4,"OURO",IF(H372=5,"OURO","")))</f>
        <v/>
      </c>
      <c r="M372" s="20" t="str">
        <f>IF(B372&lt;&gt;"",COUNTIF(D372:G372,"V")+(SUMIF(B378:B380,B372,D378:E380)/1000)+(SUMIF(J378:J380,B372,H378:I380)/1000)-(SUMIF(B378:B380,B372,H378:I380)/1000)-(SUMIF(J378:J380,B372,D378:E380)/1000)+0.003,"")</f>
        <v/>
      </c>
      <c r="N372" s="20" t="str">
        <f>IF(B372="","",B372)</f>
        <v/>
      </c>
      <c r="O372" s="20" t="str">
        <f>IF(B372&lt;&gt;"",LARGE(M372:M374,1),"")</f>
        <v/>
      </c>
      <c r="P372" s="20" t="str">
        <f>VLOOKUP(O372,M372:N374,2,0)</f>
        <v/>
      </c>
    </row>
    <row r="373" spans="2:16" ht="18" customHeight="1" x14ac:dyDescent="0.25">
      <c r="B373" s="33"/>
      <c r="C373" s="33" t="str">
        <f>IFERROR(IF(B373="","",VLOOKUP(B373,LISTAS!$F$5:$G$1004,2,0)),"0")</f>
        <v/>
      </c>
      <c r="D373" s="33" t="str">
        <f>IF(H372&lt;3,"",IF(H372=3,IF(D379&lt;&gt;"",IF(H379&lt;&gt;"",IF(D379&lt;&gt;H379,IF(D379&gt;H379,"V","D"),""),""),"")))</f>
        <v/>
      </c>
      <c r="E373" s="33" t="str">
        <f>IF(H372&lt;3,"",IF(H372=3,IF(D380&lt;&gt;"",IF(H380&lt;&gt;"",IF(D380&lt;&gt;H380,IF(D380&gt;H380,"D","V"),""),""),"")))</f>
        <v/>
      </c>
      <c r="F373" s="33" t="s">
        <v>81</v>
      </c>
      <c r="G373" s="33" t="s">
        <v>81</v>
      </c>
      <c r="H373" s="117"/>
      <c r="I373" s="33" t="str">
        <f>IF(B373&lt;&gt;"",2,"")</f>
        <v/>
      </c>
      <c r="J373" s="33" t="str">
        <f>IF(I373&lt;&gt;"",P373,"")</f>
        <v/>
      </c>
      <c r="K373" s="33" t="str">
        <f>IFERROR(IF(J373="","",VLOOKUP(J373,LISTAS!$F$5:$G$1004,2,0)),"0")</f>
        <v/>
      </c>
      <c r="L373" s="130" t="str">
        <f>IF(H372=3,"PRATA",IF(H372=4,"OURO",IF(H372=5,"OURO","")))</f>
        <v/>
      </c>
      <c r="M373" s="20" t="str">
        <f>IF(B373&lt;&gt;"",COUNTIF(D373:G373,"V")+(SUMIF(B378:B380,B373,D378:E380)/1000)+(SUMIF(J378:J380,B373,H378:I380)/1000)-(SUMIF(B378:B380,B373,H378:I380)/1000)-(SUMIF(J378:J380,B373,D378:E380)/1000)+0.002,"")</f>
        <v/>
      </c>
      <c r="N373" s="20" t="str">
        <f t="shared" ref="N373" si="23">IF(B373="","",B373)</f>
        <v/>
      </c>
      <c r="O373" s="20" t="str">
        <f>IF(B373&lt;&gt;"",LARGE(M372:M374,2),"")</f>
        <v/>
      </c>
      <c r="P373" s="20" t="str">
        <f>VLOOKUP(O373,M372:N374,2,0)</f>
        <v/>
      </c>
    </row>
    <row r="374" spans="2:16" ht="18" customHeight="1" x14ac:dyDescent="0.25">
      <c r="B374" s="33"/>
      <c r="C374" s="33" t="str">
        <f>IFERROR(IF(B374="","",VLOOKUP(B374,LISTAS!$F$5:$G$1004,2,0)),"0")</f>
        <v/>
      </c>
      <c r="D374" s="33" t="str">
        <f>IF(H372&lt;3,"",IF(H372=3,IF(D378&lt;&gt;"",IF(H378&lt;&gt;"",IF(D378&lt;&gt;H378,IF(D378&gt;H378,"D","V"),""),""),"")))</f>
        <v/>
      </c>
      <c r="E374" s="33" t="str">
        <f>IF(H372&lt;3,"",IF(H372=3,IF(D379&lt;&gt;"",IF(H379&lt;&gt;"",IF(D379&lt;&gt;H379,IF(D379&gt;H379,"D","V"),""),""),"")))</f>
        <v/>
      </c>
      <c r="F374" s="33" t="s">
        <v>81</v>
      </c>
      <c r="G374" s="33" t="s">
        <v>81</v>
      </c>
      <c r="H374" s="117"/>
      <c r="I374" s="33" t="str">
        <f>IF(B374&lt;&gt;"",3,"")</f>
        <v/>
      </c>
      <c r="J374" s="33" t="str">
        <f>IF(I374&lt;&gt;"",P374,"")</f>
        <v/>
      </c>
      <c r="K374" s="33" t="str">
        <f>IFERROR(IF(J374="","",VLOOKUP(J374,LISTAS!$F$5:$G$1004,2,0)),"0")</f>
        <v/>
      </c>
      <c r="L374" s="130" t="str">
        <f>IF(H372=3,"BRONZE",IF(H372=4,"PRATA",IF(H372=5,"OURO","")))</f>
        <v/>
      </c>
      <c r="M374" s="20" t="str">
        <f>IF(B374&lt;&gt;"",COUNTIF(D374:G374,"V")+(SUMIF(B378:B380,B374,D378:E380)/1000)+(SUMIF(J378:J380,B374,H378:I380)/1000)-(SUMIF(B378:B380,B374,H378:I380)/1000)-(SUMIF(J378:J380,B374,D378:E380)/1000)+0.001,"")</f>
        <v/>
      </c>
      <c r="N374" s="20" t="str">
        <f>IF(B374="","",B374)</f>
        <v/>
      </c>
      <c r="O374" s="20" t="str">
        <f>IF(B374&lt;&gt;"",LARGE(M372:M374,3),"")</f>
        <v/>
      </c>
      <c r="P374" s="20" t="str">
        <f>VLOOKUP(O374,M372:N374,2,0)</f>
        <v/>
      </c>
    </row>
    <row r="375" spans="2:16" ht="18" customHeight="1" x14ac:dyDescent="0.25">
      <c r="B375" s="79"/>
      <c r="C375" s="79"/>
      <c r="D375" s="79"/>
      <c r="E375" s="79"/>
      <c r="F375" s="79"/>
      <c r="G375" s="79"/>
      <c r="I375" s="80"/>
      <c r="J375" s="79"/>
      <c r="K375" s="81"/>
      <c r="L375" s="81"/>
    </row>
    <row r="376" spans="2:16" ht="23.25" customHeight="1" x14ac:dyDescent="0.25">
      <c r="B376" s="82" t="s">
        <v>40</v>
      </c>
      <c r="C376" s="79"/>
      <c r="D376" s="79"/>
      <c r="E376" s="79"/>
      <c r="F376" s="79"/>
      <c r="G376" s="79"/>
      <c r="H376" s="79"/>
      <c r="I376" s="79"/>
      <c r="J376" s="79"/>
      <c r="K376" s="79"/>
      <c r="L376" s="79"/>
    </row>
    <row r="377" spans="2:16" ht="18" customHeight="1" x14ac:dyDescent="0.25">
      <c r="B377" s="132" t="s">
        <v>15</v>
      </c>
      <c r="C377" s="132" t="s">
        <v>0</v>
      </c>
      <c r="D377" s="258" t="s">
        <v>41</v>
      </c>
      <c r="E377" s="259"/>
      <c r="F377" s="259"/>
      <c r="G377" s="259"/>
      <c r="H377" s="259"/>
      <c r="I377" s="260"/>
      <c r="J377" s="132" t="s">
        <v>15</v>
      </c>
      <c r="K377" s="132" t="s">
        <v>0</v>
      </c>
      <c r="L377" s="79"/>
    </row>
    <row r="378" spans="2:16" ht="18" customHeight="1" x14ac:dyDescent="0.25">
      <c r="B378" s="33" t="str">
        <f>IF(H372=3,B372,"")</f>
        <v/>
      </c>
      <c r="C378" s="33" t="str">
        <f>IFERROR(IF(B378="","",VLOOKUP(B378,LISTAS!$F$5:$G$1004,2,0)),"0")</f>
        <v/>
      </c>
      <c r="D378" s="253"/>
      <c r="E378" s="254"/>
      <c r="F378" s="253" t="s">
        <v>38</v>
      </c>
      <c r="G378" s="254"/>
      <c r="H378" s="253"/>
      <c r="I378" s="254"/>
      <c r="J378" s="111" t="str">
        <f>IF(H372=3,B374,"")</f>
        <v/>
      </c>
      <c r="K378" s="33" t="str">
        <f>IFERROR(IF(J378="","",VLOOKUP(J378,LISTAS!$F$5:$G$1004,2,0)),"0")</f>
        <v/>
      </c>
      <c r="L378" s="81"/>
    </row>
    <row r="379" spans="2:16" ht="18" customHeight="1" x14ac:dyDescent="0.25">
      <c r="B379" s="33" t="str">
        <f>IF(H372=3,B373,"")</f>
        <v/>
      </c>
      <c r="C379" s="33" t="str">
        <f>IFERROR(IF(B379="","",VLOOKUP(B379,LISTAS!$F$5:$G$1004,2,0)),"0")</f>
        <v/>
      </c>
      <c r="D379" s="253"/>
      <c r="E379" s="254"/>
      <c r="F379" s="253" t="s">
        <v>38</v>
      </c>
      <c r="G379" s="254"/>
      <c r="H379" s="253"/>
      <c r="I379" s="254"/>
      <c r="J379" s="111" t="str">
        <f>IF(H372=3,B374,"")</f>
        <v/>
      </c>
      <c r="K379" s="33" t="str">
        <f>IFERROR(IF(J379="","",VLOOKUP(J379,LISTAS!$F$5:$G$1004,2,0)),"0")</f>
        <v/>
      </c>
      <c r="L379" s="79"/>
    </row>
    <row r="380" spans="2:16" ht="18" customHeight="1" x14ac:dyDescent="0.25">
      <c r="B380" s="33" t="str">
        <f>IF(H372=3,B372,"")</f>
        <v/>
      </c>
      <c r="C380" s="33" t="str">
        <f>IFERROR(IF(B380="","",VLOOKUP(B380,LISTAS!$F$5:$G$1004,2,0)),"0")</f>
        <v/>
      </c>
      <c r="D380" s="253"/>
      <c r="E380" s="254"/>
      <c r="F380" s="253" t="s">
        <v>38</v>
      </c>
      <c r="G380" s="254"/>
      <c r="H380" s="253"/>
      <c r="I380" s="254"/>
      <c r="J380" s="111" t="str">
        <f>IF(H372=3,B373,"")</f>
        <v/>
      </c>
      <c r="K380" s="33" t="str">
        <f>IFERROR(IF(J380="","",VLOOKUP(J380,LISTAS!$F$5:$G$1004,2,0)),"0")</f>
        <v/>
      </c>
      <c r="L380" s="81"/>
    </row>
    <row r="383" spans="2:16" ht="30" customHeight="1" x14ac:dyDescent="0.25">
      <c r="B383" s="161" t="s">
        <v>73</v>
      </c>
      <c r="C383" s="79"/>
      <c r="D383" s="255" t="s">
        <v>42</v>
      </c>
      <c r="E383" s="256"/>
      <c r="F383" s="256"/>
      <c r="G383" s="257"/>
      <c r="H383" s="113"/>
      <c r="I383" s="255" t="s">
        <v>3</v>
      </c>
      <c r="J383" s="256"/>
      <c r="K383" s="256"/>
      <c r="L383" s="256"/>
    </row>
    <row r="384" spans="2:16" ht="18" customHeight="1" x14ac:dyDescent="0.25">
      <c r="B384" s="132" t="s">
        <v>15</v>
      </c>
      <c r="C384" s="132" t="s">
        <v>0</v>
      </c>
      <c r="D384" s="132" t="s">
        <v>43</v>
      </c>
      <c r="E384" s="132" t="s">
        <v>44</v>
      </c>
      <c r="F384" s="132" t="s">
        <v>77</v>
      </c>
      <c r="G384" s="132" t="s">
        <v>78</v>
      </c>
      <c r="H384" s="114"/>
      <c r="I384" s="132" t="s">
        <v>18</v>
      </c>
      <c r="J384" s="132" t="s">
        <v>15</v>
      </c>
      <c r="K384" s="132" t="s">
        <v>0</v>
      </c>
      <c r="L384" s="132" t="s">
        <v>45</v>
      </c>
    </row>
    <row r="385" spans="2:16" ht="18" customHeight="1" x14ac:dyDescent="0.25">
      <c r="B385" s="33"/>
      <c r="C385" s="33" t="str">
        <f>IFERROR(IF(B385="","",VLOOKUP(B385,LISTAS!$F$5:$G$1004,2,0)),"0")</f>
        <v/>
      </c>
      <c r="D385" s="33" t="str">
        <f>IF(H385&lt;3,"",IF(H385=3,IF(D391&lt;&gt;"",IF(H391&lt;&gt;"",IF(D391&lt;&gt;H391,IF(D391&gt;H391,"V","D"),""),""),"")))</f>
        <v/>
      </c>
      <c r="E385" s="33" t="str">
        <f>IF(H385&lt;3,"",IF(H385=3,IF(D393&lt;&gt;"",IF(H393&lt;&gt;"",IF(D393&lt;&gt;H393,IF(D393&gt;H393,"V","D"),""),""),"")))</f>
        <v/>
      </c>
      <c r="F385" s="33" t="s">
        <v>81</v>
      </c>
      <c r="G385" s="33" t="s">
        <v>81</v>
      </c>
      <c r="H385" s="117">
        <f>COUNTA(B385:B387)</f>
        <v>0</v>
      </c>
      <c r="I385" s="33" t="str">
        <f>IF(B385&lt;&gt;"",1,"")</f>
        <v/>
      </c>
      <c r="J385" s="33" t="str">
        <f>IF(I385&lt;&gt;"",P385,"")</f>
        <v/>
      </c>
      <c r="K385" s="33" t="str">
        <f>IFERROR(IF(J385="","",VLOOKUP(J385,LISTAS!$F$5:$G$1004,2,0)),"0")</f>
        <v/>
      </c>
      <c r="L385" s="130" t="str">
        <f>IF(H385=3,"OURO",IF(H385=4,"OURO",IF(H385=5,"OURO","")))</f>
        <v/>
      </c>
      <c r="M385" s="20" t="str">
        <f>IF(B385&lt;&gt;"",COUNTIF(D385:G385,"V")+(SUMIF(B391:B393,B385,D391:E393)/1000)+(SUMIF(J391:J393,B385,H391:I393)/1000)-(SUMIF(B391:B393,B385,H391:I393)/1000)-(SUMIF(J391:J393,B385,D391:E393)/1000)+0.003,"")</f>
        <v/>
      </c>
      <c r="N385" s="20" t="str">
        <f>IF(B385="","",B385)</f>
        <v/>
      </c>
      <c r="O385" s="20" t="str">
        <f>IF(B385&lt;&gt;"",LARGE(M385:M387,1),"")</f>
        <v/>
      </c>
      <c r="P385" s="20" t="str">
        <f>VLOOKUP(O385,M385:N387,2,0)</f>
        <v/>
      </c>
    </row>
    <row r="386" spans="2:16" ht="18" customHeight="1" x14ac:dyDescent="0.25">
      <c r="B386" s="33"/>
      <c r="C386" s="33" t="str">
        <f>IFERROR(IF(B386="","",VLOOKUP(B386,LISTAS!$F$5:$G$1004,2,0)),"0")</f>
        <v/>
      </c>
      <c r="D386" s="33" t="str">
        <f>IF(H385&lt;3,"",IF(H385=3,IF(D392&lt;&gt;"",IF(H392&lt;&gt;"",IF(D392&lt;&gt;H392,IF(D392&gt;H392,"V","D"),""),""),"")))</f>
        <v/>
      </c>
      <c r="E386" s="33" t="str">
        <f>IF(H385&lt;3,"",IF(H385=3,IF(D393&lt;&gt;"",IF(H393&lt;&gt;"",IF(D393&lt;&gt;H393,IF(D393&gt;H393,"D","V"),""),""),"")))</f>
        <v/>
      </c>
      <c r="F386" s="33" t="s">
        <v>81</v>
      </c>
      <c r="G386" s="33" t="s">
        <v>81</v>
      </c>
      <c r="H386" s="117"/>
      <c r="I386" s="33" t="str">
        <f>IF(B386&lt;&gt;"",2,"")</f>
        <v/>
      </c>
      <c r="J386" s="33" t="str">
        <f>IF(I386&lt;&gt;"",P386,"")</f>
        <v/>
      </c>
      <c r="K386" s="33" t="str">
        <f>IFERROR(IF(J386="","",VLOOKUP(J386,LISTAS!$F$5:$G$1004,2,0)),"0")</f>
        <v/>
      </c>
      <c r="L386" s="130" t="str">
        <f>IF(H385=3,"PRATA",IF(H385=4,"OURO",IF(H385=5,"OURO","")))</f>
        <v/>
      </c>
      <c r="M386" s="20" t="str">
        <f>IF(B386&lt;&gt;"",COUNTIF(D386:G386,"V")+(SUMIF(B391:B393,B386,D391:E393)/1000)+(SUMIF(J391:J393,B386,H391:I393)/1000)-(SUMIF(B391:B393,B386,H391:I393)/1000)-(SUMIF(J391:J393,B386,D391:E393)/1000)+0.002,"")</f>
        <v/>
      </c>
      <c r="N386" s="20" t="str">
        <f t="shared" ref="N386" si="24">IF(B386="","",B386)</f>
        <v/>
      </c>
      <c r="O386" s="20" t="str">
        <f>IF(B386&lt;&gt;"",LARGE(M385:M387,2),"")</f>
        <v/>
      </c>
      <c r="P386" s="20" t="str">
        <f>VLOOKUP(O386,M385:N387,2,0)</f>
        <v/>
      </c>
    </row>
    <row r="387" spans="2:16" ht="18" customHeight="1" x14ac:dyDescent="0.25">
      <c r="B387" s="33"/>
      <c r="C387" s="33" t="str">
        <f>IFERROR(IF(B387="","",VLOOKUP(B387,LISTAS!$F$5:$G$1004,2,0)),"0")</f>
        <v/>
      </c>
      <c r="D387" s="33" t="str">
        <f>IF(H385&lt;3,"",IF(H385=3,IF(D391&lt;&gt;"",IF(H391&lt;&gt;"",IF(D391&lt;&gt;H391,IF(D391&gt;H391,"D","V"),""),""),"")))</f>
        <v/>
      </c>
      <c r="E387" s="33" t="str">
        <f>IF(H385&lt;3,"",IF(H385=3,IF(D392&lt;&gt;"",IF(H392&lt;&gt;"",IF(D392&lt;&gt;H392,IF(D392&gt;H392,"D","V"),""),""),"")))</f>
        <v/>
      </c>
      <c r="F387" s="33" t="s">
        <v>81</v>
      </c>
      <c r="G387" s="33" t="s">
        <v>81</v>
      </c>
      <c r="H387" s="117"/>
      <c r="I387" s="33" t="str">
        <f>IF(B387&lt;&gt;"",3,"")</f>
        <v/>
      </c>
      <c r="J387" s="33" t="str">
        <f>IF(I387&lt;&gt;"",P387,"")</f>
        <v/>
      </c>
      <c r="K387" s="33" t="str">
        <f>IFERROR(IF(J387="","",VLOOKUP(J387,LISTAS!$F$5:$G$1004,2,0)),"0")</f>
        <v/>
      </c>
      <c r="L387" s="130" t="str">
        <f>IF(H385=3,"BRONZE",IF(H385=4,"PRATA",IF(H385=5,"OURO","")))</f>
        <v/>
      </c>
      <c r="M387" s="20" t="str">
        <f>IF(B387&lt;&gt;"",COUNTIF(D387:G387,"V")+(SUMIF(B391:B393,B387,D391:E393)/1000)+(SUMIF(J391:J393,B387,H391:I393)/1000)-(SUMIF(B391:B393,B387,H391:I393)/1000)-(SUMIF(J391:J393,B387,D391:E393)/1000)+0.001,"")</f>
        <v/>
      </c>
      <c r="N387" s="20" t="str">
        <f>IF(B387="","",B387)</f>
        <v/>
      </c>
      <c r="O387" s="20" t="str">
        <f>IF(B387&lt;&gt;"",LARGE(M385:M387,3),"")</f>
        <v/>
      </c>
      <c r="P387" s="20" t="str">
        <f>VLOOKUP(O387,M385:N387,2,0)</f>
        <v/>
      </c>
    </row>
    <row r="388" spans="2:16" ht="18" customHeight="1" x14ac:dyDescent="0.25">
      <c r="B388" s="79"/>
      <c r="C388" s="79"/>
      <c r="D388" s="79"/>
      <c r="E388" s="79"/>
      <c r="F388" s="79"/>
      <c r="G388" s="79"/>
      <c r="I388" s="80"/>
      <c r="J388" s="79"/>
      <c r="K388" s="81"/>
      <c r="L388" s="81"/>
    </row>
    <row r="389" spans="2:16" ht="23.25" customHeight="1" x14ac:dyDescent="0.25">
      <c r="B389" s="82" t="s">
        <v>40</v>
      </c>
      <c r="C389" s="79"/>
      <c r="D389" s="79"/>
      <c r="E389" s="79"/>
      <c r="F389" s="79"/>
      <c r="G389" s="79"/>
      <c r="H389" s="79"/>
      <c r="I389" s="79"/>
      <c r="J389" s="79"/>
      <c r="K389" s="79"/>
      <c r="L389" s="79"/>
    </row>
    <row r="390" spans="2:16" ht="18" customHeight="1" x14ac:dyDescent="0.25">
      <c r="B390" s="132" t="s">
        <v>15</v>
      </c>
      <c r="C390" s="132" t="s">
        <v>0</v>
      </c>
      <c r="D390" s="258" t="s">
        <v>41</v>
      </c>
      <c r="E390" s="259"/>
      <c r="F390" s="259"/>
      <c r="G390" s="259"/>
      <c r="H390" s="259"/>
      <c r="I390" s="260"/>
      <c r="J390" s="132" t="s">
        <v>15</v>
      </c>
      <c r="K390" s="132" t="s">
        <v>0</v>
      </c>
      <c r="L390" s="79"/>
    </row>
    <row r="391" spans="2:16" ht="18" customHeight="1" x14ac:dyDescent="0.25">
      <c r="B391" s="33" t="str">
        <f>IF(H385=3,B385,"")</f>
        <v/>
      </c>
      <c r="C391" s="33" t="str">
        <f>IFERROR(IF(B391="","",VLOOKUP(B391,LISTAS!$F$5:$G$1004,2,0)),"0")</f>
        <v/>
      </c>
      <c r="D391" s="253"/>
      <c r="E391" s="254"/>
      <c r="F391" s="253" t="s">
        <v>38</v>
      </c>
      <c r="G391" s="254"/>
      <c r="H391" s="253"/>
      <c r="I391" s="254"/>
      <c r="J391" s="111" t="str">
        <f>IF(H385=3,B387,"")</f>
        <v/>
      </c>
      <c r="K391" s="33" t="str">
        <f>IFERROR(IF(J391="","",VLOOKUP(J391,LISTAS!$F$5:$G$1004,2,0)),"0")</f>
        <v/>
      </c>
      <c r="L391" s="81"/>
    </row>
    <row r="392" spans="2:16" ht="18" customHeight="1" x14ac:dyDescent="0.25">
      <c r="B392" s="33" t="str">
        <f>IF(H385=3,B386,"")</f>
        <v/>
      </c>
      <c r="C392" s="33" t="str">
        <f>IFERROR(IF(B392="","",VLOOKUP(B392,LISTAS!$F$5:$G$1004,2,0)),"0")</f>
        <v/>
      </c>
      <c r="D392" s="253"/>
      <c r="E392" s="254"/>
      <c r="F392" s="253" t="s">
        <v>38</v>
      </c>
      <c r="G392" s="254"/>
      <c r="H392" s="253"/>
      <c r="I392" s="254"/>
      <c r="J392" s="111" t="str">
        <f>IF(H385=3,B387,"")</f>
        <v/>
      </c>
      <c r="K392" s="33" t="str">
        <f>IFERROR(IF(J392="","",VLOOKUP(J392,LISTAS!$F$5:$G$1004,2,0)),"0")</f>
        <v/>
      </c>
      <c r="L392" s="79"/>
    </row>
    <row r="393" spans="2:16" ht="18" customHeight="1" x14ac:dyDescent="0.25">
      <c r="B393" s="33" t="str">
        <f>IF(H385=3,B385,"")</f>
        <v/>
      </c>
      <c r="C393" s="33" t="str">
        <f>IFERROR(IF(B393="","",VLOOKUP(B393,LISTAS!$F$5:$G$1004,2,0)),"0")</f>
        <v/>
      </c>
      <c r="D393" s="253"/>
      <c r="E393" s="254"/>
      <c r="F393" s="253" t="s">
        <v>38</v>
      </c>
      <c r="G393" s="254"/>
      <c r="H393" s="253"/>
      <c r="I393" s="254"/>
      <c r="J393" s="111" t="str">
        <f>IF(H385=3,B386,"")</f>
        <v/>
      </c>
      <c r="K393" s="33" t="str">
        <f>IFERROR(IF(J393="","",VLOOKUP(J393,LISTAS!$F$5:$G$1004,2,0)),"0")</f>
        <v/>
      </c>
      <c r="L393" s="81"/>
    </row>
    <row r="396" spans="2:16" ht="30" customHeight="1" x14ac:dyDescent="0.25">
      <c r="B396" s="161" t="s">
        <v>74</v>
      </c>
      <c r="C396" s="79"/>
      <c r="D396" s="255" t="s">
        <v>42</v>
      </c>
      <c r="E396" s="256"/>
      <c r="F396" s="256"/>
      <c r="G396" s="257"/>
      <c r="H396" s="113"/>
      <c r="I396" s="255" t="s">
        <v>3</v>
      </c>
      <c r="J396" s="256"/>
      <c r="K396" s="256"/>
      <c r="L396" s="256"/>
    </row>
    <row r="397" spans="2:16" ht="18" customHeight="1" x14ac:dyDescent="0.25">
      <c r="B397" s="132" t="s">
        <v>15</v>
      </c>
      <c r="C397" s="132" t="s">
        <v>0</v>
      </c>
      <c r="D397" s="132" t="s">
        <v>43</v>
      </c>
      <c r="E397" s="132" t="s">
        <v>44</v>
      </c>
      <c r="F397" s="132" t="s">
        <v>77</v>
      </c>
      <c r="G397" s="132" t="s">
        <v>78</v>
      </c>
      <c r="H397" s="114"/>
      <c r="I397" s="132" t="s">
        <v>18</v>
      </c>
      <c r="J397" s="132" t="s">
        <v>15</v>
      </c>
      <c r="K397" s="132" t="s">
        <v>0</v>
      </c>
      <c r="L397" s="132" t="s">
        <v>45</v>
      </c>
    </row>
    <row r="398" spans="2:16" ht="18" customHeight="1" x14ac:dyDescent="0.25">
      <c r="B398" s="33"/>
      <c r="C398" s="33" t="str">
        <f>IFERROR(IF(B398="","",VLOOKUP(B398,LISTAS!$F$5:$G$1004,2,0)),"0")</f>
        <v/>
      </c>
      <c r="D398" s="33" t="str">
        <f>IF(H398&lt;3,"",IF(H398=3,IF(D404&lt;&gt;"",IF(H404&lt;&gt;"",IF(D404&lt;&gt;H404,IF(D404&gt;H404,"V","D"),""),""),"")))</f>
        <v/>
      </c>
      <c r="E398" s="33" t="str">
        <f>IF(H398&lt;3,"",IF(H398=3,IF(D406&lt;&gt;"",IF(H406&lt;&gt;"",IF(D406&lt;&gt;H406,IF(D406&gt;H406,"V","D"),""),""),"")))</f>
        <v/>
      </c>
      <c r="F398" s="33" t="s">
        <v>81</v>
      </c>
      <c r="G398" s="33" t="s">
        <v>81</v>
      </c>
      <c r="H398" s="117">
        <f>COUNTA(B398:B400)</f>
        <v>0</v>
      </c>
      <c r="I398" s="33" t="str">
        <f>IF(B398&lt;&gt;"",1,"")</f>
        <v/>
      </c>
      <c r="J398" s="33" t="str">
        <f>IF(I398&lt;&gt;"",P398,"")</f>
        <v/>
      </c>
      <c r="K398" s="33" t="str">
        <f>IFERROR(IF(J398="","",VLOOKUP(J398,LISTAS!$F$5:$G$1004,2,0)),"0")</f>
        <v/>
      </c>
      <c r="L398" s="130" t="str">
        <f>IF(H398=3,"OURO",IF(H398=4,"OURO",IF(H398=5,"OURO","")))</f>
        <v/>
      </c>
      <c r="M398" s="20" t="str">
        <f>IF(B398&lt;&gt;"",COUNTIF(D398:G398,"V")+(SUMIF(B404:B406,B398,D404:E406)/1000)+(SUMIF(J404:J406,B398,H404:I406)/1000)-(SUMIF(B404:B406,B398,H404:I406)/1000)-(SUMIF(J404:J406,B398,D404:E406)/1000)+0.003,"")</f>
        <v/>
      </c>
      <c r="N398" s="20" t="str">
        <f>IF(B398="","",B398)</f>
        <v/>
      </c>
      <c r="O398" s="20" t="str">
        <f>IF(B398&lt;&gt;"",LARGE(M398:M400,1),"")</f>
        <v/>
      </c>
      <c r="P398" s="20" t="str">
        <f>VLOOKUP(O398,M398:N400,2,0)</f>
        <v/>
      </c>
    </row>
    <row r="399" spans="2:16" ht="18" customHeight="1" x14ac:dyDescent="0.25">
      <c r="B399" s="33"/>
      <c r="C399" s="33" t="str">
        <f>IFERROR(IF(B399="","",VLOOKUP(B399,LISTAS!$F$5:$G$1004,2,0)),"0")</f>
        <v/>
      </c>
      <c r="D399" s="33" t="str">
        <f>IF(H398&lt;3,"",IF(H398=3,IF(D405&lt;&gt;"",IF(H405&lt;&gt;"",IF(D405&lt;&gt;H405,IF(D405&gt;H405,"V","D"),""),""),"")))</f>
        <v/>
      </c>
      <c r="E399" s="33" t="str">
        <f>IF(H398&lt;3,"",IF(H398=3,IF(D406&lt;&gt;"",IF(H406&lt;&gt;"",IF(D406&lt;&gt;H406,IF(D406&gt;H406,"D","V"),""),""),"")))</f>
        <v/>
      </c>
      <c r="F399" s="33" t="s">
        <v>81</v>
      </c>
      <c r="G399" s="33" t="s">
        <v>81</v>
      </c>
      <c r="H399" s="117"/>
      <c r="I399" s="33" t="str">
        <f>IF(B399&lt;&gt;"",2,"")</f>
        <v/>
      </c>
      <c r="J399" s="33" t="str">
        <f>IF(I399&lt;&gt;"",P399,"")</f>
        <v/>
      </c>
      <c r="K399" s="33" t="str">
        <f>IFERROR(IF(J399="","",VLOOKUP(J399,LISTAS!$F$5:$G$1004,2,0)),"0")</f>
        <v/>
      </c>
      <c r="L399" s="130" t="str">
        <f>IF(H398=3,"PRATA",IF(H398=4,"OURO",IF(H398=5,"OURO","")))</f>
        <v/>
      </c>
      <c r="M399" s="20" t="str">
        <f>IF(B399&lt;&gt;"",COUNTIF(D399:G399,"V")+(SUMIF(B404:B406,B399,D404:E406)/1000)+(SUMIF(J404:J406,B399,H404:I406)/1000)-(SUMIF(B404:B406,B399,H404:I406)/1000)-(SUMIF(J404:J406,B399,D404:E406)/1000)+0.002,"")</f>
        <v/>
      </c>
      <c r="N399" s="20" t="str">
        <f t="shared" ref="N399" si="25">IF(B399="","",B399)</f>
        <v/>
      </c>
      <c r="O399" s="20" t="str">
        <f>IF(B399&lt;&gt;"",LARGE(M398:M400,2),"")</f>
        <v/>
      </c>
      <c r="P399" s="20" t="str">
        <f>VLOOKUP(O399,M398:N400,2,0)</f>
        <v/>
      </c>
    </row>
    <row r="400" spans="2:16" ht="18" customHeight="1" x14ac:dyDescent="0.25">
      <c r="B400" s="33"/>
      <c r="C400" s="33" t="str">
        <f>IFERROR(IF(B400="","",VLOOKUP(B400,LISTAS!$F$5:$G$1004,2,0)),"0")</f>
        <v/>
      </c>
      <c r="D400" s="33" t="str">
        <f>IF(H398&lt;3,"",IF(H398=3,IF(D404&lt;&gt;"",IF(H404&lt;&gt;"",IF(D404&lt;&gt;H404,IF(D404&gt;H404,"D","V"),""),""),"")))</f>
        <v/>
      </c>
      <c r="E400" s="33" t="str">
        <f>IF(H398&lt;3,"",IF(H398=3,IF(D405&lt;&gt;"",IF(H405&lt;&gt;"",IF(D405&lt;&gt;H405,IF(D405&gt;H405,"D","V"),""),""),"")))</f>
        <v/>
      </c>
      <c r="F400" s="33" t="s">
        <v>81</v>
      </c>
      <c r="G400" s="33" t="s">
        <v>81</v>
      </c>
      <c r="H400" s="117"/>
      <c r="I400" s="33" t="str">
        <f>IF(B400&lt;&gt;"",3,"")</f>
        <v/>
      </c>
      <c r="J400" s="33" t="str">
        <f>IF(I400&lt;&gt;"",P400,"")</f>
        <v/>
      </c>
      <c r="K400" s="33" t="str">
        <f>IFERROR(IF(J400="","",VLOOKUP(J400,LISTAS!$F$5:$G$1004,2,0)),"0")</f>
        <v/>
      </c>
      <c r="L400" s="130" t="str">
        <f>IF(H398=3,"BRONZE",IF(H398=4,"PRATA",IF(H398=5,"OURO","")))</f>
        <v/>
      </c>
      <c r="M400" s="20" t="str">
        <f>IF(B400&lt;&gt;"",COUNTIF(D400:G400,"V")+(SUMIF(B404:B406,B400,D404:E406)/1000)+(SUMIF(J404:J406,B400,H404:I406)/1000)-(SUMIF(B404:B406,B400,H404:I406)/1000)-(SUMIF(J404:J406,B400,D404:E406)/1000)+0.001,"")</f>
        <v/>
      </c>
      <c r="N400" s="20" t="str">
        <f>IF(B400="","",B400)</f>
        <v/>
      </c>
      <c r="O400" s="20" t="str">
        <f>IF(B400&lt;&gt;"",LARGE(M398:M400,3),"")</f>
        <v/>
      </c>
      <c r="P400" s="20" t="str">
        <f>VLOOKUP(O400,M398:N400,2,0)</f>
        <v/>
      </c>
    </row>
    <row r="401" spans="2:16" ht="18" customHeight="1" x14ac:dyDescent="0.25">
      <c r="B401" s="79"/>
      <c r="C401" s="79"/>
      <c r="D401" s="79"/>
      <c r="E401" s="79"/>
      <c r="F401" s="79"/>
      <c r="G401" s="79"/>
      <c r="I401" s="80"/>
      <c r="J401" s="79"/>
      <c r="K401" s="81"/>
      <c r="L401" s="81"/>
    </row>
    <row r="402" spans="2:16" ht="23.25" customHeight="1" x14ac:dyDescent="0.25">
      <c r="B402" s="82" t="s">
        <v>40</v>
      </c>
      <c r="C402" s="79"/>
      <c r="D402" s="79"/>
      <c r="E402" s="79"/>
      <c r="F402" s="79"/>
      <c r="G402" s="79"/>
      <c r="H402" s="79"/>
      <c r="I402" s="79"/>
      <c r="J402" s="79"/>
      <c r="K402" s="79"/>
      <c r="L402" s="79"/>
    </row>
    <row r="403" spans="2:16" ht="18" customHeight="1" x14ac:dyDescent="0.25">
      <c r="B403" s="132" t="s">
        <v>15</v>
      </c>
      <c r="C403" s="132" t="s">
        <v>0</v>
      </c>
      <c r="D403" s="258" t="s">
        <v>41</v>
      </c>
      <c r="E403" s="259"/>
      <c r="F403" s="259"/>
      <c r="G403" s="259"/>
      <c r="H403" s="259"/>
      <c r="I403" s="260"/>
      <c r="J403" s="132" t="s">
        <v>15</v>
      </c>
      <c r="K403" s="132" t="s">
        <v>0</v>
      </c>
      <c r="L403" s="79"/>
    </row>
    <row r="404" spans="2:16" ht="18" customHeight="1" x14ac:dyDescent="0.25">
      <c r="B404" s="33" t="str">
        <f>IF(H398=3,B398,"")</f>
        <v/>
      </c>
      <c r="C404" s="33" t="str">
        <f>IFERROR(IF(B404="","",VLOOKUP(B404,LISTAS!$F$5:$G$1004,2,0)),"0")</f>
        <v/>
      </c>
      <c r="D404" s="253"/>
      <c r="E404" s="254"/>
      <c r="F404" s="253" t="s">
        <v>38</v>
      </c>
      <c r="G404" s="254"/>
      <c r="H404" s="253"/>
      <c r="I404" s="254"/>
      <c r="J404" s="111" t="str">
        <f>IF(H398=3,B400,"")</f>
        <v/>
      </c>
      <c r="K404" s="33" t="str">
        <f>IFERROR(IF(J404="","",VLOOKUP(J404,LISTAS!$F$5:$G$1004,2,0)),"0")</f>
        <v/>
      </c>
      <c r="L404" s="81"/>
    </row>
    <row r="405" spans="2:16" ht="18" customHeight="1" x14ac:dyDescent="0.25">
      <c r="B405" s="33" t="str">
        <f>IF(H398=3,B399,"")</f>
        <v/>
      </c>
      <c r="C405" s="33" t="str">
        <f>IFERROR(IF(B405="","",VLOOKUP(B405,LISTAS!$F$5:$G$1004,2,0)),"0")</f>
        <v/>
      </c>
      <c r="D405" s="253"/>
      <c r="E405" s="254"/>
      <c r="F405" s="253" t="s">
        <v>38</v>
      </c>
      <c r="G405" s="254"/>
      <c r="H405" s="253"/>
      <c r="I405" s="254"/>
      <c r="J405" s="111" t="str">
        <f>IF(H398=3,B400,"")</f>
        <v/>
      </c>
      <c r="K405" s="33" t="str">
        <f>IFERROR(IF(J405="","",VLOOKUP(J405,LISTAS!$F$5:$G$1004,2,0)),"0")</f>
        <v/>
      </c>
      <c r="L405" s="79"/>
    </row>
    <row r="406" spans="2:16" ht="18" customHeight="1" x14ac:dyDescent="0.25">
      <c r="B406" s="33" t="str">
        <f>IF(H398=3,B398,"")</f>
        <v/>
      </c>
      <c r="C406" s="33" t="str">
        <f>IFERROR(IF(B406="","",VLOOKUP(B406,LISTAS!$F$5:$G$1004,2,0)),"0")</f>
        <v/>
      </c>
      <c r="D406" s="253"/>
      <c r="E406" s="254"/>
      <c r="F406" s="253" t="s">
        <v>38</v>
      </c>
      <c r="G406" s="254"/>
      <c r="H406" s="253"/>
      <c r="I406" s="254"/>
      <c r="J406" s="111" t="str">
        <f>IF(H398=3,B399,"")</f>
        <v/>
      </c>
      <c r="K406" s="33" t="str">
        <f>IFERROR(IF(J406="","",VLOOKUP(J406,LISTAS!$F$5:$G$1004,2,0)),"0")</f>
        <v/>
      </c>
      <c r="L406" s="81"/>
    </row>
    <row r="409" spans="2:16" ht="30" customHeight="1" x14ac:dyDescent="0.25">
      <c r="B409" s="161" t="s">
        <v>75</v>
      </c>
      <c r="C409" s="79"/>
      <c r="D409" s="255" t="s">
        <v>42</v>
      </c>
      <c r="E409" s="256"/>
      <c r="F409" s="256"/>
      <c r="G409" s="257"/>
      <c r="H409" s="113"/>
      <c r="I409" s="255" t="s">
        <v>3</v>
      </c>
      <c r="J409" s="256"/>
      <c r="K409" s="256"/>
      <c r="L409" s="256"/>
    </row>
    <row r="410" spans="2:16" ht="18" customHeight="1" x14ac:dyDescent="0.25">
      <c r="B410" s="132" t="s">
        <v>15</v>
      </c>
      <c r="C410" s="132" t="s">
        <v>0</v>
      </c>
      <c r="D410" s="132" t="s">
        <v>43</v>
      </c>
      <c r="E410" s="132" t="s">
        <v>44</v>
      </c>
      <c r="F410" s="132" t="s">
        <v>77</v>
      </c>
      <c r="G410" s="132" t="s">
        <v>78</v>
      </c>
      <c r="H410" s="114"/>
      <c r="I410" s="132" t="s">
        <v>18</v>
      </c>
      <c r="J410" s="132" t="s">
        <v>15</v>
      </c>
      <c r="K410" s="132" t="s">
        <v>0</v>
      </c>
      <c r="L410" s="132" t="s">
        <v>45</v>
      </c>
    </row>
    <row r="411" spans="2:16" ht="18" customHeight="1" x14ac:dyDescent="0.25">
      <c r="B411" s="33"/>
      <c r="C411" s="33" t="str">
        <f>IFERROR(IF(B411="","",VLOOKUP(B411,LISTAS!$F$5:$G$1004,2,0)),"0")</f>
        <v/>
      </c>
      <c r="D411" s="33" t="str">
        <f>IF(H411&lt;3,"",IF(H411=3,IF(D417&lt;&gt;"",IF(H417&lt;&gt;"",IF(D417&lt;&gt;H417,IF(D417&gt;H417,"V","D"),""),""),"")))</f>
        <v/>
      </c>
      <c r="E411" s="33" t="str">
        <f>IF(H411&lt;3,"",IF(H411=3,IF(D419&lt;&gt;"",IF(H419&lt;&gt;"",IF(D419&lt;&gt;H419,IF(D419&gt;H419,"V","D"),""),""),"")))</f>
        <v/>
      </c>
      <c r="F411" s="33" t="s">
        <v>81</v>
      </c>
      <c r="G411" s="33" t="s">
        <v>81</v>
      </c>
      <c r="H411" s="117">
        <f>COUNTA(B411:B413)</f>
        <v>0</v>
      </c>
      <c r="I411" s="33" t="str">
        <f>IF(B411&lt;&gt;"",1,"")</f>
        <v/>
      </c>
      <c r="J411" s="33" t="str">
        <f>IF(I411&lt;&gt;"",P411,"")</f>
        <v/>
      </c>
      <c r="K411" s="33" t="str">
        <f>IFERROR(IF(J411="","",VLOOKUP(J411,LISTAS!$F$5:$G$1004,2,0)),"0")</f>
        <v/>
      </c>
      <c r="L411" s="130" t="str">
        <f>IF(H411=3,"OURO",IF(H411=4,"OURO",IF(H411=5,"OURO","")))</f>
        <v/>
      </c>
      <c r="M411" s="20" t="str">
        <f>IF(B411&lt;&gt;"",COUNTIF(D411:G411,"V")+(SUMIF(B417:B419,B411,D417:E419)/1000)+(SUMIF(J417:J419,B411,H417:I419)/1000)-(SUMIF(B417:B419,B411,H417:I419)/1000)-(SUMIF(J417:J419,B411,D417:E419)/1000)+0.003,"")</f>
        <v/>
      </c>
      <c r="N411" s="20" t="str">
        <f>IF(B411="","",B411)</f>
        <v/>
      </c>
      <c r="O411" s="20" t="str">
        <f>IF(B411&lt;&gt;"",LARGE(M411:M413,1),"")</f>
        <v/>
      </c>
      <c r="P411" s="20" t="str">
        <f>VLOOKUP(O411,M411:N413,2,0)</f>
        <v/>
      </c>
    </row>
    <row r="412" spans="2:16" ht="18" customHeight="1" x14ac:dyDescent="0.25">
      <c r="B412" s="33"/>
      <c r="C412" s="33" t="str">
        <f>IFERROR(IF(B412="","",VLOOKUP(B412,LISTAS!$F$5:$G$1004,2,0)),"0")</f>
        <v/>
      </c>
      <c r="D412" s="33" t="str">
        <f>IF(H411&lt;3,"",IF(H411=3,IF(D418&lt;&gt;"",IF(H418&lt;&gt;"",IF(D418&lt;&gt;H418,IF(D418&gt;H418,"V","D"),""),""),"")))</f>
        <v/>
      </c>
      <c r="E412" s="33" t="str">
        <f>IF(H411&lt;3,"",IF(H411=3,IF(D419&lt;&gt;"",IF(H419&lt;&gt;"",IF(D419&lt;&gt;H419,IF(D419&gt;H419,"D","V"),""),""),"")))</f>
        <v/>
      </c>
      <c r="F412" s="33" t="s">
        <v>81</v>
      </c>
      <c r="G412" s="33" t="s">
        <v>81</v>
      </c>
      <c r="H412" s="117"/>
      <c r="I412" s="33" t="str">
        <f>IF(B412&lt;&gt;"",2,"")</f>
        <v/>
      </c>
      <c r="J412" s="33" t="str">
        <f>IF(I412&lt;&gt;"",P412,"")</f>
        <v/>
      </c>
      <c r="K412" s="33" t="str">
        <f>IFERROR(IF(J412="","",VLOOKUP(J412,LISTAS!$F$5:$G$1004,2,0)),"0")</f>
        <v/>
      </c>
      <c r="L412" s="130" t="str">
        <f>IF(H411=3,"PRATA",IF(H411=4,"OURO",IF(H411=5,"OURO","")))</f>
        <v/>
      </c>
      <c r="M412" s="20" t="str">
        <f>IF(B412&lt;&gt;"",COUNTIF(D412:G412,"V")+(SUMIF(B417:B419,B412,D417:E419)/1000)+(SUMIF(J417:J419,B412,H417:I419)/1000)-(SUMIF(B417:B419,B412,H417:I419)/1000)-(SUMIF(J417:J419,B412,D417:E419)/1000)+0.002,"")</f>
        <v/>
      </c>
      <c r="N412" s="20" t="str">
        <f t="shared" ref="N412" si="26">IF(B412="","",B412)</f>
        <v/>
      </c>
      <c r="O412" s="20" t="str">
        <f>IF(B412&lt;&gt;"",LARGE(M411:M413,2),"")</f>
        <v/>
      </c>
      <c r="P412" s="20" t="str">
        <f>VLOOKUP(O412,M411:N413,2,0)</f>
        <v/>
      </c>
    </row>
    <row r="413" spans="2:16" ht="18" customHeight="1" x14ac:dyDescent="0.25">
      <c r="B413" s="33"/>
      <c r="C413" s="33" t="str">
        <f>IFERROR(IF(B413="","",VLOOKUP(B413,LISTAS!$F$5:$G$1004,2,0)),"0")</f>
        <v/>
      </c>
      <c r="D413" s="33" t="str">
        <f>IF(H411&lt;3,"",IF(H411=3,IF(D417&lt;&gt;"",IF(H417&lt;&gt;"",IF(D417&lt;&gt;H417,IF(D417&gt;H417,"D","V"),""),""),"")))</f>
        <v/>
      </c>
      <c r="E413" s="33" t="str">
        <f>IF(H411&lt;3,"",IF(H411=3,IF(D418&lt;&gt;"",IF(H418&lt;&gt;"",IF(D418&lt;&gt;H418,IF(D418&gt;H418,"D","V"),""),""),"")))</f>
        <v/>
      </c>
      <c r="F413" s="33" t="s">
        <v>81</v>
      </c>
      <c r="G413" s="33" t="s">
        <v>81</v>
      </c>
      <c r="H413" s="117"/>
      <c r="I413" s="33" t="str">
        <f>IF(B413&lt;&gt;"",3,"")</f>
        <v/>
      </c>
      <c r="J413" s="33" t="str">
        <f>IF(I413&lt;&gt;"",P413,"")</f>
        <v/>
      </c>
      <c r="K413" s="33" t="str">
        <f>IFERROR(IF(J413="","",VLOOKUP(J413,LISTAS!$F$5:$G$1004,2,0)),"0")</f>
        <v/>
      </c>
      <c r="L413" s="130" t="str">
        <f>IF(H411=3,"BRONZE",IF(H411=4,"PRATA",IF(H411=5,"OURO","")))</f>
        <v/>
      </c>
      <c r="M413" s="20" t="str">
        <f>IF(B413&lt;&gt;"",COUNTIF(D413:G413,"V")+(SUMIF(B417:B419,B413,D417:E419)/1000)+(SUMIF(J417:J419,B413,H417:I419)/1000)-(SUMIF(B417:B419,B413,H417:I419)/1000)-(SUMIF(J417:J419,B413,D417:E419)/1000)+0.001,"")</f>
        <v/>
      </c>
      <c r="N413" s="20" t="str">
        <f>IF(B413="","",B413)</f>
        <v/>
      </c>
      <c r="O413" s="20" t="str">
        <f>IF(B413&lt;&gt;"",LARGE(M411:M413,3),"")</f>
        <v/>
      </c>
      <c r="P413" s="20" t="str">
        <f>VLOOKUP(O413,M411:N413,2,0)</f>
        <v/>
      </c>
    </row>
    <row r="414" spans="2:16" ht="18" customHeight="1" x14ac:dyDescent="0.25">
      <c r="B414" s="79"/>
      <c r="C414" s="79"/>
      <c r="D414" s="79"/>
      <c r="E414" s="79"/>
      <c r="F414" s="79"/>
      <c r="G414" s="79"/>
      <c r="I414" s="80"/>
      <c r="J414" s="79"/>
      <c r="K414" s="81"/>
      <c r="L414" s="81"/>
    </row>
    <row r="415" spans="2:16" ht="23.25" customHeight="1" x14ac:dyDescent="0.25">
      <c r="B415" s="82" t="s">
        <v>40</v>
      </c>
      <c r="C415" s="79"/>
      <c r="D415" s="79"/>
      <c r="E415" s="79"/>
      <c r="F415" s="79"/>
      <c r="G415" s="79"/>
      <c r="H415" s="79"/>
      <c r="I415" s="79"/>
      <c r="J415" s="79"/>
      <c r="K415" s="79"/>
      <c r="L415" s="79"/>
    </row>
    <row r="416" spans="2:16" ht="18" customHeight="1" x14ac:dyDescent="0.25">
      <c r="B416" s="132" t="s">
        <v>15</v>
      </c>
      <c r="C416" s="132" t="s">
        <v>0</v>
      </c>
      <c r="D416" s="258" t="s">
        <v>41</v>
      </c>
      <c r="E416" s="259"/>
      <c r="F416" s="259"/>
      <c r="G416" s="259"/>
      <c r="H416" s="259"/>
      <c r="I416" s="260"/>
      <c r="J416" s="132" t="s">
        <v>15</v>
      </c>
      <c r="K416" s="132" t="s">
        <v>0</v>
      </c>
      <c r="L416" s="79"/>
    </row>
    <row r="417" spans="2:16" ht="18" customHeight="1" x14ac:dyDescent="0.25">
      <c r="B417" s="33" t="str">
        <f>IF(H411=3,B411,"")</f>
        <v/>
      </c>
      <c r="C417" s="33" t="str">
        <f>IFERROR(IF(B417="","",VLOOKUP(B417,LISTAS!$F$5:$G$1004,2,0)),"0")</f>
        <v/>
      </c>
      <c r="D417" s="253"/>
      <c r="E417" s="254"/>
      <c r="F417" s="253" t="s">
        <v>38</v>
      </c>
      <c r="G417" s="254"/>
      <c r="H417" s="253"/>
      <c r="I417" s="254"/>
      <c r="J417" s="111" t="str">
        <f>IF(H411=3,B413,"")</f>
        <v/>
      </c>
      <c r="K417" s="33" t="str">
        <f>IFERROR(IF(J417="","",VLOOKUP(J417,LISTAS!$F$5:$G$1004,2,0)),"0")</f>
        <v/>
      </c>
      <c r="L417" s="81"/>
    </row>
    <row r="418" spans="2:16" ht="18" customHeight="1" x14ac:dyDescent="0.25">
      <c r="B418" s="33" t="str">
        <f>IF(H411=3,B412,"")</f>
        <v/>
      </c>
      <c r="C418" s="33" t="str">
        <f>IFERROR(IF(B418="","",VLOOKUP(B418,LISTAS!$F$5:$G$1004,2,0)),"0")</f>
        <v/>
      </c>
      <c r="D418" s="253"/>
      <c r="E418" s="254"/>
      <c r="F418" s="253" t="s">
        <v>38</v>
      </c>
      <c r="G418" s="254"/>
      <c r="H418" s="253"/>
      <c r="I418" s="254"/>
      <c r="J418" s="111" t="str">
        <f>IF(H411=3,B413,"")</f>
        <v/>
      </c>
      <c r="K418" s="33" t="str">
        <f>IFERROR(IF(J418="","",VLOOKUP(J418,LISTAS!$F$5:$G$1004,2,0)),"0")</f>
        <v/>
      </c>
      <c r="L418" s="79"/>
    </row>
    <row r="419" spans="2:16" ht="18" customHeight="1" x14ac:dyDescent="0.25">
      <c r="B419" s="33" t="str">
        <f>IF(H411=3,B411,"")</f>
        <v/>
      </c>
      <c r="C419" s="33" t="str">
        <f>IFERROR(IF(B419="","",VLOOKUP(B419,LISTAS!$F$5:$G$1004,2,0)),"0")</f>
        <v/>
      </c>
      <c r="D419" s="253"/>
      <c r="E419" s="254"/>
      <c r="F419" s="253" t="s">
        <v>38</v>
      </c>
      <c r="G419" s="254"/>
      <c r="H419" s="253"/>
      <c r="I419" s="254"/>
      <c r="J419" s="111" t="str">
        <f>IF(H411=3,B412,"")</f>
        <v/>
      </c>
      <c r="K419" s="33" t="str">
        <f>IFERROR(IF(J419="","",VLOOKUP(J419,LISTAS!$F$5:$G$1004,2,0)),"0")</f>
        <v/>
      </c>
      <c r="L419" s="81"/>
    </row>
    <row r="422" spans="2:16" ht="30" customHeight="1" x14ac:dyDescent="0.25">
      <c r="B422" s="161" t="s">
        <v>76</v>
      </c>
      <c r="C422" s="79"/>
      <c r="D422" s="255" t="s">
        <v>42</v>
      </c>
      <c r="E422" s="256"/>
      <c r="F422" s="256"/>
      <c r="G422" s="257"/>
      <c r="H422" s="113"/>
      <c r="I422" s="255" t="s">
        <v>3</v>
      </c>
      <c r="J422" s="256"/>
      <c r="K422" s="256"/>
      <c r="L422" s="256"/>
    </row>
    <row r="423" spans="2:16" ht="18" customHeight="1" x14ac:dyDescent="0.25">
      <c r="B423" s="132" t="s">
        <v>15</v>
      </c>
      <c r="C423" s="132" t="s">
        <v>0</v>
      </c>
      <c r="D423" s="132" t="s">
        <v>43</v>
      </c>
      <c r="E423" s="132" t="s">
        <v>44</v>
      </c>
      <c r="F423" s="132" t="s">
        <v>77</v>
      </c>
      <c r="G423" s="132" t="s">
        <v>78</v>
      </c>
      <c r="H423" s="114"/>
      <c r="I423" s="132" t="s">
        <v>18</v>
      </c>
      <c r="J423" s="132" t="s">
        <v>15</v>
      </c>
      <c r="K423" s="132" t="s">
        <v>0</v>
      </c>
      <c r="L423" s="132" t="s">
        <v>45</v>
      </c>
    </row>
    <row r="424" spans="2:16" ht="18" customHeight="1" x14ac:dyDescent="0.25">
      <c r="B424" s="33"/>
      <c r="C424" s="33" t="str">
        <f>IFERROR(IF(B424="","",VLOOKUP(B424,LISTAS!$F$5:$G$1004,2,0)),"0")</f>
        <v/>
      </c>
      <c r="D424" s="33" t="str">
        <f>IF(H424&lt;3,"",IF(H424=3,IF(D430&lt;&gt;"",IF(H430&lt;&gt;"",IF(D430&lt;&gt;H430,IF(D430&gt;H430,"V","D"),""),""),"")))</f>
        <v/>
      </c>
      <c r="E424" s="33" t="str">
        <f>IF(H424&lt;3,"",IF(H424=3,IF(D432&lt;&gt;"",IF(H432&lt;&gt;"",IF(D432&lt;&gt;H432,IF(D432&gt;H432,"V","D"),""),""),"")))</f>
        <v/>
      </c>
      <c r="F424" s="33" t="s">
        <v>81</v>
      </c>
      <c r="G424" s="33" t="s">
        <v>81</v>
      </c>
      <c r="H424" s="117">
        <f>COUNTA(B424:B426)</f>
        <v>0</v>
      </c>
      <c r="I424" s="33" t="str">
        <f>IF(B424&lt;&gt;"",1,"")</f>
        <v/>
      </c>
      <c r="J424" s="33" t="str">
        <f>IF(I424&lt;&gt;"",P424,"")</f>
        <v/>
      </c>
      <c r="K424" s="33" t="str">
        <f>IFERROR(IF(J424="","",VLOOKUP(J424,LISTAS!$F$5:$G$1004,2,0)),"0")</f>
        <v/>
      </c>
      <c r="L424" s="130" t="str">
        <f>IF(H424=3,"OURO",IF(H424=4,"OURO",IF(H424=5,"OURO","")))</f>
        <v/>
      </c>
      <c r="M424" s="20" t="str">
        <f>IF(B424&lt;&gt;"",COUNTIF(D424:G424,"V")+(SUMIF(B430:B432,B424,D430:E432)/1000)+(SUMIF(J430:J432,B424,H430:I432)/1000)-(SUMIF(B430:B432,B424,H430:I432)/1000)-(SUMIF(J430:J432,B424,D430:E432)/1000)+0.003,"")</f>
        <v/>
      </c>
      <c r="N424" s="20" t="str">
        <f>IF(B424="","",B424)</f>
        <v/>
      </c>
      <c r="O424" s="20" t="str">
        <f>IF(B424&lt;&gt;"",LARGE(M424:M426,1),"")</f>
        <v/>
      </c>
      <c r="P424" s="20" t="str">
        <f>VLOOKUP(O424,M424:N426,2,0)</f>
        <v/>
      </c>
    </row>
    <row r="425" spans="2:16" ht="18" customHeight="1" x14ac:dyDescent="0.25">
      <c r="B425" s="33"/>
      <c r="C425" s="33" t="str">
        <f>IFERROR(IF(B425="","",VLOOKUP(B425,LISTAS!$F$5:$G$1004,2,0)),"0")</f>
        <v/>
      </c>
      <c r="D425" s="33" t="str">
        <f>IF(H424&lt;3,"",IF(H424=3,IF(D431&lt;&gt;"",IF(H431&lt;&gt;"",IF(D431&lt;&gt;H431,IF(D431&gt;H431,"V","D"),""),""),"")))</f>
        <v/>
      </c>
      <c r="E425" s="33" t="str">
        <f>IF(H424&lt;3,"",IF(H424=3,IF(D432&lt;&gt;"",IF(H432&lt;&gt;"",IF(D432&lt;&gt;H432,IF(D432&gt;H432,"D","V"),""),""),"")))</f>
        <v/>
      </c>
      <c r="F425" s="33" t="s">
        <v>81</v>
      </c>
      <c r="G425" s="33" t="s">
        <v>81</v>
      </c>
      <c r="H425" s="117"/>
      <c r="I425" s="33" t="str">
        <f>IF(B425&lt;&gt;"",2,"")</f>
        <v/>
      </c>
      <c r="J425" s="33" t="str">
        <f>IF(I425&lt;&gt;"",P425,"")</f>
        <v/>
      </c>
      <c r="K425" s="33" t="str">
        <f>IFERROR(IF(J425="","",VLOOKUP(J425,LISTAS!$F$5:$G$1004,2,0)),"0")</f>
        <v/>
      </c>
      <c r="L425" s="130" t="str">
        <f>IF(H424=3,"PRATA",IF(H424=4,"OURO",IF(H424=5,"OURO","")))</f>
        <v/>
      </c>
      <c r="M425" s="20" t="str">
        <f>IF(B425&lt;&gt;"",COUNTIF(D425:G425,"V")+(SUMIF(B430:B432,B425,D430:E432)/1000)+(SUMIF(J430:J432,B425,H430:I432)/1000)-(SUMIF(B430:B432,B425,H430:I432)/1000)-(SUMIF(J430:J432,B425,D430:E432)/1000)+0.002,"")</f>
        <v/>
      </c>
      <c r="N425" s="20" t="str">
        <f t="shared" ref="N425" si="27">IF(B425="","",B425)</f>
        <v/>
      </c>
      <c r="O425" s="20" t="str">
        <f>IF(B425&lt;&gt;"",LARGE(M424:M426,2),"")</f>
        <v/>
      </c>
      <c r="P425" s="20" t="str">
        <f>VLOOKUP(O425,M424:N426,2,0)</f>
        <v/>
      </c>
    </row>
    <row r="426" spans="2:16" ht="18" customHeight="1" x14ac:dyDescent="0.25">
      <c r="B426" s="33"/>
      <c r="C426" s="33" t="str">
        <f>IFERROR(IF(B426="","",VLOOKUP(B426,LISTAS!$F$5:$G$1004,2,0)),"0")</f>
        <v/>
      </c>
      <c r="D426" s="33" t="str">
        <f>IF(H424&lt;3,"",IF(H424=3,IF(D430&lt;&gt;"",IF(H430&lt;&gt;"",IF(D430&lt;&gt;H430,IF(D430&gt;H430,"D","V"),""),""),"")))</f>
        <v/>
      </c>
      <c r="E426" s="33" t="str">
        <f>IF(H424&lt;3,"",IF(H424=3,IF(D431&lt;&gt;"",IF(H431&lt;&gt;"",IF(D431&lt;&gt;H431,IF(D431&gt;H431,"D","V"),""),""),"")))</f>
        <v/>
      </c>
      <c r="F426" s="33" t="s">
        <v>81</v>
      </c>
      <c r="G426" s="33" t="s">
        <v>81</v>
      </c>
      <c r="H426" s="117"/>
      <c r="I426" s="33" t="str">
        <f>IF(B426&lt;&gt;"",3,"")</f>
        <v/>
      </c>
      <c r="J426" s="33" t="str">
        <f>IF(I426&lt;&gt;"",P426,"")</f>
        <v/>
      </c>
      <c r="K426" s="33" t="str">
        <f>IFERROR(IF(J426="","",VLOOKUP(J426,LISTAS!$F$5:$G$1004,2,0)),"0")</f>
        <v/>
      </c>
      <c r="L426" s="130" t="str">
        <f>IF(H424=3,"BRONZE",IF(H424=4,"PRATA",IF(H424=5,"OURO","")))</f>
        <v/>
      </c>
      <c r="M426" s="20" t="str">
        <f>IF(B426&lt;&gt;"",COUNTIF(D426:G426,"V")+(SUMIF(B430:B432,B426,D430:E432)/1000)+(SUMIF(J430:J432,B426,H430:I432)/1000)-(SUMIF(B430:B432,B426,H430:I432)/1000)-(SUMIF(J430:J432,B426,D430:E432)/1000)+0.001,"")</f>
        <v/>
      </c>
      <c r="N426" s="20" t="str">
        <f>IF(B426="","",B426)</f>
        <v/>
      </c>
      <c r="O426" s="20" t="str">
        <f>IF(B426&lt;&gt;"",LARGE(M424:M426,3),"")</f>
        <v/>
      </c>
      <c r="P426" s="20" t="str">
        <f>VLOOKUP(O426,M424:N426,2,0)</f>
        <v/>
      </c>
    </row>
    <row r="427" spans="2:16" ht="18" customHeight="1" x14ac:dyDescent="0.25">
      <c r="B427" s="79"/>
      <c r="C427" s="79"/>
      <c r="D427" s="79"/>
      <c r="E427" s="79"/>
      <c r="F427" s="79"/>
      <c r="G427" s="79"/>
      <c r="I427" s="80"/>
      <c r="J427" s="79"/>
      <c r="K427" s="81"/>
      <c r="L427" s="81"/>
    </row>
    <row r="428" spans="2:16" ht="23.25" customHeight="1" x14ac:dyDescent="0.25">
      <c r="B428" s="82" t="s">
        <v>40</v>
      </c>
      <c r="C428" s="79"/>
      <c r="D428" s="79"/>
      <c r="E428" s="79"/>
      <c r="F428" s="79"/>
      <c r="G428" s="79"/>
      <c r="H428" s="79"/>
      <c r="I428" s="79"/>
      <c r="J428" s="79"/>
      <c r="K428" s="79"/>
      <c r="L428" s="79"/>
    </row>
    <row r="429" spans="2:16" ht="18" customHeight="1" x14ac:dyDescent="0.25">
      <c r="B429" s="132" t="s">
        <v>15</v>
      </c>
      <c r="C429" s="132" t="s">
        <v>0</v>
      </c>
      <c r="D429" s="258" t="s">
        <v>41</v>
      </c>
      <c r="E429" s="259"/>
      <c r="F429" s="259"/>
      <c r="G429" s="259"/>
      <c r="H429" s="259"/>
      <c r="I429" s="260"/>
      <c r="J429" s="132" t="s">
        <v>15</v>
      </c>
      <c r="K429" s="132" t="s">
        <v>0</v>
      </c>
      <c r="L429" s="79"/>
    </row>
    <row r="430" spans="2:16" ht="18" customHeight="1" x14ac:dyDescent="0.25">
      <c r="B430" s="33" t="str">
        <f>IF(H424=3,B424,"")</f>
        <v/>
      </c>
      <c r="C430" s="33" t="str">
        <f>IFERROR(IF(B430="","",VLOOKUP(B430,LISTAS!$F$5:$G$1004,2,0)),"0")</f>
        <v/>
      </c>
      <c r="D430" s="253"/>
      <c r="E430" s="254"/>
      <c r="F430" s="253" t="s">
        <v>38</v>
      </c>
      <c r="G430" s="254"/>
      <c r="H430" s="253"/>
      <c r="I430" s="254"/>
      <c r="J430" s="111" t="str">
        <f>IF(H424=3,B426,"")</f>
        <v/>
      </c>
      <c r="K430" s="33" t="str">
        <f>IFERROR(IF(J430="","",VLOOKUP(J430,LISTAS!$F$5:$G$1004,2,0)),"0")</f>
        <v/>
      </c>
      <c r="L430" s="81"/>
    </row>
    <row r="431" spans="2:16" ht="18" customHeight="1" x14ac:dyDescent="0.25">
      <c r="B431" s="33" t="str">
        <f>IF(H424=3,B425,"")</f>
        <v/>
      </c>
      <c r="C431" s="33" t="str">
        <f>IFERROR(IF(B431="","",VLOOKUP(B431,LISTAS!$F$5:$G$1004,2,0)),"0")</f>
        <v/>
      </c>
      <c r="D431" s="253"/>
      <c r="E431" s="254"/>
      <c r="F431" s="253" t="s">
        <v>38</v>
      </c>
      <c r="G431" s="254"/>
      <c r="H431" s="253"/>
      <c r="I431" s="254"/>
      <c r="J431" s="111" t="str">
        <f>IF(H424=3,B426,"")</f>
        <v/>
      </c>
      <c r="K431" s="33" t="str">
        <f>IFERROR(IF(J431="","",VLOOKUP(J431,LISTAS!$F$5:$G$1004,2,0)),"0")</f>
        <v/>
      </c>
      <c r="L431" s="79"/>
    </row>
    <row r="432" spans="2:16" ht="18" customHeight="1" x14ac:dyDescent="0.25">
      <c r="B432" s="33" t="str">
        <f>IF(H424=3,B424,"")</f>
        <v/>
      </c>
      <c r="C432" s="33" t="str">
        <f>IFERROR(IF(B432="","",VLOOKUP(B432,LISTAS!$F$5:$G$1004,2,0)),"0")</f>
        <v/>
      </c>
      <c r="D432" s="253"/>
      <c r="E432" s="254"/>
      <c r="F432" s="253" t="s">
        <v>38</v>
      </c>
      <c r="G432" s="254"/>
      <c r="H432" s="253"/>
      <c r="I432" s="254"/>
      <c r="J432" s="111" t="str">
        <f>IF(H424=3,B425,"")</f>
        <v/>
      </c>
      <c r="K432" s="33" t="str">
        <f>IFERROR(IF(J432="","",VLOOKUP(J432,LISTAS!$F$5:$G$1004,2,0)),"0")</f>
        <v/>
      </c>
      <c r="L432" s="81"/>
    </row>
  </sheetData>
  <mergeCells count="416">
    <mergeCell ref="B2:L4"/>
    <mergeCell ref="C5:F5"/>
    <mergeCell ref="D6:G6"/>
    <mergeCell ref="I6:L6"/>
    <mergeCell ref="D15:I15"/>
    <mergeCell ref="D16:E16"/>
    <mergeCell ref="F16:G16"/>
    <mergeCell ref="H16:I16"/>
    <mergeCell ref="D19:E19"/>
    <mergeCell ref="F19:G19"/>
    <mergeCell ref="H19:I19"/>
    <mergeCell ref="D20:E20"/>
    <mergeCell ref="F20:G20"/>
    <mergeCell ref="H20:I20"/>
    <mergeCell ref="D17:E17"/>
    <mergeCell ref="F17:G17"/>
    <mergeCell ref="H17:I17"/>
    <mergeCell ref="D18:E18"/>
    <mergeCell ref="F18:G18"/>
    <mergeCell ref="H18:I18"/>
    <mergeCell ref="D23:E23"/>
    <mergeCell ref="F23:G23"/>
    <mergeCell ref="H23:I23"/>
    <mergeCell ref="D24:E24"/>
    <mergeCell ref="F24:G24"/>
    <mergeCell ref="H24:I24"/>
    <mergeCell ref="D21:E21"/>
    <mergeCell ref="F21:G21"/>
    <mergeCell ref="H21:I21"/>
    <mergeCell ref="D22:E22"/>
    <mergeCell ref="F22:G22"/>
    <mergeCell ref="H22:I22"/>
    <mergeCell ref="D37:E37"/>
    <mergeCell ref="F37:G37"/>
    <mergeCell ref="H37:I37"/>
    <mergeCell ref="D38:E38"/>
    <mergeCell ref="F38:G38"/>
    <mergeCell ref="H38:I38"/>
    <mergeCell ref="D25:E25"/>
    <mergeCell ref="F25:G25"/>
    <mergeCell ref="H25:I25"/>
    <mergeCell ref="D28:G28"/>
    <mergeCell ref="I28:L28"/>
    <mergeCell ref="D36:I36"/>
    <mergeCell ref="D41:E41"/>
    <mergeCell ref="F41:G41"/>
    <mergeCell ref="H41:I41"/>
    <mergeCell ref="D42:E42"/>
    <mergeCell ref="F42:G42"/>
    <mergeCell ref="H42:I42"/>
    <mergeCell ref="D39:E39"/>
    <mergeCell ref="F39:G39"/>
    <mergeCell ref="H39:I39"/>
    <mergeCell ref="D40:E40"/>
    <mergeCell ref="F40:G40"/>
    <mergeCell ref="H40:I40"/>
    <mergeCell ref="D54:E54"/>
    <mergeCell ref="F54:G54"/>
    <mergeCell ref="H54:I54"/>
    <mergeCell ref="D55:E55"/>
    <mergeCell ref="F55:G55"/>
    <mergeCell ref="H55:I55"/>
    <mergeCell ref="D45:G45"/>
    <mergeCell ref="I45:L45"/>
    <mergeCell ref="D52:I52"/>
    <mergeCell ref="D53:E53"/>
    <mergeCell ref="F53:G53"/>
    <mergeCell ref="H53:I53"/>
    <mergeCell ref="D67:E67"/>
    <mergeCell ref="F67:G67"/>
    <mergeCell ref="H67:I67"/>
    <mergeCell ref="D68:E68"/>
    <mergeCell ref="F68:G68"/>
    <mergeCell ref="H68:I68"/>
    <mergeCell ref="D58:G58"/>
    <mergeCell ref="I58:L58"/>
    <mergeCell ref="D65:I65"/>
    <mergeCell ref="D66:E66"/>
    <mergeCell ref="F66:G66"/>
    <mergeCell ref="H66:I66"/>
    <mergeCell ref="D80:E80"/>
    <mergeCell ref="F80:G80"/>
    <mergeCell ref="H80:I80"/>
    <mergeCell ref="D81:E81"/>
    <mergeCell ref="F81:G81"/>
    <mergeCell ref="H81:I81"/>
    <mergeCell ref="D71:G71"/>
    <mergeCell ref="I71:L71"/>
    <mergeCell ref="D78:I78"/>
    <mergeCell ref="D79:E79"/>
    <mergeCell ref="F79:G79"/>
    <mergeCell ref="H79:I79"/>
    <mergeCell ref="D93:E93"/>
    <mergeCell ref="F93:G93"/>
    <mergeCell ref="H93:I93"/>
    <mergeCell ref="D94:E94"/>
    <mergeCell ref="F94:G94"/>
    <mergeCell ref="H94:I94"/>
    <mergeCell ref="D84:G84"/>
    <mergeCell ref="I84:L84"/>
    <mergeCell ref="D91:I91"/>
    <mergeCell ref="D92:E92"/>
    <mergeCell ref="F92:G92"/>
    <mergeCell ref="H92:I92"/>
    <mergeCell ref="D106:E106"/>
    <mergeCell ref="F106:G106"/>
    <mergeCell ref="H106:I106"/>
    <mergeCell ref="D107:E107"/>
    <mergeCell ref="F107:G107"/>
    <mergeCell ref="H107:I107"/>
    <mergeCell ref="D97:G97"/>
    <mergeCell ref="I97:L97"/>
    <mergeCell ref="D104:I104"/>
    <mergeCell ref="D105:E105"/>
    <mergeCell ref="F105:G105"/>
    <mergeCell ref="H105:I105"/>
    <mergeCell ref="D119:E119"/>
    <mergeCell ref="F119:G119"/>
    <mergeCell ref="H119:I119"/>
    <mergeCell ref="D120:E120"/>
    <mergeCell ref="F120:G120"/>
    <mergeCell ref="H120:I120"/>
    <mergeCell ref="D110:G110"/>
    <mergeCell ref="I110:L110"/>
    <mergeCell ref="D117:I117"/>
    <mergeCell ref="D118:E118"/>
    <mergeCell ref="F118:G118"/>
    <mergeCell ref="H118:I118"/>
    <mergeCell ref="D132:E132"/>
    <mergeCell ref="F132:G132"/>
    <mergeCell ref="H132:I132"/>
    <mergeCell ref="D133:E133"/>
    <mergeCell ref="F133:G133"/>
    <mergeCell ref="H133:I133"/>
    <mergeCell ref="D123:G123"/>
    <mergeCell ref="I123:L123"/>
    <mergeCell ref="D130:I130"/>
    <mergeCell ref="D131:E131"/>
    <mergeCell ref="F131:G131"/>
    <mergeCell ref="H131:I131"/>
    <mergeCell ref="D145:E145"/>
    <mergeCell ref="F145:G145"/>
    <mergeCell ref="H145:I145"/>
    <mergeCell ref="D146:E146"/>
    <mergeCell ref="F146:G146"/>
    <mergeCell ref="H146:I146"/>
    <mergeCell ref="D136:G136"/>
    <mergeCell ref="I136:L136"/>
    <mergeCell ref="D143:I143"/>
    <mergeCell ref="D144:E144"/>
    <mergeCell ref="F144:G144"/>
    <mergeCell ref="H144:I144"/>
    <mergeCell ref="D158:E158"/>
    <mergeCell ref="F158:G158"/>
    <mergeCell ref="H158:I158"/>
    <mergeCell ref="D159:E159"/>
    <mergeCell ref="F159:G159"/>
    <mergeCell ref="H159:I159"/>
    <mergeCell ref="D149:G149"/>
    <mergeCell ref="I149:L149"/>
    <mergeCell ref="D156:I156"/>
    <mergeCell ref="D157:E157"/>
    <mergeCell ref="F157:G157"/>
    <mergeCell ref="H157:I157"/>
    <mergeCell ref="D171:E171"/>
    <mergeCell ref="F171:G171"/>
    <mergeCell ref="H171:I171"/>
    <mergeCell ref="D172:E172"/>
    <mergeCell ref="F172:G172"/>
    <mergeCell ref="H172:I172"/>
    <mergeCell ref="D162:G162"/>
    <mergeCell ref="I162:L162"/>
    <mergeCell ref="D169:I169"/>
    <mergeCell ref="D170:E170"/>
    <mergeCell ref="F170:G170"/>
    <mergeCell ref="H170:I170"/>
    <mergeCell ref="D184:E184"/>
    <mergeCell ref="F184:G184"/>
    <mergeCell ref="H184:I184"/>
    <mergeCell ref="D185:E185"/>
    <mergeCell ref="F185:G185"/>
    <mergeCell ref="H185:I185"/>
    <mergeCell ref="D175:G175"/>
    <mergeCell ref="I175:L175"/>
    <mergeCell ref="D182:I182"/>
    <mergeCell ref="D183:E183"/>
    <mergeCell ref="F183:G183"/>
    <mergeCell ref="H183:I183"/>
    <mergeCell ref="D197:E197"/>
    <mergeCell ref="F197:G197"/>
    <mergeCell ref="H197:I197"/>
    <mergeCell ref="D198:E198"/>
    <mergeCell ref="F198:G198"/>
    <mergeCell ref="H198:I198"/>
    <mergeCell ref="D188:G188"/>
    <mergeCell ref="I188:L188"/>
    <mergeCell ref="D195:I195"/>
    <mergeCell ref="D196:E196"/>
    <mergeCell ref="F196:G196"/>
    <mergeCell ref="H196:I196"/>
    <mergeCell ref="D210:E210"/>
    <mergeCell ref="F210:G210"/>
    <mergeCell ref="H210:I210"/>
    <mergeCell ref="D211:E211"/>
    <mergeCell ref="F211:G211"/>
    <mergeCell ref="H211:I211"/>
    <mergeCell ref="D201:G201"/>
    <mergeCell ref="I201:L201"/>
    <mergeCell ref="D208:I208"/>
    <mergeCell ref="D209:E209"/>
    <mergeCell ref="F209:G209"/>
    <mergeCell ref="H209:I209"/>
    <mergeCell ref="D223:E223"/>
    <mergeCell ref="F223:G223"/>
    <mergeCell ref="H223:I223"/>
    <mergeCell ref="D224:E224"/>
    <mergeCell ref="F224:G224"/>
    <mergeCell ref="H224:I224"/>
    <mergeCell ref="D214:G214"/>
    <mergeCell ref="I214:L214"/>
    <mergeCell ref="D221:I221"/>
    <mergeCell ref="D222:E222"/>
    <mergeCell ref="F222:G222"/>
    <mergeCell ref="H222:I222"/>
    <mergeCell ref="D236:E236"/>
    <mergeCell ref="F236:G236"/>
    <mergeCell ref="H236:I236"/>
    <mergeCell ref="D237:E237"/>
    <mergeCell ref="F237:G237"/>
    <mergeCell ref="H237:I237"/>
    <mergeCell ref="D227:G227"/>
    <mergeCell ref="I227:L227"/>
    <mergeCell ref="D234:I234"/>
    <mergeCell ref="D235:E235"/>
    <mergeCell ref="F235:G235"/>
    <mergeCell ref="H235:I235"/>
    <mergeCell ref="D249:E249"/>
    <mergeCell ref="F249:G249"/>
    <mergeCell ref="H249:I249"/>
    <mergeCell ref="D250:E250"/>
    <mergeCell ref="F250:G250"/>
    <mergeCell ref="H250:I250"/>
    <mergeCell ref="D240:G240"/>
    <mergeCell ref="I240:L240"/>
    <mergeCell ref="D247:I247"/>
    <mergeCell ref="D248:E248"/>
    <mergeCell ref="F248:G248"/>
    <mergeCell ref="H248:I248"/>
    <mergeCell ref="D262:E262"/>
    <mergeCell ref="F262:G262"/>
    <mergeCell ref="H262:I262"/>
    <mergeCell ref="D263:E263"/>
    <mergeCell ref="F263:G263"/>
    <mergeCell ref="H263:I263"/>
    <mergeCell ref="D253:G253"/>
    <mergeCell ref="I253:L253"/>
    <mergeCell ref="D260:I260"/>
    <mergeCell ref="D261:E261"/>
    <mergeCell ref="F261:G261"/>
    <mergeCell ref="H261:I261"/>
    <mergeCell ref="D275:E275"/>
    <mergeCell ref="F275:G275"/>
    <mergeCell ref="H275:I275"/>
    <mergeCell ref="D276:E276"/>
    <mergeCell ref="F276:G276"/>
    <mergeCell ref="H276:I276"/>
    <mergeCell ref="D266:G266"/>
    <mergeCell ref="I266:L266"/>
    <mergeCell ref="D273:I273"/>
    <mergeCell ref="D274:E274"/>
    <mergeCell ref="F274:G274"/>
    <mergeCell ref="H274:I274"/>
    <mergeCell ref="D288:E288"/>
    <mergeCell ref="F288:G288"/>
    <mergeCell ref="H288:I288"/>
    <mergeCell ref="D289:E289"/>
    <mergeCell ref="F289:G289"/>
    <mergeCell ref="H289:I289"/>
    <mergeCell ref="D279:G279"/>
    <mergeCell ref="I279:L279"/>
    <mergeCell ref="D286:I286"/>
    <mergeCell ref="D287:E287"/>
    <mergeCell ref="F287:G287"/>
    <mergeCell ref="H287:I287"/>
    <mergeCell ref="D301:E301"/>
    <mergeCell ref="F301:G301"/>
    <mergeCell ref="H301:I301"/>
    <mergeCell ref="D302:E302"/>
    <mergeCell ref="F302:G302"/>
    <mergeCell ref="H302:I302"/>
    <mergeCell ref="D292:G292"/>
    <mergeCell ref="I292:L292"/>
    <mergeCell ref="D299:I299"/>
    <mergeCell ref="D300:E300"/>
    <mergeCell ref="F300:G300"/>
    <mergeCell ref="H300:I300"/>
    <mergeCell ref="D314:E314"/>
    <mergeCell ref="F314:G314"/>
    <mergeCell ref="H314:I314"/>
    <mergeCell ref="D315:E315"/>
    <mergeCell ref="F315:G315"/>
    <mergeCell ref="H315:I315"/>
    <mergeCell ref="D305:G305"/>
    <mergeCell ref="I305:L305"/>
    <mergeCell ref="D312:I312"/>
    <mergeCell ref="D313:E313"/>
    <mergeCell ref="F313:G313"/>
    <mergeCell ref="H313:I313"/>
    <mergeCell ref="D327:E327"/>
    <mergeCell ref="F327:G327"/>
    <mergeCell ref="H327:I327"/>
    <mergeCell ref="D328:E328"/>
    <mergeCell ref="F328:G328"/>
    <mergeCell ref="H328:I328"/>
    <mergeCell ref="D318:G318"/>
    <mergeCell ref="I318:L318"/>
    <mergeCell ref="D325:I325"/>
    <mergeCell ref="D326:E326"/>
    <mergeCell ref="F326:G326"/>
    <mergeCell ref="H326:I326"/>
    <mergeCell ref="D340:E340"/>
    <mergeCell ref="F340:G340"/>
    <mergeCell ref="H340:I340"/>
    <mergeCell ref="D341:E341"/>
    <mergeCell ref="F341:G341"/>
    <mergeCell ref="H341:I341"/>
    <mergeCell ref="D331:G331"/>
    <mergeCell ref="I331:L331"/>
    <mergeCell ref="D338:I338"/>
    <mergeCell ref="D339:E339"/>
    <mergeCell ref="F339:G339"/>
    <mergeCell ref="H339:I339"/>
    <mergeCell ref="D353:E353"/>
    <mergeCell ref="F353:G353"/>
    <mergeCell ref="H353:I353"/>
    <mergeCell ref="D354:E354"/>
    <mergeCell ref="F354:G354"/>
    <mergeCell ref="H354:I354"/>
    <mergeCell ref="D344:G344"/>
    <mergeCell ref="I344:L344"/>
    <mergeCell ref="D351:I351"/>
    <mergeCell ref="D352:E352"/>
    <mergeCell ref="F352:G352"/>
    <mergeCell ref="H352:I352"/>
    <mergeCell ref="D366:E366"/>
    <mergeCell ref="F366:G366"/>
    <mergeCell ref="H366:I366"/>
    <mergeCell ref="D367:E367"/>
    <mergeCell ref="F367:G367"/>
    <mergeCell ref="H367:I367"/>
    <mergeCell ref="D357:G357"/>
    <mergeCell ref="I357:L357"/>
    <mergeCell ref="D364:I364"/>
    <mergeCell ref="D365:E365"/>
    <mergeCell ref="F365:G365"/>
    <mergeCell ref="H365:I365"/>
    <mergeCell ref="D379:E379"/>
    <mergeCell ref="F379:G379"/>
    <mergeCell ref="H379:I379"/>
    <mergeCell ref="D380:E380"/>
    <mergeCell ref="F380:G380"/>
    <mergeCell ref="H380:I380"/>
    <mergeCell ref="D370:G370"/>
    <mergeCell ref="I370:L370"/>
    <mergeCell ref="D377:I377"/>
    <mergeCell ref="D378:E378"/>
    <mergeCell ref="F378:G378"/>
    <mergeCell ref="H378:I378"/>
    <mergeCell ref="D392:E392"/>
    <mergeCell ref="F392:G392"/>
    <mergeCell ref="H392:I392"/>
    <mergeCell ref="D393:E393"/>
    <mergeCell ref="F393:G393"/>
    <mergeCell ref="H393:I393"/>
    <mergeCell ref="D383:G383"/>
    <mergeCell ref="I383:L383"/>
    <mergeCell ref="D390:I390"/>
    <mergeCell ref="D391:E391"/>
    <mergeCell ref="F391:G391"/>
    <mergeCell ref="H391:I391"/>
    <mergeCell ref="D405:E405"/>
    <mergeCell ref="F405:G405"/>
    <mergeCell ref="H405:I405"/>
    <mergeCell ref="D406:E406"/>
    <mergeCell ref="F406:G406"/>
    <mergeCell ref="H406:I406"/>
    <mergeCell ref="D396:G396"/>
    <mergeCell ref="I396:L396"/>
    <mergeCell ref="D403:I403"/>
    <mergeCell ref="D404:E404"/>
    <mergeCell ref="F404:G404"/>
    <mergeCell ref="H404:I404"/>
    <mergeCell ref="D418:E418"/>
    <mergeCell ref="F418:G418"/>
    <mergeCell ref="H418:I418"/>
    <mergeCell ref="D419:E419"/>
    <mergeCell ref="F419:G419"/>
    <mergeCell ref="H419:I419"/>
    <mergeCell ref="D409:G409"/>
    <mergeCell ref="I409:L409"/>
    <mergeCell ref="D416:I416"/>
    <mergeCell ref="D417:E417"/>
    <mergeCell ref="F417:G417"/>
    <mergeCell ref="H417:I417"/>
    <mergeCell ref="D431:E431"/>
    <mergeCell ref="F431:G431"/>
    <mergeCell ref="H431:I431"/>
    <mergeCell ref="D432:E432"/>
    <mergeCell ref="F432:G432"/>
    <mergeCell ref="H432:I432"/>
    <mergeCell ref="D422:G422"/>
    <mergeCell ref="I422:L422"/>
    <mergeCell ref="D429:I429"/>
    <mergeCell ref="D430:E430"/>
    <mergeCell ref="F430:G430"/>
    <mergeCell ref="H430:I430"/>
  </mergeCells>
  <conditionalFormatting sqref="L8:L12">
    <cfRule type="cellIs" dxfId="287" priority="94" operator="equal">
      <formula>"BRONZE"</formula>
    </cfRule>
    <cfRule type="cellIs" dxfId="286" priority="95" operator="equal">
      <formula>"PRATA"</formula>
    </cfRule>
    <cfRule type="containsText" dxfId="285" priority="96" operator="containsText" text="OURO">
      <formula>NOT(ISERROR(SEARCH("OURO",L8)))</formula>
    </cfRule>
  </conditionalFormatting>
  <conditionalFormatting sqref="L30:L33">
    <cfRule type="cellIs" dxfId="284" priority="91" operator="equal">
      <formula>"BRONZE"</formula>
    </cfRule>
    <cfRule type="cellIs" dxfId="283" priority="92" operator="equal">
      <formula>"PRATA"</formula>
    </cfRule>
    <cfRule type="containsText" dxfId="282" priority="93" operator="containsText" text="OURO">
      <formula>NOT(ISERROR(SEARCH("OURO",L30)))</formula>
    </cfRule>
  </conditionalFormatting>
  <conditionalFormatting sqref="L47:L49">
    <cfRule type="cellIs" dxfId="281" priority="88" operator="equal">
      <formula>"BRONZE"</formula>
    </cfRule>
    <cfRule type="cellIs" dxfId="280" priority="89" operator="equal">
      <formula>"PRATA"</formula>
    </cfRule>
    <cfRule type="containsText" dxfId="279" priority="90" operator="containsText" text="OURO">
      <formula>NOT(ISERROR(SEARCH("OURO",L47)))</formula>
    </cfRule>
  </conditionalFormatting>
  <conditionalFormatting sqref="L60:L62">
    <cfRule type="cellIs" dxfId="278" priority="85" operator="equal">
      <formula>"BRONZE"</formula>
    </cfRule>
    <cfRule type="cellIs" dxfId="277" priority="86" operator="equal">
      <formula>"PRATA"</formula>
    </cfRule>
    <cfRule type="containsText" dxfId="276" priority="87" operator="containsText" text="OURO">
      <formula>NOT(ISERROR(SEARCH("OURO",L60)))</formula>
    </cfRule>
  </conditionalFormatting>
  <conditionalFormatting sqref="L73:L75">
    <cfRule type="cellIs" dxfId="275" priority="82" operator="equal">
      <formula>"BRONZE"</formula>
    </cfRule>
    <cfRule type="cellIs" dxfId="274" priority="83" operator="equal">
      <formula>"PRATA"</formula>
    </cfRule>
    <cfRule type="containsText" dxfId="273" priority="84" operator="containsText" text="OURO">
      <formula>NOT(ISERROR(SEARCH("OURO",L73)))</formula>
    </cfRule>
  </conditionalFormatting>
  <conditionalFormatting sqref="L86:L88">
    <cfRule type="cellIs" dxfId="272" priority="79" operator="equal">
      <formula>"BRONZE"</formula>
    </cfRule>
    <cfRule type="cellIs" dxfId="271" priority="80" operator="equal">
      <formula>"PRATA"</formula>
    </cfRule>
    <cfRule type="containsText" dxfId="270" priority="81" operator="containsText" text="OURO">
      <formula>NOT(ISERROR(SEARCH("OURO",L86)))</formula>
    </cfRule>
  </conditionalFormatting>
  <conditionalFormatting sqref="L99:L101">
    <cfRule type="cellIs" dxfId="269" priority="76" operator="equal">
      <formula>"BRONZE"</formula>
    </cfRule>
    <cfRule type="cellIs" dxfId="268" priority="77" operator="equal">
      <formula>"PRATA"</formula>
    </cfRule>
    <cfRule type="containsText" dxfId="267" priority="78" operator="containsText" text="OURO">
      <formula>NOT(ISERROR(SEARCH("OURO",L99)))</formula>
    </cfRule>
  </conditionalFormatting>
  <conditionalFormatting sqref="L112:L114">
    <cfRule type="cellIs" dxfId="266" priority="73" operator="equal">
      <formula>"BRONZE"</formula>
    </cfRule>
    <cfRule type="cellIs" dxfId="265" priority="74" operator="equal">
      <formula>"PRATA"</formula>
    </cfRule>
    <cfRule type="containsText" dxfId="264" priority="75" operator="containsText" text="OURO">
      <formula>NOT(ISERROR(SEARCH("OURO",L112)))</formula>
    </cfRule>
  </conditionalFormatting>
  <conditionalFormatting sqref="L125:L127">
    <cfRule type="cellIs" dxfId="263" priority="70" operator="equal">
      <formula>"BRONZE"</formula>
    </cfRule>
    <cfRule type="cellIs" dxfId="262" priority="71" operator="equal">
      <formula>"PRATA"</formula>
    </cfRule>
    <cfRule type="containsText" dxfId="261" priority="72" operator="containsText" text="OURO">
      <formula>NOT(ISERROR(SEARCH("OURO",L125)))</formula>
    </cfRule>
  </conditionalFormatting>
  <conditionalFormatting sqref="L138:L140">
    <cfRule type="cellIs" dxfId="260" priority="67" operator="equal">
      <formula>"BRONZE"</formula>
    </cfRule>
    <cfRule type="cellIs" dxfId="259" priority="68" operator="equal">
      <formula>"PRATA"</formula>
    </cfRule>
    <cfRule type="containsText" dxfId="258" priority="69" operator="containsText" text="OURO">
      <formula>NOT(ISERROR(SEARCH("OURO",L138)))</formula>
    </cfRule>
  </conditionalFormatting>
  <conditionalFormatting sqref="L151:L153">
    <cfRule type="cellIs" dxfId="257" priority="64" operator="equal">
      <formula>"BRONZE"</formula>
    </cfRule>
    <cfRule type="cellIs" dxfId="256" priority="65" operator="equal">
      <formula>"PRATA"</formula>
    </cfRule>
    <cfRule type="containsText" dxfId="255" priority="66" operator="containsText" text="OURO">
      <formula>NOT(ISERROR(SEARCH("OURO",L151)))</formula>
    </cfRule>
  </conditionalFormatting>
  <conditionalFormatting sqref="L164:L166">
    <cfRule type="cellIs" dxfId="254" priority="61" operator="equal">
      <formula>"BRONZE"</formula>
    </cfRule>
    <cfRule type="cellIs" dxfId="253" priority="62" operator="equal">
      <formula>"PRATA"</formula>
    </cfRule>
    <cfRule type="containsText" dxfId="252" priority="63" operator="containsText" text="OURO">
      <formula>NOT(ISERROR(SEARCH("OURO",L164)))</formula>
    </cfRule>
  </conditionalFormatting>
  <conditionalFormatting sqref="L177:L179">
    <cfRule type="cellIs" dxfId="251" priority="58" operator="equal">
      <formula>"BRONZE"</formula>
    </cfRule>
    <cfRule type="cellIs" dxfId="250" priority="59" operator="equal">
      <formula>"PRATA"</formula>
    </cfRule>
    <cfRule type="containsText" dxfId="249" priority="60" operator="containsText" text="OURO">
      <formula>NOT(ISERROR(SEARCH("OURO",L177)))</formula>
    </cfRule>
  </conditionalFormatting>
  <conditionalFormatting sqref="L190:L192">
    <cfRule type="cellIs" dxfId="248" priority="55" operator="equal">
      <formula>"BRONZE"</formula>
    </cfRule>
    <cfRule type="cellIs" dxfId="247" priority="56" operator="equal">
      <formula>"PRATA"</formula>
    </cfRule>
    <cfRule type="containsText" dxfId="246" priority="57" operator="containsText" text="OURO">
      <formula>NOT(ISERROR(SEARCH("OURO",L190)))</formula>
    </cfRule>
  </conditionalFormatting>
  <conditionalFormatting sqref="L203:L205">
    <cfRule type="cellIs" dxfId="245" priority="52" operator="equal">
      <formula>"BRONZE"</formula>
    </cfRule>
    <cfRule type="cellIs" dxfId="244" priority="53" operator="equal">
      <formula>"PRATA"</formula>
    </cfRule>
    <cfRule type="containsText" dxfId="243" priority="54" operator="containsText" text="OURO">
      <formula>NOT(ISERROR(SEARCH("OURO",L203)))</formula>
    </cfRule>
  </conditionalFormatting>
  <conditionalFormatting sqref="L216:L218">
    <cfRule type="cellIs" dxfId="242" priority="49" operator="equal">
      <formula>"BRONZE"</formula>
    </cfRule>
    <cfRule type="cellIs" dxfId="241" priority="50" operator="equal">
      <formula>"PRATA"</formula>
    </cfRule>
    <cfRule type="containsText" dxfId="240" priority="51" operator="containsText" text="OURO">
      <formula>NOT(ISERROR(SEARCH("OURO",L216)))</formula>
    </cfRule>
  </conditionalFormatting>
  <conditionalFormatting sqref="L229:L231">
    <cfRule type="cellIs" dxfId="239" priority="46" operator="equal">
      <formula>"BRONZE"</formula>
    </cfRule>
    <cfRule type="cellIs" dxfId="238" priority="47" operator="equal">
      <formula>"PRATA"</formula>
    </cfRule>
    <cfRule type="containsText" dxfId="237" priority="48" operator="containsText" text="OURO">
      <formula>NOT(ISERROR(SEARCH("OURO",L229)))</formula>
    </cfRule>
  </conditionalFormatting>
  <conditionalFormatting sqref="L242:L244">
    <cfRule type="cellIs" dxfId="236" priority="43" operator="equal">
      <formula>"BRONZE"</formula>
    </cfRule>
    <cfRule type="cellIs" dxfId="235" priority="44" operator="equal">
      <formula>"PRATA"</formula>
    </cfRule>
    <cfRule type="containsText" dxfId="234" priority="45" operator="containsText" text="OURO">
      <formula>NOT(ISERROR(SEARCH("OURO",L242)))</formula>
    </cfRule>
  </conditionalFormatting>
  <conditionalFormatting sqref="L255:L257">
    <cfRule type="cellIs" dxfId="233" priority="40" operator="equal">
      <formula>"BRONZE"</formula>
    </cfRule>
    <cfRule type="cellIs" dxfId="232" priority="41" operator="equal">
      <formula>"PRATA"</formula>
    </cfRule>
    <cfRule type="containsText" dxfId="231" priority="42" operator="containsText" text="OURO">
      <formula>NOT(ISERROR(SEARCH("OURO",L255)))</formula>
    </cfRule>
  </conditionalFormatting>
  <conditionalFormatting sqref="L268:L270">
    <cfRule type="cellIs" dxfId="230" priority="37" operator="equal">
      <formula>"BRONZE"</formula>
    </cfRule>
    <cfRule type="cellIs" dxfId="229" priority="38" operator="equal">
      <formula>"PRATA"</formula>
    </cfRule>
    <cfRule type="containsText" dxfId="228" priority="39" operator="containsText" text="OURO">
      <formula>NOT(ISERROR(SEARCH("OURO",L268)))</formula>
    </cfRule>
  </conditionalFormatting>
  <conditionalFormatting sqref="L281:L283">
    <cfRule type="cellIs" dxfId="227" priority="34" operator="equal">
      <formula>"BRONZE"</formula>
    </cfRule>
    <cfRule type="cellIs" dxfId="226" priority="35" operator="equal">
      <formula>"PRATA"</formula>
    </cfRule>
    <cfRule type="containsText" dxfId="225" priority="36" operator="containsText" text="OURO">
      <formula>NOT(ISERROR(SEARCH("OURO",L281)))</formula>
    </cfRule>
  </conditionalFormatting>
  <conditionalFormatting sqref="L294:L296">
    <cfRule type="cellIs" dxfId="224" priority="31" operator="equal">
      <formula>"BRONZE"</formula>
    </cfRule>
    <cfRule type="cellIs" dxfId="223" priority="32" operator="equal">
      <formula>"PRATA"</formula>
    </cfRule>
    <cfRule type="containsText" dxfId="222" priority="33" operator="containsText" text="OURO">
      <formula>NOT(ISERROR(SEARCH("OURO",L294)))</formula>
    </cfRule>
  </conditionalFormatting>
  <conditionalFormatting sqref="L307:L309">
    <cfRule type="cellIs" dxfId="221" priority="28" operator="equal">
      <formula>"BRONZE"</formula>
    </cfRule>
    <cfRule type="cellIs" dxfId="220" priority="29" operator="equal">
      <formula>"PRATA"</formula>
    </cfRule>
    <cfRule type="containsText" dxfId="219" priority="30" operator="containsText" text="OURO">
      <formula>NOT(ISERROR(SEARCH("OURO",L307)))</formula>
    </cfRule>
  </conditionalFormatting>
  <conditionalFormatting sqref="L320:L322">
    <cfRule type="cellIs" dxfId="218" priority="25" operator="equal">
      <formula>"BRONZE"</formula>
    </cfRule>
    <cfRule type="cellIs" dxfId="217" priority="26" operator="equal">
      <formula>"PRATA"</formula>
    </cfRule>
    <cfRule type="containsText" dxfId="216" priority="27" operator="containsText" text="OURO">
      <formula>NOT(ISERROR(SEARCH("OURO",L320)))</formula>
    </cfRule>
  </conditionalFormatting>
  <conditionalFormatting sqref="L333:L335">
    <cfRule type="cellIs" dxfId="215" priority="22" operator="equal">
      <formula>"BRONZE"</formula>
    </cfRule>
    <cfRule type="cellIs" dxfId="214" priority="23" operator="equal">
      <formula>"PRATA"</formula>
    </cfRule>
    <cfRule type="containsText" dxfId="213" priority="24" operator="containsText" text="OURO">
      <formula>NOT(ISERROR(SEARCH("OURO",L333)))</formula>
    </cfRule>
  </conditionalFormatting>
  <conditionalFormatting sqref="L346:L348">
    <cfRule type="cellIs" dxfId="212" priority="19" operator="equal">
      <formula>"BRONZE"</formula>
    </cfRule>
    <cfRule type="cellIs" dxfId="211" priority="20" operator="equal">
      <formula>"PRATA"</formula>
    </cfRule>
    <cfRule type="containsText" dxfId="210" priority="21" operator="containsText" text="OURO">
      <formula>NOT(ISERROR(SEARCH("OURO",L346)))</formula>
    </cfRule>
  </conditionalFormatting>
  <conditionalFormatting sqref="L359:L361">
    <cfRule type="cellIs" dxfId="209" priority="16" operator="equal">
      <formula>"BRONZE"</formula>
    </cfRule>
    <cfRule type="cellIs" dxfId="208" priority="17" operator="equal">
      <formula>"PRATA"</formula>
    </cfRule>
    <cfRule type="containsText" dxfId="207" priority="18" operator="containsText" text="OURO">
      <formula>NOT(ISERROR(SEARCH("OURO",L359)))</formula>
    </cfRule>
  </conditionalFormatting>
  <conditionalFormatting sqref="L372:L374">
    <cfRule type="cellIs" dxfId="206" priority="13" operator="equal">
      <formula>"BRONZE"</formula>
    </cfRule>
    <cfRule type="cellIs" dxfId="205" priority="14" operator="equal">
      <formula>"PRATA"</formula>
    </cfRule>
    <cfRule type="containsText" dxfId="204" priority="15" operator="containsText" text="OURO">
      <formula>NOT(ISERROR(SEARCH("OURO",L372)))</formula>
    </cfRule>
  </conditionalFormatting>
  <conditionalFormatting sqref="L385:L387">
    <cfRule type="cellIs" dxfId="203" priority="10" operator="equal">
      <formula>"BRONZE"</formula>
    </cfRule>
    <cfRule type="cellIs" dxfId="202" priority="11" operator="equal">
      <formula>"PRATA"</formula>
    </cfRule>
    <cfRule type="containsText" dxfId="201" priority="12" operator="containsText" text="OURO">
      <formula>NOT(ISERROR(SEARCH("OURO",L385)))</formula>
    </cfRule>
  </conditionalFormatting>
  <conditionalFormatting sqref="L398:L400">
    <cfRule type="cellIs" dxfId="200" priority="7" operator="equal">
      <formula>"BRONZE"</formula>
    </cfRule>
    <cfRule type="cellIs" dxfId="199" priority="8" operator="equal">
      <formula>"PRATA"</formula>
    </cfRule>
    <cfRule type="containsText" dxfId="198" priority="9" operator="containsText" text="OURO">
      <formula>NOT(ISERROR(SEARCH("OURO",L398)))</formula>
    </cfRule>
  </conditionalFormatting>
  <conditionalFormatting sqref="L411:L413">
    <cfRule type="cellIs" dxfId="197" priority="4" operator="equal">
      <formula>"BRONZE"</formula>
    </cfRule>
    <cfRule type="cellIs" dxfId="196" priority="5" operator="equal">
      <formula>"PRATA"</formula>
    </cfRule>
    <cfRule type="containsText" dxfId="195" priority="6" operator="containsText" text="OURO">
      <formula>NOT(ISERROR(SEARCH("OURO",L411)))</formula>
    </cfRule>
  </conditionalFormatting>
  <conditionalFormatting sqref="L424:L426">
    <cfRule type="cellIs" dxfId="194" priority="1" operator="equal">
      <formula>"BRONZE"</formula>
    </cfRule>
    <cfRule type="cellIs" dxfId="193" priority="2" operator="equal">
      <formula>"PRATA"</formula>
    </cfRule>
    <cfRule type="containsText" dxfId="192" priority="3" operator="containsText" text="OURO">
      <formula>NOT(ISERROR(SEARCH("OURO",L424)))</formula>
    </cfRule>
  </conditionalFormatting>
  <pageMargins left="0.51181102362204722" right="0.51181102362204722" top="0.78740157480314965" bottom="0.78740157480314965" header="0.31496062992125984" footer="0.31496062992125984"/>
  <pageSetup paperSize="9" scale="60" orientation="landscape"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E00-000000000000}">
          <x14:formula1>
            <xm:f>LISTAS!$D$10:$D$41</xm:f>
          </x14:formula1>
          <xm:sqref>G5</xm:sqref>
        </x14:dataValidation>
        <x14:dataValidation type="list" allowBlank="1" showInputMessage="1" showErrorMessage="1" xr:uid="{00000000-0002-0000-0E00-000001000000}">
          <x14:formula1>
            <xm:f>LISTAS!$F$5:$F$1004</xm:f>
          </x14:formula1>
          <xm:sqref>B8:B12 B30:B33 B47:B49 B60:B62 B73:B75 B86:B88 B99:B101 B112:B114 B125:B127 B138:B140 B151:B153 B164:B166 B177:B179 B190:B192 B203:B205 B216:B218 B229:B231 B242:B244 B255:B257 B268:B270 B281:B283 B294:B296 B307:B309 B320:B322 B333:B335 B346:B348 B359:B361 B372:B374 B385:B387 B398:B400 B411:B413 B424:B426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6">
    <tabColor theme="4" tint="0.39997558519241921"/>
    <pageSetUpPr fitToPage="1"/>
  </sheetPr>
  <dimension ref="B1:AW200"/>
  <sheetViews>
    <sheetView showGridLines="0" topLeftCell="Y128" zoomScale="85" zoomScaleNormal="85" workbookViewId="0">
      <selection activeCell="D176" sqref="D176:D177"/>
    </sheetView>
  </sheetViews>
  <sheetFormatPr defaultColWidth="25.28515625" defaultRowHeight="16.5" x14ac:dyDescent="0.25"/>
  <cols>
    <col min="1" max="1" width="1.140625" style="1" customWidth="1"/>
    <col min="2" max="2" width="3.140625" style="1" customWidth="1"/>
    <col min="3" max="3" width="38.42578125" style="163" customWidth="1"/>
    <col min="4" max="4" width="5" style="1" customWidth="1"/>
    <col min="5" max="6" width="3.7109375" style="1" customWidth="1"/>
    <col min="7" max="7" width="37.85546875" style="173" customWidth="1"/>
    <col min="8" max="8" width="5" style="1" customWidth="1"/>
    <col min="9" max="9" width="3.7109375" style="1" customWidth="1"/>
    <col min="10" max="10" width="3.85546875" style="1" customWidth="1"/>
    <col min="11" max="11" width="18.7109375" style="173" customWidth="1"/>
    <col min="12" max="12" width="5" style="1" customWidth="1"/>
    <col min="13" max="14" width="3.7109375" style="1" customWidth="1"/>
    <col min="15" max="15" width="25.5703125" style="173" customWidth="1"/>
    <col min="16" max="16" width="5" style="1" customWidth="1"/>
    <col min="17" max="17" width="6.28515625" style="23" customWidth="1"/>
    <col min="18" max="18" width="18.7109375" style="183" customWidth="1"/>
    <col min="19" max="21" width="3.7109375" style="23" customWidth="1"/>
    <col min="22" max="22" width="18.5703125" style="183" customWidth="1"/>
    <col min="23" max="23" width="6.28515625" style="1" customWidth="1"/>
    <col min="24" max="24" width="5" style="2" customWidth="1"/>
    <col min="25" max="25" width="18.7109375" style="173" customWidth="1"/>
    <col min="26" max="27" width="3.7109375" style="1" customWidth="1"/>
    <col min="28" max="28" width="5" style="1" customWidth="1"/>
    <col min="29" max="29" width="18.85546875" style="173" customWidth="1"/>
    <col min="30" max="31" width="3.7109375" style="1" customWidth="1"/>
    <col min="32" max="32" width="5" style="1" customWidth="1"/>
    <col min="33" max="33" width="36.7109375" style="173" customWidth="1"/>
    <col min="34" max="34" width="3.7109375" style="1" customWidth="1"/>
    <col min="35" max="35" width="3.5703125" style="1" customWidth="1"/>
    <col min="36" max="36" width="5" style="1" customWidth="1"/>
    <col min="37" max="37" width="36.7109375" style="173" customWidth="1"/>
    <col min="38" max="38" width="3.28515625" style="23" customWidth="1"/>
    <col min="39" max="41" width="1.42578125" style="20" customWidth="1"/>
    <col min="42" max="42" width="9.7109375" style="1" customWidth="1"/>
    <col min="43" max="43" width="15.5703125" style="1" customWidth="1"/>
    <col min="44" max="44" width="57.28515625" style="1" customWidth="1"/>
    <col min="45" max="16384" width="25.28515625" style="1"/>
  </cols>
  <sheetData>
    <row r="1" spans="2:49" ht="6" customHeight="1" x14ac:dyDescent="0.25"/>
    <row r="2" spans="2:49" s="3" customFormat="1" ht="60.75" customHeight="1" x14ac:dyDescent="0.25">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5"/>
      <c r="AN2" s="25"/>
      <c r="AO2" s="25"/>
      <c r="AP2" s="233"/>
      <c r="AQ2" s="233"/>
      <c r="AR2" s="233"/>
      <c r="AS2" s="233"/>
      <c r="AT2" s="233"/>
      <c r="AU2" s="233"/>
    </row>
    <row r="3" spans="2:49" s="3" customFormat="1" ht="60.75" customHeight="1" x14ac:dyDescent="0.25">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5"/>
      <c r="AN3" s="25"/>
      <c r="AO3" s="25"/>
      <c r="AP3" s="233"/>
      <c r="AQ3" s="233"/>
      <c r="AR3" s="233"/>
      <c r="AS3" s="233"/>
      <c r="AT3" s="233"/>
      <c r="AU3" s="233"/>
      <c r="AV3" s="1"/>
      <c r="AW3" s="1"/>
    </row>
    <row r="4" spans="2:49" s="3" customFormat="1" ht="13.5" customHeight="1" x14ac:dyDescent="0.25">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5"/>
      <c r="AN4" s="25"/>
      <c r="AO4" s="25"/>
      <c r="AP4" s="4"/>
      <c r="AQ4" s="4"/>
      <c r="AR4" s="4"/>
      <c r="AS4" s="4"/>
      <c r="AT4" s="4"/>
      <c r="AU4" s="4"/>
    </row>
    <row r="5" spans="2:49" s="3" customFormat="1" ht="30" customHeight="1" x14ac:dyDescent="0.25">
      <c r="B5" s="274" t="s">
        <v>32</v>
      </c>
      <c r="C5" s="275"/>
      <c r="D5" s="275"/>
      <c r="E5" s="40"/>
      <c r="G5" s="174"/>
      <c r="H5" s="4"/>
      <c r="K5" s="178"/>
      <c r="O5" s="178"/>
      <c r="Q5" s="24"/>
      <c r="R5" s="184"/>
      <c r="S5" s="24"/>
      <c r="T5" s="24"/>
      <c r="U5" s="24"/>
      <c r="V5" s="184"/>
      <c r="W5" s="24"/>
      <c r="X5" s="24"/>
      <c r="Y5" s="184"/>
      <c r="Z5" s="5"/>
      <c r="AB5" s="4"/>
      <c r="AC5" s="174"/>
      <c r="AG5" s="178"/>
      <c r="AK5" s="178"/>
      <c r="AL5" s="24"/>
      <c r="AM5" s="25"/>
      <c r="AN5" s="25"/>
      <c r="AO5" s="25"/>
      <c r="AP5" s="274" t="s">
        <v>32</v>
      </c>
      <c r="AQ5" s="276"/>
      <c r="AR5" s="6" t="s">
        <v>13</v>
      </c>
      <c r="AS5" s="7" t="s">
        <v>14</v>
      </c>
      <c r="AT5" s="4"/>
      <c r="AU5" s="4"/>
    </row>
    <row r="6" spans="2:49" ht="30" customHeight="1" x14ac:dyDescent="0.25">
      <c r="B6" s="247" t="s">
        <v>21</v>
      </c>
      <c r="C6" s="248"/>
      <c r="D6" s="248"/>
      <c r="E6" s="248"/>
      <c r="F6" s="248"/>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P6" s="246" t="s">
        <v>21</v>
      </c>
      <c r="AQ6" s="246"/>
      <c r="AR6" s="246"/>
      <c r="AS6" s="246"/>
      <c r="AT6" s="246"/>
      <c r="AU6" s="246"/>
    </row>
    <row r="7" spans="2:49" ht="28.5" customHeight="1" thickBot="1" x14ac:dyDescent="0.3">
      <c r="B7" s="135"/>
      <c r="C7" s="187"/>
      <c r="D7" s="27"/>
      <c r="E7" s="27"/>
      <c r="F7" s="27"/>
      <c r="G7" s="191"/>
      <c r="H7" s="27"/>
      <c r="I7" s="27"/>
      <c r="J7" s="27"/>
      <c r="K7" s="195"/>
      <c r="L7" s="27"/>
      <c r="M7" s="27"/>
      <c r="N7" s="27"/>
      <c r="O7" s="195"/>
      <c r="P7" s="27"/>
      <c r="Q7" s="27"/>
      <c r="R7" s="195"/>
      <c r="S7" s="27"/>
      <c r="T7" s="27"/>
      <c r="U7" s="27"/>
      <c r="V7" s="195"/>
      <c r="W7" s="27"/>
      <c r="X7" s="26"/>
      <c r="Y7" s="195"/>
      <c r="Z7" s="27"/>
      <c r="AA7" s="27"/>
      <c r="AB7" s="92"/>
      <c r="AC7" s="195"/>
      <c r="AD7" s="150"/>
      <c r="AE7" s="150"/>
      <c r="AF7" s="150"/>
      <c r="AG7" s="200"/>
      <c r="AH7" s="150"/>
      <c r="AI7" s="150"/>
      <c r="AJ7" s="27"/>
      <c r="AK7" s="195"/>
      <c r="AL7" s="27"/>
      <c r="AP7" s="258" t="s">
        <v>3</v>
      </c>
      <c r="AQ7" s="260"/>
      <c r="AR7" s="132" t="s">
        <v>15</v>
      </c>
      <c r="AS7" s="132" t="s">
        <v>0</v>
      </c>
      <c r="AT7" s="132" t="s">
        <v>16</v>
      </c>
      <c r="AU7" s="132" t="s">
        <v>17</v>
      </c>
    </row>
    <row r="8" spans="2:49" ht="18" customHeight="1" x14ac:dyDescent="0.25">
      <c r="B8" s="136">
        <v>1</v>
      </c>
      <c r="C8" s="162" t="str">
        <f>IF('15M GRP'!G5&gt;=3,'15M GRP'!J8,IF('15M GRP'!G5=2,'15M GRP'!J8,IF('15M GRP'!G5=1,'15M GRP'!J8,"")))</f>
        <v>ARTHUR LOPES LINARES SANTANA</v>
      </c>
      <c r="D8" s="266">
        <v>1</v>
      </c>
      <c r="E8" s="101">
        <f>IF(D8&lt;&gt;"",D8,"")</f>
        <v>1</v>
      </c>
      <c r="F8" s="101" t="str">
        <f>IF(D8&lt;&gt;"",IF(C8="","",C8),"")</f>
        <v>ARTHUR LOPES LINARES SANTANA</v>
      </c>
      <c r="G8" s="190">
        <f>IF(E8&lt;&gt;"",IF(E10&lt;&gt;"",SMALL(E8:E10,1),""),"")</f>
        <v>0</v>
      </c>
      <c r="H8" s="101"/>
      <c r="I8" s="101"/>
      <c r="J8" s="101"/>
      <c r="K8" s="190"/>
      <c r="L8" s="101"/>
      <c r="M8" s="151"/>
      <c r="N8" s="30"/>
      <c r="O8" s="196"/>
      <c r="P8" s="30"/>
      <c r="Q8" s="37"/>
      <c r="R8" s="198"/>
      <c r="S8" s="37"/>
      <c r="T8" s="37"/>
      <c r="U8" s="37"/>
      <c r="V8" s="198"/>
      <c r="W8" s="37"/>
      <c r="X8" s="86"/>
      <c r="Y8" s="198"/>
      <c r="Z8" s="37"/>
      <c r="AA8" s="37"/>
      <c r="AB8" s="29"/>
      <c r="AC8" s="198"/>
      <c r="AD8" s="100"/>
      <c r="AE8" s="100"/>
      <c r="AF8" s="100"/>
      <c r="AG8" s="197">
        <f>IF(AJ8&lt;&gt;"",AJ8,"")</f>
        <v>1</v>
      </c>
      <c r="AH8" s="100" t="str">
        <f>IF(AJ8&lt;&gt;"",IF(AK8="","",AK8),"")</f>
        <v>GIOVANNI TODESCO</v>
      </c>
      <c r="AI8" s="101">
        <f>IF(AG8&lt;&gt;"",IF(AG10&lt;&gt;"",SMALL(AG8:AG10,1),""),"")</f>
        <v>0</v>
      </c>
      <c r="AJ8" s="266">
        <v>1</v>
      </c>
      <c r="AK8" s="162" t="str">
        <f>IF('15M GRP'!G5&gt;=3,'15M GRP'!J47,IF('15M GRP'!G5=2,IF('15M GRP'!H8=3,"",'15M GRP'!J9),IF('15M GRP'!G5=1,'15M GRP'!J10,"")))</f>
        <v>GIOVANNI TODESCO</v>
      </c>
      <c r="AL8" s="99">
        <v>3</v>
      </c>
      <c r="AP8" s="31">
        <f>IF(AR8&lt;&gt;"",1,"")</f>
        <v>1</v>
      </c>
      <c r="AQ8" s="32" t="str">
        <f>IF(AP8&lt;&gt;"","LUGAR","")</f>
        <v>LUGAR</v>
      </c>
      <c r="AR8" s="33" t="str">
        <f>IF(S36&lt;&gt;"",IF(U36&lt;&gt;"",IF(S36=U36,"",IF(S36&gt;U36,R36,V36)),""),"")</f>
        <v>NATAN DREER DURAN</v>
      </c>
      <c r="AS8" s="33" t="str">
        <f>IFERROR(IF(AR8="","",VLOOKUP(AR8,LISTAS!$F$5:$G$1004,2,0)),"0")</f>
        <v>COLÉGIO ARBOS SÃO CAETANO DO SUL</v>
      </c>
      <c r="AT8" s="33">
        <f t="shared" ref="AT8:AT38" si="0">IF(AP8="","",IF(AP8=1,400,IF(AP8=2,340,IF(AP8=3,300,IF(AP8=4,280,IF(AP8=5,270,IF(AP8=6,260,IF(AP8=7,250,IF(AP8=8,240,IF(AP8=9,200,IF(AP8=10,200,IF(AP8=11,200,IF(AP8=12,200,IF(AP8=13,200,IF(AP8=14,200,IF(AP8=15,200,IF(AP8=16,200,IF(AP8&gt;16,"",""))))))))))))))))))</f>
        <v>400</v>
      </c>
      <c r="AU8" s="33">
        <f>IF(AP8="","",IF($AS$5="NÃO","",IF(AP8=1,400,IF(AP8=2,340,IF(AP8=3,300,IF(AP8=4,280,IF(AP8=5,270,IF(AP8=6,260,IF(AP8=7,250,IF(AP8=8,240,IF(AP8=9,200,IF(AP8=10,200,IF(AP8=11,200,IF(AP8=12,200,IF(AP8=13,200,IF(AP8=14,200,IF(AP8=15,200,IF(AP8=16,200,IF(AP8&gt;16,"","")))))))))))))))))))</f>
        <v>400</v>
      </c>
    </row>
    <row r="9" spans="2:49" ht="18" customHeight="1" thickBot="1" x14ac:dyDescent="0.3">
      <c r="B9" s="136"/>
      <c r="C9" s="165" t="str">
        <f>IFERROR(IF(C8="","",VLOOKUP(C8,LISTAS!$F$5:$G$1004,2,0)),"0")</f>
        <v>COLÉGIO ARBOS - UNIDADE SANTO ANDRÉ</v>
      </c>
      <c r="D9" s="267"/>
      <c r="E9" s="101"/>
      <c r="F9" s="101"/>
      <c r="G9" s="190"/>
      <c r="H9" s="101"/>
      <c r="I9" s="101"/>
      <c r="J9" s="101"/>
      <c r="K9" s="190"/>
      <c r="L9" s="101"/>
      <c r="M9" s="151"/>
      <c r="N9" s="30"/>
      <c r="O9" s="196"/>
      <c r="P9" s="30"/>
      <c r="Q9" s="37"/>
      <c r="R9" s="198"/>
      <c r="S9" s="37"/>
      <c r="T9" s="37"/>
      <c r="U9" s="37"/>
      <c r="V9" s="198"/>
      <c r="W9" s="37"/>
      <c r="X9" s="86"/>
      <c r="Y9" s="198"/>
      <c r="Z9" s="37"/>
      <c r="AA9" s="37"/>
      <c r="AB9" s="29"/>
      <c r="AC9" s="198"/>
      <c r="AD9" s="100"/>
      <c r="AE9" s="100"/>
      <c r="AF9" s="100"/>
      <c r="AG9" s="197"/>
      <c r="AH9" s="100"/>
      <c r="AI9" s="101"/>
      <c r="AJ9" s="267"/>
      <c r="AK9" s="165" t="str">
        <f>IFERROR(IF(AK8="","",VLOOKUP(AK8,LISTAS!$F$5:$G$1004,2,0)),"0")</f>
        <v>RIO BRANCO - SBC</v>
      </c>
      <c r="AL9" s="99"/>
      <c r="AP9" s="31">
        <f>IF(AR9&lt;&gt;"",1+COUNTIF(AP8,"1"),"")</f>
        <v>2</v>
      </c>
      <c r="AQ9" s="32" t="str">
        <f t="shared" ref="AQ9:AQ39" si="1">IF(AP9&lt;&gt;"","LUGAR","")</f>
        <v>LUGAR</v>
      </c>
      <c r="AR9" s="33" t="str">
        <f>IF(S36&lt;&gt;"",IF(U36&lt;&gt;"",IF(S36=U36,"",IF(S36&lt;U36,R36,V36)),""),"")</f>
        <v>MATHEUS SOBRAL NEGRETI</v>
      </c>
      <c r="AS9" s="33" t="str">
        <f>IFERROR(IF(AR9="","",VLOOKUP(AR9,LISTAS!$F$5:$G$1004,2,0)),"0")</f>
        <v>COLÉGIO STOCCO</v>
      </c>
      <c r="AT9" s="33">
        <f t="shared" si="0"/>
        <v>340</v>
      </c>
      <c r="AU9" s="33">
        <f t="shared" ref="AU9:AU38" si="2">IF(AP9="","",IF($AS$5="NÃO","",IF(AP9=1,400,IF(AP9=2,340,IF(AP9=3,300,IF(AP9=4,280,IF(AP9=5,270,IF(AP9=6,260,IF(AP9=7,250,IF(AP9=8,240,IF(AP9=9,200,IF(AP9=10,200,IF(AP9=11,200,IF(AP9=12,200,IF(AP9=13,200,IF(AP9=14,200,IF(AP9=15,200,IF(AP9=16,200,IF(AP9&gt;16,"","")))))))))))))))))))</f>
        <v>340</v>
      </c>
    </row>
    <row r="10" spans="2:49" ht="18" customHeight="1" x14ac:dyDescent="0.25">
      <c r="B10" s="133">
        <v>32</v>
      </c>
      <c r="C10" s="162" t="str">
        <f>IF('15M GRP'!G5&gt;=3,'15M GRP'!J424,IF('15M GRP'!G5=2,"",IF('15M GRP'!G5=1,"","")))</f>
        <v/>
      </c>
      <c r="D10" s="266">
        <v>0</v>
      </c>
      <c r="E10" s="107">
        <f>IF(D10&lt;&gt;"",D10,"")</f>
        <v>0</v>
      </c>
      <c r="F10" s="101" t="str">
        <f>IF(D10&lt;&gt;"",IF(C10="","",C10),"")</f>
        <v/>
      </c>
      <c r="G10" s="190" t="str">
        <f>VLOOKUP(G8,E8:F10,2,0)</f>
        <v/>
      </c>
      <c r="H10" s="101"/>
      <c r="I10" s="101"/>
      <c r="J10" s="101"/>
      <c r="K10" s="190"/>
      <c r="L10" s="101"/>
      <c r="M10" s="151"/>
      <c r="N10" s="30"/>
      <c r="O10" s="196"/>
      <c r="P10" s="30"/>
      <c r="Q10" s="37"/>
      <c r="R10" s="198"/>
      <c r="S10" s="37"/>
      <c r="T10" s="37"/>
      <c r="U10" s="37"/>
      <c r="V10" s="198"/>
      <c r="W10" s="37"/>
      <c r="X10" s="86"/>
      <c r="Y10" s="198"/>
      <c r="Z10" s="37"/>
      <c r="AA10" s="37"/>
      <c r="AB10" s="29"/>
      <c r="AC10" s="198"/>
      <c r="AD10" s="100"/>
      <c r="AE10" s="100"/>
      <c r="AF10" s="100"/>
      <c r="AG10" s="197">
        <f>IF(AJ10&lt;&gt;"",AJ10,"")</f>
        <v>0</v>
      </c>
      <c r="AH10" s="100" t="str">
        <f>IF(AJ10&lt;&gt;"",IF(AK10="","",AK10),"")</f>
        <v/>
      </c>
      <c r="AI10" s="102" t="str">
        <f>VLOOKUP(AI8,AG8:AH10,2,0)</f>
        <v/>
      </c>
      <c r="AJ10" s="266">
        <v>0</v>
      </c>
      <c r="AK10" s="162" t="str">
        <f>IF('15M GRP'!G5&gt;=3,'15M GRP'!J398,IF('15M GRP'!G5=2,"",IF('15M GRP'!G5=1,"","")))</f>
        <v/>
      </c>
      <c r="AL10" s="29">
        <v>30</v>
      </c>
      <c r="AP10" s="31">
        <f>IF(AR10&lt;&gt;"",1+COUNTIF(AP8:AP9,"1")+COUNTIF(AP8:AP9,"2"),"")</f>
        <v>3</v>
      </c>
      <c r="AQ10" s="32" t="str">
        <f t="shared" si="1"/>
        <v>LUGAR</v>
      </c>
      <c r="AR10" s="111" t="str">
        <f>IF(AR8&lt;&gt;"",IF(O35=AR8,O37,IF(O37=AR8,O35,IF(Y35=AR8,Y37,IF(Y37=AR8,Y35)))),"")</f>
        <v>SAMUEL COSTA BRAZ</v>
      </c>
      <c r="AS10" s="33" t="str">
        <f>IFERROR(IF(AR10="","",VLOOKUP(AR10,LISTAS!$F$5:$G$1004,2,0)),"0")</f>
        <v>ESCOLA STAGIUM</v>
      </c>
      <c r="AT10" s="33">
        <f t="shared" si="0"/>
        <v>300</v>
      </c>
      <c r="AU10" s="33">
        <f t="shared" si="2"/>
        <v>300</v>
      </c>
    </row>
    <row r="11" spans="2:49" ht="18" customHeight="1" thickBot="1" x14ac:dyDescent="0.3">
      <c r="B11" s="133"/>
      <c r="C11" s="165" t="str">
        <f>IFERROR(IF(C10="","",VLOOKUP(C10,LISTAS!$F$5:$G$1004,2,0)),"0")</f>
        <v/>
      </c>
      <c r="D11" s="267"/>
      <c r="E11" s="148"/>
      <c r="F11" s="101"/>
      <c r="G11" s="190"/>
      <c r="H11" s="101"/>
      <c r="I11" s="101"/>
      <c r="J11" s="101"/>
      <c r="K11" s="190"/>
      <c r="L11" s="101"/>
      <c r="M11" s="151"/>
      <c r="N11" s="30"/>
      <c r="O11" s="196"/>
      <c r="P11" s="30"/>
      <c r="Q11" s="37"/>
      <c r="R11" s="198"/>
      <c r="S11" s="37"/>
      <c r="T11" s="37"/>
      <c r="U11" s="37"/>
      <c r="V11" s="198"/>
      <c r="W11" s="37"/>
      <c r="X11" s="86"/>
      <c r="Y11" s="198"/>
      <c r="Z11" s="37"/>
      <c r="AA11" s="37"/>
      <c r="AB11" s="29"/>
      <c r="AC11" s="198"/>
      <c r="AD11" s="100"/>
      <c r="AE11" s="100"/>
      <c r="AF11" s="100"/>
      <c r="AG11" s="197"/>
      <c r="AH11" s="100"/>
      <c r="AI11" s="142"/>
      <c r="AJ11" s="267"/>
      <c r="AK11" s="165" t="str">
        <f>IFERROR(IF(AK10="","",VLOOKUP(AK10,LISTAS!$F$5:$G$1004,2,0)),"0")</f>
        <v/>
      </c>
      <c r="AL11" s="29"/>
      <c r="AP11" s="31">
        <f>IF(AR11&lt;&gt;"",1+COUNTIF(AP8:AP10,"1")+COUNTIF(AP8:AP10,"2")+COUNTIF(AP8:AP10,"3"),"")</f>
        <v>4</v>
      </c>
      <c r="AQ11" s="32" t="str">
        <f t="shared" si="1"/>
        <v>LUGAR</v>
      </c>
      <c r="AR11" s="111" t="str">
        <f>IF(AR9&lt;&gt;"",IF(O35=AR9,O37,IF(O37=AR9,O35,IF(Y35=AR9,Y37,IF(Y37=AR9,Y35)))),"")</f>
        <v>MATEUS ISHII ZUCARELI</v>
      </c>
      <c r="AS11" s="33" t="str">
        <f>IFERROR(IF(AR11="","",VLOOKUP(AR11,LISTAS!$F$5:$G$1004,2,0)),"0")</f>
        <v>ESCOLA VILLARE</v>
      </c>
      <c r="AT11" s="33">
        <f t="shared" si="0"/>
        <v>280</v>
      </c>
      <c r="AU11" s="33">
        <f t="shared" si="2"/>
        <v>280</v>
      </c>
    </row>
    <row r="12" spans="2:49" ht="18" customHeight="1" x14ac:dyDescent="0.25">
      <c r="B12" s="133"/>
      <c r="C12" s="188"/>
      <c r="D12" s="29"/>
      <c r="E12" s="29"/>
      <c r="F12" s="34"/>
      <c r="G12" s="162" t="str">
        <f>IF(D8&lt;&gt;"",IF(D10&lt;&gt;"",IF(D8=D10,"",IF(D8&gt;D10,C8,C10)),""),"")</f>
        <v>ARTHUR LOPES LINARES SANTANA</v>
      </c>
      <c r="H12" s="266">
        <v>0</v>
      </c>
      <c r="I12" s="101">
        <f>IF(H12&lt;&gt;"",H12,"")</f>
        <v>0</v>
      </c>
      <c r="J12" s="101" t="str">
        <f>IF(H12&lt;&gt;"",IF(G12="","",G12),"")</f>
        <v>ARTHUR LOPES LINARES SANTANA</v>
      </c>
      <c r="K12" s="190">
        <f>IF(I12&lt;&gt;"",IF(I14&lt;&gt;"",SMALL(I12:J14,1),""),"")</f>
        <v>0</v>
      </c>
      <c r="L12" s="101"/>
      <c r="M12" s="101"/>
      <c r="N12" s="101"/>
      <c r="O12" s="190"/>
      <c r="P12" s="29"/>
      <c r="Q12" s="37"/>
      <c r="R12" s="198"/>
      <c r="S12" s="37"/>
      <c r="T12" s="37"/>
      <c r="U12" s="37"/>
      <c r="V12" s="198"/>
      <c r="W12" s="37"/>
      <c r="X12" s="86"/>
      <c r="Y12" s="198"/>
      <c r="Z12" s="37"/>
      <c r="AA12" s="37"/>
      <c r="AB12" s="29"/>
      <c r="AC12" s="198"/>
      <c r="AD12" s="37"/>
      <c r="AE12" s="95"/>
      <c r="AF12" s="266">
        <v>0</v>
      </c>
      <c r="AG12" s="162" t="str">
        <f>IF(AJ8&lt;&gt;"",IF(AJ10&lt;&gt;"",IF(AJ8=AJ10,"",IF(AJ8&gt;AJ10,AK8,AK10)),""),"")</f>
        <v>GIOVANNI TODESCO</v>
      </c>
      <c r="AH12" s="94"/>
      <c r="AI12" s="37"/>
      <c r="AJ12" s="29"/>
      <c r="AK12" s="188"/>
      <c r="AL12" s="29"/>
      <c r="AP12" s="31">
        <f>IF(AR12&lt;&gt;"",1+COUNTIF(AP8:AP11,"1")+COUNTIF(AP8:AP11,"2")+COUNTIF(AP8:AP11,"3")+COUNTIF(AP8:AP11,"4"),"")</f>
        <v>5</v>
      </c>
      <c r="AQ12" s="32" t="str">
        <f t="shared" si="1"/>
        <v>LUGAR</v>
      </c>
      <c r="AR12" s="111" t="str">
        <f>IF(AR8&lt;&gt;"",IF(K20=AR8,K22,IF(K22=AR8,K20,IF(K50=AR8,K52,IF(K52=AR8,K50,IF(AC20=AR8,AC22,IF(AC22=AR8,AC20,IF(AC50=AR8,AC52,IF(AC52=AR8,AC50)))))))),"")</f>
        <v>KAUAN CAMARGO</v>
      </c>
      <c r="AS12" s="33" t="str">
        <f>IFERROR(IF(AR12="","",VLOOKUP(AR12,LISTAS!$F$5:$G$1004,2,0)),"0")</f>
        <v>COLÉGIO MARCONI - GRU</v>
      </c>
      <c r="AT12" s="33">
        <f t="shared" si="0"/>
        <v>270</v>
      </c>
      <c r="AU12" s="33">
        <f t="shared" si="2"/>
        <v>270</v>
      </c>
    </row>
    <row r="13" spans="2:49" ht="18" customHeight="1" thickBot="1" x14ac:dyDescent="0.3">
      <c r="B13" s="133"/>
      <c r="C13" s="188"/>
      <c r="D13" s="29"/>
      <c r="E13" s="29"/>
      <c r="F13" s="34"/>
      <c r="G13" s="165" t="str">
        <f>IFERROR(IF(G12="","",VLOOKUP(G12,LISTAS!$F$5:$G$1004,2,0)),"0")</f>
        <v>COLÉGIO ARBOS - UNIDADE SANTO ANDRÉ</v>
      </c>
      <c r="H13" s="267"/>
      <c r="I13" s="101"/>
      <c r="J13" s="101"/>
      <c r="K13" s="190"/>
      <c r="L13" s="101"/>
      <c r="M13" s="101"/>
      <c r="N13" s="101"/>
      <c r="O13" s="190"/>
      <c r="P13" s="29"/>
      <c r="Q13" s="37"/>
      <c r="R13" s="198"/>
      <c r="S13" s="37"/>
      <c r="T13" s="37"/>
      <c r="U13" s="37"/>
      <c r="V13" s="198"/>
      <c r="W13" s="37"/>
      <c r="X13" s="86"/>
      <c r="Y13" s="198"/>
      <c r="Z13" s="37"/>
      <c r="AA13" s="37"/>
      <c r="AB13" s="29"/>
      <c r="AC13" s="198"/>
      <c r="AD13" s="37"/>
      <c r="AE13" s="95"/>
      <c r="AF13" s="267"/>
      <c r="AG13" s="165" t="str">
        <f>IFERROR(IF(AG12="","",VLOOKUP(AG12,LISTAS!$F$5:$G$1004,2,0)),"0")</f>
        <v>RIO BRANCO - SBC</v>
      </c>
      <c r="AH13" s="94"/>
      <c r="AI13" s="37"/>
      <c r="AJ13" s="29"/>
      <c r="AK13" s="188"/>
      <c r="AL13" s="29"/>
      <c r="AP13" s="31">
        <f>IF(AR13&lt;&gt;"",1+COUNTIF(AP8:AP12,"1")+COUNTIF(AP8:AP12,"2")+COUNTIF(AP8:AP12,"3")+COUNTIF(AP8:AP12,"4")+COUNTIF(AP8:AP12,"5"),"")</f>
        <v>6</v>
      </c>
      <c r="AQ13" s="32" t="str">
        <f t="shared" si="1"/>
        <v>LUGAR</v>
      </c>
      <c r="AR13" s="111" t="str">
        <f>IF(AR9&lt;&gt;"",IF(K20=AR9,K22,IF(K22=AR9,K20,IF(K50=AR9,K52,IF(K52=AR9,K50,IF(AC20=AR9,AC22,IF(AC22=AR9,AC20,IF(AC50=AR9,AC52,IF(AC52=AR9,AC50)))))))),"")</f>
        <v>GUSTAVO NILANDER DE LIMA</v>
      </c>
      <c r="AS13" s="33" t="str">
        <f>IFERROR(IF(AR13="","",VLOOKUP(AR13,LISTAS!$F$5:$G$1004,2,0)),"0")</f>
        <v>COLÉGIO ARBOS SÃO CAETANO DO SUL</v>
      </c>
      <c r="AT13" s="33">
        <f t="shared" si="0"/>
        <v>260</v>
      </c>
      <c r="AU13" s="33">
        <f t="shared" si="2"/>
        <v>260</v>
      </c>
    </row>
    <row r="14" spans="2:49" ht="18" customHeight="1" x14ac:dyDescent="0.25">
      <c r="B14" s="133"/>
      <c r="C14" s="188"/>
      <c r="D14" s="29"/>
      <c r="E14" s="35"/>
      <c r="F14" s="36"/>
      <c r="G14" s="162" t="str">
        <f>IF(D16&lt;&gt;"",IF(D18&lt;&gt;"",IF(D16=D18,"",IF(D16&gt;D18,C16,C18)),""),"")</f>
        <v>HENRIQUE STUGINSKI STOFFA KOYAMA</v>
      </c>
      <c r="H14" s="266">
        <v>1</v>
      </c>
      <c r="I14" s="107">
        <f>IF(H14&lt;&gt;"",H14,"")</f>
        <v>1</v>
      </c>
      <c r="J14" s="101" t="str">
        <f>IF(H14&lt;&gt;"",IF(G14="","",G14),"")</f>
        <v>HENRIQUE STUGINSKI STOFFA KOYAMA</v>
      </c>
      <c r="K14" s="190" t="str">
        <f>VLOOKUP(K12,I12:J14,2,0)</f>
        <v>ARTHUR LOPES LINARES SANTANA</v>
      </c>
      <c r="L14" s="101"/>
      <c r="M14" s="101"/>
      <c r="N14" s="101"/>
      <c r="O14" s="190"/>
      <c r="P14" s="29"/>
      <c r="Q14" s="37"/>
      <c r="R14" s="198"/>
      <c r="S14" s="37"/>
      <c r="T14" s="37"/>
      <c r="U14" s="37"/>
      <c r="V14" s="198"/>
      <c r="W14" s="37"/>
      <c r="X14" s="86"/>
      <c r="Y14" s="198"/>
      <c r="Z14" s="37"/>
      <c r="AA14" s="37"/>
      <c r="AB14" s="29"/>
      <c r="AC14" s="198"/>
      <c r="AD14" s="94"/>
      <c r="AE14" s="96"/>
      <c r="AF14" s="266">
        <v>1</v>
      </c>
      <c r="AG14" s="162" t="str">
        <f>IF(AJ16&lt;&gt;"",IF(AJ18&lt;&gt;"",IF(AJ16=AJ18,"",IF(AJ16&gt;AJ18,AK16,AK18)),""),"")</f>
        <v>NATAN DREER DURAN</v>
      </c>
      <c r="AH14" s="98"/>
      <c r="AI14" s="37"/>
      <c r="AJ14" s="29"/>
      <c r="AK14" s="188"/>
      <c r="AL14" s="29"/>
      <c r="AP14" s="31">
        <f>IF(AR14&lt;&gt;"",1+COUNTIF(AP8:AP13,"1")+COUNTIF(AP8:AP13,"2")+COUNTIF(AP8:AP13,"3")+COUNTIF(AP8:AP13,"4")+COUNTIF(AP8:AP13,"5")+COUNTIF(AP8:AP13,"6"),"")</f>
        <v>7</v>
      </c>
      <c r="AQ14" s="32" t="str">
        <f t="shared" si="1"/>
        <v>LUGAR</v>
      </c>
      <c r="AR14" s="111" t="str">
        <f>IF(AR10&lt;&gt;"",IF(K20=AR10,K22,IF(K22=AR10,K20,IF(K50=AR10,K52,IF(K52=AR10,K50,IF(AC20=AR10,AC22,IF(AC22=AR10,AC20,IF(AC50=AR10,AC52,IF(AC52=AR10,AC50)))))))),"")</f>
        <v>PEDRO RODRIGUES GUASTELLA</v>
      </c>
      <c r="AS14" s="33" t="str">
        <f>IFERROR(IF(AR14="","",VLOOKUP(AR14,LISTAS!$F$5:$G$1004,2,0)),"0")</f>
        <v>ESCOLA VILLARE</v>
      </c>
      <c r="AT14" s="33">
        <f t="shared" si="0"/>
        <v>250</v>
      </c>
      <c r="AU14" s="33">
        <f t="shared" si="2"/>
        <v>250</v>
      </c>
    </row>
    <row r="15" spans="2:49" ht="18" customHeight="1" thickBot="1" x14ac:dyDescent="0.3">
      <c r="B15" s="133"/>
      <c r="C15" s="188"/>
      <c r="D15" s="29"/>
      <c r="E15" s="35"/>
      <c r="F15" s="29"/>
      <c r="G15" s="165" t="str">
        <f>IFERROR(IF(G14="","",VLOOKUP(G14,LISTAS!$F$5:$G$1004,2,0)),"0")</f>
        <v>COLÉGIO BANDEIRANTES</v>
      </c>
      <c r="H15" s="267"/>
      <c r="I15" s="138"/>
      <c r="J15" s="101"/>
      <c r="K15" s="190"/>
      <c r="L15" s="101"/>
      <c r="M15" s="101"/>
      <c r="N15" s="101"/>
      <c r="O15" s="190"/>
      <c r="P15" s="29"/>
      <c r="Q15" s="37"/>
      <c r="R15" s="198"/>
      <c r="S15" s="37"/>
      <c r="T15" s="37"/>
      <c r="U15" s="37"/>
      <c r="V15" s="198"/>
      <c r="W15" s="37"/>
      <c r="X15" s="86"/>
      <c r="Y15" s="198"/>
      <c r="Z15" s="37"/>
      <c r="AA15" s="37"/>
      <c r="AB15" s="29"/>
      <c r="AC15" s="198"/>
      <c r="AD15" s="94"/>
      <c r="AE15" s="37"/>
      <c r="AF15" s="267"/>
      <c r="AG15" s="165" t="str">
        <f>IFERROR(IF(AG14="","",VLOOKUP(AG14,LISTAS!$F$5:$G$1004,2,0)),"0")</f>
        <v>COLÉGIO ARBOS SÃO CAETANO DO SUL</v>
      </c>
      <c r="AH15" s="37"/>
      <c r="AI15" s="89"/>
      <c r="AJ15" s="29"/>
      <c r="AK15" s="188"/>
      <c r="AL15" s="29"/>
      <c r="AP15" s="31">
        <f>IF(AR15&lt;&gt;"",1+COUNTIF(AP8:AP14,"1")+COUNTIF(AP8:AP14,"2")+COUNTIF(AP8:AP14,"3")+COUNTIF(AP8:AP14,"4")+COUNTIF(AP8:AP14,"5")+COUNTIF(AP8:AP14,"6")+COUNTIF(AP8:AP14,"7"),"")</f>
        <v>8</v>
      </c>
      <c r="AQ15" s="32" t="str">
        <f t="shared" si="1"/>
        <v>LUGAR</v>
      </c>
      <c r="AR15" s="111" t="str">
        <f>IF(AR11&lt;&gt;"",IF(K20=AR11,K22,IF(K22=AR11,K20,IF(K50=AR11,K52,IF(K52=AR11,K50,IF(AC20=AR11,AC22,IF(AC22=AR11,AC20,IF(AC50=AR11,AC52,IF(AC52=AR11,AC50)))))))),"")</f>
        <v>HENRIQUE STUGINSKI STOFFA KOYAMA</v>
      </c>
      <c r="AS15" s="33" t="str">
        <f>IFERROR(IF(AR15="","",VLOOKUP(AR15,LISTAS!$F$5:$G$1004,2,0)),"0")</f>
        <v>COLÉGIO BANDEIRANTES</v>
      </c>
      <c r="AT15" s="33">
        <f t="shared" si="0"/>
        <v>240</v>
      </c>
      <c r="AU15" s="33">
        <f t="shared" si="2"/>
        <v>240</v>
      </c>
    </row>
    <row r="16" spans="2:49" ht="18" customHeight="1" x14ac:dyDescent="0.25">
      <c r="B16" s="133">
        <v>17</v>
      </c>
      <c r="C16" s="162" t="str">
        <f>IF('15M GRP'!G5&gt;=3,'15M GRP'!J229,IF('15M GRP'!G5=2,"",IF('15M GRP'!G5=1,"","")))</f>
        <v>JORGE DE OLIVEIRA MACEDO</v>
      </c>
      <c r="D16" s="266">
        <v>0</v>
      </c>
      <c r="E16" s="148">
        <f>IF(D16&lt;&gt;"",D16,"")</f>
        <v>0</v>
      </c>
      <c r="F16" s="101" t="str">
        <f>IF(D16&lt;&gt;"",IF(C16="","",C16),"")</f>
        <v>JORGE DE OLIVEIRA MACEDO</v>
      </c>
      <c r="G16" s="190">
        <f>IF(E16&lt;&gt;"",IF(E18&lt;&gt;"",SMALL(E16:E18,1),""),"")</f>
        <v>0</v>
      </c>
      <c r="H16" s="101"/>
      <c r="I16" s="138"/>
      <c r="J16" s="101"/>
      <c r="K16" s="190"/>
      <c r="L16" s="101"/>
      <c r="M16" s="101"/>
      <c r="N16" s="101"/>
      <c r="O16" s="190"/>
      <c r="P16" s="29"/>
      <c r="Q16" s="37"/>
      <c r="R16" s="198"/>
      <c r="S16" s="37"/>
      <c r="T16" s="37"/>
      <c r="U16" s="37"/>
      <c r="V16" s="198"/>
      <c r="W16" s="37"/>
      <c r="X16" s="86"/>
      <c r="Y16" s="198"/>
      <c r="Z16" s="37"/>
      <c r="AA16" s="37"/>
      <c r="AB16" s="29"/>
      <c r="AC16" s="198"/>
      <c r="AD16" s="94"/>
      <c r="AE16" s="100"/>
      <c r="AF16" s="100"/>
      <c r="AG16" s="197">
        <f>IF(AJ16&lt;&gt;"",AJ16,"")</f>
        <v>1</v>
      </c>
      <c r="AH16" s="100" t="str">
        <f>IF(AJ16&lt;&gt;"",IF(AK16="","",AK16),"")</f>
        <v>NATAN DREER DURAN</v>
      </c>
      <c r="AI16" s="137">
        <f>IF(AG16&lt;&gt;"",IF(AG18&lt;&gt;"",SMALL(AG16:AG18,1),""),"")</f>
        <v>0</v>
      </c>
      <c r="AJ16" s="266">
        <v>1</v>
      </c>
      <c r="AK16" s="162" t="str">
        <f>IF('15M GRP'!G5&gt;=3,'15M GRP'!J190,IF('15M GRP'!G5=2,"",IF('15M GRP'!G5=1,"","")))</f>
        <v>NATAN DREER DURAN</v>
      </c>
      <c r="AL16" s="29">
        <v>14</v>
      </c>
      <c r="AP16" s="31">
        <f>IF(AR16&lt;&gt;"",1+COUNTIF(AP8:AP15,"1")+COUNTIF(AP8:AP15,"2")+COUNTIF(AP8:AP15,"3")+COUNTIF(AP8:AP15,"4")+COUNTIF(AP8:AP15,"5")+COUNTIF(AP8:AP15,"6")+COUNTIF(AP8:AP15,"7")+COUNTIF(AP8:AP15,"8"),"")</f>
        <v>9</v>
      </c>
      <c r="AQ16" s="32" t="str">
        <f t="shared" si="1"/>
        <v>LUGAR</v>
      </c>
      <c r="AR16" s="111" t="str">
        <f>IF(AR8&lt;&gt;"",IF(G12=AR8,G14,IF(G14=AR8,G12,IF(G28=AR8,G30,IF(G30=AR8,G28,IF(AG12=AR8,AG14,IF(AG14=AR8,AG12,IF(AG28=AR8,AG30,IF(AG30=AR8,AG28,IF(G42=AR8,G44,IF(G44=AR8,G42,IF(G58=AR8,G60,IF(G60=AR8,G58,IF(AG42=AR8,AG44,IF(AG44=AR8,AG42,IF(AG58=AR8,AG60,IF(AG60=AR8,AG58)))))))))))))))),"")</f>
        <v>GIOVANNI TODESCO</v>
      </c>
      <c r="AS16" s="33" t="str">
        <f>IFERROR(IF(AR16="","",VLOOKUP(AR16,LISTAS!$F$5:$G$1004,2,0)),"0")</f>
        <v>RIO BRANCO - SBC</v>
      </c>
      <c r="AT16" s="33">
        <f t="shared" si="0"/>
        <v>200</v>
      </c>
      <c r="AU16" s="33">
        <f t="shared" si="2"/>
        <v>200</v>
      </c>
    </row>
    <row r="17" spans="2:47" ht="18" customHeight="1" thickBot="1" x14ac:dyDescent="0.3">
      <c r="B17" s="133"/>
      <c r="C17" s="165" t="str">
        <f>IFERROR(IF(C16="","",VLOOKUP(C16,LISTAS!$F$5:$G$1004,2,0)),"0")</f>
        <v>COLÉGIO ARBOS DE SÃO BERNARDO DO CAMPO</v>
      </c>
      <c r="D17" s="267"/>
      <c r="E17" s="105"/>
      <c r="F17" s="101"/>
      <c r="G17" s="190"/>
      <c r="H17" s="101"/>
      <c r="I17" s="138"/>
      <c r="J17" s="101"/>
      <c r="K17" s="190"/>
      <c r="L17" s="101"/>
      <c r="M17" s="101"/>
      <c r="N17" s="101"/>
      <c r="O17" s="190"/>
      <c r="P17" s="29"/>
      <c r="Q17" s="37"/>
      <c r="R17" s="198"/>
      <c r="S17" s="37"/>
      <c r="T17" s="37"/>
      <c r="U17" s="37"/>
      <c r="V17" s="198"/>
      <c r="W17" s="37"/>
      <c r="X17" s="86"/>
      <c r="Y17" s="198"/>
      <c r="Z17" s="37"/>
      <c r="AA17" s="37"/>
      <c r="AB17" s="29"/>
      <c r="AC17" s="198"/>
      <c r="AD17" s="94"/>
      <c r="AE17" s="100"/>
      <c r="AF17" s="100"/>
      <c r="AG17" s="197"/>
      <c r="AH17" s="100"/>
      <c r="AI17" s="143"/>
      <c r="AJ17" s="267"/>
      <c r="AK17" s="165" t="str">
        <f>IFERROR(IF(AK16="","",VLOOKUP(AK16,LISTAS!$F$5:$G$1004,2,0)),"0")</f>
        <v>COLÉGIO ARBOS SÃO CAETANO DO SUL</v>
      </c>
      <c r="AL17" s="29"/>
      <c r="AP17" s="31">
        <f>IF(AR17&lt;&gt;"",1+COUNTIF(AP8:AP16,"1")+COUNTIF(AP8:AP16,"2")+COUNTIF(AP8:AP16,"3")+COUNTIF(AP8:AP16,"4")+COUNTIF(AP8:AP16,"5")+COUNTIF(AP8:AP16,"6")+COUNTIF(AP8:AP16,"7")+COUNTIF(AP8:AP16,"8")+COUNTIF(AP8:AP16,"9"),"")</f>
        <v>10</v>
      </c>
      <c r="AQ17" s="32" t="str">
        <f t="shared" si="1"/>
        <v>LUGAR</v>
      </c>
      <c r="AR17" s="111" t="str">
        <f>IF(AR9&lt;&gt;"",IF(G12=AR9,G14,IF(G14=AR9,G12,IF(G28=AR9,G30,IF(G30=AR9,G28,IF(AG12=AR9,AG14,IF(AG14=AR9,AG12,IF(AG28=AR9,AG30,IF(AG30=AR9,AG28,IF(G42=AR9,G44,IF(G44=AR9,G42,IF(G58=AR9,G60,IF(G60=AR9,G58,IF(AG42=AR9,AG44,IF(AG44=AR9,AG42,IF(AG58=AR9,AG60,IF(AG60=AR9,AG58)))))))))))))))),"")</f>
        <v>MATHEUS VASCONCELOS PEREIRA</v>
      </c>
      <c r="AS17" s="33" t="str">
        <f>IFERROR(IF(AR17="","",VLOOKUP(AR17,LISTAS!$F$5:$G$1004,2,0)),"0")</f>
        <v>COLÉGIO ENGENHEIRO SALVADOR ARENA</v>
      </c>
      <c r="AT17" s="33">
        <f t="shared" si="0"/>
        <v>200</v>
      </c>
      <c r="AU17" s="33">
        <f t="shared" si="2"/>
        <v>200</v>
      </c>
    </row>
    <row r="18" spans="2:47" ht="18" customHeight="1" x14ac:dyDescent="0.25">
      <c r="B18" s="133">
        <v>16</v>
      </c>
      <c r="C18" s="162" t="str">
        <f>IF('15M GRP'!G5&gt;=3,'15M GRP'!J216,IF('15M GRP'!G5=2,"",IF('15M GRP'!G5=1,"","")))</f>
        <v>HENRIQUE STUGINSKI STOFFA KOYAMA</v>
      </c>
      <c r="D18" s="266">
        <v>1</v>
      </c>
      <c r="E18" s="106">
        <f>IF(D18&lt;&gt;"",D18,"")</f>
        <v>1</v>
      </c>
      <c r="F18" s="101" t="str">
        <f>IF(D18&lt;&gt;"",IF(C18="","",C18),"")</f>
        <v>HENRIQUE STUGINSKI STOFFA KOYAMA</v>
      </c>
      <c r="G18" s="190" t="str">
        <f>VLOOKUP(G16,E16:F18,2,0)</f>
        <v>JORGE DE OLIVEIRA MACEDO</v>
      </c>
      <c r="H18" s="101"/>
      <c r="I18" s="138"/>
      <c r="J18" s="101"/>
      <c r="K18" s="190"/>
      <c r="L18" s="101"/>
      <c r="M18" s="101"/>
      <c r="N18" s="101"/>
      <c r="O18" s="190"/>
      <c r="P18" s="29"/>
      <c r="Q18" s="37"/>
      <c r="R18" s="198"/>
      <c r="S18" s="37"/>
      <c r="T18" s="37"/>
      <c r="U18" s="37"/>
      <c r="V18" s="198"/>
      <c r="W18" s="37"/>
      <c r="X18" s="86"/>
      <c r="Y18" s="198"/>
      <c r="Z18" s="37"/>
      <c r="AA18" s="37"/>
      <c r="AB18" s="29"/>
      <c r="AC18" s="198"/>
      <c r="AD18" s="94"/>
      <c r="AE18" s="100"/>
      <c r="AF18" s="100"/>
      <c r="AG18" s="197">
        <f>IF(AJ18&lt;&gt;"",AJ18,"")</f>
        <v>0</v>
      </c>
      <c r="AH18" s="100" t="str">
        <f>IF(AJ18&lt;&gt;"",IF(AK18="","",AK18),"")</f>
        <v/>
      </c>
      <c r="AI18" s="104" t="str">
        <f>VLOOKUP(AI16,AG16:AH18,2,0)</f>
        <v/>
      </c>
      <c r="AJ18" s="266">
        <v>0</v>
      </c>
      <c r="AK18" s="162"/>
      <c r="AL18" s="29">
        <v>19</v>
      </c>
      <c r="AP18" s="31">
        <f>IF(AR18&lt;&gt;"",1+COUNTIF(AP8:AP17,"1")+COUNTIF(AP8:AP17,"2")+COUNTIF(AP8:AP17,"3")+COUNTIF(AP8:AP17,"4")+COUNTIF(AP8:AP17,"5")+COUNTIF(AP8:AP17,"6")+COUNTIF(AP8:AP17,"7")+COUNTIF(AP8:AP17,"8")+COUNTIF(AP8:AP17,"9")+COUNTIF(AP8:AP17,"10"),"")</f>
        <v>11</v>
      </c>
      <c r="AQ18" s="32" t="str">
        <f t="shared" si="1"/>
        <v>LUGAR</v>
      </c>
      <c r="AR18" s="111" t="str">
        <f>IF(AR10&lt;&gt;"",IF(G12=AR10,G14,IF(G14=AR10,G12,IF(G28=AR10,G30,IF(G30=AR10,G28,IF(AG12=AR10,AG14,IF(AG14=AR10,AG12,IF(AG28=AR10,AG30,IF(AG30=AR10,AG28,IF(G42=AR10,G44,IF(G44=AR10,G42,IF(G58=AR10,G60,IF(G60=AR10,G58,IF(AG42=AR10,AG44,IF(AG44=AR10,AG42,IF(AG58=AR10,AG60,IF(AG60=AR10,AG58)))))))))))))))),"")</f>
        <v>KAIO DIAS MOREIRA</v>
      </c>
      <c r="AS18" s="33" t="str">
        <f>IFERROR(IF(AR18="","",VLOOKUP(AR18,LISTAS!$F$5:$G$1004,2,0)),"0")</f>
        <v>COLÉGIO ENGENHEIRO SALVADOR ARENA</v>
      </c>
      <c r="AT18" s="33">
        <f t="shared" si="0"/>
        <v>200</v>
      </c>
      <c r="AU18" s="33">
        <f t="shared" si="2"/>
        <v>200</v>
      </c>
    </row>
    <row r="19" spans="2:47" ht="18" customHeight="1" thickBot="1" x14ac:dyDescent="0.3">
      <c r="B19" s="133"/>
      <c r="C19" s="165" t="str">
        <f>IFERROR(IF(C18="","",VLOOKUP(C18,LISTAS!$F$5:$G$1004,2,0)),"0")</f>
        <v>COLÉGIO BANDEIRANTES</v>
      </c>
      <c r="D19" s="267"/>
      <c r="E19" s="101"/>
      <c r="F19" s="101"/>
      <c r="G19" s="190"/>
      <c r="H19" s="101"/>
      <c r="I19" s="138"/>
      <c r="J19" s="101"/>
      <c r="K19" s="190"/>
      <c r="L19" s="101"/>
      <c r="M19" s="101"/>
      <c r="N19" s="101"/>
      <c r="O19" s="190"/>
      <c r="P19" s="29"/>
      <c r="Q19" s="37"/>
      <c r="R19" s="198"/>
      <c r="S19" s="37"/>
      <c r="T19" s="37"/>
      <c r="U19" s="37"/>
      <c r="V19" s="198"/>
      <c r="W19" s="37"/>
      <c r="X19" s="86"/>
      <c r="Y19" s="198"/>
      <c r="Z19" s="37"/>
      <c r="AA19" s="37"/>
      <c r="AB19" s="29"/>
      <c r="AC19" s="198"/>
      <c r="AD19" s="94"/>
      <c r="AE19" s="100"/>
      <c r="AF19" s="100"/>
      <c r="AG19" s="197"/>
      <c r="AH19" s="100"/>
      <c r="AI19" s="101"/>
      <c r="AJ19" s="267"/>
      <c r="AK19" s="165" t="str">
        <f>IFERROR(IF(AK18="","",VLOOKUP(AK18,LISTAS!$F$5:$G$1004,2,0)),"0")</f>
        <v/>
      </c>
      <c r="AL19" s="29"/>
      <c r="AP19" s="31">
        <f>IF(AR19&lt;&gt;"",1+COUNTIF(AP8:AP18,"1")+COUNTIF(AP8:AP18,"2")+COUNTIF(AP8:AP18,"3")+COUNTIF(AP8:AP18,"4")+COUNTIF(AP8:AP18,"5")+COUNTIF(AP8:AP18,"6")+COUNTIF(AP8:AP18,"7")+COUNTIF(AP8:AP18,"8")+COUNTIF(AP8:AP18,"9")+COUNTIF(AP8:AP18,"10")+COUNTIF(AP8:AP18,"11"),"")</f>
        <v>12</v>
      </c>
      <c r="AQ19" s="32" t="str">
        <f t="shared" si="1"/>
        <v>LUGAR</v>
      </c>
      <c r="AR19" s="111" t="str">
        <f>IF(AR11&lt;&gt;"",IF(G12=AR11,G14,IF(G14=AR11,G12,IF(G28=AR11,G30,IF(G30=AR11,G28,IF(AG12=AR11,AG14,IF(AG14=AR11,AG12,IF(AG28=AR11,AG30,IF(AG30=AR11,AG28,IF(G42=AR11,G44,IF(G44=AR11,G42,IF(G58=AR11,G60,IF(G60=AR11,G58,IF(AG42=AR11,AG44,IF(AG44=AR11,AG42,IF(AG58=AR11,AG60,IF(AG60=AR11,AG58)))))))))))))))),"")</f>
        <v>FELIPE ANTONIO DE SÁ EIRAS QUISPE</v>
      </c>
      <c r="AS19" s="33" t="str">
        <f>IFERROR(IF(AR19="","",VLOOKUP(AR19,LISTAS!$F$5:$G$1004,2,0)),"0")</f>
        <v>COLEGIO PETROPOLIS</v>
      </c>
      <c r="AT19" s="33">
        <f t="shared" si="0"/>
        <v>200</v>
      </c>
      <c r="AU19" s="33">
        <f t="shared" si="2"/>
        <v>200</v>
      </c>
    </row>
    <row r="20" spans="2:47" ht="18" customHeight="1" x14ac:dyDescent="0.25">
      <c r="B20" s="133"/>
      <c r="C20" s="188"/>
      <c r="D20" s="29"/>
      <c r="E20" s="87"/>
      <c r="F20" s="87"/>
      <c r="G20" s="192"/>
      <c r="H20" s="29"/>
      <c r="I20" s="35"/>
      <c r="J20" s="29"/>
      <c r="K20" s="162" t="str">
        <f>IF(H12&lt;&gt;"",IF(H14&lt;&gt;"",IF(H12=H14,"",IF(H12&gt;H14,G12,G14)),""),"")</f>
        <v>HENRIQUE STUGINSKI STOFFA KOYAMA</v>
      </c>
      <c r="L20" s="266">
        <v>0</v>
      </c>
      <c r="M20" s="101">
        <f>IF(L20&lt;&gt;"",L20,"")</f>
        <v>0</v>
      </c>
      <c r="N20" s="101" t="str">
        <f>IF(L20&lt;&gt;"",IF(K20="","",K20),"")</f>
        <v>HENRIQUE STUGINSKI STOFFA KOYAMA</v>
      </c>
      <c r="O20" s="190">
        <f>IF(M20&lt;&gt;"",IF(M22&lt;&gt;"",SMALL(M20:N22,1),""),"")</f>
        <v>0</v>
      </c>
      <c r="P20" s="101"/>
      <c r="Q20" s="100"/>
      <c r="R20" s="272" t="s">
        <v>91</v>
      </c>
      <c r="S20" s="273"/>
      <c r="T20" s="273"/>
      <c r="U20" s="273"/>
      <c r="V20" s="273"/>
      <c r="W20" s="37"/>
      <c r="X20" s="86"/>
      <c r="Y20" s="198"/>
      <c r="Z20" s="37"/>
      <c r="AA20" s="37"/>
      <c r="AB20" s="266">
        <v>1</v>
      </c>
      <c r="AC20" s="162" t="str">
        <f>IF(AF12&lt;&gt;"",IF(AF14&lt;&gt;"",IF(AF12=AF14,"",IF(AF12&gt;AF14,AG12,AG14)),""),"")</f>
        <v>NATAN DREER DURAN</v>
      </c>
      <c r="AD20" s="141"/>
      <c r="AE20" s="100"/>
      <c r="AF20" s="100"/>
      <c r="AG20" s="197"/>
      <c r="AH20" s="100"/>
      <c r="AI20" s="100"/>
      <c r="AJ20" s="29"/>
      <c r="AK20" s="188"/>
      <c r="AL20" s="29"/>
      <c r="AM20" s="23"/>
      <c r="AN20" s="23"/>
      <c r="AO20" s="23"/>
      <c r="AP20" s="31">
        <f>IF(AR20&lt;&gt;"",1+COUNTIF(AP8:AP19,"1")+COUNTIF(AP8:AP19,"2")+COUNTIF(AP8:AP19,"3")+COUNTIF(AP8:AP19,"4")+COUNTIF(AP8:AP19,"5")+COUNTIF(AP8:AP19,"6")+COUNTIF(AP8:AP19,"7")+COUNTIF(AP8:AP19,"8")+COUNTIF(AP8:AP19,"9")+COUNTIF(AP8:AP19,"10")+COUNTIF(AP8:AP19,"11")+COUNTIF(AP8:AP19,"12"),"")</f>
        <v>13</v>
      </c>
      <c r="AQ20" s="32" t="str">
        <f t="shared" si="1"/>
        <v>LUGAR</v>
      </c>
      <c r="AR20" s="111" t="str">
        <f>IF(AR12&lt;&gt;"",IF(G12=AR12,G14,IF(G14=AR12,G12,IF(G28=AR12,G30,IF(G30=AR12,G28,IF(AG12=AR12,AG14,IF(AG14=AR12,AG12,IF(AG28=AR12,AG30,IF(AG30=AR12,AG28,IF(G42=AR12,G44,IF(G44=AR12,G42,IF(G58=AR12,G60,IF(G60=AR12,G58,IF(AG42=AR12,AG44,IF(AG44=AR12,AG42,IF(AG58=AR12,AG60,IF(AG60=AR12,AG58)))))))))))))))),"")</f>
        <v>MURILO HENRIQUE DELFIOL</v>
      </c>
      <c r="AS20" s="33" t="str">
        <f>IFERROR(IF(AR20="","",VLOOKUP(AR20,LISTAS!$F$5:$G$1004,2,0)),"0")</f>
        <v>COLÉGIO ENGENHEIRO SALVADOR ARENA</v>
      </c>
      <c r="AT20" s="33">
        <f t="shared" si="0"/>
        <v>200</v>
      </c>
      <c r="AU20" s="33">
        <f t="shared" si="2"/>
        <v>200</v>
      </c>
    </row>
    <row r="21" spans="2:47" ht="18" customHeight="1" thickBot="1" x14ac:dyDescent="0.3">
      <c r="B21" s="133"/>
      <c r="C21" s="188"/>
      <c r="D21" s="29"/>
      <c r="E21" s="29"/>
      <c r="F21" s="29"/>
      <c r="G21" s="188"/>
      <c r="H21" s="29"/>
      <c r="I21" s="35"/>
      <c r="J21" s="29"/>
      <c r="K21" s="165" t="str">
        <f>IFERROR(IF(K20="","",VLOOKUP(K20,LISTAS!$F$5:$G$1004,2,0)),"0")</f>
        <v>COLÉGIO BANDEIRANTES</v>
      </c>
      <c r="L21" s="267"/>
      <c r="M21" s="101"/>
      <c r="N21" s="101"/>
      <c r="O21" s="190"/>
      <c r="P21" s="101"/>
      <c r="Q21" s="100"/>
      <c r="R21" s="272" t="s">
        <v>32</v>
      </c>
      <c r="S21" s="273"/>
      <c r="T21" s="273"/>
      <c r="U21" s="273"/>
      <c r="V21" s="273"/>
      <c r="W21" s="37"/>
      <c r="X21" s="86"/>
      <c r="Y21" s="198"/>
      <c r="Z21" s="37"/>
      <c r="AA21" s="37"/>
      <c r="AB21" s="267"/>
      <c r="AC21" s="165" t="str">
        <f>IFERROR(IF(AC20="","",VLOOKUP(AC20,LISTAS!$F$5:$G$1004,2,0)),"0")</f>
        <v>COLÉGIO ARBOS SÃO CAETANO DO SUL</v>
      </c>
      <c r="AD21" s="37"/>
      <c r="AE21" s="144"/>
      <c r="AF21" s="100"/>
      <c r="AG21" s="197"/>
      <c r="AH21" s="100"/>
      <c r="AI21" s="100"/>
      <c r="AJ21" s="29"/>
      <c r="AK21" s="188"/>
      <c r="AL21" s="29"/>
      <c r="AM21" s="23"/>
      <c r="AN21" s="23"/>
      <c r="AO21" s="23"/>
      <c r="AP21" s="31">
        <f>IF(AR21&lt;&gt;"",1+COUNTIF(AP8:AP20,"1")+COUNTIF(AP8:AP20,"2")+COUNTIF(AP8:AP20,"3")+COUNTIF(AP8:AP20,"4")+COUNTIF(AP8:AP20,"5")+COUNTIF(AP8:AP20,"6")+COUNTIF(AP8:AP20,"7")+COUNTIF(AP8:AP20,"8")+COUNTIF(AP8:AP20,"9")+COUNTIF(AP8:AP20,"10")+COUNTIF(AP8:AP20,"11")+COUNTIF(AP8:AP20,"12")+COUNTIF(AP8:AP20,"13"),"")</f>
        <v>14</v>
      </c>
      <c r="AQ21" s="32" t="str">
        <f t="shared" si="1"/>
        <v>LUGAR</v>
      </c>
      <c r="AR21" s="111" t="str">
        <f>IF(AR13&lt;&gt;"",IF(G12=AR13,G14,IF(G14=AR13,G12,IF(G28=AR13,G30,IF(G30=AR13,G28,IF(AG12=AR13,AG14,IF(AG14=AR13,AG12,IF(AG28=AR13,AG30,IF(AG30=AR13,AG28,IF(G42=AR13,G44,IF(G44=AR13,G42,IF(G58=AR13,G60,IF(G60=AR13,G58,IF(AG42=AR13,AG44,IF(AG44=AR13,AG42,IF(AG58=AR13,AG60,IF(AG60=AR13,AG58)))))))))))))))),"")</f>
        <v>GABRIEL ALEXANDRE FRANCHI</v>
      </c>
      <c r="AS21" s="33" t="str">
        <f>IFERROR(IF(AR21="","",VLOOKUP(AR21,LISTAS!$F$5:$G$1004,2,0)),"0")</f>
        <v>COLÉGIO ARBOS - UNIDADE SANTO ANDRÉ</v>
      </c>
      <c r="AT21" s="33">
        <f t="shared" si="0"/>
        <v>200</v>
      </c>
      <c r="AU21" s="33">
        <f t="shared" si="2"/>
        <v>200</v>
      </c>
    </row>
    <row r="22" spans="2:47" ht="18" customHeight="1" x14ac:dyDescent="0.25">
      <c r="B22" s="133"/>
      <c r="C22" s="188"/>
      <c r="D22" s="29"/>
      <c r="E22" s="29"/>
      <c r="F22" s="29"/>
      <c r="G22" s="188"/>
      <c r="H22" s="29"/>
      <c r="I22" s="35"/>
      <c r="J22" s="36"/>
      <c r="K22" s="162" t="str">
        <f>IF(H28&lt;&gt;"",IF(H30&lt;&gt;"",IF(H28=H30,"",IF(H28&gt;H30,G28,G30)),""),"")</f>
        <v>MATEUS ISHII ZUCARELI</v>
      </c>
      <c r="L22" s="266">
        <v>1</v>
      </c>
      <c r="M22" s="107">
        <f>IF(L22&lt;&gt;"",L22,"")</f>
        <v>1</v>
      </c>
      <c r="N22" s="101" t="str">
        <f>IF(L22&lt;&gt;"",IF(K22="","",K22),"")</f>
        <v>MATEUS ISHII ZUCARELI</v>
      </c>
      <c r="O22" s="190" t="str">
        <f>VLOOKUP(O20,M20:N22,2,0)</f>
        <v>HENRIQUE STUGINSKI STOFFA KOYAMA</v>
      </c>
      <c r="P22" s="101"/>
      <c r="Q22" s="100"/>
      <c r="R22" s="198"/>
      <c r="S22" s="37"/>
      <c r="T22" s="37"/>
      <c r="U22" s="37"/>
      <c r="V22" s="198"/>
      <c r="W22" s="37"/>
      <c r="X22" s="86"/>
      <c r="Y22" s="198"/>
      <c r="Z22" s="94"/>
      <c r="AA22" s="96"/>
      <c r="AB22" s="266">
        <v>0</v>
      </c>
      <c r="AC22" s="162" t="str">
        <f>IF(AF28&lt;&gt;"",IF(AF30&lt;&gt;"",IF(AF28=AF30,"",IF(AF28&gt;AF30,AG28,AG30)),""),"")</f>
        <v>KAUAN CAMARGO</v>
      </c>
      <c r="AD22" s="37"/>
      <c r="AE22" s="144"/>
      <c r="AF22" s="100"/>
      <c r="AG22" s="197"/>
      <c r="AH22" s="100"/>
      <c r="AI22" s="100"/>
      <c r="AJ22" s="29"/>
      <c r="AK22" s="188"/>
      <c r="AL22" s="29"/>
      <c r="AP22" s="31">
        <f>IF(AR22&lt;&gt;"",1+COUNTIF(AP8:AP21,"1")+COUNTIF(AP8:AP21,"2")+COUNTIF(AP8:AP21,"3")+COUNTIF(AP8:AP21,"4")+COUNTIF(AP8:AP21,"5")+COUNTIF(AP8:AP21,"6")+COUNTIF(AP8:AP21,"7")+COUNTIF(AP8:AP21,"8")+COUNTIF(AP8:AP21,"9")+COUNTIF(AP8:AP21,"10")+COUNTIF(AP8:AP21,"11")+COUNTIF(AP8:AP21,"12")+COUNTIF(AP8:AP21,"13")+COUNTIF(AP8:AP21,"14"),"")</f>
        <v>15</v>
      </c>
      <c r="AQ22" s="32" t="str">
        <f t="shared" si="1"/>
        <v>LUGAR</v>
      </c>
      <c r="AR22" s="111" t="str">
        <f>IF(AR14&lt;&gt;"",IF(G12=AR14,G14,IF(G14=AR14,G12,IF(G28=AR14,G30,IF(G30=AR14,G28,IF(AG12=AR14,AG14,IF(AG14=AR14,AG12,IF(AG28=AR14,AG30,IF(AG30=AR14,AG28,IF(G42=AR14,G44,IF(G44=AR14,G42,IF(G58=AR14,G60,IF(G60=AR14,G58,IF(AG42=AR14,AG44,IF(AG44=AR14,AG42,IF(AG58=AR14,AG60,IF(AG60=AR14,AG58)))))))))))))))),"")</f>
        <v>PEDRO HENRIQUE VIEIRA DE MELLO BARROS</v>
      </c>
      <c r="AS22" s="33" t="str">
        <f>IFERROR(IF(AR22="","",VLOOKUP(AR22,LISTAS!$F$5:$G$1004,2,0)),"0")</f>
        <v>EXTERNATO SANTO ANTONIO</v>
      </c>
      <c r="AT22" s="33">
        <f t="shared" si="0"/>
        <v>200</v>
      </c>
      <c r="AU22" s="33">
        <f t="shared" si="2"/>
        <v>200</v>
      </c>
    </row>
    <row r="23" spans="2:47" ht="18" customHeight="1" thickBot="1" x14ac:dyDescent="0.3">
      <c r="B23" s="133"/>
      <c r="C23" s="188"/>
      <c r="D23" s="29"/>
      <c r="E23" s="29"/>
      <c r="F23" s="29"/>
      <c r="G23" s="188"/>
      <c r="H23" s="29"/>
      <c r="I23" s="35"/>
      <c r="J23" s="29"/>
      <c r="K23" s="165" t="str">
        <f>IFERROR(IF(K22="","",VLOOKUP(K22,LISTAS!$F$5:$G$1004,2,0)),"0")</f>
        <v>ESCOLA VILLARE</v>
      </c>
      <c r="L23" s="267"/>
      <c r="M23" s="138"/>
      <c r="N23" s="101"/>
      <c r="O23" s="190"/>
      <c r="P23" s="101"/>
      <c r="Q23" s="100"/>
      <c r="R23" s="198"/>
      <c r="S23" s="37"/>
      <c r="T23" s="37"/>
      <c r="U23" s="37"/>
      <c r="V23" s="198"/>
      <c r="W23" s="37"/>
      <c r="X23" s="86"/>
      <c r="Y23" s="198"/>
      <c r="Z23" s="94"/>
      <c r="AA23" s="37"/>
      <c r="AB23" s="267"/>
      <c r="AC23" s="165" t="str">
        <f>IFERROR(IF(AC22="","",VLOOKUP(AC22,LISTAS!$F$5:$G$1004,2,0)),"0")</f>
        <v>COLÉGIO MARCONI - GRU</v>
      </c>
      <c r="AD23" s="37"/>
      <c r="AE23" s="144"/>
      <c r="AF23" s="100"/>
      <c r="AG23" s="197"/>
      <c r="AH23" s="100"/>
      <c r="AI23" s="100"/>
      <c r="AJ23" s="29"/>
      <c r="AK23" s="188"/>
      <c r="AL23" s="29"/>
      <c r="AP23" s="31">
        <f>IF(AR23&lt;&gt;"",1+COUNTIF(AP8:AP22,"1")+COUNTIF(AP8:AP22,"2")+COUNTIF(AP8:AP22,"3")+COUNTIF(AP8:AP22,"4")+COUNTIF(AP8:AP22,"5")+COUNTIF(AP8:AP22,"6")+COUNTIF(AP8:AP22,"7")+COUNTIF(AP8:AP22,"8")+COUNTIF(AP8:AP22,"9")+COUNTIF(AP8:AP22,"10")+COUNTIF(AP8:AP22,"11")+COUNTIF(AP8:AP22,"12")+COUNTIF(AP8:AP22,"13")+COUNTIF(AP8:AP22,"14")+COUNTIF(AP8:AP22,"15"),"")</f>
        <v>16</v>
      </c>
      <c r="AQ23" s="32" t="str">
        <f t="shared" si="1"/>
        <v>LUGAR</v>
      </c>
      <c r="AR23" s="111" t="str">
        <f>IF(AR15&lt;&gt;"",IF(G12=AR15,G14,IF(G14=AR15,G12,IF(G28=AR15,G30,IF(G30=AR15,G28,IF(AG12=AR15,AG14,IF(AG14=AR15,AG12,IF(AG28=AR15,AG30,IF(AG30=AR15,AG28,IF(G42=AR15,G44,IF(G44=AR15,G42,IF(G58=AR15,G60,IF(G60=AR15,G58,IF(AG42=AR15,AG44,IF(AG44=AR15,AG42,IF(AG58=AR15,AG60,IF(AG60=AR15,AG58)))))))))))))))),"")</f>
        <v>ARTHUR LOPES LINARES SANTANA</v>
      </c>
      <c r="AS23" s="33" t="str">
        <f>IFERROR(IF(AR23="","",VLOOKUP(AR23,LISTAS!$F$5:$G$1004,2,0)),"0")</f>
        <v>COLÉGIO ARBOS - UNIDADE SANTO ANDRÉ</v>
      </c>
      <c r="AT23" s="33">
        <f t="shared" si="0"/>
        <v>200</v>
      </c>
      <c r="AU23" s="33">
        <f t="shared" si="2"/>
        <v>200</v>
      </c>
    </row>
    <row r="24" spans="2:47" ht="18" customHeight="1" x14ac:dyDescent="0.25">
      <c r="B24" s="133">
        <v>9</v>
      </c>
      <c r="C24" s="162" t="str">
        <f>IF('15M GRP'!G5&gt;=3,'15M GRP'!J125,IF('15M GRP'!G5=2,"",IF('15M GRP'!G5=1,"","")))</f>
        <v>FELIPE ANTONIO DE SÁ EIRAS QUISPE</v>
      </c>
      <c r="D24" s="266">
        <v>1</v>
      </c>
      <c r="E24" s="101">
        <f>IF(D24&lt;&gt;"",D24,"")</f>
        <v>1</v>
      </c>
      <c r="F24" s="101" t="str">
        <f>IF(D24&lt;&gt;"",IF(C24="","",C24),"")</f>
        <v>FELIPE ANTONIO DE SÁ EIRAS QUISPE</v>
      </c>
      <c r="G24" s="190">
        <f>IF(E24&lt;&gt;"",IF(E26&lt;&gt;"",SMALL(E24:E26,1),""),"")</f>
        <v>0</v>
      </c>
      <c r="H24" s="101"/>
      <c r="I24" s="138"/>
      <c r="J24" s="101"/>
      <c r="K24" s="190"/>
      <c r="L24" s="101"/>
      <c r="M24" s="138"/>
      <c r="N24" s="101"/>
      <c r="O24" s="190"/>
      <c r="P24" s="101"/>
      <c r="Q24" s="100"/>
      <c r="R24" s="198"/>
      <c r="S24" s="37"/>
      <c r="T24" s="37"/>
      <c r="U24" s="37"/>
      <c r="V24" s="198"/>
      <c r="W24" s="37"/>
      <c r="X24" s="86"/>
      <c r="Y24" s="198"/>
      <c r="Z24" s="94"/>
      <c r="AA24" s="37"/>
      <c r="AB24" s="29"/>
      <c r="AC24" s="198"/>
      <c r="AD24" s="37"/>
      <c r="AE24" s="144"/>
      <c r="AF24" s="100"/>
      <c r="AG24" s="197">
        <f>IF(AJ24&lt;&gt;"",AJ24,"")</f>
        <v>0</v>
      </c>
      <c r="AH24" s="100" t="str">
        <f>IF(AJ24&lt;&gt;"",IF(AK24="","",AK24),"")</f>
        <v/>
      </c>
      <c r="AI24" s="101">
        <f>IF(AG24&lt;&gt;"",IF(AG26&lt;&gt;"",SMALL(AG24:AG26,1),""),"")</f>
        <v>0</v>
      </c>
      <c r="AJ24" s="266">
        <v>0</v>
      </c>
      <c r="AK24" s="162" t="str">
        <f>IF('15M GRP'!G5&gt;=3,'15M GRP'!J294,IF('15M GRP'!G5=2,"",IF('15M GRP'!G5=1,"","")))</f>
        <v/>
      </c>
      <c r="AL24" s="29">
        <v>22</v>
      </c>
      <c r="AP24" s="31" t="str">
        <f>IF(AR24&lt;&gt;"",1+COUNTIF(AP8:AP23,"1")+COUNTIF(AP8:AP23,"2")+COUNTIF(AP8:AP23,"3")+COUNTIF(AP8:AP23,"4")+COUNTIF(AP8:AP23,"5")+COUNTIF(AP8:AP23,"6")+COUNTIF(AP8:AP23,"7")+COUNTIF(AP8:AP23,"8")+COUNTIF(AP8:AP23,"9")+COUNTIF(AP8:AP23,"10")+COUNTIF(AP8:AP23,"11")+COUNTIF(AP8:AP23,"12")+COUNTIF(AP8:AP23,"13")+COUNTIF(AP8:AP23,"14")+COUNTIF(AP8:AP23,"15")+COUNTIF(AP8:AP23,"16"),"")</f>
        <v/>
      </c>
      <c r="AQ24" s="32" t="str">
        <f t="shared" si="1"/>
        <v/>
      </c>
      <c r="AR24" s="111" t="str">
        <f>IF(AR8&lt;&gt;"",IF(C8=AR8,G10,IF(C10=AR8,G10,IF(C16=AR8,G18,IF(C18=AR8,G18,IF(C38=AR8,G40,IF(C40=AR8,G40,IF(C46=AR8,G48,IF(C48=AR8,G48,IF(C24=AR8,G26,IF(C26=AR8,G26,IF(C32=AR8,G34,IF(C34=AR8,G34,IF(C54=AR8,G56,IF(C56=AR8,G56,IF(C62=AR8,G64,IF(C64=AR8,G64,IF(AK8=AR8,AI10,IF(AK10=AR8,AI10,IF(AK16=AR8,AI18,IF(AK18=AR8,AI18,IF(AK38=AR8,AI40,IF(AK40=AR8,AI40,IF(AK46=AR8,AI48,IF(AK48=AR8,AI48,IF(AK24=AR8,AI26,IF(AK26=AR8,AI26,IF(AK32=AR8,AI34,IF(AK34=AR8,AI34,IF(AK54=AR8,AI56,IF(AK56=AR8,AI56,IF(AK62=AR8,AI64,IF(AK64=AR8,AI64)))))))))))))))))))))))))))))))),"")</f>
        <v/>
      </c>
      <c r="AS24" s="33" t="str">
        <f>IFERROR(IF(AR24="","",VLOOKUP(AR24,LISTAS!$F$5:$G$1004,2,0)),"0")</f>
        <v/>
      </c>
      <c r="AT24" s="33" t="str">
        <f t="shared" si="0"/>
        <v/>
      </c>
      <c r="AU24" s="33" t="str">
        <f t="shared" si="2"/>
        <v/>
      </c>
    </row>
    <row r="25" spans="2:47" ht="18" customHeight="1" thickBot="1" x14ac:dyDescent="0.3">
      <c r="B25" s="133"/>
      <c r="C25" s="165" t="str">
        <f>IFERROR(IF(C24="","",VLOOKUP(C24,LISTAS!$F$5:$G$1004,2,0)),"0")</f>
        <v>COLEGIO PETROPOLIS</v>
      </c>
      <c r="D25" s="267"/>
      <c r="E25" s="101"/>
      <c r="F25" s="101"/>
      <c r="G25" s="190"/>
      <c r="H25" s="101"/>
      <c r="I25" s="138"/>
      <c r="J25" s="101"/>
      <c r="K25" s="190"/>
      <c r="L25" s="101"/>
      <c r="M25" s="138"/>
      <c r="N25" s="101"/>
      <c r="O25" s="190"/>
      <c r="P25" s="101"/>
      <c r="Q25" s="100"/>
      <c r="R25" s="198"/>
      <c r="S25" s="37"/>
      <c r="T25" s="37"/>
      <c r="U25" s="37"/>
      <c r="V25" s="198"/>
      <c r="W25" s="37"/>
      <c r="X25" s="86"/>
      <c r="Y25" s="198"/>
      <c r="Z25" s="94"/>
      <c r="AA25" s="37"/>
      <c r="AB25" s="29"/>
      <c r="AC25" s="198"/>
      <c r="AD25" s="37"/>
      <c r="AE25" s="144"/>
      <c r="AF25" s="100"/>
      <c r="AG25" s="197"/>
      <c r="AH25" s="100"/>
      <c r="AI25" s="101"/>
      <c r="AJ25" s="267"/>
      <c r="AK25" s="165" t="str">
        <f>IFERROR(IF(AK24="","",VLOOKUP(AK24,LISTAS!$F$5:$G$1004,2,0)),"0")</f>
        <v/>
      </c>
      <c r="AL25" s="29"/>
      <c r="AP25" s="31" t="str">
        <f>IF(AR25&lt;&gt;"",1+COUNTIF(AP8:AP24,"1")+COUNTIF(AP8:AP24,"2")+COUNTIF(AP8:AP24,"3")+COUNTIF(AP8:AP24,"4")+COUNTIF(AP8:AP24,"5")+COUNTIF(AP8:AP24,"6")+COUNTIF(AP8:AP24,"7")+COUNTIF(AP8:AP24,"8")+COUNTIF(AP8:AP24,"9")+COUNTIF(AP8:AP24,"10")+COUNTIF(AP8:AP24,"11")+COUNTIF(AP8:AP24,"12")+COUNTIF(AP8:AP24,"13")+COUNTIF(AP8:AP24,"14")+COUNTIF(AP8:AP24,"15")+COUNTIF(AP8:AP24,"16")+COUNTIF(AP8:AP24,"17"),"")</f>
        <v/>
      </c>
      <c r="AQ25" s="32" t="str">
        <f t="shared" si="1"/>
        <v/>
      </c>
      <c r="AR25" s="111" t="str">
        <f>IF(AR9&lt;&gt;"",IF(C8=AR9,G10,IF(C10=AR9,G10,IF(C16=AR9,G18,IF(C18=AR9,G18,IF(C38=AR9,G40,IF(C40=AR9,G40,IF(C46=AR9,G48,IF(C48=AR9,G48,IF(C24=AR9,G26,IF(C26=AR9,G26,IF(C32=AR9,G34,IF(C34=AR9,G34,IF(C54=AR9,G56,IF(C56=AR9,G56,IF(C62=AR9,G64,IF(C64=AR9,G64,IF(AK8=AR9,AI10,IF(AK10=AR9,AI10,IF(AK16=AR9,AI18,IF(AK18=AR9,AI18,IF(AK38=AR9,AI40,IF(AK40=AR9,AI40,IF(AK46=AR9,AI48,IF(AK48=AR9,AI48,IF(AK24=AR9,AI26,IF(AK26=AR9,AI26,IF(AK32=AR9,AI34,IF(AK34=AR9,AI34,IF(AK54=AR9,AI56,IF(AK56=AR9,AI56,IF(AK62=AR9,AI64,IF(AK64=AR9,AI64)))))))))))))))))))))))))))))))),"")</f>
        <v/>
      </c>
      <c r="AS25" s="33" t="str">
        <f>IFERROR(IF(AR25="","",VLOOKUP(AR25,LISTAS!$F$5:$G$1004,2,0)),"0")</f>
        <v/>
      </c>
      <c r="AT25" s="33" t="str">
        <f t="shared" si="0"/>
        <v/>
      </c>
      <c r="AU25" s="33" t="str">
        <f t="shared" si="2"/>
        <v/>
      </c>
    </row>
    <row r="26" spans="2:47" ht="18" customHeight="1" x14ac:dyDescent="0.25">
      <c r="B26" s="133">
        <v>24</v>
      </c>
      <c r="C26" s="162" t="str">
        <f>IF('15M GRP'!G5&gt;=3,'15M GRP'!J320,IF('15M GRP'!G5=2,"",IF('15M GRP'!G5=1,"","")))</f>
        <v/>
      </c>
      <c r="D26" s="266">
        <v>0</v>
      </c>
      <c r="E26" s="107">
        <f>IF(D26&lt;&gt;"",D26,"")</f>
        <v>0</v>
      </c>
      <c r="F26" s="101" t="str">
        <f>IF(D26&lt;&gt;"",IF(C26="","",C26),"")</f>
        <v/>
      </c>
      <c r="G26" s="190" t="str">
        <f>VLOOKUP(G24,E24:F26,2,0)</f>
        <v/>
      </c>
      <c r="H26" s="101"/>
      <c r="I26" s="138"/>
      <c r="J26" s="101"/>
      <c r="K26" s="190"/>
      <c r="L26" s="101"/>
      <c r="M26" s="138"/>
      <c r="N26" s="101"/>
      <c r="O26" s="190"/>
      <c r="P26" s="101"/>
      <c r="Q26" s="100"/>
      <c r="R26" s="198"/>
      <c r="S26" s="37"/>
      <c r="T26" s="37"/>
      <c r="U26" s="37"/>
      <c r="V26" s="198"/>
      <c r="W26" s="37"/>
      <c r="X26" s="86"/>
      <c r="Y26" s="198"/>
      <c r="Z26" s="94"/>
      <c r="AA26" s="37"/>
      <c r="AB26" s="29"/>
      <c r="AC26" s="198"/>
      <c r="AD26" s="37"/>
      <c r="AE26" s="144"/>
      <c r="AF26" s="100"/>
      <c r="AG26" s="197">
        <f>IF(AJ26&lt;&gt;"",AJ26,"")</f>
        <v>1</v>
      </c>
      <c r="AH26" s="100" t="str">
        <f>IF(AJ26&lt;&gt;"",IF(AK26="","",AK26),"")</f>
        <v>MURILO HENRIQUE DELFIOL</v>
      </c>
      <c r="AI26" s="102" t="str">
        <f>VLOOKUP(AI24,AG24:AH26,2,0)</f>
        <v/>
      </c>
      <c r="AJ26" s="266">
        <v>1</v>
      </c>
      <c r="AK26" s="162" t="str">
        <f>IF('15M GRP'!G5&gt;=3,'15M GRP'!J151,IF('15M GRP'!G5=2,"",IF('15M GRP'!G5=1,"","")))</f>
        <v>MURILO HENRIQUE DELFIOL</v>
      </c>
      <c r="AL26" s="29">
        <v>11</v>
      </c>
      <c r="AM26" s="23"/>
      <c r="AN26" s="23"/>
      <c r="AO26" s="23"/>
      <c r="AP26" s="31">
        <f>IF(AR26&lt;&gt;"",1+COUNTIF(AP8:AP25,"1")+COUNTIF(AP8:AP25,"2")+COUNTIF(AP8:AP25,"3")+COUNTIF(AP8:AP25,"4")+COUNTIF(AP8:AP25,"5")+COUNTIF(AP8:AP25,"6")+COUNTIF(AP8:AP25,"7")+COUNTIF(AP8:AP25,"8")+COUNTIF(AP8:AP25,"9")+COUNTIF(AP8:AP25,"10")+COUNTIF(AP8:AP25,"11")+COUNTIF(AP8:AP25,"12")+COUNTIF(AP8:AP25,"13")+COUNTIF(AP8:AP25,"14")+COUNTIF(AP8:AP25,"15")+COUNTIF(AP8:AP25,"16")+COUNTIF(AP8:AP25,"17")+COUNTIF(AP8:AP25,"18"),"")</f>
        <v>17</v>
      </c>
      <c r="AQ26" s="32" t="str">
        <f t="shared" si="1"/>
        <v>LUGAR</v>
      </c>
      <c r="AR26" s="111" t="str">
        <f>IF(AR10&lt;&gt;"",IF(C8=AR10,G10,IF(C10=AR10,G10,IF(C16=AR10,G18,IF(C18=AR10,G18,IF(C38=AR10,G40,IF(C40=AR10,G40,IF(C46=AR10,G48,IF(C48=AR10,G48,IF(C24=AR10,G26,IF(C26=AR10,G26,IF(C32=AR10,G34,IF(C34=AR10,G34,IF(C54=AR10,G56,IF(C56=AR10,G56,IF(C62=AR10,G64,IF(C64=AR10,G64,IF(AK8=AR10,AI10,IF(AK10=AR10,AI10,IF(AK16=AR10,AI18,IF(AK18=AR10,AI18,IF(AK38=AR10,AI40,IF(AK40=AR10,AI40,IF(AK46=AR10,AI48,IF(AK48=AR10,AI48,IF(AK24=AR10,AI26,IF(AK26=AR10,AI26,IF(AK32=AR10,AI34,IF(AK34=AR10,AI34,IF(AK54=AR10,AI56,IF(AK56=AR10,AI56,IF(AK62=AR10,AI64,IF(AK64=AR10,AI64)))))))))))))))))))))))))))))))),"")</f>
        <v>LIONEL ROMANINI GLAL</v>
      </c>
      <c r="AS26" s="33" t="str">
        <f>IFERROR(IF(AR26="","",VLOOKUP(AR26,LISTAS!$F$5:$G$1004,2,0)),"0")</f>
        <v>EDUCANDÁRIO - S.A</v>
      </c>
      <c r="AT26" s="33" t="str">
        <f t="shared" si="0"/>
        <v/>
      </c>
      <c r="AU26" s="33" t="str">
        <f t="shared" si="2"/>
        <v/>
      </c>
    </row>
    <row r="27" spans="2:47" ht="18" customHeight="1" thickBot="1" x14ac:dyDescent="0.3">
      <c r="B27" s="133"/>
      <c r="C27" s="165" t="str">
        <f>IFERROR(IF(C26="","",VLOOKUP(C26,LISTAS!$F$5:$G$1004,2,0)),"0")</f>
        <v/>
      </c>
      <c r="D27" s="267"/>
      <c r="E27" s="148"/>
      <c r="F27" s="101"/>
      <c r="G27" s="190"/>
      <c r="H27" s="101"/>
      <c r="I27" s="138"/>
      <c r="J27" s="101"/>
      <c r="K27" s="190"/>
      <c r="L27" s="101"/>
      <c r="M27" s="138"/>
      <c r="N27" s="101"/>
      <c r="O27" s="190"/>
      <c r="P27" s="101"/>
      <c r="Q27" s="100"/>
      <c r="R27" s="198"/>
      <c r="S27" s="37"/>
      <c r="T27" s="37"/>
      <c r="U27" s="37"/>
      <c r="V27" s="198"/>
      <c r="W27" s="37"/>
      <c r="X27" s="86"/>
      <c r="Y27" s="198"/>
      <c r="Z27" s="94"/>
      <c r="AA27" s="37"/>
      <c r="AB27" s="29"/>
      <c r="AC27" s="198"/>
      <c r="AD27" s="37"/>
      <c r="AE27" s="144"/>
      <c r="AF27" s="100"/>
      <c r="AG27" s="197"/>
      <c r="AH27" s="100"/>
      <c r="AI27" s="142"/>
      <c r="AJ27" s="267"/>
      <c r="AK27" s="165" t="str">
        <f>IFERROR(IF(AK26="","",VLOOKUP(AK26,LISTAS!$F$5:$G$1004,2,0)),"0")</f>
        <v>COLÉGIO ENGENHEIRO SALVADOR ARENA</v>
      </c>
      <c r="AL27" s="29"/>
      <c r="AP27" s="31" t="str">
        <f>IF(AR27&lt;&gt;"",1+COUNTIF(AP8:AP26,"1")+COUNTIF(AP8:AP26,"2")+COUNTIF(AP8:AP26,"3")+COUNTIF(AP8:AP26,"4")+COUNTIF(AP8:AP26,"5")+COUNTIF(AP8:AP26,"6")+COUNTIF(AP8:AP26,"7")+COUNTIF(AP8:AP26,"8")+COUNTIF(AP8:AP26,"9")+COUNTIF(AP8:AP26,"10")+COUNTIF(AP8:AP26,"11")+COUNTIF(AP8:AP26,"12")+COUNTIF(AP8:AP26,"13")+COUNTIF(AP8:AP26,"14")+COUNTIF(AP8:AP26,"15")+COUNTIF(AP8:AP26,"16")+COUNTIF(AP8:AP26,"17")+COUNTIF(AP8:AP26,"18")+COUNTIF(AP8:AP26,"19"),"")</f>
        <v/>
      </c>
      <c r="AQ27" s="32" t="str">
        <f t="shared" si="1"/>
        <v/>
      </c>
      <c r="AR27" s="111" t="str">
        <f>IF(AR11&lt;&gt;"",IF(C8=AR11,G10,IF(C10=AR11,G10,IF(C16=AR11,G18,IF(C18=AR11,G18,IF(C38=AR11,G40,IF(C40=AR11,G40,IF(C46=AR11,G48,IF(C48=AR11,G48,IF(C24=AR11,G26,IF(C26=AR11,G26,IF(C32=AR11,G34,IF(C34=AR11,G34,IF(C54=AR11,G56,IF(C56=AR11,G56,IF(C62=AR11,G64,IF(C64=AR11,G64,IF(AK8=AR11,AI10,IF(AK10=AR11,AI10,IF(AK16=AR11,AI18,IF(AK18=AR11,AI18,IF(AK38=AR11,AI40,IF(AK40=AR11,AI40,IF(AK46=AR11,AI48,IF(AK48=AR11,AI48,IF(AK24=AR11,AI26,IF(AK26=AR11,AI26,IF(AK32=AR11,AI34,IF(AK34=AR11,AI34,IF(AK54=AR11,AI56,IF(AK56=AR11,AI56,IF(AK62=AR11,AI64,IF(AK64=AR11,AI64)))))))))))))))))))))))))))))))),"")</f>
        <v/>
      </c>
      <c r="AS27" s="33" t="str">
        <f>IFERROR(IF(AR27="","",VLOOKUP(AR27,LISTAS!$F$5:$G$1004,2,0)),"0")</f>
        <v/>
      </c>
      <c r="AT27" s="33" t="str">
        <f t="shared" si="0"/>
        <v/>
      </c>
      <c r="AU27" s="33" t="str">
        <f t="shared" si="2"/>
        <v/>
      </c>
    </row>
    <row r="28" spans="2:47" ht="18" customHeight="1" x14ac:dyDescent="0.25">
      <c r="B28" s="133"/>
      <c r="C28" s="188"/>
      <c r="D28" s="29"/>
      <c r="E28" s="29"/>
      <c r="F28" s="34"/>
      <c r="G28" s="162" t="str">
        <f>IF(D24&lt;&gt;"",IF(D26&lt;&gt;"",IF(D24=D26,"",IF(D24&gt;D26,C24,C26)),""),"")</f>
        <v>FELIPE ANTONIO DE SÁ EIRAS QUISPE</v>
      </c>
      <c r="H28" s="266">
        <v>0</v>
      </c>
      <c r="I28" s="148">
        <f>IF(H28&lt;&gt;"",H28,"")</f>
        <v>0</v>
      </c>
      <c r="J28" s="101" t="str">
        <f>IF(H28&lt;&gt;"",IF(G28="","",G28),"")</f>
        <v>FELIPE ANTONIO DE SÁ EIRAS QUISPE</v>
      </c>
      <c r="K28" s="190">
        <f>IF(I28&lt;&gt;"",IF(I30&lt;&gt;"",SMALL(I28:J30,1),""),"")</f>
        <v>0</v>
      </c>
      <c r="L28" s="101"/>
      <c r="M28" s="138"/>
      <c r="N28" s="101"/>
      <c r="O28" s="188"/>
      <c r="P28" s="29"/>
      <c r="Q28" s="37"/>
      <c r="R28" s="198"/>
      <c r="S28" s="37"/>
      <c r="T28" s="37"/>
      <c r="U28" s="37"/>
      <c r="V28" s="198"/>
      <c r="W28" s="37"/>
      <c r="X28" s="86"/>
      <c r="Y28" s="198"/>
      <c r="Z28" s="94"/>
      <c r="AA28" s="37"/>
      <c r="AB28" s="29"/>
      <c r="AC28" s="198"/>
      <c r="AD28" s="37"/>
      <c r="AE28" s="34"/>
      <c r="AF28" s="266">
        <v>0</v>
      </c>
      <c r="AG28" s="162" t="str">
        <f>IF(AJ24&lt;&gt;"",IF(AJ26&lt;&gt;"",IF(AJ24=AJ26,"",IF(AJ24&gt;AJ26,AK24,AK26)),""),"")</f>
        <v>MURILO HENRIQUE DELFIOL</v>
      </c>
      <c r="AH28" s="94"/>
      <c r="AI28" s="37"/>
      <c r="AJ28" s="29"/>
      <c r="AK28" s="188"/>
      <c r="AL28" s="29"/>
      <c r="AP28" s="31" t="str">
        <f>IF(AR28&lt;&gt;"",1+COUNTIF(AP8:AP27,"1")+COUNTIF(AP8:AP27,"2")+COUNTIF(AP8:AP27,"3")+COUNTIF(AP8:AP27,"4")+COUNTIF(AP8:AP27,"5")+COUNTIF(AP8:AP27,"6")+COUNTIF(AP8:AP27,"7")+COUNTIF(AP8:AP27,"8")+COUNTIF(AP8:AP27,"9")+COUNTIF(AP8:AP27,"10")+COUNTIF(AP8:AP27,"11")+COUNTIF(AP8:AP27,"12")+COUNTIF(AP8:AP27,"13")+COUNTIF(AP8:AP27,"14")+COUNTIF(AP8:AP27,"15")+COUNTIF(AP8:AP27,"16")+COUNTIF(AP8:AP27,"17")+COUNTIF(AP8:AP27,"18")+COUNTIF(AP8:AP27,"19")+COUNTIF(AP8:AP27,"20"),"")</f>
        <v/>
      </c>
      <c r="AQ28" s="32" t="str">
        <f t="shared" si="1"/>
        <v/>
      </c>
      <c r="AR28" s="111" t="str">
        <f>IF(AR12&lt;&gt;"",IF(C8=AR12,G10,IF(C10=AR12,G10,IF(C16=AR12,G18,IF(C18=AR12,G18,IF(C38=AR12,G40,IF(C40=AR12,G40,IF(C46=AR12,G48,IF(C48=AR12,G48,IF(C24=AR12,G26,IF(C26=AR12,G26,IF(C32=AR12,G34,IF(C34=AR12,G34,IF(C54=AR12,G56,IF(C56=AR12,G56,IF(C62=AR12,G64,IF(C64=AR12,G64,IF(AK8=AR12,AI10,IF(AK10=AR12,AI10,IF(AK16=AR12,AI18,IF(AK18=AR12,AI18,IF(AK38=AR12,AI40,IF(AK40=AR12,AI40,IF(AK46=AR12,AI48,IF(AK48=AR12,AI48,IF(AK24=AR12,AI26,IF(AK26=AR12,AI26,IF(AK32=AR12,AI34,IF(AK34=AR12,AI34,IF(AK54=AR12,AI56,IF(AK56=AR12,AI56,IF(AK62=AR12,AI64,IF(AK64=AR12,AI64)))))))))))))))))))))))))))))))),"")</f>
        <v/>
      </c>
      <c r="AS28" s="33" t="str">
        <f>IFERROR(IF(AR28="","",VLOOKUP(AR28,LISTAS!$F$5:$G$1004,2,0)),"0")</f>
        <v/>
      </c>
      <c r="AT28" s="33" t="str">
        <f t="shared" si="0"/>
        <v/>
      </c>
      <c r="AU28" s="33" t="str">
        <f t="shared" si="2"/>
        <v/>
      </c>
    </row>
    <row r="29" spans="2:47" ht="18" customHeight="1" thickBot="1" x14ac:dyDescent="0.3">
      <c r="B29" s="133"/>
      <c r="C29" s="188"/>
      <c r="D29" s="29"/>
      <c r="E29" s="29"/>
      <c r="F29" s="34"/>
      <c r="G29" s="165" t="str">
        <f>IFERROR(IF(G28="","",VLOOKUP(G28,LISTAS!$F$5:$G$1004,2,0)),"0")</f>
        <v>COLEGIO PETROPOLIS</v>
      </c>
      <c r="H29" s="267"/>
      <c r="I29" s="105"/>
      <c r="J29" s="101"/>
      <c r="K29" s="190"/>
      <c r="L29" s="101"/>
      <c r="M29" s="138"/>
      <c r="N29" s="101"/>
      <c r="O29" s="188"/>
      <c r="P29" s="29"/>
      <c r="Q29" s="37"/>
      <c r="R29" s="198"/>
      <c r="S29" s="37"/>
      <c r="T29" s="37"/>
      <c r="U29" s="37"/>
      <c r="V29" s="198"/>
      <c r="W29" s="37"/>
      <c r="X29" s="86"/>
      <c r="Y29" s="198"/>
      <c r="Z29" s="94"/>
      <c r="AA29" s="37"/>
      <c r="AB29" s="29"/>
      <c r="AC29" s="198"/>
      <c r="AD29" s="37"/>
      <c r="AE29" s="140"/>
      <c r="AF29" s="267"/>
      <c r="AG29" s="165" t="str">
        <f>IFERROR(IF(AG28="","",VLOOKUP(AG28,LISTAS!$F$5:$G$1004,2,0)),"0")</f>
        <v>COLÉGIO ENGENHEIRO SALVADOR ARENA</v>
      </c>
      <c r="AH29" s="94"/>
      <c r="AI29" s="37"/>
      <c r="AJ29" s="29"/>
      <c r="AK29" s="188"/>
      <c r="AL29" s="29"/>
      <c r="AP29" s="31" t="str">
        <f>IF(AR29&lt;&gt;"",1+COUNTIF(AP8:AP28,"1")+COUNTIF(AP8:AP28,"2")+COUNTIF(AP8:AP28,"3")+COUNTIF(AP8:AP28,"4")+COUNTIF(AP8:AP28,"5")+COUNTIF(AP8:AP28,"6")+COUNTIF(AP8:AP28,"7")+COUNTIF(AP8:AP28,"8")+COUNTIF(AP8:AP28,"9")+COUNTIF(AP8:AP28,"10")+COUNTIF(AP8:AP28,"11")+COUNTIF(AP8:AP28,"12")+COUNTIF(AP8:AP28,"13")+COUNTIF(AP8:AP28,"14")+COUNTIF(AP8:AP28,"15")+COUNTIF(AP8:AP28,"16")+COUNTIF(AP8:AP28,"17")+COUNTIF(AP8:AP28,"18")+COUNTIF(AP8:AP28,"19")+COUNTIF(AP8:AP28,"20")+COUNTIF(AP8:AP28,"21"),"")</f>
        <v/>
      </c>
      <c r="AQ29" s="32" t="str">
        <f t="shared" si="1"/>
        <v/>
      </c>
      <c r="AR29" s="111" t="str">
        <f>IF(AR13&lt;&gt;"",IF(C8=AR13,G10,IF(C10=AR13,G10,IF(C16=AR13,G18,IF(C18=AR13,G18,IF(C38=AR13,G40,IF(C40=AR13,G40,IF(C46=AR13,G48,IF(C48=AR13,G48,IF(C24=AR13,G26,IF(C26=AR13,G26,IF(C32=AR13,G34,IF(C34=AR13,G34,IF(C54=AR13,G56,IF(C56=AR13,G56,IF(C62=AR13,G64,IF(C64=AR13,G64,IF(AK8=AR13,AI10,IF(AK10=AR13,AI10,IF(AK16=AR13,AI18,IF(AK18=AR13,AI18,IF(AK38=AR13,AI40,IF(AK40=AR13,AI40,IF(AK46=AR13,AI48,IF(AK48=AR13,AI48,IF(AK24=AR13,AI26,IF(AK26=AR13,AI26,IF(AK32=AR13,AI34,IF(AK34=AR13,AI34,IF(AK54=AR13,AI56,IF(AK56=AR13,AI56,IF(AK62=AR13,AI64,IF(AK64=AR13,AI64)))))))))))))))))))))))))))))))),"")</f>
        <v/>
      </c>
      <c r="AS29" s="33" t="str">
        <f>IFERROR(IF(AR29="","",VLOOKUP(AR29,LISTAS!$F$5:$G$1004,2,0)),"0")</f>
        <v/>
      </c>
      <c r="AT29" s="33" t="str">
        <f t="shared" si="0"/>
        <v/>
      </c>
      <c r="AU29" s="33" t="str">
        <f t="shared" si="2"/>
        <v/>
      </c>
    </row>
    <row r="30" spans="2:47" ht="18" customHeight="1" x14ac:dyDescent="0.25">
      <c r="B30" s="133"/>
      <c r="C30" s="188"/>
      <c r="D30" s="29"/>
      <c r="E30" s="35"/>
      <c r="F30" s="36"/>
      <c r="G30" s="162" t="str">
        <f>IF(D32&lt;&gt;"",IF(D34&lt;&gt;"",IF(D32=D34,"",IF(D32&gt;D34,C32,C34)),""),"")</f>
        <v>MATEUS ISHII ZUCARELI</v>
      </c>
      <c r="H30" s="266">
        <v>1</v>
      </c>
      <c r="I30" s="106">
        <f>IF(H30&lt;&gt;"",H30,"")</f>
        <v>1</v>
      </c>
      <c r="J30" s="101" t="str">
        <f>IF(H30&lt;&gt;"",IF(G30="","",G30),"")</f>
        <v>MATEUS ISHII ZUCARELI</v>
      </c>
      <c r="K30" s="190" t="str">
        <f>VLOOKUP(K28,I28:J30,2,0)</f>
        <v>FELIPE ANTONIO DE SÁ EIRAS QUISPE</v>
      </c>
      <c r="L30" s="101"/>
      <c r="M30" s="138"/>
      <c r="N30" s="101"/>
      <c r="O30" s="188"/>
      <c r="P30" s="29"/>
      <c r="Q30" s="37"/>
      <c r="R30" s="198"/>
      <c r="S30" s="37"/>
      <c r="T30" s="37"/>
      <c r="U30" s="37"/>
      <c r="V30" s="198"/>
      <c r="W30" s="37"/>
      <c r="X30" s="86"/>
      <c r="Y30" s="198"/>
      <c r="Z30" s="94"/>
      <c r="AA30" s="37"/>
      <c r="AB30" s="29"/>
      <c r="AC30" s="198"/>
      <c r="AD30" s="37"/>
      <c r="AE30" s="91"/>
      <c r="AF30" s="266">
        <v>1</v>
      </c>
      <c r="AG30" s="162" t="str">
        <f>IF(AJ32&lt;&gt;"",IF(AJ34&lt;&gt;"",IF(AJ32=AJ34,"",IF(AJ32&gt;AJ34,AK32,AK34)),""),"")</f>
        <v>KAUAN CAMARGO</v>
      </c>
      <c r="AH30" s="98"/>
      <c r="AI30" s="37"/>
      <c r="AJ30" s="29"/>
      <c r="AK30" s="188"/>
      <c r="AL30" s="29"/>
      <c r="AP30" s="31" t="str">
        <f>IF(AR30&lt;&gt;"",1+COUNTIF(AP8:AP29,"1")+COUNTIF(AP8:AP29,"2")+COUNTIF(AP8:AP29,"3")+COUNTIF(AP8:AP29,"4")+COUNTIF(AP8:AP29,"5")+COUNTIF(AP8:AP29,"6")+COUNTIF(AP8:AP29,"7")+COUNTIF(AP8:AP29,"8")+COUNTIF(AP8:AP29,"9")+COUNTIF(AP8:AP29,"10")+COUNTIF(AP8:AP29,"11")+COUNTIF(AP8:AP29,"12")+COUNTIF(AP8:AP29,"13")+COUNTIF(AP8:AP29,"14")+COUNTIF(AP8:AP29,"15")+COUNTIF(AP8:AP29,"16")+COUNTIF(AP8:AP29,"17")+COUNTIF(AP8:AP29,"18")+COUNTIF(AP8:AP29,"19")+COUNTIF(AP8:AP29,"20")+COUNTIF(AP8:AP29,"21")+COUNTIF(AP8:AP29,"22"),"")</f>
        <v/>
      </c>
      <c r="AQ30" s="32" t="str">
        <f t="shared" si="1"/>
        <v/>
      </c>
      <c r="AR30" s="111" t="str">
        <f>IF(AR14&lt;&gt;"",IF(C8=AR14,G10,IF(C10=AR14,G10,IF(C16=AR14,G18,IF(C18=AR14,G18,IF(C38=AR14,G40,IF(C40=AR14,G40,IF(C46=AR14,G48,IF(C48=AR14,G48,IF(C24=AR14,G26,IF(C26=AR14,G26,IF(C32=AR14,G34,IF(C34=AR14,G34,IF(C54=AR14,G56,IF(C56=AR14,G56,IF(C62=AR14,G64,IF(C64=AR14,G64,IF(AK8=AR14,AI10,IF(AK10=AR14,AI10,IF(AK16=AR14,AI18,IF(AK18=AR14,AI18,IF(AK38=AR14,AI40,IF(AK40=AR14,AI40,IF(AK46=AR14,AI48,IF(AK48=AR14,AI48,IF(AK24=AR14,AI26,IF(AK26=AR14,AI26,IF(AK32=AR14,AI34,IF(AK34=AR14,AI34,IF(AK54=AR14,AI56,IF(AK56=AR14,AI56,IF(AK62=AR14,AI64,IF(AK64=AR14,AI64)))))))))))))))))))))))))))))))),"")</f>
        <v/>
      </c>
      <c r="AS30" s="33" t="str">
        <f>IFERROR(IF(AR30="","",VLOOKUP(AR30,LISTAS!$F$5:$G$1004,2,0)),"0")</f>
        <v/>
      </c>
      <c r="AT30" s="33" t="str">
        <f t="shared" si="0"/>
        <v/>
      </c>
      <c r="AU30" s="33" t="str">
        <f t="shared" si="2"/>
        <v/>
      </c>
    </row>
    <row r="31" spans="2:47" ht="18" customHeight="1" thickBot="1" x14ac:dyDescent="0.3">
      <c r="B31" s="133"/>
      <c r="C31" s="188"/>
      <c r="D31" s="29"/>
      <c r="E31" s="35"/>
      <c r="F31" s="29"/>
      <c r="G31" s="165" t="str">
        <f>IFERROR(IF(G30="","",VLOOKUP(G30,LISTAS!$F$5:$G$1004,2,0)),"0")</f>
        <v>ESCOLA VILLARE</v>
      </c>
      <c r="H31" s="267"/>
      <c r="I31" s="101"/>
      <c r="J31" s="101"/>
      <c r="K31" s="190"/>
      <c r="L31" s="101"/>
      <c r="M31" s="138"/>
      <c r="N31" s="101"/>
      <c r="O31" s="188"/>
      <c r="P31" s="29"/>
      <c r="Q31" s="37"/>
      <c r="R31" s="198"/>
      <c r="S31" s="37"/>
      <c r="T31" s="37"/>
      <c r="U31" s="37"/>
      <c r="V31" s="198"/>
      <c r="W31" s="37"/>
      <c r="X31" s="86"/>
      <c r="Y31" s="198"/>
      <c r="Z31" s="94"/>
      <c r="AA31" s="37"/>
      <c r="AB31" s="29"/>
      <c r="AC31" s="198"/>
      <c r="AD31" s="37"/>
      <c r="AE31" s="37"/>
      <c r="AF31" s="267"/>
      <c r="AG31" s="165" t="str">
        <f>IFERROR(IF(AG30="","",VLOOKUP(AG30,LISTAS!$F$5:$G$1004,2,0)),"0")</f>
        <v>COLÉGIO MARCONI - GRU</v>
      </c>
      <c r="AH31" s="37"/>
      <c r="AI31" s="89"/>
      <c r="AJ31" s="29"/>
      <c r="AK31" s="188"/>
      <c r="AL31" s="29"/>
      <c r="AP31" s="31">
        <f>IF(AR31&lt;&gt;"",1+COUNTIF(AP8:AP30,"1")+COUNTIF(AP8:AP30,"2")+COUNTIF(AP8:AP30,"3")+COUNTIF(AP8:AP30,"4")+COUNTIF(AP8:AP30,"5")+COUNTIF(AP8:AP30,"6")+COUNTIF(AP8:AP30,"7")+COUNTIF(AP8:AP30,"8")+COUNTIF(AP8:AP30,"9")+COUNTIF(AP8:AP30,"10")+COUNTIF(AP8:AP30,"11")+COUNTIF(AP8:AP30,"12")+COUNTIF(AP8:AP30,"13")+COUNTIF(AP8:AP30,"14")+COUNTIF(AP8:AP30,"15")+COUNTIF(AP8:AP30,"16")+COUNTIF(AP8:AP30,"17")+COUNTIF(AP8:AP30,"18")+COUNTIF(AP8:AP30,"19")+COUNTIF(AP8:AP30,"20")+COUNTIF(AP8:AP30,"21")+COUNTIF(AP8:AP30,"22")+COUNTIF(AP8:AP30,"23"),"")</f>
        <v>18</v>
      </c>
      <c r="AQ31" s="32" t="str">
        <f t="shared" si="1"/>
        <v>LUGAR</v>
      </c>
      <c r="AR31" s="111" t="str">
        <f>IF(AR15&lt;&gt;"",IF(C8=AR15,G10,IF(C10=AR15,G10,IF(C16=AR15,G18,IF(C18=AR15,G18,IF(C38=AR15,G40,IF(C40=AR15,G40,IF(C46=AR15,G48,IF(C48=AR15,G48,IF(C24=AR15,G26,IF(C26=AR15,G26,IF(C32=AR15,G34,IF(C34=AR15,G34,IF(C54=AR15,G56,IF(C56=AR15,G56,IF(C62=AR15,G64,IF(C64=AR15,G64,IF(AK8=AR15,AI10,IF(AK10=AR15,AI10,IF(AK16=AR15,AI18,IF(AK18=AR15,AI18,IF(AK38=AR15,AI40,IF(AK40=AR15,AI40,IF(AK46=AR15,AI48,IF(AK48=AR15,AI48,IF(AK24=AR15,AI26,IF(AK26=AR15,AI26,IF(AK32=AR15,AI34,IF(AK34=AR15,AI34,IF(AK54=AR15,AI56,IF(AK56=AR15,AI56,IF(AK62=AR15,AI64,IF(AK64=AR15,AI64)))))))))))))))))))))))))))))))),"")</f>
        <v>JORGE DE OLIVEIRA MACEDO</v>
      </c>
      <c r="AS31" s="33" t="str">
        <f>IFERROR(IF(AR31="","",VLOOKUP(AR31,LISTAS!$F$5:$G$1004,2,0)),"0")</f>
        <v>COLÉGIO ARBOS DE SÃO BERNARDO DO CAMPO</v>
      </c>
      <c r="AT31" s="33" t="str">
        <f t="shared" si="0"/>
        <v/>
      </c>
      <c r="AU31" s="33" t="str">
        <f t="shared" si="2"/>
        <v/>
      </c>
    </row>
    <row r="32" spans="2:47" ht="18" customHeight="1" x14ac:dyDescent="0.25">
      <c r="B32" s="133">
        <v>25</v>
      </c>
      <c r="C32" s="162" t="str">
        <f>IF('15M GRP'!G5&gt;=3,'15M GRP'!J333,IF('15M GRP'!G5=2,"",IF('15M GRP'!G5=1,"","")))</f>
        <v/>
      </c>
      <c r="D32" s="266">
        <v>0</v>
      </c>
      <c r="E32" s="148">
        <f>IF(D32&lt;&gt;"",D32,"")</f>
        <v>0</v>
      </c>
      <c r="F32" s="101" t="str">
        <f>IF(D32&lt;&gt;"",IF(C32="","",C32),"")</f>
        <v/>
      </c>
      <c r="G32" s="190">
        <f>IF(E32&lt;&gt;"",IF(E34&lt;&gt;"",SMALL(E32:E34,1),""),"")</f>
        <v>0</v>
      </c>
      <c r="H32" s="101"/>
      <c r="I32" s="101"/>
      <c r="J32" s="101"/>
      <c r="K32" s="190"/>
      <c r="L32" s="101"/>
      <c r="M32" s="138"/>
      <c r="N32" s="101"/>
      <c r="O32" s="188"/>
      <c r="P32" s="29"/>
      <c r="Q32" s="37"/>
      <c r="R32" s="198"/>
      <c r="S32" s="37"/>
      <c r="T32" s="37"/>
      <c r="U32" s="37"/>
      <c r="V32" s="198"/>
      <c r="W32" s="37"/>
      <c r="X32" s="86"/>
      <c r="Y32" s="198"/>
      <c r="Z32" s="94"/>
      <c r="AA32" s="37"/>
      <c r="AB32" s="29"/>
      <c r="AC32" s="198"/>
      <c r="AD32" s="100"/>
      <c r="AE32" s="100"/>
      <c r="AF32" s="100"/>
      <c r="AG32" s="197">
        <f>IF(AJ32&lt;&gt;"",AJ32,"")</f>
        <v>0</v>
      </c>
      <c r="AH32" s="100" t="str">
        <f>IF(AJ32&lt;&gt;"",IF(AK32="","",AK32),"")</f>
        <v/>
      </c>
      <c r="AI32" s="137">
        <f>IF(AG32&lt;&gt;"",IF(AG34&lt;&gt;"",SMALL(AG32:AG34,1),""),"")</f>
        <v>0</v>
      </c>
      <c r="AJ32" s="266">
        <v>0</v>
      </c>
      <c r="AK32" s="162" t="str">
        <f>IF('15M GRP'!G5&gt;=3,'15M GRP'!J359,IF('15M GRP'!G5=2,"",IF('15M GRP'!G5=1,"","")))</f>
        <v/>
      </c>
      <c r="AL32" s="29">
        <v>27</v>
      </c>
      <c r="AP32" s="31" t="str">
        <f>IF(AR32&lt;&gt;"",1+COUNTIF(AP8:AP31,"1")+COUNTIF(AP8:AP31,"2")+COUNTIF(AP8:AP31,"3")+COUNTIF(AP8:AP31,"4")+COUNTIF(AP8:AP31,"5")+COUNTIF(AP8:AP31,"6")+COUNTIF(AP8:AP31,"7")+COUNTIF(AP8:AP31,"8")+COUNTIF(AP8:AP31,"9")+COUNTIF(AP8:AP31,"10")+COUNTIF(AP8:AP31,"11")+COUNTIF(AP8:AP31,"12")+COUNTIF(AP8:AP31,"13")+COUNTIF(AP8:AP31,"14")+COUNTIF(AP8:AP31,"15")+COUNTIF(AP8:AP31,"16")+COUNTIF(AP8:AP31,"17")+COUNTIF(AP8:AP31,"18")+COUNTIF(AP8:AP31,"19")+COUNTIF(AP8:AP31,"20")+COUNTIF(AP8:AP31,"21")+COUNTIF(AP8:AP31,"22")+COUNTIF(AP8:AP31,"23")+COUNTIF(AP8:AP31,"24"),"")</f>
        <v/>
      </c>
      <c r="AQ32" s="32" t="str">
        <f t="shared" si="1"/>
        <v/>
      </c>
      <c r="AR32" s="111" t="str">
        <f>IF(AR16&lt;&gt;"",IF(C8=AR16,G10,IF(C10=AR16,G10,IF(C16=AR16,G18,IF(C18=AR16,G18,IF(C38=AR16,G40,IF(C40=AR16,G40,IF(C46=AR16,G48,IF(C48=AR16,G48,IF(C24=AR16,G26,IF(C26=AR16,G26,IF(C32=AR16,G34,IF(C34=AR16,G34,IF(C54=AR16,G56,IF(C56=AR16,G56,IF(C62=AR16,G64,IF(C64=AR16,G64,IF(AK8=AR16,AI10,IF(AK10=AR16,AI10,IF(AK16=AR16,AI18,IF(AK18=AR16,AI18,IF(AK38=AR16,AI40,IF(AK40=AR16,AI40,IF(AK46=AR16,AI48,IF(AK48=AR16,AI48,IF(AK24=AR16,AI26,IF(AK26=AR16,AI26,IF(AK32=AR16,AI34,IF(AK34=AR16,AI34,IF(AK54=AR16,AI56,IF(AK56=AR16,AI56,IF(AK62=AR16,AI64,IF(AK64=AR16,AI64)))))))))))))))))))))))))))))))),"")</f>
        <v/>
      </c>
      <c r="AS32" s="33" t="str">
        <f>IFERROR(IF(AR32="","",VLOOKUP(AR32,LISTAS!$F$5:$G$1004,2,0)),"0")</f>
        <v/>
      </c>
      <c r="AT32" s="33" t="str">
        <f t="shared" si="0"/>
        <v/>
      </c>
      <c r="AU32" s="33" t="str">
        <f t="shared" si="2"/>
        <v/>
      </c>
    </row>
    <row r="33" spans="2:47" ht="18" customHeight="1" thickBot="1" x14ac:dyDescent="0.3">
      <c r="B33" s="133"/>
      <c r="C33" s="165" t="str">
        <f>IFERROR(IF(C32="","",VLOOKUP(C32,LISTAS!$F$5:$G$1004,2,0)),"0")</f>
        <v/>
      </c>
      <c r="D33" s="267"/>
      <c r="E33" s="105"/>
      <c r="F33" s="101"/>
      <c r="G33" s="190"/>
      <c r="H33" s="101"/>
      <c r="I33" s="101"/>
      <c r="J33" s="101"/>
      <c r="K33" s="190"/>
      <c r="L33" s="101"/>
      <c r="M33" s="138"/>
      <c r="N33" s="101"/>
      <c r="O33" s="188"/>
      <c r="P33" s="29"/>
      <c r="Q33" s="37"/>
      <c r="R33" s="198"/>
      <c r="S33" s="37"/>
      <c r="T33" s="37"/>
      <c r="U33" s="37"/>
      <c r="V33" s="198"/>
      <c r="W33" s="37"/>
      <c r="X33" s="86"/>
      <c r="Y33" s="198"/>
      <c r="Z33" s="94"/>
      <c r="AA33" s="37"/>
      <c r="AB33" s="29"/>
      <c r="AC33" s="198"/>
      <c r="AD33" s="100"/>
      <c r="AE33" s="100"/>
      <c r="AF33" s="100"/>
      <c r="AG33" s="197"/>
      <c r="AH33" s="100"/>
      <c r="AI33" s="143"/>
      <c r="AJ33" s="267"/>
      <c r="AK33" s="165" t="str">
        <f>IFERROR(IF(AK32="","",VLOOKUP(AK32,LISTAS!$F$5:$G$1004,2,0)),"0")</f>
        <v/>
      </c>
      <c r="AL33" s="29"/>
      <c r="AP33" s="31" t="str">
        <f>IF(AR33&lt;&gt;"",1+COUNTIF(AP8:AP32,"1")+COUNTIF(AP8:AP32,"2")+COUNTIF(AP8:AP32,"3")+COUNTIF(AP8:AP32,"4")+COUNTIF(AP8:AP32,"5")+COUNTIF(AP8:AP32,"6")+COUNTIF(AP8:AP32,"7")+COUNTIF(AP8:AP32,"8")+COUNTIF(AP8:AP32,"9")+COUNTIF(AP8:AP32,"10")+COUNTIF(AP8:AP32,"11")+COUNTIF(AP8:AP32,"12")+COUNTIF(AP8:AP32,"13")+COUNTIF(AP8:AP32,"14")+COUNTIF(AP8:AP32,"15")+COUNTIF(AP8:AP32,"16")+COUNTIF(AP8:AP32,"17")+COUNTIF(AP8:AP32,"18")+COUNTIF(AP8:AP32,"19")+COUNTIF(AP8:AP32,"20")+COUNTIF(AP8:AP32,"21")+COUNTIF(AP8:AP32,"22")+COUNTIF(AP8:AP32,"23")+COUNTIF(AP8:AP32,"24")+COUNTIF(AP8:AP32,"25"),"")</f>
        <v/>
      </c>
      <c r="AQ33" s="32" t="str">
        <f t="shared" si="1"/>
        <v/>
      </c>
      <c r="AR33" s="111" t="str">
        <f>IF(AR17&lt;&gt;"",IF(C8=AR17,G10,IF(C10=AR17,G10,IF(C16=AR17,G18,IF(C18=AR17,G18,IF(C38=AR17,G40,IF(C40=AR17,G40,IF(C46=AR17,G48,IF(C48=AR17,G48,IF(C24=AR17,G26,IF(C26=AR17,G26,IF(C32=AR17,G34,IF(C34=AR17,G34,IF(C54=AR17,G56,IF(C56=AR17,G56,IF(C62=AR17,G64,IF(C64=AR17,G64,IF(AK8=AR17,AI10,IF(AK10=AR17,AI10,IF(AK16=AR17,AI18,IF(AK18=AR17,AI18,IF(AK38=AR17,AI40,IF(AK40=AR17,AI40,IF(AK46=AR17,AI48,IF(AK48=AR17,AI48,IF(AK24=AR17,AI26,IF(AK26=AR17,AI26,IF(AK32=AR17,AI34,IF(AK34=AR17,AI34,IF(AK54=AR17,AI56,IF(AK56=AR17,AI56,IF(AK62=AR17,AI64,IF(AK64=AR17,AI64)))))))))))))))))))))))))))))))),"")</f>
        <v/>
      </c>
      <c r="AS33" s="33" t="str">
        <f>IFERROR(IF(AR33="","",VLOOKUP(AR33,LISTAS!$F$5:$G$1004,2,0)),"0")</f>
        <v/>
      </c>
      <c r="AT33" s="33" t="str">
        <f t="shared" si="0"/>
        <v/>
      </c>
      <c r="AU33" s="33" t="str">
        <f t="shared" si="2"/>
        <v/>
      </c>
    </row>
    <row r="34" spans="2:47" ht="18" customHeight="1" thickBot="1" x14ac:dyDescent="0.3">
      <c r="B34" s="133">
        <v>8</v>
      </c>
      <c r="C34" s="162" t="str">
        <f>IF('15M GRP'!G5&gt;=3,'15M GRP'!J112,IF('15M GRP'!G5=2,"",IF('15M GRP'!G5=1,"","")))</f>
        <v>MATEUS ISHII ZUCARELI</v>
      </c>
      <c r="D34" s="266">
        <v>1</v>
      </c>
      <c r="E34" s="106">
        <f>IF(D34&lt;&gt;"",D34,"")</f>
        <v>1</v>
      </c>
      <c r="F34" s="101" t="str">
        <f>IF(D34&lt;&gt;"",IF(C34="","",C34),"")</f>
        <v>MATEUS ISHII ZUCARELI</v>
      </c>
      <c r="G34" s="190" t="str">
        <f>VLOOKUP(G32,E32:F34,2,0)</f>
        <v/>
      </c>
      <c r="H34" s="101"/>
      <c r="I34" s="101"/>
      <c r="J34" s="101"/>
      <c r="K34" s="190"/>
      <c r="L34" s="101"/>
      <c r="M34" s="138"/>
      <c r="N34" s="101"/>
      <c r="O34" s="188"/>
      <c r="P34" s="29"/>
      <c r="Q34" s="37"/>
      <c r="R34" s="268" t="s">
        <v>37</v>
      </c>
      <c r="S34" s="268"/>
      <c r="T34" s="268"/>
      <c r="U34" s="268"/>
      <c r="V34" s="268"/>
      <c r="W34" s="37"/>
      <c r="X34" s="86"/>
      <c r="Y34" s="198"/>
      <c r="Z34" s="94"/>
      <c r="AA34" s="37"/>
      <c r="AB34" s="29"/>
      <c r="AC34" s="198"/>
      <c r="AD34" s="100"/>
      <c r="AE34" s="100"/>
      <c r="AF34" s="100"/>
      <c r="AG34" s="197">
        <f>IF(AJ34&lt;&gt;"",AJ34,"")</f>
        <v>1</v>
      </c>
      <c r="AH34" s="100" t="str">
        <f>IF(AJ34&lt;&gt;"",IF(AK34="","",AK34),"")</f>
        <v>KAUAN CAMARGO</v>
      </c>
      <c r="AI34" s="145" t="str">
        <f>VLOOKUP(AI32,AG32:AH34,2,0)</f>
        <v/>
      </c>
      <c r="AJ34" s="266">
        <v>1</v>
      </c>
      <c r="AK34" s="162" t="str">
        <f>IF('15M GRP'!G5&gt;=3,'15M GRP'!J86,IF('15M GRP'!G5=2,"",IF('15M GRP'!G5=1,"","")))</f>
        <v>KAUAN CAMARGO</v>
      </c>
      <c r="AL34" s="29">
        <v>6</v>
      </c>
      <c r="AP34" s="31" t="str">
        <f>IF(AR34&lt;&gt;"",1+COUNTIF(AP8:AP33,"1")+COUNTIF(AP8:AP33,"2")+COUNTIF(AP8:AP33,"3")+COUNTIF(AP8:AP33,"4")+COUNTIF(AP8:AP33,"5")+COUNTIF(AP8:AP33,"6")+COUNTIF(AP8:AP33,"7")+COUNTIF(AP8:AP33,"8")+COUNTIF(AP8:AP33,"9")+COUNTIF(AP8:AP33,"10")+COUNTIF(AP8:AP33,"11")+COUNTIF(AP8:AP33,"12")+COUNTIF(AP8:AP33,"13")+COUNTIF(AP8:AP33,"14")+COUNTIF(AP8:AP33,"15")+COUNTIF(AP8:AP33,"16")+COUNTIF(AP8:AP33,"17")+COUNTIF(AP8:AP33,"18")+COUNTIF(AP8:AP33,"19")+COUNTIF(AP8:AP33,"20")+COUNTIF(AP8:AP33,"21")+COUNTIF(AP8:AP33,"22")+COUNTIF(AP8:AP33,"23")+COUNTIF(AP8:AP33,"24")+COUNTIF(AP8:AP33,"25")+COUNTIF(AP8:AP33,"26"),"")</f>
        <v/>
      </c>
      <c r="AQ34" s="32" t="str">
        <f t="shared" si="1"/>
        <v/>
      </c>
      <c r="AR34" s="111" t="str">
        <f>IF(AR18&lt;&gt;"",IF(C8=AR18,G10,IF(C10=AR18,G10,IF(C16=AR18,G18,IF(C18=AR18,G18,IF(C38=AR18,G40,IF(C40=AR18,G40,IF(C46=AR18,G48,IF(C48=AR18,G48,IF(C24=AR18,G26,IF(C26=AR18,G26,IF(C32=AR18,G34,IF(C34=AR18,G34,IF(C54=AR18,G56,IF(C56=AR18,G56,IF(C62=AR18,G64,IF(C64=AR18,G64,IF(AK8=AR18,AI10,IF(AK10=AR18,AI10,IF(AK16=AR18,AI18,IF(AK18=AR18,AI18,IF(AK38=AR18,AI40,IF(AK40=AR18,AI40,IF(AK46=AR18,AI48,IF(AK48=AR18,AI48,IF(AK24=AR18,AI26,IF(AK26=AR18,AI26,IF(AK32=AR18,AI34,IF(AK34=AR18,AI34,IF(AK54=AR18,AI56,IF(AK56=AR18,AI56,IF(AK62=AR18,AI64,IF(AK64=AR18,AI64)))))))))))))))))))))))))))))))),"")</f>
        <v/>
      </c>
      <c r="AS34" s="33" t="str">
        <f>IFERROR(IF(AR34="","",VLOOKUP(AR34,LISTAS!$F$5:$G$1004,2,0)),"0")</f>
        <v/>
      </c>
      <c r="AT34" s="33" t="str">
        <f t="shared" si="0"/>
        <v/>
      </c>
      <c r="AU34" s="33" t="str">
        <f t="shared" si="2"/>
        <v/>
      </c>
    </row>
    <row r="35" spans="2:47" ht="18" customHeight="1" thickBot="1" x14ac:dyDescent="0.3">
      <c r="B35" s="133"/>
      <c r="C35" s="165" t="str">
        <f>IFERROR(IF(C34="","",VLOOKUP(C34,LISTAS!$F$5:$G$1004,2,0)),"0")</f>
        <v>ESCOLA VILLARE</v>
      </c>
      <c r="D35" s="267"/>
      <c r="E35" s="101"/>
      <c r="F35" s="101"/>
      <c r="G35" s="190"/>
      <c r="H35" s="101"/>
      <c r="I35" s="101"/>
      <c r="J35" s="101"/>
      <c r="K35" s="190"/>
      <c r="L35" s="101"/>
      <c r="M35" s="138"/>
      <c r="N35" s="101"/>
      <c r="O35" s="162" t="str">
        <f>IF(L20&lt;&gt;"",IF(L22&lt;&gt;"",IF(L20=L22,"",IF(L20&gt;L22,K20,K22)),""),"")</f>
        <v>MATEUS ISHII ZUCARELI</v>
      </c>
      <c r="P35" s="266">
        <v>0</v>
      </c>
      <c r="Q35" s="37"/>
      <c r="R35" s="189"/>
      <c r="S35" s="84"/>
      <c r="T35" s="84"/>
      <c r="U35" s="84"/>
      <c r="V35" s="189"/>
      <c r="W35" s="37"/>
      <c r="X35" s="266">
        <v>1</v>
      </c>
      <c r="Y35" s="162" t="str">
        <f>IF(AB20&lt;&gt;"",IF(AB22&lt;&gt;"",IF(AB20=AB22,"",IF(AB20&gt;AB22,AC20,AC22)),""),"")</f>
        <v>NATAN DREER DURAN</v>
      </c>
      <c r="Z35" s="94"/>
      <c r="AA35" s="37"/>
      <c r="AB35" s="29"/>
      <c r="AC35" s="198"/>
      <c r="AD35" s="100"/>
      <c r="AE35" s="100"/>
      <c r="AF35" s="100"/>
      <c r="AG35" s="197"/>
      <c r="AH35" s="100"/>
      <c r="AI35" s="101"/>
      <c r="AJ35" s="267"/>
      <c r="AK35" s="165" t="str">
        <f>IFERROR(IF(AK34="","",VLOOKUP(AK34,LISTAS!$F$5:$G$1004,2,0)),"0")</f>
        <v>COLÉGIO MARCONI - GRU</v>
      </c>
      <c r="AL35" s="29"/>
      <c r="AP35" s="31" t="str">
        <f>IF(AR35&lt;&gt;"",1+COUNTIF(AP8:AP34,"1")+COUNTIF(AP8:AP34,"2")+COUNTIF(AP8:AP34,"3")+COUNTIF(AP8:AP34,"4")+COUNTIF(AP8:AP34,"5")+COUNTIF(AP8:AP34,"6")+COUNTIF(AP8:AP34,"7")+COUNTIF(AP8:AP34,"8")+COUNTIF(AP8:AP34,"9")+COUNTIF(AP8:AP34,"10")+COUNTIF(AP8:AP34,"11")+COUNTIF(AP8:AP34,"12")+COUNTIF(AP8:AP34,"13")+COUNTIF(AP8:AP34,"14")+COUNTIF(AP8:AP34,"15")+COUNTIF(AP8:AP34,"16")+COUNTIF(AP8:AP34,"17")+COUNTIF(AP8:AP34,"18")+COUNTIF(AP8:AP34,"19")+COUNTIF(AP8:AP34,"20")+COUNTIF(AP8:AP34,"21")+COUNTIF(AP8:AP34,"22")+COUNTIF(AP8:AP34,"23")+COUNTIF(AP8:AP34,"24")+COUNTIF(AP8:AP34,"25")+COUNTIF(AP8:AP34,"26")+COUNTIF(AP8:AP34,"27"),"")</f>
        <v/>
      </c>
      <c r="AQ35" s="32" t="str">
        <f t="shared" si="1"/>
        <v/>
      </c>
      <c r="AR35" s="111" t="str">
        <f>IF(AR19&lt;&gt;"",IF(C8=AR19,G10,IF(C10=AR19,G10,IF(C16=AR19,G18,IF(C18=AR19,G18,IF(C38=AR19,G40,IF(C40=AR19,G40,IF(C46=AR19,G48,IF(C48=AR19,G48,IF(C24=AR19,G26,IF(C26=AR19,G26,IF(C32=AR19,G34,IF(C34=AR19,G34,IF(C54=AR19,G56,IF(C56=AR19,G56,IF(C62=AR19,G64,IF(C64=AR19,G64,IF(AK8=AR19,AI10,IF(AK10=AR19,AI10,IF(AK16=AR19,AI18,IF(AK18=AR19,AI18,IF(AK38=AR19,AI40,IF(AK40=AR19,AI40,IF(AK46=AR19,AI48,IF(AK48=AR19,AI48,IF(AK24=AR19,AI26,IF(AK26=AR19,AI26,IF(AK32=AR19,AI34,IF(AK34=AR19,AI34,IF(AK54=AR19,AI56,IF(AK56=AR19,AI56,IF(AK62=AR19,AI64,IF(AK64=AR19,AI64)))))))))))))))))))))))))))))))),"")</f>
        <v/>
      </c>
      <c r="AS35" s="33" t="str">
        <f>IFERROR(IF(AR35="","",VLOOKUP(AR35,LISTAS!$F$5:$G$1004,2,0)),"0")</f>
        <v/>
      </c>
      <c r="AT35" s="33" t="str">
        <f t="shared" si="0"/>
        <v/>
      </c>
      <c r="AU35" s="33" t="str">
        <f t="shared" si="2"/>
        <v/>
      </c>
    </row>
    <row r="36" spans="2:47" ht="18" customHeight="1" thickBot="1" x14ac:dyDescent="0.3">
      <c r="B36" s="133"/>
      <c r="C36" s="188"/>
      <c r="D36" s="29"/>
      <c r="E36" s="101"/>
      <c r="F36" s="101"/>
      <c r="G36" s="190"/>
      <c r="H36" s="101"/>
      <c r="I36" s="101"/>
      <c r="J36" s="101"/>
      <c r="K36" s="190"/>
      <c r="L36" s="101"/>
      <c r="M36" s="138"/>
      <c r="N36" s="101"/>
      <c r="O36" s="165" t="str">
        <f>IFERROR(IF(O35="","",VLOOKUP(O35,LISTAS!$F$5:$G$1004,2,0)),"0")</f>
        <v>ESCOLA VILLARE</v>
      </c>
      <c r="P36" s="267"/>
      <c r="Q36" s="37"/>
      <c r="R36" s="162" t="str">
        <f>IF(P35&lt;&gt;"",IF(P37&lt;&gt;"",IF(P35=P37,"",IF(P35&gt;P37,O35,O37)),""),"")</f>
        <v>MATHEUS SOBRAL NEGRETI</v>
      </c>
      <c r="S36" s="266">
        <v>0</v>
      </c>
      <c r="T36" s="269" t="s">
        <v>38</v>
      </c>
      <c r="U36" s="266">
        <v>1</v>
      </c>
      <c r="V36" s="162" t="str">
        <f>IF(X35&lt;&gt;"",IF(X37&lt;&gt;"",IF(X35=X37,"",IF(X35&gt;X37,Y35,Y37)),""),"")</f>
        <v>NATAN DREER DURAN</v>
      </c>
      <c r="W36" s="141"/>
      <c r="X36" s="267"/>
      <c r="Y36" s="165" t="str">
        <f>IFERROR(IF(Y35="","",VLOOKUP(Y35,LISTAS!$F$5:$G$1004,2,0)),"0")</f>
        <v>COLÉGIO ARBOS SÃO CAETANO DO SUL</v>
      </c>
      <c r="Z36" s="141"/>
      <c r="AA36" s="37"/>
      <c r="AB36" s="29"/>
      <c r="AC36" s="198"/>
      <c r="AD36" s="100"/>
      <c r="AE36" s="100"/>
      <c r="AF36" s="100"/>
      <c r="AG36" s="197"/>
      <c r="AH36" s="100"/>
      <c r="AI36" s="100"/>
      <c r="AJ36" s="29"/>
      <c r="AK36" s="188"/>
      <c r="AL36" s="29"/>
      <c r="AP36" s="31" t="str">
        <f>IF(AR36&lt;&gt;"",1+COUNTIF(AP8:AP35,"1")+COUNTIF(AP8:AP35,"2")+COUNTIF(AP8:AP35,"3")+COUNTIF(AP8:AP35,"4")+COUNTIF(AP8:AP35,"5")+COUNTIF(AP8:AP35,"6")+COUNTIF(AP8:AP35,"7")+COUNTIF(AP8:AP35,"8")+COUNTIF(AP8:AP35,"9")+COUNTIF(AP8:AP35,"10")+COUNTIF(AP8:AP35,"11")+COUNTIF(AP8:AP35,"12")+COUNTIF(AP8:AP35,"13")+COUNTIF(AP8:AP35,"14")+COUNTIF(AP8:AP35,"15")+COUNTIF(AP8:AP35,"16")+COUNTIF(AP8:AP35,"17")+COUNTIF(AP8:AP35,"18")+COUNTIF(AP8:AP35,"19")+COUNTIF(AP8:AP35,"20")+COUNTIF(AP8:AP35,"21")+COUNTIF(AP8:AP35,"22")+COUNTIF(AP8:AP35,"23")+COUNTIF(AP8:AP35,"24")+COUNTIF(AP8:AP35,"25")+COUNTIF(AP8:AP35,"26")+COUNTIF(AP8:AP35,"27")+COUNTIF(AP8:AP35,"28"),"")</f>
        <v/>
      </c>
      <c r="AQ36" s="32" t="str">
        <f t="shared" si="1"/>
        <v/>
      </c>
      <c r="AR36" s="111" t="str">
        <f>IF(AR20&lt;&gt;"",IF(C8=AR20,G10,IF(C10=AR20,G10,IF(C16=AR20,G18,IF(C18=AR20,G18,IF(C38=AR20,G40,IF(C40=AR20,G40,IF(C46=AR20,G48,IF(C48=AR20,G48,IF(C24=AR20,G26,IF(C26=AR20,G26,IF(C32=AR20,G34,IF(C34=AR20,G34,IF(C54=AR20,G56,IF(C56=AR20,G56,IF(C62=AR20,G64,IF(C64=AR20,G64,IF(AK8=AR20,AI10,IF(AK10=AR20,AI10,IF(AK16=AR20,AI18,IF(AK18=AR20,AI18,IF(AK38=AR20,AI40,IF(AK40=AR20,AI40,IF(AK46=AR20,AI48,IF(AK48=AR20,AI48,IF(AK24=AR20,AI26,IF(AK26=AR20,AI26,IF(AK32=AR20,AI34,IF(AK34=AR20,AI34,IF(AK54=AR20,AI56,IF(AK56=AR20,AI56,IF(AK62=AR20,AI64,IF(AK64=AR20,AI64)))))))))))))))))))))))))))))))),"")</f>
        <v/>
      </c>
      <c r="AS36" s="33" t="str">
        <f>IFERROR(IF(AR36="","",VLOOKUP(AR36,LISTAS!$F$5:$G$1004,2,0)),"0")</f>
        <v/>
      </c>
      <c r="AT36" s="33" t="str">
        <f t="shared" si="0"/>
        <v/>
      </c>
      <c r="AU36" s="33" t="str">
        <f t="shared" si="2"/>
        <v/>
      </c>
    </row>
    <row r="37" spans="2:47" ht="18" customHeight="1" thickBot="1" x14ac:dyDescent="0.3">
      <c r="B37" s="133"/>
      <c r="C37" s="188"/>
      <c r="D37" s="29"/>
      <c r="E37" s="101"/>
      <c r="F37" s="101"/>
      <c r="G37" s="190"/>
      <c r="H37" s="101"/>
      <c r="I37" s="101"/>
      <c r="J37" s="101"/>
      <c r="K37" s="190"/>
      <c r="L37" s="101"/>
      <c r="M37" s="138"/>
      <c r="N37" s="102"/>
      <c r="O37" s="162" t="str">
        <f>IF(L50&lt;&gt;"",IF(L52&lt;&gt;"",IF(L50=L52,"",IF(L50&gt;L52,K50,K52)),""),"")</f>
        <v>MATHEUS SOBRAL NEGRETI</v>
      </c>
      <c r="P37" s="266">
        <v>1</v>
      </c>
      <c r="Q37" s="97"/>
      <c r="R37" s="165" t="str">
        <f>IFERROR(IF(R36="","",VLOOKUP(R36,LISTAS!$F$5:$G$1004,2,0)),"0")</f>
        <v>COLÉGIO STOCCO</v>
      </c>
      <c r="S37" s="267"/>
      <c r="T37" s="269"/>
      <c r="U37" s="267"/>
      <c r="V37" s="165" t="str">
        <f>IFERROR(IF(V36="","",VLOOKUP(V36,LISTAS!$F$5:$G$1004,2,0)),"0")</f>
        <v>COLÉGIO ARBOS SÃO CAETANO DO SUL</v>
      </c>
      <c r="W37" s="98"/>
      <c r="X37" s="266">
        <v>0</v>
      </c>
      <c r="Y37" s="162" t="str">
        <f>IF(AB50&lt;&gt;"",IF(AB52&lt;&gt;"",IF(AB50=AB52,"",IF(AB50&gt;AB52,AC50,AC52)),""),"")</f>
        <v>SAMUEL COSTA BRAZ</v>
      </c>
      <c r="Z37" s="98"/>
      <c r="AA37" s="37"/>
      <c r="AB37" s="29"/>
      <c r="AC37" s="198"/>
      <c r="AD37" s="100"/>
      <c r="AE37" s="100"/>
      <c r="AF37" s="100"/>
      <c r="AG37" s="197"/>
      <c r="AH37" s="100"/>
      <c r="AI37" s="100"/>
      <c r="AJ37" s="29"/>
      <c r="AK37" s="188"/>
      <c r="AL37" s="29"/>
      <c r="AP37" s="31" t="str">
        <f>IF(AR37&lt;&gt;"",1+COUNTIF(AP8:AP36,"1")+COUNTIF(AP8:AP36,"2")+COUNTIF(AP8:AP36,"3")+COUNTIF(AP8:AP36,"4")+COUNTIF(AP8:AP36,"5")+COUNTIF(AP8:AP36,"6")+COUNTIF(AP8:AP36,"7")+COUNTIF(AP8:AP36,"8")+COUNTIF(AP8:AP36,"9")+COUNTIF(AP8:AP36,"10")+COUNTIF(AP8:AP36,"11")+COUNTIF(AP8:AP36,"12")+COUNTIF(AP8:AP36,"13")+COUNTIF(AP8:AP36,"14")+COUNTIF(AP8:AP36,"15")+COUNTIF(AP8:AP36,"16")+COUNTIF(AP8:AP36,"17")+COUNTIF(AP8:AP36,"18")+COUNTIF(AP8:AP36,"19")+COUNTIF(AP8:AP36,"20")+COUNTIF(AP8:AP36,"21")+COUNTIF(AP8:AP36,"22")+COUNTIF(AP8:AP36,"23")+COUNTIF(AP8:AP36,"24")+COUNTIF(AP8:AP36,"25")+COUNTIF(AP8:AP36,"26")+COUNTIF(AP8:AP36,"27")+COUNTIF(AP8:AP36,"28")+COUNTIF(AP8:AP36,"29"),"")</f>
        <v/>
      </c>
      <c r="AQ37" s="32" t="str">
        <f t="shared" si="1"/>
        <v/>
      </c>
      <c r="AR37" s="111" t="str">
        <f>IF(AR21&lt;&gt;"",IF(C8=AR21,G10,IF(C10=AR21,G10,IF(C16=AR21,G18,IF(C18=AR21,G18,IF(C38=AR21,G40,IF(C40=AR21,G40,IF(C46=AR21,G48,IF(C48=AR21,G48,IF(C24=AR21,G26,IF(C26=AR21,G26,IF(C32=AR21,G34,IF(C34=AR21,G34,IF(C54=AR21,G56,IF(C56=AR21,G56,IF(C62=AR21,G64,IF(C64=AR21,G64,IF(AK8=AR21,AI10,IF(AK10=AR21,AI10,IF(AK16=AR21,AI18,IF(AK18=AR21,AI18,IF(AK38=AR21,AI40,IF(AK40=AR21,AI40,IF(AK46=AR21,AI48,IF(AK48=AR21,AI48,IF(AK24=AR21,AI26,IF(AK26=AR21,AI26,IF(AK32=AR21,AI34,IF(AK34=AR21,AI34,IF(AK54=AR21,AI56,IF(AK56=AR21,AI56,IF(AK62=AR21,AI64,IF(AK64=AR21,AI64)))))))))))))))))))))))))))))))),"")</f>
        <v/>
      </c>
      <c r="AS37" s="33" t="str">
        <f>IFERROR(IF(AR37="","",VLOOKUP(AR37,LISTAS!$F$5:$G$1004,2,0)),"0")</f>
        <v/>
      </c>
      <c r="AT37" s="33" t="str">
        <f t="shared" si="0"/>
        <v/>
      </c>
      <c r="AU37" s="33" t="str">
        <f t="shared" si="2"/>
        <v/>
      </c>
    </row>
    <row r="38" spans="2:47" ht="18" customHeight="1" thickBot="1" x14ac:dyDescent="0.3">
      <c r="B38" s="133">
        <v>5</v>
      </c>
      <c r="C38" s="162" t="str">
        <f>IF('15M GRP'!G5&gt;=3,'15M GRP'!J73,IF('15M GRP'!G5=2,"",IF('15M GRP'!G5=1,'15M GRP'!J12,"")))</f>
        <v>GABRIEL ALEXANDRE FRANCHI</v>
      </c>
      <c r="D38" s="266">
        <v>1</v>
      </c>
      <c r="E38" s="101">
        <f>IF(D38&lt;&gt;"",D38,"")</f>
        <v>1</v>
      </c>
      <c r="F38" s="101" t="str">
        <f>IF(D38&lt;&gt;"",IF(C38="","",C38),"")</f>
        <v>GABRIEL ALEXANDRE FRANCHI</v>
      </c>
      <c r="G38" s="190">
        <f>IF(E38&lt;&gt;"",IF(E40&lt;&gt;"",SMALL(E38:E40,1),""),"")</f>
        <v>0</v>
      </c>
      <c r="H38" s="101"/>
      <c r="I38" s="101"/>
      <c r="J38" s="101"/>
      <c r="K38" s="190"/>
      <c r="L38" s="101"/>
      <c r="M38" s="138"/>
      <c r="N38" s="100"/>
      <c r="O38" s="165" t="str">
        <f>IFERROR(IF(O37="","",VLOOKUP(O37,LISTAS!$F$5:$G$1004,2,0)),"0")</f>
        <v>COLÉGIO STOCCO</v>
      </c>
      <c r="P38" s="267"/>
      <c r="Q38" s="85"/>
      <c r="R38" s="198"/>
      <c r="S38" s="37"/>
      <c r="T38" s="37"/>
      <c r="U38" s="37"/>
      <c r="V38" s="198"/>
      <c r="W38" s="37"/>
      <c r="X38" s="267"/>
      <c r="Y38" s="165" t="str">
        <f>IFERROR(IF(Y37="","",VLOOKUP(Y37,LISTAS!$F$5:$G$1004,2,0)),"0")</f>
        <v>ESCOLA STAGIUM</v>
      </c>
      <c r="Z38" s="94"/>
      <c r="AA38" s="37"/>
      <c r="AB38" s="29"/>
      <c r="AC38" s="198"/>
      <c r="AD38" s="100"/>
      <c r="AE38" s="100"/>
      <c r="AF38" s="100"/>
      <c r="AG38" s="197">
        <f>IF(AJ38&lt;&gt;"",AJ38,"")</f>
        <v>1</v>
      </c>
      <c r="AH38" s="100" t="str">
        <f>IF(AJ38&lt;&gt;"",IF(AK38="","",AK38),"")</f>
        <v>PEDRO RODRIGUES GUASTELLA</v>
      </c>
      <c r="AI38" s="101">
        <f>IF(AG38&lt;&gt;"",IF(AG40&lt;&gt;"",SMALL(AG38:AG40,1),""),"")</f>
        <v>0</v>
      </c>
      <c r="AJ38" s="266">
        <v>1</v>
      </c>
      <c r="AK38" s="162" t="str">
        <f>IF('15M GRP'!G5&gt;=3,'15M GRP'!J99,IF('15M GRP'!G5=2,"",IF('15M GRP'!G5=1,"","")))</f>
        <v>PEDRO RODRIGUES GUASTELLA</v>
      </c>
      <c r="AL38" s="29">
        <v>7</v>
      </c>
      <c r="AP38" s="31" t="str">
        <f>IF(AR38&lt;&gt;"",1+COUNTIF(AP8:AP37,"1")+COUNTIF(AP8:AP37,"2")+COUNTIF(AP8:AP37,"3")+COUNTIF(AP8:AP37,"4")+COUNTIF(AP8:AP37,"5")+COUNTIF(AP8:AP37,"6")+COUNTIF(AP8:AP37,"7")+COUNTIF(AP8:AP37,"8")+COUNTIF(AP8:AP37,"9")+COUNTIF(AP8:AP37,"10")+COUNTIF(AP8:AP37,"11")+COUNTIF(AP8:AP37,"12")+COUNTIF(AP8:AP37,"13")+COUNTIF(AP8:AP37,"14")+COUNTIF(AP8:AP37,"15")+COUNTIF(AP8:AP37,"16")+COUNTIF(AP8:AP37,"17")+COUNTIF(AP8:AP37,"18")+COUNTIF(AP8:AP37,"19")+COUNTIF(AP8:AP37,"20")+COUNTIF(AP8:AP37,"21")+COUNTIF(AP8:AP37,"22")+COUNTIF(AP8:AP37,"23")+COUNTIF(AP8:AP37,"24")+COUNTIF(AP8:AP37,"25")+COUNTIF(AP8:AP37,"26")+COUNTIF(AP8:AP37,"27")+COUNTIF(AP8:AP37,"28")+COUNTIF(AP8:AP37,"29")+COUNTIF(AP8:AP37,"30"),"")</f>
        <v/>
      </c>
      <c r="AQ38" s="32" t="str">
        <f t="shared" si="1"/>
        <v/>
      </c>
      <c r="AR38" s="111" t="str">
        <f>IF(AR22&lt;&gt;"",IF(C8=AR22,G10,IF(C10=AR22,G10,IF(C16=AR22,G18,IF(C18=AR22,G18,IF(C38=AR22,G40,IF(C40=AR22,G40,IF(C46=AR22,G48,IF(C48=AR22,G48,IF(C24=AR22,G26,IF(C26=AR22,G26,IF(C32=AR22,G34,IF(C34=AR22,G34,IF(C54=AR22,G56,IF(C56=AR22,G56,IF(C62=AR22,G64,IF(C64=AR22,G64,IF(AK8=AR22,AI10,IF(AK10=AR22,AI10,IF(AK16=AR22,AI18,IF(AK18=AR22,AI18,IF(AK38=AR22,AI40,IF(AK40=AR22,AI40,IF(AK46=AR22,AI48,IF(AK48=AR22,AI48,IF(AK24=AR22,AI26,IF(AK26=AR22,AI26,IF(AK32=AR22,AI34,IF(AK34=AR22,AI34,IF(AK54=AR22,AI56,IF(AK56=AR22,AI56,IF(AK62=AR22,AI64,IF(AK64=AR22,AI64)))))))))))))))))))))))))))))))),"")</f>
        <v/>
      </c>
      <c r="AS38" s="33" t="str">
        <f>IFERROR(IF(AR38="","",VLOOKUP(AR38,LISTAS!$F$5:$G$1004,2,0)),"0")</f>
        <v/>
      </c>
      <c r="AT38" s="33" t="str">
        <f t="shared" si="0"/>
        <v/>
      </c>
      <c r="AU38" s="33" t="str">
        <f t="shared" si="2"/>
        <v/>
      </c>
    </row>
    <row r="39" spans="2:47" ht="18" customHeight="1" thickBot="1" x14ac:dyDescent="0.3">
      <c r="B39" s="133"/>
      <c r="C39" s="165" t="str">
        <f>IFERROR(IF(C38="","",VLOOKUP(C38,LISTAS!$F$5:$G$1004,2,0)),"0")</f>
        <v>COLÉGIO ARBOS - UNIDADE SANTO ANDRÉ</v>
      </c>
      <c r="D39" s="267"/>
      <c r="E39" s="101"/>
      <c r="F39" s="101"/>
      <c r="G39" s="190"/>
      <c r="H39" s="101"/>
      <c r="I39" s="101"/>
      <c r="J39" s="101"/>
      <c r="K39" s="190"/>
      <c r="L39" s="101"/>
      <c r="M39" s="138"/>
      <c r="N39" s="100"/>
      <c r="O39" s="197"/>
      <c r="P39" s="100"/>
      <c r="Q39" s="100"/>
      <c r="R39" s="198"/>
      <c r="S39" s="37"/>
      <c r="T39" s="37"/>
      <c r="U39" s="37"/>
      <c r="V39" s="198"/>
      <c r="W39" s="37"/>
      <c r="X39" s="86"/>
      <c r="Y39" s="198"/>
      <c r="Z39" s="94"/>
      <c r="AA39" s="37"/>
      <c r="AB39" s="29"/>
      <c r="AC39" s="198"/>
      <c r="AD39" s="100"/>
      <c r="AE39" s="100"/>
      <c r="AF39" s="100"/>
      <c r="AG39" s="197"/>
      <c r="AH39" s="100"/>
      <c r="AI39" s="101"/>
      <c r="AJ39" s="267"/>
      <c r="AK39" s="165" t="str">
        <f>IFERROR(IF(AK38="","",VLOOKUP(AK38,LISTAS!$F$5:$G$1004,2,0)),"0")</f>
        <v>ESCOLA VILLARE</v>
      </c>
      <c r="AL39" s="29"/>
      <c r="AP39" s="31" t="str">
        <f>IF(AR39&lt;&gt;"",1+COUNTIF(AP8:AP38,"1")+COUNTIF(AP8:AP38,"2")+COUNTIF(AP8:AP38,"3")+COUNTIF(AP8:AP38,"4")+COUNTIF(AP8:AP38,"5")+COUNTIF(AP8:AP38,"6")+COUNTIF(AP8:AP38,"7")+COUNTIF(AP8:AP38,"8")+COUNTIF(AP8:AP38,"9")+COUNTIF(AP8:AP38,"10")+COUNTIF(AP8:AP38,"11")+COUNTIF(AP8:AP38,"12")+COUNTIF(AP8:AP38,"13")+COUNTIF(AP8:AP38,"14")+COUNTIF(AP8:AP38,"15")+COUNTIF(AP8:AP38,"16")+COUNTIF(AP8:AP38,"17")+COUNTIF(AP8:AP38,"18")+COUNTIF(AP8:AP38,"19")+COUNTIF(AP8:AP38,"20")+COUNTIF(AP8:AP38,"21")+COUNTIF(AP8:AP38,"22")+COUNTIF(AP8:AP38,"23")+COUNTIF(AP8:AP38,"24")+COUNTIF(AP8:AP38,"25")+COUNTIF(AP8:AP38,"26")+COUNTIF(AP8:AP38,"27")+COUNTIF(AP8:AP38,"28")+COUNTIF(AP8:AP38,"29")+COUNTIF(AP8:AP38,"30")+COUNTIF(AP8:AP38,"31"),"")</f>
        <v/>
      </c>
      <c r="AQ39" s="32" t="str">
        <f t="shared" si="1"/>
        <v/>
      </c>
      <c r="AR39" s="111" t="str">
        <f>IF(AR23&lt;&gt;"",IF(C8=AR23,G10,IF(C10=AR23,G10,IF(C16=AR23,G18,IF(C18=AR23,G18,IF(C38=AR23,G40,IF(C40=AR23,G40,IF(C46=AR23,G48,IF(C48=AR23,G48,IF(C24=AR23,G26,IF(C26=AR23,G26,IF(C32=AR23,G34,IF(C34=AR23,G34,IF(C54=AR23,G56,IF(C56=AR23,G56,IF(C62=AR23,G64,IF(C64=AR23,G64,IF(AK8=AR23,AI10,IF(AK10=AR23,AI10,IF(AK16=AR23,AI18,IF(AK18=AR23,AI18,IF(AK38=AR23,AI40,IF(AK40=AR23,AI40,IF(AK46=AR23,AI48,IF(AK48=AR23,AI48,IF(AK24=AR23,AI26,IF(AK26=AR23,AI26,IF(AK32=AR23,AI34,IF(AK34=AR23,AI34,IF(AK54=AR23,AI56,IF(AK56=AR23,AI56,IF(AK62=AR23,AI64,IF(AK64=AR23,AI64)))))))))))))))))))))))))))))))),"")</f>
        <v/>
      </c>
      <c r="AS39" s="33" t="str">
        <f>IFERROR(IF(AR39="","",VLOOKUP(AR39,LISTAS!$F$5:$G$1004,2,0)),"0")</f>
        <v/>
      </c>
      <c r="AT39" s="33" t="str">
        <f>IF(AP39="","",IF(AP39=1,400,IF(AP39=2,340,IF(AP39=3,300,IF(AP39=4,280,IF(AP39=5,270,IF(AP39=6,260,IF(AP39=7,250,IF(AP39=8,240,IF(AP39=9,200,IF(AP39=10,200,IF(AP39=11,200,IF(AP39=12,200,IF(AP39=13,200,IF(AP39=14,200,IF(AP39=15,200,IF(AP39=16,200,IF(AP39&gt;16,"",""))))))))))))))))))</f>
        <v/>
      </c>
      <c r="AU39" s="33" t="str">
        <f>IF(AP39="","",IF($AS$5="NÃO","",IF(AP39=1,400,IF(AP39=2,340,IF(AP39=3,300,IF(AP39=4,280,IF(AP39=5,270,IF(AP39=6,260,IF(AP39=7,250,IF(AP39=8,240,IF(AP39=9,200,IF(AP39=10,200,IF(AP39=11,200,IF(AP39=12,200,IF(AP39=13,200,IF(AP39=14,200,IF(AP39=15,200,IF(AP39=16,200,IF(AP39&gt;16,"","")))))))))))))))))))</f>
        <v/>
      </c>
    </row>
    <row r="40" spans="2:47" ht="18" customHeight="1" x14ac:dyDescent="0.25">
      <c r="B40" s="133">
        <v>28</v>
      </c>
      <c r="C40" s="162" t="str">
        <f>IF('15M GRP'!G5&gt;=3,'15M GRP'!J372,IF('15M GRP'!G5=2,"",IF('15M GRP'!G5=1,"","")))</f>
        <v/>
      </c>
      <c r="D40" s="266">
        <v>0</v>
      </c>
      <c r="E40" s="107">
        <f>IF(D40&lt;&gt;"",D40,"")</f>
        <v>0</v>
      </c>
      <c r="F40" s="101" t="str">
        <f>IF(D40&lt;&gt;"",IF(C40="","",C40),"")</f>
        <v/>
      </c>
      <c r="G40" s="190" t="str">
        <f>VLOOKUP(G38,E38:F40,2,0)</f>
        <v/>
      </c>
      <c r="H40" s="101"/>
      <c r="I40" s="101"/>
      <c r="J40" s="101"/>
      <c r="K40" s="190"/>
      <c r="L40" s="101"/>
      <c r="M40" s="138"/>
      <c r="N40" s="101">
        <f>IF(P35&lt;&gt;"",P35,"")</f>
        <v>0</v>
      </c>
      <c r="O40" s="190" t="str">
        <f>IF(P35&lt;&gt;"",O35,"")</f>
        <v>MATEUS ISHII ZUCARELI</v>
      </c>
      <c r="P40" s="101">
        <f>IF(N40&lt;&gt;"",IF(N42&lt;&gt;"",LARGE(N40:N42,1),""),"")</f>
        <v>1</v>
      </c>
      <c r="Q40" s="100"/>
      <c r="R40" s="198"/>
      <c r="S40" s="37"/>
      <c r="T40" s="37"/>
      <c r="U40" s="37"/>
      <c r="V40" s="198"/>
      <c r="W40" s="37"/>
      <c r="X40" s="86"/>
      <c r="Y40" s="198"/>
      <c r="Z40" s="94"/>
      <c r="AA40" s="37"/>
      <c r="AB40" s="29"/>
      <c r="AC40" s="198"/>
      <c r="AD40" s="100"/>
      <c r="AE40" s="100"/>
      <c r="AF40" s="100"/>
      <c r="AG40" s="197">
        <f>IF(AJ40&lt;&gt;"",AJ40,"")</f>
        <v>0</v>
      </c>
      <c r="AH40" s="100" t="str">
        <f>IF(AJ40&lt;&gt;"",IF(AK40="","",AK40),"")</f>
        <v/>
      </c>
      <c r="AI40" s="102" t="str">
        <f>VLOOKUP(AI38,AG38:AH40,2,0)</f>
        <v/>
      </c>
      <c r="AJ40" s="266">
        <v>0</v>
      </c>
      <c r="AK40" s="162" t="str">
        <f>IF('15M GRP'!G5&gt;=3,'15M GRP'!J346,IF('15M GRP'!G5=2,"",IF('15M GRP'!G5=1,"","")))</f>
        <v/>
      </c>
      <c r="AL40" s="29">
        <v>26</v>
      </c>
    </row>
    <row r="41" spans="2:47" ht="18" customHeight="1" thickBot="1" x14ac:dyDescent="0.3">
      <c r="B41" s="133"/>
      <c r="C41" s="165" t="str">
        <f>IFERROR(IF(C40="","",VLOOKUP(C40,LISTAS!$F$5:$G$1004,2,0)),"0")</f>
        <v/>
      </c>
      <c r="D41" s="267"/>
      <c r="E41" s="148"/>
      <c r="F41" s="101"/>
      <c r="G41" s="190"/>
      <c r="H41" s="101"/>
      <c r="I41" s="101"/>
      <c r="J41" s="101"/>
      <c r="K41" s="190"/>
      <c r="L41" s="101"/>
      <c r="M41" s="138"/>
      <c r="N41" s="101"/>
      <c r="O41" s="190"/>
      <c r="P41" s="101"/>
      <c r="Q41" s="100"/>
      <c r="R41" s="198"/>
      <c r="S41" s="37"/>
      <c r="T41" s="37"/>
      <c r="U41" s="37"/>
      <c r="V41" s="198"/>
      <c r="W41" s="37"/>
      <c r="X41" s="86"/>
      <c r="Y41" s="198"/>
      <c r="Z41" s="94"/>
      <c r="AA41" s="37"/>
      <c r="AB41" s="29"/>
      <c r="AC41" s="198"/>
      <c r="AD41" s="100"/>
      <c r="AE41" s="100"/>
      <c r="AF41" s="100"/>
      <c r="AG41" s="197"/>
      <c r="AH41" s="100"/>
      <c r="AI41" s="142"/>
      <c r="AJ41" s="267"/>
      <c r="AK41" s="165" t="str">
        <f>IFERROR(IF(AK40="","",VLOOKUP(AK40,LISTAS!$F$5:$G$1004,2,0)),"0")</f>
        <v/>
      </c>
      <c r="AL41" s="29"/>
    </row>
    <row r="42" spans="2:47" ht="30" x14ac:dyDescent="0.25">
      <c r="B42" s="133"/>
      <c r="C42" s="188"/>
      <c r="D42" s="29"/>
      <c r="E42" s="29"/>
      <c r="F42" s="34"/>
      <c r="G42" s="162" t="str">
        <f>IF(D38&lt;&gt;"",IF(D40&lt;&gt;"",IF(D38=D40,"",IF(D38&gt;D40,C38,C40)),""),"")</f>
        <v>GABRIEL ALEXANDRE FRANCHI</v>
      </c>
      <c r="H42" s="266">
        <v>0</v>
      </c>
      <c r="I42" s="101">
        <f>IF(H42&lt;&gt;"",H42,"")</f>
        <v>0</v>
      </c>
      <c r="J42" s="101" t="str">
        <f>IF(H42&lt;&gt;"",IF(G42="","",G42),"")</f>
        <v>GABRIEL ALEXANDRE FRANCHI</v>
      </c>
      <c r="K42" s="190">
        <f>IF(I42&lt;&gt;"",IF(I44&lt;&gt;"",SMALL(I42:J44,1),""),"")</f>
        <v>0</v>
      </c>
      <c r="L42" s="101"/>
      <c r="M42" s="138"/>
      <c r="N42" s="101">
        <f>IF(P37&lt;&gt;"",P37,"")</f>
        <v>1</v>
      </c>
      <c r="O42" s="190" t="str">
        <f>IF(P37&lt;&gt;"",O37,"")</f>
        <v>MATHEUS SOBRAL NEGRETI</v>
      </c>
      <c r="P42" s="101" t="str">
        <f>VLOOKUP(P40,N40:O42,2,0)</f>
        <v>MATHEUS SOBRAL NEGRETI</v>
      </c>
      <c r="Q42" s="100"/>
      <c r="R42" s="198"/>
      <c r="S42" s="37"/>
      <c r="T42" s="37"/>
      <c r="U42" s="37"/>
      <c r="V42" s="198"/>
      <c r="W42" s="37"/>
      <c r="X42" s="86"/>
      <c r="Y42" s="198"/>
      <c r="Z42" s="94"/>
      <c r="AA42" s="37"/>
      <c r="AB42" s="29"/>
      <c r="AC42" s="198"/>
      <c r="AD42" s="37"/>
      <c r="AE42" s="95"/>
      <c r="AF42" s="266">
        <v>1</v>
      </c>
      <c r="AG42" s="162" t="str">
        <f>IF(AJ38&lt;&gt;"",IF(AJ40&lt;&gt;"",IF(AJ38=AJ40,"",IF(AJ38&gt;AJ40,AK38,AK40)),""),"")</f>
        <v>PEDRO RODRIGUES GUASTELLA</v>
      </c>
      <c r="AH42" s="94"/>
      <c r="AI42" s="37"/>
      <c r="AJ42" s="29"/>
      <c r="AK42" s="188"/>
      <c r="AL42" s="29"/>
    </row>
    <row r="43" spans="2:47" ht="30.75" thickBot="1" x14ac:dyDescent="0.3">
      <c r="B43" s="133"/>
      <c r="C43" s="188"/>
      <c r="D43" s="29"/>
      <c r="E43" s="29"/>
      <c r="F43" s="34"/>
      <c r="G43" s="165" t="str">
        <f>IFERROR(IF(G42="","",VLOOKUP(G42,LISTAS!$F$5:$G$1004,2,0)),"0")</f>
        <v>COLÉGIO ARBOS - UNIDADE SANTO ANDRÉ</v>
      </c>
      <c r="H43" s="267"/>
      <c r="I43" s="101"/>
      <c r="J43" s="101"/>
      <c r="K43" s="190"/>
      <c r="L43" s="101"/>
      <c r="M43" s="138"/>
      <c r="N43" s="101"/>
      <c r="O43" s="190"/>
      <c r="P43" s="101"/>
      <c r="Q43" s="100"/>
      <c r="R43" s="198"/>
      <c r="S43" s="37"/>
      <c r="T43" s="37"/>
      <c r="U43" s="37"/>
      <c r="V43" s="198"/>
      <c r="W43" s="37"/>
      <c r="X43" s="86"/>
      <c r="Y43" s="198"/>
      <c r="Z43" s="94"/>
      <c r="AA43" s="37"/>
      <c r="AB43" s="29"/>
      <c r="AC43" s="198"/>
      <c r="AD43" s="37"/>
      <c r="AE43" s="95"/>
      <c r="AF43" s="267"/>
      <c r="AG43" s="165" t="str">
        <f>IFERROR(IF(AG42="","",VLOOKUP(AG42,LISTAS!$F$5:$G$1004,2,0)),"0")</f>
        <v>ESCOLA VILLARE</v>
      </c>
      <c r="AH43" s="94"/>
      <c r="AI43" s="37"/>
      <c r="AJ43" s="29"/>
      <c r="AK43" s="188"/>
      <c r="AL43" s="29"/>
    </row>
    <row r="44" spans="2:47" ht="18" customHeight="1" x14ac:dyDescent="0.25">
      <c r="B44" s="133"/>
      <c r="C44" s="188"/>
      <c r="D44" s="29"/>
      <c r="E44" s="35"/>
      <c r="F44" s="36"/>
      <c r="G44" s="162" t="str">
        <f>IF(D46&lt;&gt;"",IF(D48&lt;&gt;"",IF(D46=D48,"",IF(D46&gt;D48,C46,C48)),""),"")</f>
        <v>GUSTAVO NILANDER DE LIMA</v>
      </c>
      <c r="H44" s="266">
        <v>1</v>
      </c>
      <c r="I44" s="107">
        <f>IF(H44&lt;&gt;"",H44,"")</f>
        <v>1</v>
      </c>
      <c r="J44" s="101" t="str">
        <f>IF(H44&lt;&gt;"",IF(G44="","",G44),"")</f>
        <v>GUSTAVO NILANDER DE LIMA</v>
      </c>
      <c r="K44" s="190" t="str">
        <f>VLOOKUP(K42,I42:J44,2,0)</f>
        <v>GABRIEL ALEXANDRE FRANCHI</v>
      </c>
      <c r="L44" s="101"/>
      <c r="M44" s="138"/>
      <c r="N44" s="101">
        <f>IF(P35&lt;&gt;"",P35,"")</f>
        <v>0</v>
      </c>
      <c r="O44" s="190" t="str">
        <f>IF(P35&lt;&gt;"",O35,"")</f>
        <v>MATEUS ISHII ZUCARELI</v>
      </c>
      <c r="P44" s="101">
        <f>IF(N44&lt;&gt;"",IF(N46&lt;&gt;"",SMALL(N44:N46,1),""),"")</f>
        <v>0</v>
      </c>
      <c r="Q44" s="100"/>
      <c r="R44" s="198"/>
      <c r="S44" s="37"/>
      <c r="T44" s="37"/>
      <c r="U44" s="37"/>
      <c r="V44" s="198"/>
      <c r="W44" s="37"/>
      <c r="X44" s="86"/>
      <c r="Y44" s="198"/>
      <c r="Z44" s="94"/>
      <c r="AA44" s="37"/>
      <c r="AB44" s="29"/>
      <c r="AC44" s="198"/>
      <c r="AD44" s="94"/>
      <c r="AE44" s="96"/>
      <c r="AF44" s="266">
        <v>0</v>
      </c>
      <c r="AG44" s="162" t="str">
        <f>IF(AJ46&lt;&gt;"",IF(AJ48&lt;&gt;"",IF(AJ46=AJ48,"",IF(AJ46&gt;AJ48,AK46,AK48)),""),"")</f>
        <v>PEDRO HENRIQUE VIEIRA DE MELLO BARROS</v>
      </c>
      <c r="AH44" s="98"/>
      <c r="AI44" s="37"/>
      <c r="AJ44" s="29"/>
      <c r="AK44" s="188"/>
      <c r="AL44" s="29"/>
    </row>
    <row r="45" spans="2:47" ht="18" customHeight="1" thickBot="1" x14ac:dyDescent="0.3">
      <c r="B45" s="133"/>
      <c r="C45" s="188"/>
      <c r="D45" s="29"/>
      <c r="E45" s="35"/>
      <c r="F45" s="29"/>
      <c r="G45" s="165" t="str">
        <f>IFERROR(IF(G44="","",VLOOKUP(G44,LISTAS!$F$5:$G$1004,2,0)),"0")</f>
        <v>COLÉGIO ARBOS SÃO CAETANO DO SUL</v>
      </c>
      <c r="H45" s="267"/>
      <c r="I45" s="138"/>
      <c r="J45" s="101"/>
      <c r="K45" s="190"/>
      <c r="L45" s="101"/>
      <c r="M45" s="138"/>
      <c r="N45" s="101"/>
      <c r="O45" s="190"/>
      <c r="P45" s="101"/>
      <c r="Q45" s="100"/>
      <c r="R45" s="198"/>
      <c r="S45" s="37"/>
      <c r="T45" s="37"/>
      <c r="U45" s="37"/>
      <c r="V45" s="198"/>
      <c r="W45" s="37"/>
      <c r="X45" s="86"/>
      <c r="Y45" s="198"/>
      <c r="Z45" s="37"/>
      <c r="AA45" s="89"/>
      <c r="AB45" s="29"/>
      <c r="AC45" s="198"/>
      <c r="AD45" s="94"/>
      <c r="AE45" s="37"/>
      <c r="AF45" s="267"/>
      <c r="AG45" s="165" t="str">
        <f>IFERROR(IF(AG44="","",VLOOKUP(AG44,LISTAS!$F$5:$G$1004,2,0)),"0")</f>
        <v>EXTERNATO SANTO ANTONIO</v>
      </c>
      <c r="AH45" s="37"/>
      <c r="AI45" s="89"/>
      <c r="AJ45" s="29"/>
      <c r="AK45" s="188"/>
      <c r="AL45" s="29"/>
    </row>
    <row r="46" spans="2:47" ht="18" customHeight="1" x14ac:dyDescent="0.25">
      <c r="B46" s="133">
        <v>12</v>
      </c>
      <c r="C46" s="162" t="str">
        <f>IF('15M GRP'!G5&gt;=3,'15M GRP'!J164,IF('15M GRP'!G5=2,"",IF('15M GRP'!G5=1,"","")))</f>
        <v>GUSTAVO NILANDER DE LIMA</v>
      </c>
      <c r="D46" s="266">
        <v>1</v>
      </c>
      <c r="E46" s="148">
        <f>IF(D46&lt;&gt;"",D46,"")</f>
        <v>1</v>
      </c>
      <c r="F46" s="101" t="str">
        <f>IF(D46&lt;&gt;"",IF(C46="","",C46),"")</f>
        <v>GUSTAVO NILANDER DE LIMA</v>
      </c>
      <c r="G46" s="190">
        <f>IF(E46&lt;&gt;"",IF(E48&lt;&gt;"",SMALL(E46:E48,1),""),"")</f>
        <v>0</v>
      </c>
      <c r="H46" s="101"/>
      <c r="I46" s="138"/>
      <c r="J46" s="101"/>
      <c r="K46" s="190"/>
      <c r="L46" s="101"/>
      <c r="M46" s="138"/>
      <c r="N46" s="101">
        <f>IF(P37&lt;&gt;"",P37,"")</f>
        <v>1</v>
      </c>
      <c r="O46" s="190" t="str">
        <f>IF(P37&lt;&gt;"",O37,"")</f>
        <v>MATHEUS SOBRAL NEGRETI</v>
      </c>
      <c r="P46" s="101" t="str">
        <f>VLOOKUP(P44,N44:O46,2,0)</f>
        <v>MATEUS ISHII ZUCARELI</v>
      </c>
      <c r="Q46" s="100"/>
      <c r="R46" s="198"/>
      <c r="S46" s="37"/>
      <c r="T46" s="37"/>
      <c r="U46" s="37"/>
      <c r="V46" s="198"/>
      <c r="W46" s="37"/>
      <c r="X46" s="86"/>
      <c r="Y46" s="198"/>
      <c r="Z46" s="37"/>
      <c r="AA46" s="89"/>
      <c r="AB46" s="29"/>
      <c r="AC46" s="198"/>
      <c r="AD46" s="94"/>
      <c r="AE46" s="100"/>
      <c r="AF46" s="100"/>
      <c r="AG46" s="197">
        <f>IF(AJ46&lt;&gt;"",AJ46,"")</f>
        <v>1</v>
      </c>
      <c r="AH46" s="100" t="str">
        <f>IF(AJ46&lt;&gt;"",IF(AK46="","",AK46),"")</f>
        <v>PEDRO HENRIQUE VIEIRA DE MELLO BARROS</v>
      </c>
      <c r="AI46" s="137">
        <f>IF(AG46&lt;&gt;"",IF(AG48&lt;&gt;"",SMALL(AG46:AG48,1),""),"")</f>
        <v>0</v>
      </c>
      <c r="AJ46" s="266">
        <v>1</v>
      </c>
      <c r="AK46" s="162" t="str">
        <f>IF('15M GRP'!G5&gt;=3,'15M GRP'!J138,IF('15M GRP'!G5=2,"",IF('15M GRP'!G5=1,"","")))</f>
        <v>PEDRO HENRIQUE VIEIRA DE MELLO BARROS</v>
      </c>
      <c r="AL46" s="29">
        <v>10</v>
      </c>
    </row>
    <row r="47" spans="2:47" ht="18" customHeight="1" thickBot="1" x14ac:dyDescent="0.3">
      <c r="B47" s="133"/>
      <c r="C47" s="165" t="str">
        <f>IFERROR(IF(C46="","",VLOOKUP(C46,LISTAS!$F$5:$G$1004,2,0)),"0")</f>
        <v>COLÉGIO ARBOS SÃO CAETANO DO SUL</v>
      </c>
      <c r="D47" s="267"/>
      <c r="E47" s="105"/>
      <c r="F47" s="101"/>
      <c r="G47" s="190"/>
      <c r="H47" s="101"/>
      <c r="I47" s="138"/>
      <c r="J47" s="101"/>
      <c r="K47" s="190"/>
      <c r="L47" s="101"/>
      <c r="M47" s="138"/>
      <c r="N47" s="101"/>
      <c r="O47" s="190"/>
      <c r="P47" s="101"/>
      <c r="Q47" s="100"/>
      <c r="R47" s="198"/>
      <c r="S47" s="37"/>
      <c r="T47" s="37"/>
      <c r="U47" s="37"/>
      <c r="V47" s="198"/>
      <c r="W47" s="37"/>
      <c r="X47" s="86"/>
      <c r="Y47" s="198"/>
      <c r="Z47" s="37"/>
      <c r="AA47" s="89"/>
      <c r="AB47" s="29"/>
      <c r="AC47" s="198"/>
      <c r="AD47" s="94"/>
      <c r="AE47" s="100"/>
      <c r="AF47" s="100"/>
      <c r="AG47" s="197"/>
      <c r="AH47" s="100"/>
      <c r="AI47" s="143"/>
      <c r="AJ47" s="267"/>
      <c r="AK47" s="165" t="str">
        <f>IFERROR(IF(AK46="","",VLOOKUP(AK46,LISTAS!$F$5:$G$1004,2,0)),"0")</f>
        <v>EXTERNATO SANTO ANTONIO</v>
      </c>
      <c r="AL47" s="29"/>
    </row>
    <row r="48" spans="2:47" ht="18" customHeight="1" x14ac:dyDescent="0.25">
      <c r="B48" s="133">
        <v>21</v>
      </c>
      <c r="C48" s="162" t="str">
        <f>IF('15M GRP'!G5&gt;=3,'15M GRP'!J281,IF('15M GRP'!G5=2,"",IF('15M GRP'!G5=1,"","")))</f>
        <v/>
      </c>
      <c r="D48" s="266">
        <v>0</v>
      </c>
      <c r="E48" s="106">
        <f>IF(D48&lt;&gt;"",D48,"")</f>
        <v>0</v>
      </c>
      <c r="F48" s="101" t="str">
        <f>IF(D48&lt;&gt;"",IF(C48="","",C48),"")</f>
        <v/>
      </c>
      <c r="G48" s="190" t="str">
        <f>VLOOKUP(G46,E46:F48,2,0)</f>
        <v/>
      </c>
      <c r="H48" s="101"/>
      <c r="I48" s="138"/>
      <c r="J48" s="101"/>
      <c r="K48" s="190"/>
      <c r="L48" s="101"/>
      <c r="M48" s="138"/>
      <c r="N48" s="101"/>
      <c r="O48" s="190"/>
      <c r="P48" s="101"/>
      <c r="Q48" s="100"/>
      <c r="R48" s="198"/>
      <c r="S48" s="37"/>
      <c r="T48" s="37"/>
      <c r="U48" s="37"/>
      <c r="V48" s="198"/>
      <c r="W48" s="37"/>
      <c r="X48" s="86"/>
      <c r="Y48" s="198"/>
      <c r="Z48" s="37"/>
      <c r="AA48" s="89"/>
      <c r="AB48" s="29"/>
      <c r="AC48" s="198"/>
      <c r="AD48" s="94"/>
      <c r="AE48" s="100"/>
      <c r="AF48" s="100"/>
      <c r="AG48" s="197">
        <f>IF(AJ48&lt;&gt;"",AJ48,"")</f>
        <v>0</v>
      </c>
      <c r="AH48" s="100" t="str">
        <f>IF(AJ48&lt;&gt;"",IF(AK48="","",AK48),"")</f>
        <v/>
      </c>
      <c r="AI48" s="145" t="str">
        <f>VLOOKUP(AI46,AG46:AH48,2,0)</f>
        <v/>
      </c>
      <c r="AJ48" s="266">
        <v>0</v>
      </c>
      <c r="AK48" s="162" t="str">
        <f>IF('15M GRP'!G5&gt;=3,'15M GRP'!J307,IF('15M GRP'!G5=2,"",IF('15M GRP'!G5=1,"","")))</f>
        <v/>
      </c>
      <c r="AL48" s="29">
        <v>23</v>
      </c>
    </row>
    <row r="49" spans="2:41" ht="18" customHeight="1" thickBot="1" x14ac:dyDescent="0.3">
      <c r="B49" s="133"/>
      <c r="C49" s="165" t="str">
        <f>IFERROR(IF(C48="","",VLOOKUP(C48,LISTAS!$F$5:$G$1004,2,0)),"0")</f>
        <v/>
      </c>
      <c r="D49" s="267"/>
      <c r="E49" s="101"/>
      <c r="F49" s="101"/>
      <c r="G49" s="190"/>
      <c r="H49" s="101"/>
      <c r="I49" s="138"/>
      <c r="J49" s="101"/>
      <c r="K49" s="190"/>
      <c r="L49" s="101"/>
      <c r="M49" s="138"/>
      <c r="N49" s="101"/>
      <c r="O49" s="190"/>
      <c r="P49" s="101"/>
      <c r="Q49" s="100"/>
      <c r="R49" s="198"/>
      <c r="S49" s="37"/>
      <c r="T49" s="37"/>
      <c r="U49" s="37"/>
      <c r="V49" s="198"/>
      <c r="W49" s="37"/>
      <c r="X49" s="86"/>
      <c r="Y49" s="198"/>
      <c r="Z49" s="37"/>
      <c r="AA49" s="89"/>
      <c r="AB49" s="29"/>
      <c r="AC49" s="198"/>
      <c r="AD49" s="94"/>
      <c r="AE49" s="100"/>
      <c r="AF49" s="100"/>
      <c r="AG49" s="197"/>
      <c r="AH49" s="100"/>
      <c r="AI49" s="101"/>
      <c r="AJ49" s="267"/>
      <c r="AK49" s="165" t="str">
        <f>IFERROR(IF(AK48="","",VLOOKUP(AK48,LISTAS!$F$5:$G$1004,2,0)),"0")</f>
        <v/>
      </c>
      <c r="AL49" s="29"/>
    </row>
    <row r="50" spans="2:41" ht="18" customHeight="1" x14ac:dyDescent="0.25">
      <c r="B50" s="133"/>
      <c r="C50" s="188"/>
      <c r="D50" s="29"/>
      <c r="E50" s="101"/>
      <c r="F50" s="101"/>
      <c r="G50" s="190"/>
      <c r="H50" s="101"/>
      <c r="I50" s="138"/>
      <c r="J50" s="101"/>
      <c r="K50" s="162" t="str">
        <f>IF(H42&lt;&gt;"",IF(H44&lt;&gt;"",IF(H42=H44,"",IF(H42&gt;H44,G42,G44)),""),"")</f>
        <v>GUSTAVO NILANDER DE LIMA</v>
      </c>
      <c r="L50" s="266">
        <v>0</v>
      </c>
      <c r="M50" s="148">
        <f>IF(L50&lt;&gt;"",L50,"")</f>
        <v>0</v>
      </c>
      <c r="N50" s="101" t="str">
        <f>IF(L50&lt;&gt;"",IF(K50="","",K50),"")</f>
        <v>GUSTAVO NILANDER DE LIMA</v>
      </c>
      <c r="O50" s="190">
        <f>IF(M50&lt;&gt;"",IF(M52&lt;&gt;"",SMALL(M50:N52,1),""),"")</f>
        <v>0</v>
      </c>
      <c r="P50" s="101"/>
      <c r="Q50" s="88"/>
      <c r="R50" s="198"/>
      <c r="S50" s="37"/>
      <c r="T50" s="37"/>
      <c r="U50" s="37"/>
      <c r="V50" s="198"/>
      <c r="W50" s="37"/>
      <c r="X50" s="86"/>
      <c r="Y50" s="198"/>
      <c r="Z50" s="37"/>
      <c r="AA50" s="89"/>
      <c r="AB50" s="266">
        <v>0</v>
      </c>
      <c r="AC50" s="162" t="str">
        <f>IF(AF42&lt;&gt;"",IF(AF44&lt;&gt;"",IF(AF42=AF44,"",IF(AF42&gt;AF44,AG42,AG44)),""),"")</f>
        <v>PEDRO RODRIGUES GUASTELLA</v>
      </c>
      <c r="AD50" s="141"/>
      <c r="AE50" s="100"/>
      <c r="AF50" s="100"/>
      <c r="AG50" s="197"/>
      <c r="AH50" s="100"/>
      <c r="AI50" s="100"/>
      <c r="AJ50" s="29"/>
      <c r="AK50" s="188"/>
      <c r="AL50" s="29"/>
    </row>
    <row r="51" spans="2:41" ht="18" customHeight="1" thickBot="1" x14ac:dyDescent="0.3">
      <c r="B51" s="133"/>
      <c r="C51" s="188"/>
      <c r="D51" s="29"/>
      <c r="E51" s="101"/>
      <c r="F51" s="101"/>
      <c r="G51" s="190"/>
      <c r="H51" s="101"/>
      <c r="I51" s="138"/>
      <c r="J51" s="101"/>
      <c r="K51" s="165" t="str">
        <f>IFERROR(IF(K50="","",VLOOKUP(K50,LISTAS!$F$5:$G$1004,2,0)),"0")</f>
        <v>COLÉGIO ARBOS SÃO CAETANO DO SUL</v>
      </c>
      <c r="L51" s="267"/>
      <c r="M51" s="105"/>
      <c r="N51" s="101"/>
      <c r="O51" s="190"/>
      <c r="P51" s="101"/>
      <c r="Q51" s="88"/>
      <c r="R51" s="198"/>
      <c r="S51" s="37"/>
      <c r="T51" s="37"/>
      <c r="U51" s="37"/>
      <c r="V51" s="198"/>
      <c r="W51" s="37"/>
      <c r="X51" s="86"/>
      <c r="Y51" s="198"/>
      <c r="Z51" s="37"/>
      <c r="AA51" s="139"/>
      <c r="AB51" s="267"/>
      <c r="AC51" s="165" t="str">
        <f>IFERROR(IF(AC50="","",VLOOKUP(AC50,LISTAS!$F$5:$G$1004,2,0)),"0")</f>
        <v>ESCOLA VILLARE</v>
      </c>
      <c r="AD51" s="37"/>
      <c r="AE51" s="144"/>
      <c r="AF51" s="100"/>
      <c r="AG51" s="197"/>
      <c r="AH51" s="100"/>
      <c r="AI51" s="100"/>
      <c r="AJ51" s="29"/>
      <c r="AK51" s="188"/>
      <c r="AL51" s="29"/>
    </row>
    <row r="52" spans="2:41" ht="18" customHeight="1" x14ac:dyDescent="0.25">
      <c r="B52" s="133"/>
      <c r="C52" s="188"/>
      <c r="D52" s="29"/>
      <c r="E52" s="101"/>
      <c r="F52" s="101"/>
      <c r="G52" s="190"/>
      <c r="H52" s="101"/>
      <c r="I52" s="138"/>
      <c r="J52" s="102"/>
      <c r="K52" s="162" t="str">
        <f>IF(H58&lt;&gt;"",IF(H60&lt;&gt;"",IF(H58=H60,"",IF(H58&gt;H60,G58,G60)),""),"")</f>
        <v>MATHEUS SOBRAL NEGRETI</v>
      </c>
      <c r="L52" s="266">
        <v>1</v>
      </c>
      <c r="M52" s="106">
        <f>IF(L52&lt;&gt;"",L52,"")</f>
        <v>1</v>
      </c>
      <c r="N52" s="101" t="str">
        <f>IF(L52&lt;&gt;"",IF(K52="","",K52),"")</f>
        <v>MATHEUS SOBRAL NEGRETI</v>
      </c>
      <c r="O52" s="190" t="str">
        <f>VLOOKUP(O50,M50:N52,2,0)</f>
        <v>GUSTAVO NILANDER DE LIMA</v>
      </c>
      <c r="P52" s="101"/>
      <c r="Q52" s="88"/>
      <c r="R52" s="198"/>
      <c r="S52" s="37"/>
      <c r="T52" s="37"/>
      <c r="U52" s="37"/>
      <c r="V52" s="198"/>
      <c r="W52" s="37"/>
      <c r="X52" s="86"/>
      <c r="Y52" s="198"/>
      <c r="Z52" s="37"/>
      <c r="AA52" s="37"/>
      <c r="AB52" s="266">
        <v>1</v>
      </c>
      <c r="AC52" s="162" t="str">
        <f>IF(AF58&lt;&gt;"",IF(AF60&lt;&gt;"",IF(AF58=AF60,"",IF(AF58&gt;AF60,AG58,AG60)),""),"")</f>
        <v>SAMUEL COSTA BRAZ</v>
      </c>
      <c r="AD52" s="37"/>
      <c r="AE52" s="144"/>
      <c r="AF52" s="100"/>
      <c r="AG52" s="197"/>
      <c r="AH52" s="100"/>
      <c r="AI52" s="100"/>
      <c r="AJ52" s="29"/>
      <c r="AK52" s="188"/>
      <c r="AL52" s="29"/>
    </row>
    <row r="53" spans="2:41" ht="18" customHeight="1" thickBot="1" x14ac:dyDescent="0.3">
      <c r="B53" s="133"/>
      <c r="C53" s="188"/>
      <c r="D53" s="29"/>
      <c r="E53" s="101"/>
      <c r="F53" s="101"/>
      <c r="G53" s="190"/>
      <c r="H53" s="101"/>
      <c r="I53" s="138"/>
      <c r="J53" s="101"/>
      <c r="K53" s="165" t="str">
        <f>IFERROR(IF(K52="","",VLOOKUP(K52,LISTAS!$F$5:$G$1004,2,0)),"0")</f>
        <v>COLÉGIO STOCCO</v>
      </c>
      <c r="L53" s="267"/>
      <c r="M53" s="101"/>
      <c r="N53" s="101"/>
      <c r="O53" s="190"/>
      <c r="P53" s="101"/>
      <c r="Q53" s="88"/>
      <c r="R53" s="198"/>
      <c r="S53" s="37"/>
      <c r="T53" s="37"/>
      <c r="U53" s="37"/>
      <c r="V53" s="198"/>
      <c r="W53" s="37"/>
      <c r="X53" s="86"/>
      <c r="Y53" s="198"/>
      <c r="Z53" s="37"/>
      <c r="AA53" s="37"/>
      <c r="AB53" s="267"/>
      <c r="AC53" s="165" t="str">
        <f>IFERROR(IF(AC52="","",VLOOKUP(AC52,LISTAS!$F$5:$G$1004,2,0)),"0")</f>
        <v>ESCOLA STAGIUM</v>
      </c>
      <c r="AD53" s="37"/>
      <c r="AE53" s="144"/>
      <c r="AF53" s="100"/>
      <c r="AG53" s="197"/>
      <c r="AH53" s="100"/>
      <c r="AI53" s="100"/>
      <c r="AJ53" s="29"/>
      <c r="AK53" s="188"/>
      <c r="AL53" s="29"/>
    </row>
    <row r="54" spans="2:41" ht="18" customHeight="1" x14ac:dyDescent="0.25">
      <c r="B54" s="133">
        <v>20</v>
      </c>
      <c r="C54" s="162" t="str">
        <f>IF('15M GRP'!G5&gt;=3,'15M GRP'!J268,IF('15M GRP'!G5=2,"",IF('15M GRP'!G5=1,"","")))</f>
        <v/>
      </c>
      <c r="D54" s="266">
        <v>0</v>
      </c>
      <c r="E54" s="101">
        <f>IF(D54&lt;&gt;"",D54,"")</f>
        <v>0</v>
      </c>
      <c r="F54" s="101" t="str">
        <f>IF(D54&lt;&gt;"",IF(C54="","",C54),"")</f>
        <v/>
      </c>
      <c r="G54" s="190">
        <f>IF(E54&lt;&gt;"",IF(E56&lt;&gt;"",SMALL(E54:E56,1),""),"")</f>
        <v>0</v>
      </c>
      <c r="H54" s="101"/>
      <c r="I54" s="138"/>
      <c r="J54" s="101"/>
      <c r="K54" s="192"/>
      <c r="L54" s="87"/>
      <c r="M54" s="101"/>
      <c r="N54" s="101"/>
      <c r="O54" s="190"/>
      <c r="P54" s="101"/>
      <c r="Q54" s="37"/>
      <c r="R54" s="198"/>
      <c r="S54" s="37"/>
      <c r="T54" s="37"/>
      <c r="U54" s="37"/>
      <c r="V54" s="198"/>
      <c r="W54" s="37"/>
      <c r="X54" s="86"/>
      <c r="Y54" s="198"/>
      <c r="Z54" s="37"/>
      <c r="AA54" s="37"/>
      <c r="AB54" s="29"/>
      <c r="AC54" s="198"/>
      <c r="AD54" s="37"/>
      <c r="AE54" s="144"/>
      <c r="AF54" s="100"/>
      <c r="AG54" s="197">
        <f>IF(AJ54&lt;&gt;"",AJ54,"")</f>
        <v>1</v>
      </c>
      <c r="AH54" s="100" t="str">
        <f>IF(AJ54&lt;&gt;"",IF(AK54="","",AK54),"")</f>
        <v>SAMUEL COSTA BRAZ</v>
      </c>
      <c r="AI54" s="101">
        <f>IF(AG54&lt;&gt;"",IF(AG56&lt;&gt;"",SMALL(AG54:AG56,1),""),"")</f>
        <v>0</v>
      </c>
      <c r="AJ54" s="266">
        <v>1</v>
      </c>
      <c r="AK54" s="162" t="str">
        <f>IF('15M GRP'!G5&gt;=3,'15M GRP'!J203,IF('15M GRP'!G5=2,"",IF('15M GRP'!G5=1,"","")))</f>
        <v>SAMUEL COSTA BRAZ</v>
      </c>
      <c r="AL54" s="29">
        <v>15</v>
      </c>
    </row>
    <row r="55" spans="2:41" ht="18" customHeight="1" thickBot="1" x14ac:dyDescent="0.3">
      <c r="B55" s="133"/>
      <c r="C55" s="165" t="str">
        <f>IFERROR(IF(C54="","",VLOOKUP(C54,LISTAS!$F$5:$G$1004,2,0)),"0")</f>
        <v/>
      </c>
      <c r="D55" s="267"/>
      <c r="E55" s="101"/>
      <c r="F55" s="101"/>
      <c r="G55" s="190"/>
      <c r="H55" s="101"/>
      <c r="I55" s="138"/>
      <c r="J55" s="101"/>
      <c r="K55" s="192"/>
      <c r="L55" s="87"/>
      <c r="M55" s="101"/>
      <c r="N55" s="101"/>
      <c r="O55" s="190"/>
      <c r="P55" s="101"/>
      <c r="Q55" s="37"/>
      <c r="R55" s="198"/>
      <c r="S55" s="37"/>
      <c r="T55" s="37"/>
      <c r="U55" s="37"/>
      <c r="V55" s="198"/>
      <c r="W55" s="37"/>
      <c r="X55" s="86"/>
      <c r="Y55" s="198"/>
      <c r="Z55" s="37"/>
      <c r="AA55" s="37"/>
      <c r="AB55" s="29"/>
      <c r="AC55" s="198"/>
      <c r="AD55" s="37"/>
      <c r="AE55" s="144"/>
      <c r="AF55" s="100"/>
      <c r="AG55" s="197"/>
      <c r="AH55" s="100"/>
      <c r="AI55" s="101"/>
      <c r="AJ55" s="267"/>
      <c r="AK55" s="165" t="str">
        <f>IFERROR(IF(AK54="","",VLOOKUP(AK54,LISTAS!$F$5:$G$1004,2,0)),"0")</f>
        <v>ESCOLA STAGIUM</v>
      </c>
      <c r="AL55" s="29"/>
    </row>
    <row r="56" spans="2:41" ht="18" customHeight="1" x14ac:dyDescent="0.25">
      <c r="B56" s="133">
        <v>13</v>
      </c>
      <c r="C56" s="162" t="str">
        <f>IF('15M GRP'!G5&gt;=3,'15M GRP'!J177,IF('15M GRP'!G5=2,"",IF('15M GRP'!G5=1,"","")))</f>
        <v>MATHEUS SOBRAL NEGRETI</v>
      </c>
      <c r="D56" s="266">
        <v>1</v>
      </c>
      <c r="E56" s="107">
        <f>IF(D56&lt;&gt;"",D56,"")</f>
        <v>1</v>
      </c>
      <c r="F56" s="101" t="str">
        <f>IF(D56&lt;&gt;"",IF(C56="","",C56),"")</f>
        <v>MATHEUS SOBRAL NEGRETI</v>
      </c>
      <c r="G56" s="190" t="str">
        <f>VLOOKUP(G54,E54:F56,2,0)</f>
        <v/>
      </c>
      <c r="H56" s="101"/>
      <c r="I56" s="138"/>
      <c r="J56" s="101"/>
      <c r="K56" s="192"/>
      <c r="L56" s="87"/>
      <c r="M56" s="87"/>
      <c r="N56" s="29"/>
      <c r="O56" s="188"/>
      <c r="P56" s="29"/>
      <c r="Q56" s="37"/>
      <c r="R56" s="198"/>
      <c r="S56" s="37"/>
      <c r="T56" s="37"/>
      <c r="U56" s="37"/>
      <c r="V56" s="198"/>
      <c r="W56" s="37"/>
      <c r="X56" s="86"/>
      <c r="Y56" s="198"/>
      <c r="Z56" s="37"/>
      <c r="AA56" s="37"/>
      <c r="AB56" s="29"/>
      <c r="AC56" s="198"/>
      <c r="AD56" s="37"/>
      <c r="AE56" s="144"/>
      <c r="AF56" s="100"/>
      <c r="AG56" s="197">
        <f>IF(AJ56&lt;&gt;"",AJ56,"")</f>
        <v>0</v>
      </c>
      <c r="AH56" s="100" t="str">
        <f>IF(AJ56&lt;&gt;"",IF(AK56="","",AK56),"")</f>
        <v>LIONEL ROMANINI GLAL</v>
      </c>
      <c r="AI56" s="102" t="str">
        <f>VLOOKUP(AI54,AG54:AH56,2,0)</f>
        <v>LIONEL ROMANINI GLAL</v>
      </c>
      <c r="AJ56" s="266">
        <v>0</v>
      </c>
      <c r="AK56" s="162" t="str">
        <f>IF('15M GRP'!G5&gt;=3,'15M GRP'!J242,IF('15M GRP'!G5=2,"",IF('15M GRP'!G5=1,"","")))</f>
        <v>LIONEL ROMANINI GLAL</v>
      </c>
      <c r="AL56" s="29">
        <v>18</v>
      </c>
      <c r="AN56" s="23"/>
      <c r="AO56" s="23"/>
    </row>
    <row r="57" spans="2:41" ht="18" customHeight="1" thickBot="1" x14ac:dyDescent="0.3">
      <c r="B57" s="133"/>
      <c r="C57" s="165" t="str">
        <f>IFERROR(IF(C56="","",VLOOKUP(C56,LISTAS!$F$5:$G$1004,2,0)),"0")</f>
        <v>COLÉGIO STOCCO</v>
      </c>
      <c r="D57" s="267"/>
      <c r="E57" s="148"/>
      <c r="F57" s="101"/>
      <c r="G57" s="190"/>
      <c r="H57" s="101"/>
      <c r="I57" s="138"/>
      <c r="J57" s="101"/>
      <c r="K57" s="192"/>
      <c r="L57" s="87"/>
      <c r="M57" s="87"/>
      <c r="N57" s="29"/>
      <c r="O57" s="188"/>
      <c r="P57" s="29"/>
      <c r="Q57" s="37"/>
      <c r="R57" s="198"/>
      <c r="S57" s="37"/>
      <c r="T57" s="37"/>
      <c r="U57" s="37"/>
      <c r="V57" s="198"/>
      <c r="W57" s="37"/>
      <c r="X57" s="86"/>
      <c r="Y57" s="198"/>
      <c r="Z57" s="37"/>
      <c r="AA57" s="37"/>
      <c r="AB57" s="29"/>
      <c r="AC57" s="198"/>
      <c r="AD57" s="37"/>
      <c r="AE57" s="144"/>
      <c r="AF57" s="100"/>
      <c r="AG57" s="197"/>
      <c r="AH57" s="146"/>
      <c r="AI57" s="101"/>
      <c r="AJ57" s="267"/>
      <c r="AK57" s="165" t="str">
        <f>IFERROR(IF(AK56="","",VLOOKUP(AK56,LISTAS!$F$5:$G$1004,2,0)),"0")</f>
        <v>EDUCANDÁRIO - S.A</v>
      </c>
      <c r="AL57" s="29"/>
      <c r="AM57" s="23"/>
      <c r="AN57" s="23"/>
      <c r="AO57" s="23"/>
    </row>
    <row r="58" spans="2:41" ht="18" customHeight="1" x14ac:dyDescent="0.25">
      <c r="B58" s="133"/>
      <c r="C58" s="188"/>
      <c r="D58" s="29"/>
      <c r="E58" s="29"/>
      <c r="F58" s="34"/>
      <c r="G58" s="162" t="str">
        <f>IF(D54&lt;&gt;"",IF(D56&lt;&gt;"",IF(D54=D56,"",IF(D54&gt;D56,C54,C56)),""),"")</f>
        <v>MATHEUS SOBRAL NEGRETI</v>
      </c>
      <c r="H58" s="266">
        <v>1</v>
      </c>
      <c r="I58" s="148">
        <f>IF(H58&lt;&gt;"",H58,"")</f>
        <v>1</v>
      </c>
      <c r="J58" s="101" t="str">
        <f>IF(H58&lt;&gt;"",IF(G58="","",G58),"")</f>
        <v>MATHEUS SOBRAL NEGRETI</v>
      </c>
      <c r="K58" s="190">
        <f>IF(I58&lt;&gt;"",IF(I60&lt;&gt;"",SMALL(I58:J60,1),""),"")</f>
        <v>0</v>
      </c>
      <c r="L58" s="101"/>
      <c r="M58" s="101"/>
      <c r="N58" s="29"/>
      <c r="O58" s="188"/>
      <c r="P58" s="29"/>
      <c r="Q58" s="37"/>
      <c r="R58" s="198"/>
      <c r="S58" s="37"/>
      <c r="T58" s="37"/>
      <c r="U58" s="37"/>
      <c r="V58" s="198"/>
      <c r="W58" s="37"/>
      <c r="X58" s="86"/>
      <c r="Y58" s="198"/>
      <c r="Z58" s="37"/>
      <c r="AA58" s="37"/>
      <c r="AB58" s="29"/>
      <c r="AC58" s="198"/>
      <c r="AD58" s="37"/>
      <c r="AE58" s="89"/>
      <c r="AF58" s="266">
        <v>1</v>
      </c>
      <c r="AG58" s="162" t="str">
        <f>IF(AJ54&lt;&gt;"",IF(AJ56&lt;&gt;"",IF(AJ54=AJ56,"",IF(AJ54&gt;AJ56,AK54,AK56)),""),"")</f>
        <v>SAMUEL COSTA BRAZ</v>
      </c>
      <c r="AH58" s="94"/>
      <c r="AI58" s="37"/>
      <c r="AJ58" s="29"/>
      <c r="AK58" s="188"/>
      <c r="AL58" s="29"/>
      <c r="AM58" s="23"/>
    </row>
    <row r="59" spans="2:41" ht="18" customHeight="1" thickBot="1" x14ac:dyDescent="0.3">
      <c r="B59" s="133"/>
      <c r="C59" s="188"/>
      <c r="D59" s="29"/>
      <c r="E59" s="29"/>
      <c r="F59" s="34"/>
      <c r="G59" s="165" t="str">
        <f>IFERROR(IF(G58="","",VLOOKUP(G58,LISTAS!$F$5:$G$1004,2,0)),"0")</f>
        <v>COLÉGIO STOCCO</v>
      </c>
      <c r="H59" s="267"/>
      <c r="I59" s="105"/>
      <c r="J59" s="101"/>
      <c r="K59" s="190"/>
      <c r="L59" s="101"/>
      <c r="M59" s="101"/>
      <c r="N59" s="29"/>
      <c r="O59" s="188"/>
      <c r="P59" s="29"/>
      <c r="Q59" s="37"/>
      <c r="R59" s="198"/>
      <c r="S59" s="37"/>
      <c r="T59" s="37"/>
      <c r="U59" s="37"/>
      <c r="V59" s="198"/>
      <c r="W59" s="37"/>
      <c r="X59" s="86"/>
      <c r="Y59" s="198"/>
      <c r="Z59" s="37"/>
      <c r="AA59" s="37"/>
      <c r="AB59" s="29"/>
      <c r="AC59" s="198"/>
      <c r="AD59" s="37"/>
      <c r="AE59" s="90"/>
      <c r="AF59" s="267"/>
      <c r="AG59" s="165" t="str">
        <f>IFERROR(IF(AG58="","",VLOOKUP(AG58,LISTAS!$F$5:$G$1004,2,0)),"0")</f>
        <v>ESCOLA STAGIUM</v>
      </c>
      <c r="AH59" s="94"/>
      <c r="AI59" s="37"/>
      <c r="AJ59" s="29"/>
      <c r="AK59" s="188"/>
      <c r="AL59" s="29"/>
    </row>
    <row r="60" spans="2:41" ht="18" customHeight="1" x14ac:dyDescent="0.25">
      <c r="B60" s="133"/>
      <c r="C60" s="188"/>
      <c r="D60" s="29"/>
      <c r="E60" s="35"/>
      <c r="F60" s="36"/>
      <c r="G60" s="162" t="str">
        <f>IF(D62&lt;&gt;"",IF(D64&lt;&gt;"",IF(D62=D64,"",IF(D62&gt;D64,C62,C64)),""),"")</f>
        <v>MATHEUS VASCONCELOS PEREIRA</v>
      </c>
      <c r="H60" s="266">
        <v>0</v>
      </c>
      <c r="I60" s="106">
        <f>IF(H60&lt;&gt;"",H60,"")</f>
        <v>0</v>
      </c>
      <c r="J60" s="101" t="str">
        <f>IF(H60&lt;&gt;"",IF(G60="","",G60),"")</f>
        <v>MATHEUS VASCONCELOS PEREIRA</v>
      </c>
      <c r="K60" s="190" t="str">
        <f>VLOOKUP(K58,I58:J60,2,0)</f>
        <v>MATHEUS VASCONCELOS PEREIRA</v>
      </c>
      <c r="L60" s="101"/>
      <c r="M60" s="101"/>
      <c r="N60" s="29"/>
      <c r="O60" s="188"/>
      <c r="P60" s="29"/>
      <c r="Q60" s="37"/>
      <c r="R60" s="198"/>
      <c r="S60" s="37"/>
      <c r="T60" s="37"/>
      <c r="U60" s="37"/>
      <c r="V60" s="198"/>
      <c r="W60" s="37"/>
      <c r="X60" s="86"/>
      <c r="Y60" s="198"/>
      <c r="Z60" s="37"/>
      <c r="AA60" s="37"/>
      <c r="AB60" s="29"/>
      <c r="AC60" s="198"/>
      <c r="AD60" s="37"/>
      <c r="AE60" s="91"/>
      <c r="AF60" s="266">
        <v>0</v>
      </c>
      <c r="AG60" s="162" t="str">
        <f>IF(AJ62&lt;&gt;"",IF(AJ64&lt;&gt;"",IF(AJ62=AJ64,"",IF(AJ62&gt;AJ64,AK62,AK64)),""),"")</f>
        <v>KAIO DIAS MOREIRA</v>
      </c>
      <c r="AH60" s="98"/>
      <c r="AI60" s="37"/>
      <c r="AJ60" s="29"/>
      <c r="AK60" s="188"/>
      <c r="AL60" s="29"/>
    </row>
    <row r="61" spans="2:41" ht="18" customHeight="1" thickBot="1" x14ac:dyDescent="0.3">
      <c r="B61" s="133"/>
      <c r="C61" s="188"/>
      <c r="D61" s="29"/>
      <c r="E61" s="35"/>
      <c r="F61" s="29"/>
      <c r="G61" s="165" t="str">
        <f>IFERROR(IF(G60="","",VLOOKUP(G60,LISTAS!$F$5:$G$1004,2,0)),"0")</f>
        <v>COLÉGIO ENGENHEIRO SALVADOR ARENA</v>
      </c>
      <c r="H61" s="267"/>
      <c r="I61" s="101"/>
      <c r="J61" s="101"/>
      <c r="K61" s="190"/>
      <c r="L61" s="101"/>
      <c r="M61" s="101"/>
      <c r="N61" s="29"/>
      <c r="O61" s="188"/>
      <c r="P61" s="29"/>
      <c r="Q61" s="37"/>
      <c r="R61" s="198"/>
      <c r="S61" s="37"/>
      <c r="T61" s="37"/>
      <c r="U61" s="37"/>
      <c r="V61" s="198"/>
      <c r="W61" s="37"/>
      <c r="X61" s="86"/>
      <c r="Y61" s="198"/>
      <c r="Z61" s="37"/>
      <c r="AA61" s="37"/>
      <c r="AB61" s="29"/>
      <c r="AC61" s="198"/>
      <c r="AD61" s="37"/>
      <c r="AE61" s="37"/>
      <c r="AF61" s="267"/>
      <c r="AG61" s="165" t="str">
        <f>IFERROR(IF(AG60="","",VLOOKUP(AG60,LISTAS!$F$5:$G$1004,2,0)),"0")</f>
        <v>COLÉGIO ENGENHEIRO SALVADOR ARENA</v>
      </c>
      <c r="AH61" s="37"/>
      <c r="AI61" s="89"/>
      <c r="AJ61" s="29"/>
      <c r="AK61" s="188"/>
      <c r="AL61" s="29"/>
    </row>
    <row r="62" spans="2:41" ht="18" customHeight="1" x14ac:dyDescent="0.25">
      <c r="B62" s="133">
        <v>29</v>
      </c>
      <c r="C62" s="162" t="str">
        <f>IF('15M GRP'!G5&gt;=3,'15M GRP'!J385,IF('15M GRP'!G5=2,"",IF('15M GRP'!G5=1,"","")))</f>
        <v/>
      </c>
      <c r="D62" s="266">
        <v>0</v>
      </c>
      <c r="E62" s="148">
        <f>IF(D62&lt;&gt;"",D62,"")</f>
        <v>0</v>
      </c>
      <c r="F62" s="101" t="str">
        <f>IF(D62&lt;&gt;"",IF(C62="","",C62),"")</f>
        <v/>
      </c>
      <c r="G62" s="190">
        <f>IF(E62&lt;&gt;"",IF(E64&lt;&gt;"",SMALL(E62:E64,1),""),"")</f>
        <v>0</v>
      </c>
      <c r="H62" s="101"/>
      <c r="I62" s="101"/>
      <c r="J62" s="101"/>
      <c r="K62" s="190"/>
      <c r="L62" s="101"/>
      <c r="M62" s="101"/>
      <c r="N62" s="29"/>
      <c r="O62" s="188"/>
      <c r="P62" s="29"/>
      <c r="Q62" s="37"/>
      <c r="R62" s="198"/>
      <c r="S62" s="37"/>
      <c r="T62" s="37"/>
      <c r="U62" s="37"/>
      <c r="V62" s="198"/>
      <c r="W62" s="37"/>
      <c r="X62" s="86"/>
      <c r="Y62" s="198"/>
      <c r="Z62" s="37"/>
      <c r="AA62" s="37"/>
      <c r="AB62" s="29"/>
      <c r="AC62" s="198"/>
      <c r="AD62" s="37"/>
      <c r="AE62" s="100"/>
      <c r="AF62" s="100"/>
      <c r="AG62" s="197">
        <f>IF(AJ62&lt;&gt;"",AJ62,"")</f>
        <v>0</v>
      </c>
      <c r="AH62" s="100" t="str">
        <f>IF(AJ62&lt;&gt;"",IF(AK62="","",AK62),"")</f>
        <v/>
      </c>
      <c r="AI62" s="137">
        <f>IF(AG62&lt;&gt;"",IF(AG64&lt;&gt;"",SMALL(AG62:AG64,1),""),"")</f>
        <v>0</v>
      </c>
      <c r="AJ62" s="266">
        <v>0</v>
      </c>
      <c r="AK62" s="162" t="str">
        <f>IF('15M GRP'!G5&gt;=3,'15M GRP'!J411,IF('15M GRP'!G5=2,"",IF('15M GRP'!G5=1,"","")))</f>
        <v/>
      </c>
      <c r="AL62" s="29">
        <v>31</v>
      </c>
    </row>
    <row r="63" spans="2:41" ht="18" customHeight="1" thickBot="1" x14ac:dyDescent="0.3">
      <c r="B63" s="133"/>
      <c r="C63" s="165" t="str">
        <f>IFERROR(IF(C62="","",VLOOKUP(C62,LISTAS!$F$5:$G$1004,2,0)),"0")</f>
        <v/>
      </c>
      <c r="D63" s="267"/>
      <c r="E63" s="105"/>
      <c r="F63" s="101"/>
      <c r="G63" s="190"/>
      <c r="H63" s="101"/>
      <c r="I63" s="101"/>
      <c r="J63" s="87"/>
      <c r="K63" s="188"/>
      <c r="L63" s="29"/>
      <c r="M63" s="29"/>
      <c r="N63" s="29"/>
      <c r="O63" s="188"/>
      <c r="P63" s="29"/>
      <c r="Q63" s="37"/>
      <c r="R63" s="198"/>
      <c r="S63" s="37"/>
      <c r="T63" s="37"/>
      <c r="U63" s="37"/>
      <c r="V63" s="198"/>
      <c r="W63" s="37"/>
      <c r="X63" s="86"/>
      <c r="Y63" s="198"/>
      <c r="Z63" s="37"/>
      <c r="AA63" s="37"/>
      <c r="AB63" s="29"/>
      <c r="AC63" s="198"/>
      <c r="AD63" s="37"/>
      <c r="AE63" s="100"/>
      <c r="AF63" s="100"/>
      <c r="AG63" s="197"/>
      <c r="AH63" s="100"/>
      <c r="AI63" s="103"/>
      <c r="AJ63" s="267"/>
      <c r="AK63" s="165" t="str">
        <f>IFERROR(IF(AK62="","",VLOOKUP(AK62,LISTAS!$F$5:$G$1004,2,0)),"0")</f>
        <v/>
      </c>
      <c r="AL63" s="29"/>
    </row>
    <row r="64" spans="2:41" ht="18" customHeight="1" x14ac:dyDescent="0.25">
      <c r="B64" s="133">
        <v>4</v>
      </c>
      <c r="C64" s="162" t="str">
        <f>IF('15M GRP'!G5&gt;=3,'15M GRP'!J60,IF('15M GRP'!G5=2,IF('15M GRP'!H8=3,"",'15M GRP'!J31),IF('15M GRP'!G5=1,'15M GRP'!J11,"")))</f>
        <v>MATHEUS VASCONCELOS PEREIRA</v>
      </c>
      <c r="D64" s="266">
        <v>1</v>
      </c>
      <c r="E64" s="106">
        <f>IF(D64&lt;&gt;"",D64,"")</f>
        <v>1</v>
      </c>
      <c r="F64" s="101" t="str">
        <f>IF(D64&lt;&gt;"",IF(C64="","",C64),"")</f>
        <v>MATHEUS VASCONCELOS PEREIRA</v>
      </c>
      <c r="G64" s="190" t="str">
        <f>VLOOKUP(G62,E62:F64,2,0)</f>
        <v/>
      </c>
      <c r="H64" s="101"/>
      <c r="I64" s="101"/>
      <c r="J64" s="87"/>
      <c r="K64" s="188"/>
      <c r="L64" s="29"/>
      <c r="M64" s="29"/>
      <c r="N64" s="29"/>
      <c r="O64" s="188"/>
      <c r="P64" s="29"/>
      <c r="Q64" s="37"/>
      <c r="R64" s="198"/>
      <c r="S64" s="37"/>
      <c r="T64" s="37"/>
      <c r="U64" s="37"/>
      <c r="V64" s="198"/>
      <c r="W64" s="37"/>
      <c r="X64" s="86"/>
      <c r="Y64" s="198"/>
      <c r="Z64" s="37"/>
      <c r="AA64" s="37"/>
      <c r="AB64" s="29"/>
      <c r="AC64" s="198"/>
      <c r="AD64" s="37"/>
      <c r="AE64" s="100"/>
      <c r="AF64" s="100"/>
      <c r="AG64" s="197">
        <f>IF(AJ64&lt;&gt;"",AJ64,"")</f>
        <v>1</v>
      </c>
      <c r="AH64" s="100" t="str">
        <f>IF(AJ64&lt;&gt;"",IF(AK64="","",AK64),"")</f>
        <v>KAIO DIAS MOREIRA</v>
      </c>
      <c r="AI64" s="104" t="str">
        <f>VLOOKUP(AI62,AG62:AH64,2,0)</f>
        <v/>
      </c>
      <c r="AJ64" s="266">
        <v>1</v>
      </c>
      <c r="AK64" s="162" t="str">
        <f>IF('15M GRP'!G5&gt;=3,'15M GRP'!J30,IF('15M GRP'!G5=2,IF('15M GRP'!H8=3,'15M GRP'!J30,'15M GRP'!J30),IF('15M GRP'!G5=1,'15M GRP'!J9,"")))</f>
        <v>KAIO DIAS MOREIRA</v>
      </c>
      <c r="AL64" s="29">
        <v>2</v>
      </c>
    </row>
    <row r="65" spans="2:47" ht="18" customHeight="1" thickBot="1" x14ac:dyDescent="0.3">
      <c r="B65" s="133"/>
      <c r="C65" s="165" t="str">
        <f>IFERROR(IF(C64="","",VLOOKUP(C64,LISTAS!$F$5:$G$1004,2,0)),"0")</f>
        <v>COLÉGIO ENGENHEIRO SALVADOR ARENA</v>
      </c>
      <c r="D65" s="267"/>
      <c r="E65" s="101"/>
      <c r="F65" s="101"/>
      <c r="G65" s="190"/>
      <c r="H65" s="101"/>
      <c r="I65" s="101"/>
      <c r="J65" s="87"/>
      <c r="K65" s="188"/>
      <c r="L65" s="29"/>
      <c r="M65" s="29"/>
      <c r="N65" s="29"/>
      <c r="O65" s="188"/>
      <c r="P65" s="29"/>
      <c r="Q65" s="37"/>
      <c r="R65" s="198"/>
      <c r="S65" s="37"/>
      <c r="T65" s="37"/>
      <c r="U65" s="37"/>
      <c r="V65" s="198"/>
      <c r="W65" s="37"/>
      <c r="X65" s="86"/>
      <c r="Y65" s="198"/>
      <c r="Z65" s="37"/>
      <c r="AA65" s="37"/>
      <c r="AB65" s="29"/>
      <c r="AC65" s="198"/>
      <c r="AD65" s="37"/>
      <c r="AE65" s="100"/>
      <c r="AF65" s="100"/>
      <c r="AG65" s="197"/>
      <c r="AH65" s="100"/>
      <c r="AI65" s="101"/>
      <c r="AJ65" s="267"/>
      <c r="AK65" s="165" t="str">
        <f>IFERROR(IF(AK64="","",VLOOKUP(AK64,LISTAS!$F$5:$G$1004,2,0)),"0")</f>
        <v>COLÉGIO ENGENHEIRO SALVADOR ARENA</v>
      </c>
      <c r="AL65" s="29"/>
    </row>
    <row r="66" spans="2:47" ht="18" customHeight="1" x14ac:dyDescent="0.25">
      <c r="B66" s="133"/>
      <c r="C66" s="189"/>
      <c r="D66" s="84"/>
      <c r="E66" s="134"/>
      <c r="F66" s="134"/>
      <c r="G66" s="193"/>
      <c r="H66" s="134"/>
      <c r="I66" s="134"/>
      <c r="J66" s="134"/>
      <c r="K66" s="189"/>
      <c r="L66" s="84"/>
      <c r="M66" s="84"/>
      <c r="N66" s="84"/>
      <c r="O66" s="189"/>
      <c r="P66" s="84"/>
      <c r="Q66" s="37"/>
      <c r="R66" s="198"/>
      <c r="S66" s="37"/>
      <c r="T66" s="37"/>
      <c r="U66" s="37"/>
      <c r="V66" s="198"/>
      <c r="W66" s="37"/>
      <c r="X66" s="86"/>
      <c r="Y66" s="198"/>
      <c r="Z66" s="37"/>
      <c r="AA66" s="37"/>
      <c r="AB66" s="29"/>
      <c r="AC66" s="198"/>
      <c r="AD66" s="37"/>
      <c r="AE66" s="100"/>
      <c r="AF66" s="100"/>
      <c r="AG66" s="197"/>
      <c r="AH66" s="100"/>
      <c r="AI66" s="100"/>
      <c r="AJ66" s="84"/>
      <c r="AK66" s="189"/>
      <c r="AL66" s="29"/>
    </row>
    <row r="67" spans="2:47" ht="18" customHeight="1" x14ac:dyDescent="0.25">
      <c r="B67" s="29"/>
      <c r="C67" s="189"/>
      <c r="D67" s="84"/>
      <c r="E67" s="84"/>
      <c r="F67" s="84"/>
      <c r="G67" s="189"/>
      <c r="H67" s="84"/>
      <c r="I67" s="84"/>
      <c r="J67" s="84"/>
      <c r="K67" s="189"/>
      <c r="L67" s="84"/>
      <c r="M67" s="84"/>
      <c r="N67" s="84"/>
      <c r="O67" s="189"/>
      <c r="P67" s="84"/>
      <c r="Q67" s="37"/>
      <c r="R67" s="198"/>
      <c r="S67" s="37"/>
      <c r="T67" s="37"/>
      <c r="U67" s="37"/>
      <c r="V67" s="198"/>
      <c r="W67" s="37"/>
      <c r="X67" s="86"/>
      <c r="Y67" s="198"/>
      <c r="Z67" s="37"/>
      <c r="AA67" s="37"/>
      <c r="AB67" s="29"/>
      <c r="AC67" s="198"/>
      <c r="AD67" s="37"/>
      <c r="AE67" s="100"/>
      <c r="AF67" s="100"/>
      <c r="AG67" s="197"/>
      <c r="AH67" s="100"/>
      <c r="AI67" s="100"/>
      <c r="AJ67" s="84"/>
      <c r="AK67" s="189"/>
      <c r="AL67" s="29"/>
    </row>
    <row r="68" spans="2:47" ht="18" customHeight="1" x14ac:dyDescent="0.25">
      <c r="B68" s="22"/>
      <c r="C68" s="168"/>
      <c r="D68" s="22"/>
      <c r="E68" s="22"/>
      <c r="F68" s="22"/>
      <c r="G68" s="168"/>
      <c r="H68" s="22"/>
      <c r="I68" s="22"/>
      <c r="J68" s="22"/>
      <c r="K68" s="168"/>
      <c r="L68" s="22"/>
      <c r="M68" s="22"/>
      <c r="N68" s="22"/>
      <c r="O68" s="168"/>
      <c r="P68" s="22"/>
      <c r="W68" s="22"/>
      <c r="X68" s="22"/>
      <c r="Y68" s="168"/>
      <c r="Z68" s="22"/>
      <c r="AA68" s="22"/>
      <c r="AB68" s="22"/>
      <c r="AC68" s="168"/>
      <c r="AD68" s="22"/>
      <c r="AE68" s="22"/>
      <c r="AF68" s="22"/>
      <c r="AG68" s="168"/>
      <c r="AH68" s="22"/>
      <c r="AI68" s="22"/>
      <c r="AJ68" s="22"/>
      <c r="AK68" s="168"/>
    </row>
    <row r="69" spans="2:47" ht="18" customHeight="1" x14ac:dyDescent="0.25">
      <c r="B69" s="22"/>
      <c r="C69" s="168"/>
      <c r="D69" s="22"/>
      <c r="E69" s="22"/>
      <c r="F69" s="22"/>
      <c r="G69" s="168"/>
      <c r="H69" s="22"/>
      <c r="I69" s="22"/>
      <c r="J69" s="22"/>
      <c r="K69" s="168"/>
      <c r="L69" s="22"/>
      <c r="M69" s="22"/>
      <c r="N69" s="22"/>
      <c r="O69" s="168"/>
      <c r="P69" s="22"/>
      <c r="W69" s="22"/>
      <c r="X69" s="22"/>
      <c r="Y69" s="168"/>
      <c r="Z69" s="22"/>
      <c r="AA69" s="22"/>
      <c r="AB69" s="22"/>
      <c r="AC69" s="168"/>
      <c r="AD69" s="22"/>
      <c r="AE69" s="22"/>
      <c r="AF69" s="22"/>
      <c r="AG69" s="168"/>
      <c r="AH69" s="22"/>
      <c r="AI69" s="22"/>
      <c r="AJ69" s="22"/>
      <c r="AK69" s="168"/>
    </row>
    <row r="70" spans="2:47" ht="30" customHeight="1" x14ac:dyDescent="0.25">
      <c r="B70" s="249" t="s">
        <v>20</v>
      </c>
      <c r="C70" s="250"/>
      <c r="D70" s="250"/>
      <c r="E70" s="250"/>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0"/>
      <c r="AI70" s="250"/>
      <c r="AJ70" s="250"/>
      <c r="AK70" s="250"/>
      <c r="AL70" s="250"/>
      <c r="AP70" s="240" t="s">
        <v>4</v>
      </c>
      <c r="AQ70" s="240"/>
      <c r="AR70" s="240"/>
      <c r="AS70" s="240"/>
      <c r="AT70" s="240"/>
      <c r="AU70" s="240"/>
    </row>
    <row r="71" spans="2:47" ht="18" customHeight="1" thickBot="1" x14ac:dyDescent="0.3">
      <c r="B71" s="135"/>
      <c r="C71" s="187"/>
      <c r="D71" s="27"/>
      <c r="E71" s="27"/>
      <c r="F71" s="27"/>
      <c r="G71" s="191"/>
      <c r="H71" s="27"/>
      <c r="I71" s="27"/>
      <c r="J71" s="27"/>
      <c r="K71" s="195"/>
      <c r="L71" s="27"/>
      <c r="M71" s="27"/>
      <c r="N71" s="27"/>
      <c r="O71" s="195"/>
      <c r="P71" s="27"/>
      <c r="Q71" s="27"/>
      <c r="R71" s="195"/>
      <c r="S71" s="27"/>
      <c r="T71" s="27"/>
      <c r="U71" s="27"/>
      <c r="V71" s="195"/>
      <c r="W71" s="27"/>
      <c r="X71" s="26"/>
      <c r="Y71" s="195"/>
      <c r="Z71" s="27"/>
      <c r="AA71" s="27"/>
      <c r="AB71" s="92"/>
      <c r="AC71" s="195"/>
      <c r="AD71" s="27"/>
      <c r="AE71" s="150"/>
      <c r="AF71" s="150"/>
      <c r="AG71" s="200"/>
      <c r="AH71" s="150"/>
      <c r="AI71" s="150"/>
      <c r="AJ71" s="27"/>
      <c r="AK71" s="195"/>
      <c r="AL71" s="27"/>
      <c r="AP71" s="258" t="s">
        <v>3</v>
      </c>
      <c r="AQ71" s="260"/>
      <c r="AR71" s="132" t="s">
        <v>15</v>
      </c>
      <c r="AS71" s="132" t="s">
        <v>0</v>
      </c>
      <c r="AT71" s="132" t="s">
        <v>16</v>
      </c>
      <c r="AU71" s="132" t="s">
        <v>17</v>
      </c>
    </row>
    <row r="72" spans="2:47" ht="18" customHeight="1" x14ac:dyDescent="0.25">
      <c r="B72" s="136">
        <v>1</v>
      </c>
      <c r="C72" s="169" t="str">
        <f>IF('15M GRP'!G5&gt;=3,'15M GRP'!J9,IF('15M GRP'!G5=2,IF('15M GRP'!H8=3,'15M GRP'!J9,'15M GRP'!J10),IF('15M GRP'!G5=1,"","")))</f>
        <v>GUILHERME TEIXEIRA DOS REIS</v>
      </c>
      <c r="D72" s="266">
        <v>1</v>
      </c>
      <c r="E72" s="101">
        <f>IF(D72&lt;&gt;"",D72,"")</f>
        <v>1</v>
      </c>
      <c r="F72" s="101" t="str">
        <f>IF(D72&lt;&gt;"",IF(C72="","",C72),"")</f>
        <v>GUILHERME TEIXEIRA DOS REIS</v>
      </c>
      <c r="G72" s="190">
        <f>IF(E72&lt;&gt;"",IF(E74&lt;&gt;"",SMALL(E72:E74,1),""),"")</f>
        <v>0</v>
      </c>
      <c r="H72" s="101"/>
      <c r="I72" s="101"/>
      <c r="J72" s="101"/>
      <c r="K72" s="188"/>
      <c r="L72" s="29"/>
      <c r="M72" s="30"/>
      <c r="N72" s="30"/>
      <c r="O72" s="196"/>
      <c r="P72" s="30"/>
      <c r="Q72" s="37"/>
      <c r="R72" s="198"/>
      <c r="S72" s="37"/>
      <c r="T72" s="37"/>
      <c r="U72" s="37"/>
      <c r="V72" s="198"/>
      <c r="W72" s="37"/>
      <c r="X72" s="86"/>
      <c r="Y72" s="198"/>
      <c r="Z72" s="37"/>
      <c r="AA72" s="37"/>
      <c r="AB72" s="29"/>
      <c r="AC72" s="198"/>
      <c r="AD72" s="37"/>
      <c r="AE72" s="100"/>
      <c r="AF72" s="100"/>
      <c r="AG72" s="197">
        <f>IF(AJ72&lt;&gt;"",AJ72,"")</f>
        <v>1</v>
      </c>
      <c r="AH72" s="100" t="str">
        <f>IF(AJ72&lt;&gt;"",IF(AK72="","",AK72),"")</f>
        <v>MATEUS ROCHETTI VAZQUEZ CARMO</v>
      </c>
      <c r="AI72" s="101">
        <f>IF(AG72&lt;&gt;"",IF(AG74&lt;&gt;"",SMALL(AG72:AG74,1),""),"")</f>
        <v>0</v>
      </c>
      <c r="AJ72" s="266">
        <v>1</v>
      </c>
      <c r="AK72" s="169" t="str">
        <f>IF('15M GRP'!G5&gt;=3,'15M GRP'!J48,IF('15M GRP'!G5=2,IF('15M GRP'!H8=3,"",'15M GRP'!J11),IF('15M GRP'!G5=1,"","")))</f>
        <v>MATEUS ROCHETTI VAZQUEZ CARMO</v>
      </c>
      <c r="AL72" s="99">
        <v>3</v>
      </c>
      <c r="AP72" s="31">
        <f>IF(AR72&lt;&gt;"",1,"")</f>
        <v>1</v>
      </c>
      <c r="AQ72" s="32" t="str">
        <f>IF(AP72&lt;&gt;"","LUGAR","")</f>
        <v>LUGAR</v>
      </c>
      <c r="AR72" s="33" t="str">
        <f>IF(S100&lt;&gt;"",IF(U100&lt;&gt;"",IF(S100=U100,"",IF(S100&gt;U100,R100,V100)),""),"")</f>
        <v>PABLO VASQUES GOMES</v>
      </c>
      <c r="AS72" s="33" t="str">
        <f>IFERROR(IF(AR72="","",VLOOKUP(AR72,LISTAS!$F$5:$G$1004,2,0)),"0")</f>
        <v>COLÉGIO ARBOS - UNIDADE SANTO ANDRÉ</v>
      </c>
      <c r="AT72" s="33">
        <f>IF(AP72="","",IF(AP72=1,180,IF(AP72=2,170,IF(AP72=3,150,IF(AP72=4,140,IF(AP72=5,135,IF(AP72=6,130,IF(AP72=7,120,IF(AP72=8,110,IF(AP72=9,105,IF(AP72=10,105,IF(AP72=11,105,IF(AP72=12,105,IF(AP72=13,105,IF(AP72=14,105,IF(AP72=15,105,IF(AP72=16,105,IF(AP72&gt;16,"",""))))))))))))))))))</f>
        <v>180</v>
      </c>
      <c r="AU72" s="33">
        <f>IF(AP72="","",IF($AS$5="NÃO","",IF(AP72=1,180,IF(AP72=2,170,IF(AP72=3,150,IF(AP72=4,140,IF(AP72=5,135,IF(AP72=6,130,IF(AP72=7,120,IF(AP72=8,110,IF(AP72=9,105,IF(AP72=10,105,IF(AP72=11,105,IF(AP72=12,105,IF(AP72=13,105,IF(AP72=14,105,IF(AP72=15,105,IF(AP72=16,105,IF(AP72&gt;16,"","")))))))))))))))))))</f>
        <v>180</v>
      </c>
    </row>
    <row r="73" spans="2:47" ht="18" customHeight="1" thickBot="1" x14ac:dyDescent="0.3">
      <c r="B73" s="136"/>
      <c r="C73" s="170" t="str">
        <f>IFERROR(IF(C72="","",VLOOKUP(C72,LISTAS!$F$5:$G$1004,2,0)),"0")</f>
        <v>COLÉGIO ENGENHEIRO SALVADOR ARENA</v>
      </c>
      <c r="D73" s="267"/>
      <c r="E73" s="101"/>
      <c r="F73" s="101"/>
      <c r="G73" s="190"/>
      <c r="H73" s="101"/>
      <c r="I73" s="101"/>
      <c r="J73" s="101"/>
      <c r="K73" s="188"/>
      <c r="L73" s="29"/>
      <c r="M73" s="30"/>
      <c r="N73" s="30"/>
      <c r="O73" s="196"/>
      <c r="P73" s="30"/>
      <c r="Q73" s="37"/>
      <c r="R73" s="198"/>
      <c r="S73" s="37"/>
      <c r="T73" s="37"/>
      <c r="U73" s="37"/>
      <c r="V73" s="198"/>
      <c r="W73" s="37"/>
      <c r="X73" s="86"/>
      <c r="Y73" s="198"/>
      <c r="Z73" s="37"/>
      <c r="AA73" s="37"/>
      <c r="AB73" s="29"/>
      <c r="AC73" s="198"/>
      <c r="AD73" s="37"/>
      <c r="AE73" s="100"/>
      <c r="AF73" s="100"/>
      <c r="AG73" s="197"/>
      <c r="AH73" s="100"/>
      <c r="AI73" s="101"/>
      <c r="AJ73" s="267"/>
      <c r="AK73" s="170" t="str">
        <f>IFERROR(IF(AK72="","",VLOOKUP(AK72,LISTAS!$F$5:$G$1004,2,0)),"0")</f>
        <v>COLÉGIO ENGENHEIRO SALVADOR ARENA</v>
      </c>
      <c r="AL73" s="99"/>
      <c r="AP73" s="31">
        <f>IF(AR73&lt;&gt;"",1+COUNTIF(AP72,"1"),"")</f>
        <v>2</v>
      </c>
      <c r="AQ73" s="32" t="str">
        <f t="shared" ref="AQ73:AQ103" si="3">IF(AP73&lt;&gt;"","LUGAR","")</f>
        <v>LUGAR</v>
      </c>
      <c r="AR73" s="33" t="str">
        <f>IF(S100&lt;&gt;"",IF(U100&lt;&gt;"",IF(S100=U100,"",IF(S100&lt;U100,R100,V100)),""),"")</f>
        <v>GABRIEL DE MELLO PIRES</v>
      </c>
      <c r="AS73" s="33" t="str">
        <f>IFERROR(IF(AR73="","",VLOOKUP(AR73,LISTAS!$F$5:$G$1004,2,0)),"0")</f>
        <v>COLÉGIO ARBOS DE SÃO BERNARDO DO CAMPO</v>
      </c>
      <c r="AT73" s="33">
        <f t="shared" ref="AT73:AT102" si="4">IF(AP73="","",IF(AP73=1,180,IF(AP73=2,170,IF(AP73=3,150,IF(AP73=4,140,IF(AP73=5,135,IF(AP73=6,130,IF(AP73=7,120,IF(AP73=8,110,IF(AP73=9,105,IF(AP73=10,105,IF(AP73=11,105,IF(AP73=12,105,IF(AP73=13,105,IF(AP73=14,105,IF(AP73=15,105,IF(AP73=16,105,IF(AP73&gt;16,"",""))))))))))))))))))</f>
        <v>170</v>
      </c>
      <c r="AU73" s="33">
        <f t="shared" ref="AU73:AU102" si="5">IF(AP73="","",IF($AS$5="NÃO","",IF(AP73=1,180,IF(AP73=2,170,IF(AP73=3,150,IF(AP73=4,140,IF(AP73=5,135,IF(AP73=6,130,IF(AP73=7,120,IF(AP73=8,110,IF(AP73=9,105,IF(AP73=10,105,IF(AP73=11,105,IF(AP73=12,105,IF(AP73=13,105,IF(AP73=14,105,IF(AP73=15,105,IF(AP73=16,105,IF(AP73&gt;16,"","")))))))))))))))))))</f>
        <v>170</v>
      </c>
    </row>
    <row r="74" spans="2:47" ht="18" customHeight="1" x14ac:dyDescent="0.25">
      <c r="B74" s="133">
        <v>32</v>
      </c>
      <c r="C74" s="169" t="str">
        <f>IF('15M GRP'!G5&gt;=3,'15M GRP'!J425,IF('15M GRP'!G5=2,"",IF('15M GRP'!G5=1,"","")))</f>
        <v/>
      </c>
      <c r="D74" s="266">
        <v>0</v>
      </c>
      <c r="E74" s="107">
        <f>IF(D74&lt;&gt;"",D74,"")</f>
        <v>0</v>
      </c>
      <c r="F74" s="101" t="str">
        <f>IF(D74&lt;&gt;"",IF(C74="","",C74),"")</f>
        <v/>
      </c>
      <c r="G74" s="190" t="str">
        <f>VLOOKUP(G72,E72:F74,2,0)</f>
        <v/>
      </c>
      <c r="H74" s="101"/>
      <c r="I74" s="101"/>
      <c r="J74" s="101"/>
      <c r="K74" s="188"/>
      <c r="L74" s="29"/>
      <c r="M74" s="30"/>
      <c r="N74" s="30"/>
      <c r="O74" s="196"/>
      <c r="P74" s="30"/>
      <c r="Q74" s="37"/>
      <c r="R74" s="198"/>
      <c r="S74" s="37"/>
      <c r="T74" s="37"/>
      <c r="U74" s="37"/>
      <c r="V74" s="198"/>
      <c r="W74" s="37"/>
      <c r="X74" s="86"/>
      <c r="Y74" s="198"/>
      <c r="Z74" s="37"/>
      <c r="AA74" s="37"/>
      <c r="AB74" s="29"/>
      <c r="AC74" s="198"/>
      <c r="AD74" s="37"/>
      <c r="AE74" s="100"/>
      <c r="AF74" s="100"/>
      <c r="AG74" s="197">
        <f>IF(AJ74&lt;&gt;"",AJ74,"")</f>
        <v>0</v>
      </c>
      <c r="AH74" s="100" t="str">
        <f>IF(AJ74&lt;&gt;"",IF(AK74="","",AK74),"")</f>
        <v/>
      </c>
      <c r="AI74" s="102" t="str">
        <f>VLOOKUP(AI72,AG72:AH74,2,0)</f>
        <v/>
      </c>
      <c r="AJ74" s="266">
        <v>0</v>
      </c>
      <c r="AK74" s="169" t="str">
        <f>IF('15M GRP'!G5&gt;=3,'15M GRP'!J399,IF('15M GRP'!G5=2,"",IF('15M GRP'!G5=1,"","")))</f>
        <v/>
      </c>
      <c r="AL74" s="29">
        <v>30</v>
      </c>
      <c r="AP74" s="31">
        <f>IF(AR74&lt;&gt;"",1+COUNTIF(AP72:AP73,"1")+COUNTIF(AP72:AP73,"2"),"")</f>
        <v>3</v>
      </c>
      <c r="AQ74" s="32" t="str">
        <f t="shared" si="3"/>
        <v>LUGAR</v>
      </c>
      <c r="AR74" s="111" t="str">
        <f>IF(AR72&lt;&gt;"",IF(O99=AR72,O101,IF(O101=AR72,O99,IF(Y99=AR72,Y101,IF(Y101=AR72,Y99)))),"")</f>
        <v>MURILO KENZO KIYOMOTO SHIGENO</v>
      </c>
      <c r="AS74" s="33" t="str">
        <f>IFERROR(IF(AR74="","",VLOOKUP(AR74,LISTAS!$F$5:$G$1004,2,0)),"0")</f>
        <v>LICEU JARDIM</v>
      </c>
      <c r="AT74" s="33">
        <f t="shared" si="4"/>
        <v>150</v>
      </c>
      <c r="AU74" s="33">
        <f t="shared" si="5"/>
        <v>150</v>
      </c>
    </row>
    <row r="75" spans="2:47" ht="18" customHeight="1" thickBot="1" x14ac:dyDescent="0.3">
      <c r="B75" s="133"/>
      <c r="C75" s="170" t="str">
        <f>IFERROR(IF(C74="","",VLOOKUP(C74,LISTAS!$F$5:$G$1004,2,0)),"0")</f>
        <v/>
      </c>
      <c r="D75" s="267"/>
      <c r="E75" s="148"/>
      <c r="F75" s="101"/>
      <c r="G75" s="190"/>
      <c r="H75" s="101"/>
      <c r="I75" s="101"/>
      <c r="J75" s="101"/>
      <c r="K75" s="188"/>
      <c r="L75" s="29"/>
      <c r="M75" s="30"/>
      <c r="N75" s="30"/>
      <c r="O75" s="196"/>
      <c r="P75" s="30"/>
      <c r="Q75" s="37"/>
      <c r="R75" s="198"/>
      <c r="S75" s="37"/>
      <c r="T75" s="37"/>
      <c r="U75" s="37"/>
      <c r="V75" s="198"/>
      <c r="W75" s="37"/>
      <c r="X75" s="86"/>
      <c r="Y75" s="198"/>
      <c r="Z75" s="37"/>
      <c r="AA75" s="37"/>
      <c r="AB75" s="29"/>
      <c r="AC75" s="198"/>
      <c r="AD75" s="37"/>
      <c r="AE75" s="100"/>
      <c r="AF75" s="100"/>
      <c r="AG75" s="197"/>
      <c r="AH75" s="100"/>
      <c r="AI75" s="142"/>
      <c r="AJ75" s="267"/>
      <c r="AK75" s="170" t="str">
        <f>IFERROR(IF(AK74="","",VLOOKUP(AK74,LISTAS!$F$5:$G$1004,2,0)),"0")</f>
        <v/>
      </c>
      <c r="AL75" s="29"/>
      <c r="AP75" s="31">
        <f>IF(AR75&lt;&gt;"",1+COUNTIF(AP72:AP74,"1")+COUNTIF(AP72:AP74,"2")+COUNTIF(AP72:AP74,"3"),"")</f>
        <v>4</v>
      </c>
      <c r="AQ75" s="32" t="str">
        <f t="shared" si="3"/>
        <v>LUGAR</v>
      </c>
      <c r="AR75" s="111" t="str">
        <f>IF(AR73&lt;&gt;"",IF(O99=AR73,O101,IF(O101=AR73,O99,IF(Y99=AR73,Y101,IF(Y101=AR73,Y99)))),"")</f>
        <v>BRUNO NEPOMUCENO DOS SANTOS</v>
      </c>
      <c r="AS75" s="33" t="str">
        <f>IFERROR(IF(AR75="","",VLOOKUP(AR75,LISTAS!$F$5:$G$1004,2,0)),"0")</f>
        <v>COLÉGIO ARBOS - UNIDADE SANTO ANDRÉ</v>
      </c>
      <c r="AT75" s="33">
        <f t="shared" si="4"/>
        <v>140</v>
      </c>
      <c r="AU75" s="33">
        <f t="shared" si="5"/>
        <v>140</v>
      </c>
    </row>
    <row r="76" spans="2:47" ht="18" customHeight="1" x14ac:dyDescent="0.25">
      <c r="B76" s="133"/>
      <c r="C76" s="188"/>
      <c r="D76" s="29"/>
      <c r="E76" s="29"/>
      <c r="F76" s="34"/>
      <c r="G76" s="169" t="str">
        <f>IF(D72&lt;&gt;"",IF(D74&lt;&gt;"",IF(D72=D74,"",IF(D72&gt;D74,C72,C74)),""),"")</f>
        <v>GUILHERME TEIXEIRA DOS REIS</v>
      </c>
      <c r="H76" s="266">
        <v>0</v>
      </c>
      <c r="I76" s="101">
        <f>IF(H76&lt;&gt;"",H76,"")</f>
        <v>0</v>
      </c>
      <c r="J76" s="101" t="str">
        <f>IF(H76&lt;&gt;"",IF(G76="","",G76),"")</f>
        <v>GUILHERME TEIXEIRA DOS REIS</v>
      </c>
      <c r="K76" s="190">
        <f>IF(I76&lt;&gt;"",IF(I78&lt;&gt;"",SMALL(I76:J78,1),""),"")</f>
        <v>0</v>
      </c>
      <c r="L76" s="101"/>
      <c r="M76" s="101"/>
      <c r="N76" s="29"/>
      <c r="O76" s="188"/>
      <c r="P76" s="29"/>
      <c r="Q76" s="37"/>
      <c r="R76" s="198"/>
      <c r="S76" s="37"/>
      <c r="T76" s="37"/>
      <c r="U76" s="37"/>
      <c r="V76" s="198"/>
      <c r="W76" s="37"/>
      <c r="X76" s="86"/>
      <c r="Y76" s="198"/>
      <c r="Z76" s="37"/>
      <c r="AA76" s="37"/>
      <c r="AB76" s="29"/>
      <c r="AC76" s="198"/>
      <c r="AD76" s="37"/>
      <c r="AE76" s="95"/>
      <c r="AF76" s="266">
        <v>0</v>
      </c>
      <c r="AG76" s="169" t="str">
        <f>IF(AJ72&lt;&gt;"",IF(AJ74&lt;&gt;"",IF(AJ72=AJ74,"",IF(AJ72&gt;AJ74,AK72,AK74)),""),"")</f>
        <v>MATEUS ROCHETTI VAZQUEZ CARMO</v>
      </c>
      <c r="AH76" s="94"/>
      <c r="AI76" s="37"/>
      <c r="AJ76" s="29"/>
      <c r="AK76" s="188"/>
      <c r="AL76" s="29"/>
      <c r="AP76" s="31">
        <f>IF(AR76&lt;&gt;"",1+COUNTIF(AP72:AP75,"1")+COUNTIF(AP72:AP75,"2")+COUNTIF(AP72:AP75,"3")+COUNTIF(AP72:AP75,"4"),"")</f>
        <v>5</v>
      </c>
      <c r="AQ76" s="32" t="str">
        <f t="shared" si="3"/>
        <v>LUGAR</v>
      </c>
      <c r="AR76" s="111" t="str">
        <f>IF(AR72&lt;&gt;"",IF(K84=AR72,K86,IF(K86=AR72,K84,IF(K114=AR72,K116,IF(K116=AR72,K114,IF(AC84=AR72,AC86,IF(AC86=AR72,AC84,IF(AC114=AR72,AC116,IF(AC116=AR72,AC114)))))))),"")</f>
        <v>MIGUEL CUNHA DA SILVA</v>
      </c>
      <c r="AS76" s="33" t="str">
        <f>IFERROR(IF(AR76="","",VLOOKUP(AR76,LISTAS!$F$5:$G$1004,2,0)),"0")</f>
        <v>COLÉGIO ENGENHEIRO SALVADOR ARENA</v>
      </c>
      <c r="AT76" s="33">
        <f t="shared" si="4"/>
        <v>135</v>
      </c>
      <c r="AU76" s="33">
        <f t="shared" si="5"/>
        <v>135</v>
      </c>
    </row>
    <row r="77" spans="2:47" ht="18" customHeight="1" thickBot="1" x14ac:dyDescent="0.3">
      <c r="B77" s="133"/>
      <c r="C77" s="188"/>
      <c r="D77" s="29"/>
      <c r="E77" s="29"/>
      <c r="F77" s="34"/>
      <c r="G77" s="170" t="str">
        <f>IFERROR(IF(G76="","",VLOOKUP(G76,LISTAS!$F$5:$G$1004,2,0)),"0")</f>
        <v>COLÉGIO ENGENHEIRO SALVADOR ARENA</v>
      </c>
      <c r="H77" s="267"/>
      <c r="I77" s="101"/>
      <c r="J77" s="101"/>
      <c r="K77" s="190"/>
      <c r="L77" s="101"/>
      <c r="M77" s="101"/>
      <c r="N77" s="29"/>
      <c r="O77" s="188"/>
      <c r="P77" s="29"/>
      <c r="Q77" s="37"/>
      <c r="R77" s="198"/>
      <c r="S77" s="37"/>
      <c r="T77" s="37"/>
      <c r="U77" s="37"/>
      <c r="V77" s="198"/>
      <c r="W77" s="37"/>
      <c r="X77" s="86"/>
      <c r="Y77" s="198"/>
      <c r="Z77" s="37"/>
      <c r="AA77" s="37"/>
      <c r="AB77" s="29"/>
      <c r="AC77" s="198"/>
      <c r="AD77" s="37"/>
      <c r="AE77" s="95"/>
      <c r="AF77" s="267"/>
      <c r="AG77" s="170" t="str">
        <f>IFERROR(IF(AG76="","",VLOOKUP(AG76,LISTAS!$F$5:$G$1004,2,0)),"0")</f>
        <v>COLÉGIO ENGENHEIRO SALVADOR ARENA</v>
      </c>
      <c r="AH77" s="94"/>
      <c r="AI77" s="37"/>
      <c r="AJ77" s="29"/>
      <c r="AK77" s="188"/>
      <c r="AL77" s="29"/>
      <c r="AP77" s="31">
        <f>IF(AR77&lt;&gt;"",1+COUNTIF(AP72:AP76,"1")+COUNTIF(AP72:AP76,"2")+COUNTIF(AP72:AP76,"3")+COUNTIF(AP72:AP76,"4")+COUNTIF(AP72:AP76,"5"),"")</f>
        <v>6</v>
      </c>
      <c r="AQ77" s="32" t="str">
        <f t="shared" si="3"/>
        <v>LUGAR</v>
      </c>
      <c r="AR77" s="111" t="str">
        <f>IF(AR73&lt;&gt;"",IF(K84=AR73,K86,IF(K86=AR73,K84,IF(K114=AR73,K116,IF(K116=AR73,K114,IF(AC84=AR73,AC86,IF(AC86=AR73,AC84,IF(AC114=AR73,AC116,IF(AC116=AR73,AC114)))))))),"")</f>
        <v>JOÃO EMÍLIO DE SOUZA BASTOS</v>
      </c>
      <c r="AS77" s="33" t="str">
        <f>IFERROR(IF(AR77="","",VLOOKUP(AR77,LISTAS!$F$5:$G$1004,2,0)),"0")</f>
        <v>COLÉGIO ARBOS - UNIDADE SANTO ANDRÉ</v>
      </c>
      <c r="AT77" s="33">
        <f t="shared" si="4"/>
        <v>130</v>
      </c>
      <c r="AU77" s="33">
        <f t="shared" si="5"/>
        <v>130</v>
      </c>
    </row>
    <row r="78" spans="2:47" ht="30" x14ac:dyDescent="0.25">
      <c r="B78" s="133"/>
      <c r="C78" s="188"/>
      <c r="D78" s="29"/>
      <c r="E78" s="35"/>
      <c r="F78" s="36"/>
      <c r="G78" s="169" t="str">
        <f>IF(D80&lt;&gt;"",IF(D82&lt;&gt;"",IF(D80=D82,"",IF(D80&gt;D82,C80,C82)),""),"")</f>
        <v>GABRIEL DE MELLO PIRES</v>
      </c>
      <c r="H78" s="266">
        <v>1</v>
      </c>
      <c r="I78" s="107">
        <f>IF(H78&lt;&gt;"",H78,"")</f>
        <v>1</v>
      </c>
      <c r="J78" s="101" t="str">
        <f>IF(H78&lt;&gt;"",IF(G78="","",G78),"")</f>
        <v>GABRIEL DE MELLO PIRES</v>
      </c>
      <c r="K78" s="190" t="str">
        <f>VLOOKUP(K76,I76:J78,2,0)</f>
        <v>GUILHERME TEIXEIRA DOS REIS</v>
      </c>
      <c r="L78" s="101"/>
      <c r="M78" s="101"/>
      <c r="N78" s="29"/>
      <c r="O78" s="188"/>
      <c r="P78" s="29"/>
      <c r="Q78" s="37"/>
      <c r="R78" s="198"/>
      <c r="S78" s="37"/>
      <c r="T78" s="37"/>
      <c r="U78" s="37"/>
      <c r="V78" s="198"/>
      <c r="W78" s="37"/>
      <c r="X78" s="86"/>
      <c r="Y78" s="198"/>
      <c r="Z78" s="37"/>
      <c r="AA78" s="37"/>
      <c r="AB78" s="29"/>
      <c r="AC78" s="198"/>
      <c r="AD78" s="94"/>
      <c r="AE78" s="96"/>
      <c r="AF78" s="266">
        <v>1</v>
      </c>
      <c r="AG78" s="169" t="str">
        <f>IF(AJ80&lt;&gt;"",IF(AJ82&lt;&gt;"",IF(AJ80=AJ82,"",IF(AJ80&gt;AJ82,AK80,AK82)),""),"")</f>
        <v>SANDRO MOZES SILVESTRINI</v>
      </c>
      <c r="AH78" s="98"/>
      <c r="AI78" s="37"/>
      <c r="AJ78" s="29"/>
      <c r="AK78" s="188"/>
      <c r="AL78" s="29"/>
      <c r="AP78" s="31">
        <f>IF(AR78&lt;&gt;"",1+COUNTIF(AP72:AP77,"1")+COUNTIF(AP72:AP77,"2")+COUNTIF(AP72:AP77,"3")+COUNTIF(AP72:AP77,"4")+COUNTIF(AP72:AP77,"5")+COUNTIF(AP72:AP77,"6"),"")</f>
        <v>7</v>
      </c>
      <c r="AQ78" s="32" t="str">
        <f t="shared" si="3"/>
        <v>LUGAR</v>
      </c>
      <c r="AR78" s="111" t="str">
        <f>IF(AR74&lt;&gt;"",IF(K84=AR74,K86,IF(K86=AR74,K84,IF(K114=AR74,K116,IF(K116=AR74,K114,IF(AC84=AR74,AC86,IF(AC86=AR74,AC84,IF(AC114=AR74,AC116,IF(AC116=AR74,AC114)))))))),"")</f>
        <v>SANDRO MOZES SILVESTRINI</v>
      </c>
      <c r="AS78" s="33" t="str">
        <f>IFERROR(IF(AR78="","",VLOOKUP(AR78,LISTAS!$F$5:$G$1004,2,0)),"0")</f>
        <v>COLÉGIO VÉRTICE</v>
      </c>
      <c r="AT78" s="33">
        <f t="shared" si="4"/>
        <v>120</v>
      </c>
      <c r="AU78" s="33">
        <f t="shared" si="5"/>
        <v>120</v>
      </c>
    </row>
    <row r="79" spans="2:47" ht="30.75" thickBot="1" x14ac:dyDescent="0.3">
      <c r="B79" s="133"/>
      <c r="C79" s="188"/>
      <c r="D79" s="29"/>
      <c r="E79" s="35"/>
      <c r="F79" s="29"/>
      <c r="G79" s="170" t="str">
        <f>IFERROR(IF(G78="","",VLOOKUP(G78,LISTAS!$F$5:$G$1004,2,0)),"0")</f>
        <v>COLÉGIO ARBOS DE SÃO BERNARDO DO CAMPO</v>
      </c>
      <c r="H79" s="267"/>
      <c r="I79" s="138"/>
      <c r="J79" s="101"/>
      <c r="K79" s="190"/>
      <c r="L79" s="101"/>
      <c r="M79" s="101"/>
      <c r="N79" s="29"/>
      <c r="O79" s="188"/>
      <c r="P79" s="29"/>
      <c r="Q79" s="37"/>
      <c r="R79" s="198"/>
      <c r="S79" s="37"/>
      <c r="T79" s="37"/>
      <c r="U79" s="37"/>
      <c r="V79" s="198"/>
      <c r="W79" s="37"/>
      <c r="X79" s="86"/>
      <c r="Y79" s="198"/>
      <c r="Z79" s="37"/>
      <c r="AA79" s="37"/>
      <c r="AB79" s="29"/>
      <c r="AC79" s="198"/>
      <c r="AD79" s="94"/>
      <c r="AE79" s="37"/>
      <c r="AF79" s="267"/>
      <c r="AG79" s="170" t="str">
        <f>IFERROR(IF(AG78="","",VLOOKUP(AG78,LISTAS!$F$5:$G$1004,2,0)),"0")</f>
        <v>COLÉGIO VÉRTICE</v>
      </c>
      <c r="AH79" s="37"/>
      <c r="AI79" s="89"/>
      <c r="AJ79" s="29"/>
      <c r="AK79" s="188"/>
      <c r="AL79" s="29"/>
      <c r="AP79" s="31">
        <f>IF(AR79&lt;&gt;"",1+COUNTIF(AP72:AP78,"1")+COUNTIF(AP72:AP78,"2")+COUNTIF(AP72:AP78,"3")+COUNTIF(AP72:AP78,"4")+COUNTIF(AP72:AP78,"5")+COUNTIF(AP72:AP78,"6")+COUNTIF(AP72:AP78,"7"),"")</f>
        <v>8</v>
      </c>
      <c r="AQ79" s="32" t="str">
        <f t="shared" si="3"/>
        <v>LUGAR</v>
      </c>
      <c r="AR79" s="111" t="str">
        <f>IF(AR75&lt;&gt;"",IF(K84=AR75,K86,IF(K86=AR75,K84,IF(K114=AR75,K116,IF(K116=AR75,K114,IF(AC84=AR75,AC86,IF(AC86=AR75,AC84,IF(AC114=AR75,AC116,IF(AC116=AR75,AC114)))))))),"")</f>
        <v>GABRIEL MÜLLER POPI PEDROSA RAMOS</v>
      </c>
      <c r="AS79" s="33" t="str">
        <f>IFERROR(IF(AR79="","",VLOOKUP(AR79,LISTAS!$F$5:$G$1004,2,0)),"0")</f>
        <v>ESCOLA VILLARE</v>
      </c>
      <c r="AT79" s="33">
        <f t="shared" si="4"/>
        <v>110</v>
      </c>
      <c r="AU79" s="33">
        <f t="shared" si="5"/>
        <v>110</v>
      </c>
    </row>
    <row r="80" spans="2:47" ht="18" customHeight="1" x14ac:dyDescent="0.25">
      <c r="B80" s="133">
        <v>17</v>
      </c>
      <c r="C80" s="169"/>
      <c r="D80" s="266">
        <v>0</v>
      </c>
      <c r="E80" s="148">
        <f>IF(D80&lt;&gt;"",D80,"")</f>
        <v>0</v>
      </c>
      <c r="F80" s="101" t="str">
        <f>IF(D80&lt;&gt;"",IF(C80="","",C80),"")</f>
        <v/>
      </c>
      <c r="G80" s="190">
        <f>IF(E80&lt;&gt;"",IF(E82&lt;&gt;"",SMALL(E80:E82,1),""),"")</f>
        <v>0</v>
      </c>
      <c r="H80" s="101"/>
      <c r="I80" s="138"/>
      <c r="J80" s="101"/>
      <c r="K80" s="190"/>
      <c r="L80" s="101"/>
      <c r="M80" s="101"/>
      <c r="N80" s="29"/>
      <c r="O80" s="188"/>
      <c r="P80" s="29"/>
      <c r="Q80" s="37"/>
      <c r="R80" s="198"/>
      <c r="S80" s="37"/>
      <c r="T80" s="37"/>
      <c r="U80" s="37"/>
      <c r="V80" s="198"/>
      <c r="W80" s="37"/>
      <c r="X80" s="86"/>
      <c r="Y80" s="198"/>
      <c r="Z80" s="37"/>
      <c r="AA80" s="37"/>
      <c r="AB80" s="29"/>
      <c r="AC80" s="198"/>
      <c r="AD80" s="146"/>
      <c r="AE80" s="100"/>
      <c r="AF80" s="100"/>
      <c r="AG80" s="197">
        <f>IF(AJ80&lt;&gt;"",AJ80,"")</f>
        <v>1</v>
      </c>
      <c r="AH80" s="100" t="str">
        <f>IF(AJ80&lt;&gt;"",IF(AK80="","",AK80),"")</f>
        <v>SANDRO MOZES SILVESTRINI</v>
      </c>
      <c r="AI80" s="137">
        <f>IF(AG80&lt;&gt;"",IF(AG82&lt;&gt;"",SMALL(AG80:AG82,1),""),"")</f>
        <v>0</v>
      </c>
      <c r="AJ80" s="266">
        <v>1</v>
      </c>
      <c r="AK80" s="169" t="str">
        <f>IF('15M GRP'!G5&gt;=3,'15M GRP'!J191,IF('15M GRP'!G5=2,"",IF('15M GRP'!G5=1,"","")))</f>
        <v>SANDRO MOZES SILVESTRINI</v>
      </c>
      <c r="AL80" s="29">
        <v>14</v>
      </c>
      <c r="AP80" s="31">
        <f>IF(AR80&lt;&gt;"",1+COUNTIF(AP72:AP79,"1")+COUNTIF(AP72:AP79,"2")+COUNTIF(AP72:AP79,"3")+COUNTIF(AP72:AP79,"4")+COUNTIF(AP72:AP79,"5")+COUNTIF(AP72:AP79,"6")+COUNTIF(AP72:AP79,"7")+COUNTIF(AP72:AP79,"8"),"")</f>
        <v>9</v>
      </c>
      <c r="AQ80" s="32" t="str">
        <f t="shared" si="3"/>
        <v>LUGAR</v>
      </c>
      <c r="AR80" s="111" t="str">
        <f>IF(AR72&lt;&gt;"",IF(G76=AR72,G78,IF(G78=AR72,G76,IF(G92=AR72,G94,IF(G94=AR72,G92,IF(AG76=AR72,AG78,IF(AG78=AR72,AG76,IF(AG92=AR72,AG94,IF(AG94=AR72,AG92,IF(G106=AR72,G108,IF(G108=AR72,G106,IF(G122=AR72,G124,IF(G124=AR72,G122,IF(AG106=AR72,AG108,IF(AG108=AR72,AG106,IF(AG122=AR72,AG124,IF(AG124=AR72,AG122)))))))))))))))),"")</f>
        <v>LUIGI ENRICO SILVA ZENORINI MURTA</v>
      </c>
      <c r="AS80" s="33" t="str">
        <f>IFERROR(IF(AR80="","",VLOOKUP(AR80,LISTAS!$F$5:$G$1004,2,0)),"0")</f>
        <v>ESCOLA IL SOLE</v>
      </c>
      <c r="AT80" s="33">
        <f t="shared" si="4"/>
        <v>105</v>
      </c>
      <c r="AU80" s="33">
        <f t="shared" si="5"/>
        <v>105</v>
      </c>
    </row>
    <row r="81" spans="2:47" ht="18" customHeight="1" thickBot="1" x14ac:dyDescent="0.3">
      <c r="B81" s="133"/>
      <c r="C81" s="170" t="str">
        <f>IFERROR(IF(C80="","",VLOOKUP(C80,LISTAS!$F$5:$G$1004,2,0)),"0")</f>
        <v/>
      </c>
      <c r="D81" s="267"/>
      <c r="E81" s="105"/>
      <c r="F81" s="101"/>
      <c r="G81" s="190"/>
      <c r="H81" s="101"/>
      <c r="I81" s="138"/>
      <c r="J81" s="29"/>
      <c r="K81" s="188"/>
      <c r="L81" s="29"/>
      <c r="M81" s="29"/>
      <c r="N81" s="29"/>
      <c r="O81" s="188"/>
      <c r="P81" s="29"/>
      <c r="Q81" s="37"/>
      <c r="R81" s="198"/>
      <c r="S81" s="37"/>
      <c r="T81" s="37"/>
      <c r="U81" s="37"/>
      <c r="V81" s="198"/>
      <c r="W81" s="37"/>
      <c r="X81" s="86"/>
      <c r="Y81" s="198"/>
      <c r="Z81" s="37"/>
      <c r="AA81" s="37"/>
      <c r="AB81" s="29"/>
      <c r="AC81" s="198"/>
      <c r="AD81" s="146"/>
      <c r="AE81" s="100"/>
      <c r="AF81" s="100"/>
      <c r="AG81" s="197"/>
      <c r="AH81" s="100"/>
      <c r="AI81" s="143"/>
      <c r="AJ81" s="267"/>
      <c r="AK81" s="170" t="str">
        <f>IFERROR(IF(AK80="","",VLOOKUP(AK80,LISTAS!$F$5:$G$1004,2,0)),"0")</f>
        <v>COLÉGIO VÉRTICE</v>
      </c>
      <c r="AL81" s="29"/>
      <c r="AP81" s="31">
        <f>IF(AR81&lt;&gt;"",1+COUNTIF(AP72:AP80,"1")+COUNTIF(AP72:AP80,"2")+COUNTIF(AP72:AP80,"3")+COUNTIF(AP72:AP80,"4")+COUNTIF(AP72:AP80,"5")+COUNTIF(AP72:AP80,"6")+COUNTIF(AP72:AP80,"7")+COUNTIF(AP72:AP80,"8")+COUNTIF(AP72:AP80,"9"),"")</f>
        <v>10</v>
      </c>
      <c r="AQ81" s="32" t="str">
        <f t="shared" si="3"/>
        <v>LUGAR</v>
      </c>
      <c r="AR81" s="111" t="str">
        <f>IF(AR73&lt;&gt;"",IF(G76=AR73,G78,IF(G78=AR73,G76,IF(G92=AR73,G94,IF(G94=AR73,G92,IF(AG76=AR73,AG78,IF(AG78=AR73,AG76,IF(AG92=AR73,AG94,IF(AG94=AR73,AG92,IF(G106=AR73,G108,IF(G108=AR73,G106,IF(G122=AR73,G124,IF(G124=AR73,G122,IF(AG106=AR73,AG108,IF(AG108=AR73,AG106,IF(AG122=AR73,AG124,IF(AG124=AR73,AG122)))))))))))))))),"")</f>
        <v>GUILHERME TEIXEIRA DOS REIS</v>
      </c>
      <c r="AS81" s="33" t="str">
        <f>IFERROR(IF(AR81="","",VLOOKUP(AR81,LISTAS!$F$5:$G$1004,2,0)),"0")</f>
        <v>COLÉGIO ENGENHEIRO SALVADOR ARENA</v>
      </c>
      <c r="AT81" s="33">
        <f t="shared" si="4"/>
        <v>105</v>
      </c>
      <c r="AU81" s="33">
        <f t="shared" si="5"/>
        <v>105</v>
      </c>
    </row>
    <row r="82" spans="2:47" ht="18" customHeight="1" x14ac:dyDescent="0.25">
      <c r="B82" s="133">
        <v>16</v>
      </c>
      <c r="C82" s="169" t="str">
        <f>IF('15M GRP'!G5&gt;=3,'15M GRP'!J217,IF('15M GRP'!G5=2,"",IF('15M GRP'!G5=1,"","")))</f>
        <v>GABRIEL DE MELLO PIRES</v>
      </c>
      <c r="D82" s="266">
        <v>1</v>
      </c>
      <c r="E82" s="106">
        <f>IF(D82&lt;&gt;"",D82,"")</f>
        <v>1</v>
      </c>
      <c r="F82" s="101" t="str">
        <f>IF(D82&lt;&gt;"",IF(C82="","",C82),"")</f>
        <v>GABRIEL DE MELLO PIRES</v>
      </c>
      <c r="G82" s="190" t="str">
        <f>VLOOKUP(G80,E80:F82,2,0)</f>
        <v/>
      </c>
      <c r="H82" s="101"/>
      <c r="I82" s="138"/>
      <c r="J82" s="29"/>
      <c r="K82" s="188"/>
      <c r="L82" s="29"/>
      <c r="M82" s="29"/>
      <c r="N82" s="29"/>
      <c r="O82" s="188"/>
      <c r="P82" s="29"/>
      <c r="Q82" s="37"/>
      <c r="R82" s="198"/>
      <c r="S82" s="37"/>
      <c r="T82" s="37"/>
      <c r="U82" s="37"/>
      <c r="V82" s="198"/>
      <c r="W82" s="37"/>
      <c r="X82" s="86"/>
      <c r="Y82" s="198"/>
      <c r="Z82" s="37"/>
      <c r="AA82" s="37"/>
      <c r="AB82" s="29"/>
      <c r="AC82" s="198"/>
      <c r="AD82" s="146"/>
      <c r="AE82" s="100"/>
      <c r="AF82" s="100"/>
      <c r="AG82" s="197">
        <f>IF(AJ82&lt;&gt;"",AJ82,"")</f>
        <v>0</v>
      </c>
      <c r="AH82" s="100" t="str">
        <f>IF(AJ82&lt;&gt;"",IF(AK82="","",AK82),"")</f>
        <v/>
      </c>
      <c r="AI82" s="104" t="str">
        <f>VLOOKUP(AI80,AG80:AH82,2,0)</f>
        <v/>
      </c>
      <c r="AJ82" s="266">
        <v>0</v>
      </c>
      <c r="AK82" s="169"/>
      <c r="AL82" s="29">
        <v>19</v>
      </c>
      <c r="AP82" s="31">
        <f>IF(AR82&lt;&gt;"",1+COUNTIF(AP72:AP81,"1")+COUNTIF(AP72:AP81,"2")+COUNTIF(AP72:AP81,"3")+COUNTIF(AP72:AP81,"4")+COUNTIF(AP72:AP81,"5")+COUNTIF(AP72:AP81,"6")+COUNTIF(AP72:AP81,"7")+COUNTIF(AP72:AP81,"8")+COUNTIF(AP72:AP81,"9")+COUNTIF(AP72:AP81,"10"),"")</f>
        <v>11</v>
      </c>
      <c r="AQ82" s="32" t="str">
        <f t="shared" si="3"/>
        <v>LUGAR</v>
      </c>
      <c r="AR82" s="111" t="str">
        <f>IF(AR74&lt;&gt;"",IF(G76=AR74,G78,IF(G78=AR74,G76,IF(G92=AR74,G94,IF(G94=AR74,G92,IF(AG76=AR74,AG78,IF(AG78=AR74,AG76,IF(AG92=AR74,AG94,IF(AG94=AR74,AG92,IF(G106=AR74,G108,IF(G108=AR74,G106,IF(G122=AR74,G124,IF(G124=AR74,G122,IF(AG106=AR74,AG108,IF(AG108=AR74,AG106,IF(AG122=AR74,AG124,IF(AG124=AR74,AG122)))))))))))))))),"")</f>
        <v>MATHEUS HENRIQUE SGOBI</v>
      </c>
      <c r="AS82" s="33" t="str">
        <f>IFERROR(IF(AR82="","",VLOOKUP(AR82,LISTAS!$F$5:$G$1004,2,0)),"0")</f>
        <v>COLÉGIO ARBOS - UNIDADE SANTO ANDRÉ</v>
      </c>
      <c r="AT82" s="33">
        <f t="shared" si="4"/>
        <v>105</v>
      </c>
      <c r="AU82" s="33">
        <f t="shared" si="5"/>
        <v>105</v>
      </c>
    </row>
    <row r="83" spans="2:47" ht="18" customHeight="1" thickBot="1" x14ac:dyDescent="0.3">
      <c r="B83" s="133"/>
      <c r="C83" s="170" t="str">
        <f>IFERROR(IF(C82="","",VLOOKUP(C82,LISTAS!$F$5:$G$1004,2,0)),"0")</f>
        <v>COLÉGIO ARBOS DE SÃO BERNARDO DO CAMPO</v>
      </c>
      <c r="D83" s="267"/>
      <c r="E83" s="101"/>
      <c r="F83" s="101"/>
      <c r="G83" s="190"/>
      <c r="H83" s="101"/>
      <c r="I83" s="138"/>
      <c r="J83" s="29"/>
      <c r="K83" s="188"/>
      <c r="L83" s="29"/>
      <c r="M83" s="29"/>
      <c r="N83" s="29"/>
      <c r="O83" s="188"/>
      <c r="P83" s="29"/>
      <c r="Q83" s="37"/>
      <c r="R83" s="198"/>
      <c r="S83" s="37"/>
      <c r="T83" s="37"/>
      <c r="U83" s="37"/>
      <c r="V83" s="198"/>
      <c r="W83" s="37"/>
      <c r="X83" s="86"/>
      <c r="Y83" s="198"/>
      <c r="Z83" s="37"/>
      <c r="AA83" s="37"/>
      <c r="AB83" s="29"/>
      <c r="AC83" s="198"/>
      <c r="AD83" s="146"/>
      <c r="AE83" s="100"/>
      <c r="AF83" s="100"/>
      <c r="AG83" s="197"/>
      <c r="AH83" s="100"/>
      <c r="AI83" s="101"/>
      <c r="AJ83" s="267"/>
      <c r="AK83" s="170" t="str">
        <f>IFERROR(IF(AK82="","",VLOOKUP(AK82,LISTAS!$F$5:$G$1004,2,0)),"0")</f>
        <v/>
      </c>
      <c r="AL83" s="29"/>
      <c r="AP83" s="31">
        <f>IF(AR83&lt;&gt;"",1+COUNTIF(AP72:AP82,"1")+COUNTIF(AP72:AP82,"2")+COUNTIF(AP72:AP82,"3")+COUNTIF(AP72:AP82,"4")+COUNTIF(AP72:AP82,"5")+COUNTIF(AP72:AP82,"6")+COUNTIF(AP72:AP82,"7")+COUNTIF(AP72:AP82,"8")+COUNTIF(AP72:AP82,"9")+COUNTIF(AP72:AP82,"10")+COUNTIF(AP72:AP82,"11"),"")</f>
        <v>12</v>
      </c>
      <c r="AQ83" s="32" t="str">
        <f t="shared" si="3"/>
        <v>LUGAR</v>
      </c>
      <c r="AR83" s="111" t="str">
        <f>IF(AR75&lt;&gt;"",IF(G76=AR75,G78,IF(G78=AR75,G76,IF(G92=AR75,G94,IF(G94=AR75,G92,IF(AG76=AR75,AG78,IF(AG78=AR75,AG76,IF(AG92=AR75,AG94,IF(AG94=AR75,AG92,IF(G106=AR75,G108,IF(G108=AR75,G106,IF(G122=AR75,G124,IF(G124=AR75,G122,IF(AG106=AR75,AG108,IF(AG108=AR75,AG106,IF(AG122=AR75,AG124,IF(AG124=AR75,AG122)))))))))))))))),"")</f>
        <v>THIAGO SILVESTRE MORGAN</v>
      </c>
      <c r="AS83" s="33" t="str">
        <f>IFERROR(IF(AR83="","",VLOOKUP(AR83,LISTAS!$F$5:$G$1004,2,0)),"0")</f>
        <v>COLÉGIO ENGENHEIRO SALVADOR ARENA</v>
      </c>
      <c r="AT83" s="33">
        <f t="shared" si="4"/>
        <v>105</v>
      </c>
      <c r="AU83" s="33">
        <f t="shared" si="5"/>
        <v>105</v>
      </c>
    </row>
    <row r="84" spans="2:47" ht="18" customHeight="1" x14ac:dyDescent="0.25">
      <c r="B84" s="133"/>
      <c r="C84" s="188"/>
      <c r="D84" s="29"/>
      <c r="E84" s="29"/>
      <c r="F84" s="29"/>
      <c r="G84" s="188"/>
      <c r="H84" s="29"/>
      <c r="I84" s="35"/>
      <c r="J84" s="29"/>
      <c r="K84" s="169" t="str">
        <f>IF(H76&lt;&gt;"",IF(H78&lt;&gt;"",IF(H76=H78,"",IF(H76&gt;H78,G76,G78)),""),"")</f>
        <v>GABRIEL DE MELLO PIRES</v>
      </c>
      <c r="L84" s="266">
        <v>1</v>
      </c>
      <c r="M84" s="101">
        <f>IF(L84&lt;&gt;"",L84,"")</f>
        <v>1</v>
      </c>
      <c r="N84" s="101" t="str">
        <f>IF(L84&lt;&gt;"",IF(K84="","",K84),"")</f>
        <v>GABRIEL DE MELLO PIRES</v>
      </c>
      <c r="O84" s="190">
        <f>IF(M84&lt;&gt;"",IF(M86&lt;&gt;"",SMALL(M84:N86,1),""),"")</f>
        <v>0</v>
      </c>
      <c r="P84" s="101"/>
      <c r="Q84" s="37"/>
      <c r="R84" s="272" t="s">
        <v>88</v>
      </c>
      <c r="S84" s="273"/>
      <c r="T84" s="273"/>
      <c r="U84" s="273"/>
      <c r="V84" s="273"/>
      <c r="W84" s="37"/>
      <c r="X84" s="86"/>
      <c r="Y84" s="198"/>
      <c r="Z84" s="37"/>
      <c r="AA84" s="37"/>
      <c r="AB84" s="266">
        <v>0</v>
      </c>
      <c r="AC84" s="169" t="str">
        <f>IF(AF76&lt;&gt;"",IF(AF78&lt;&gt;"",IF(AF76=AF78,"",IF(AF76&gt;AF78,AG76,AG78)),""),"")</f>
        <v>SANDRO MOZES SILVESTRINI</v>
      </c>
      <c r="AD84" s="147"/>
      <c r="AE84" s="100"/>
      <c r="AF84" s="100"/>
      <c r="AG84" s="197"/>
      <c r="AH84" s="100"/>
      <c r="AI84" s="100"/>
      <c r="AJ84" s="29"/>
      <c r="AK84" s="188"/>
      <c r="AL84" s="29"/>
      <c r="AP84" s="31">
        <f>IF(AR84&lt;&gt;"",1+COUNTIF(AP72:AP83,"1")+COUNTIF(AP72:AP83,"2")+COUNTIF(AP72:AP83,"3")+COUNTIF(AP72:AP83,"4")+COUNTIF(AP72:AP83,"5")+COUNTIF(AP72:AP83,"6")+COUNTIF(AP72:AP83,"7")+COUNTIF(AP72:AP83,"8")+COUNTIF(AP72:AP83,"9")+COUNTIF(AP72:AP83,"10")+COUNTIF(AP72:AP83,"11")+COUNTIF(AP72:AP83,"12"),"")</f>
        <v>13</v>
      </c>
      <c r="AQ84" s="32" t="str">
        <f t="shared" si="3"/>
        <v>LUGAR</v>
      </c>
      <c r="AR84" s="111" t="str">
        <f>IF(AR76&lt;&gt;"",IF(G76=AR76,G78,IF(G78=AR76,G76,IF(G92=AR76,G94,IF(G94=AR76,G92,IF(AG76=AR76,AG78,IF(AG78=AR76,AG76,IF(AG92=AR76,AG94,IF(AG94=AR76,AG92,IF(G106=AR76,G108,IF(G108=AR76,G106,IF(G122=AR76,G124,IF(G124=AR76,G122,IF(AG106=AR76,AG108,IF(AG108=AR76,AG106,IF(AG122=AR76,AG124,IF(AG124=AR76,AG122)))))))))))))))),"")</f>
        <v>RODRIGO LAVIOLA GONZALEZ</v>
      </c>
      <c r="AS84" s="33" t="str">
        <f>IFERROR(IF(AR84="","",VLOOKUP(AR84,LISTAS!$F$5:$G$1004,2,0)),"0")</f>
        <v>ESCOLA VILLARE</v>
      </c>
      <c r="AT84" s="33">
        <f t="shared" si="4"/>
        <v>105</v>
      </c>
      <c r="AU84" s="33">
        <f t="shared" si="5"/>
        <v>105</v>
      </c>
    </row>
    <row r="85" spans="2:47" ht="18" customHeight="1" thickBot="1" x14ac:dyDescent="0.3">
      <c r="B85" s="133"/>
      <c r="C85" s="188"/>
      <c r="D85" s="29"/>
      <c r="E85" s="29"/>
      <c r="F85" s="29"/>
      <c r="G85" s="188"/>
      <c r="H85" s="29"/>
      <c r="I85" s="35"/>
      <c r="J85" s="29"/>
      <c r="K85" s="170" t="str">
        <f>IFERROR(IF(K84="","",VLOOKUP(K84,LISTAS!$F$5:$G$1004,2,0)),"0")</f>
        <v>COLÉGIO ARBOS DE SÃO BERNARDO DO CAMPO</v>
      </c>
      <c r="L85" s="267"/>
      <c r="M85" s="101"/>
      <c r="N85" s="101"/>
      <c r="O85" s="190"/>
      <c r="P85" s="101"/>
      <c r="Q85" s="37"/>
      <c r="R85" s="272" t="s">
        <v>32</v>
      </c>
      <c r="S85" s="273"/>
      <c r="T85" s="273"/>
      <c r="U85" s="273"/>
      <c r="V85" s="273"/>
      <c r="W85" s="37"/>
      <c r="X85" s="86"/>
      <c r="Y85" s="198"/>
      <c r="Z85" s="37"/>
      <c r="AA85" s="37"/>
      <c r="AB85" s="267"/>
      <c r="AC85" s="170" t="str">
        <f>IFERROR(IF(AC84="","",VLOOKUP(AC84,LISTAS!$F$5:$G$1004,2,0)),"0")</f>
        <v>COLÉGIO VÉRTICE</v>
      </c>
      <c r="AD85" s="37"/>
      <c r="AE85" s="89"/>
      <c r="AF85" s="37"/>
      <c r="AG85" s="198"/>
      <c r="AH85" s="37"/>
      <c r="AI85" s="37"/>
      <c r="AJ85" s="29"/>
      <c r="AK85" s="188"/>
      <c r="AL85" s="29"/>
      <c r="AP85" s="31">
        <f>IF(AR85&lt;&gt;"",1+COUNTIF(AP72:AP84,"1")+COUNTIF(AP72:AP84,"2")+COUNTIF(AP72:AP84,"3")+COUNTIF(AP72:AP84,"4")+COUNTIF(AP72:AP84,"5")+COUNTIF(AP72:AP84,"6")+COUNTIF(AP72:AP84,"7")+COUNTIF(AP72:AP84,"8")+COUNTIF(AP72:AP84,"9")+COUNTIF(AP72:AP84,"10")+COUNTIF(AP72:AP84,"11")+COUNTIF(AP72:AP84,"12")+COUNTIF(AP72:AP84,"13"),"")</f>
        <v>14</v>
      </c>
      <c r="AQ85" s="32" t="str">
        <f t="shared" si="3"/>
        <v>LUGAR</v>
      </c>
      <c r="AR85" s="111" t="str">
        <f>IF(AR77&lt;&gt;"",IF(G76=AR77,G78,IF(G78=AR77,G76,IF(G92=AR77,G94,IF(G94=AR77,G92,IF(AG76=AR77,AG78,IF(AG78=AR77,AG76,IF(AG92=AR77,AG94,IF(AG94=AR77,AG92,IF(G106=AR77,G108,IF(G108=AR77,G106,IF(G122=AR77,G124,IF(G124=AR77,G122,IF(AG106=AR77,AG108,IF(AG108=AR77,AG106,IF(AG122=AR77,AG124,IF(AG124=AR77,AG122)))))))))))))))),"")</f>
        <v>ARTHUR FIORAVANTE</v>
      </c>
      <c r="AS85" s="33" t="str">
        <f>IFERROR(IF(AR85="","",VLOOKUP(AR85,LISTAS!$F$5:$G$1004,2,0)),"0")</f>
        <v>COLÉGIO MARCONI - GRU</v>
      </c>
      <c r="AT85" s="33">
        <f t="shared" si="4"/>
        <v>105</v>
      </c>
      <c r="AU85" s="33">
        <f t="shared" si="5"/>
        <v>105</v>
      </c>
    </row>
    <row r="86" spans="2:47" ht="18" customHeight="1" x14ac:dyDescent="0.25">
      <c r="B86" s="133"/>
      <c r="C86" s="188"/>
      <c r="D86" s="29"/>
      <c r="E86" s="29"/>
      <c r="F86" s="29"/>
      <c r="G86" s="188"/>
      <c r="H86" s="29"/>
      <c r="I86" s="35"/>
      <c r="J86" s="36"/>
      <c r="K86" s="169" t="str">
        <f>IF(H92&lt;&gt;"",IF(H94&lt;&gt;"",IF(H92=H94,"",IF(H92&gt;H94,G92,G94)),""),"")</f>
        <v>JOÃO EMÍLIO DE SOUZA BASTOS</v>
      </c>
      <c r="L86" s="266">
        <v>0</v>
      </c>
      <c r="M86" s="107">
        <f>IF(L86&lt;&gt;"",L86,"")</f>
        <v>0</v>
      </c>
      <c r="N86" s="101" t="str">
        <f>IF(L86&lt;&gt;"",IF(K86="","",K86),"")</f>
        <v>JOÃO EMÍLIO DE SOUZA BASTOS</v>
      </c>
      <c r="O86" s="190" t="str">
        <f>VLOOKUP(O84,M84:N86,2,0)</f>
        <v>JOÃO EMÍLIO DE SOUZA BASTOS</v>
      </c>
      <c r="P86" s="101"/>
      <c r="Q86" s="37"/>
      <c r="R86" s="198"/>
      <c r="S86" s="37"/>
      <c r="T86" s="37"/>
      <c r="U86" s="37"/>
      <c r="V86" s="198"/>
      <c r="W86" s="37"/>
      <c r="X86" s="86"/>
      <c r="Y86" s="198"/>
      <c r="Z86" s="94"/>
      <c r="AA86" s="96"/>
      <c r="AB86" s="266">
        <v>1</v>
      </c>
      <c r="AC86" s="169" t="str">
        <f>IF(AF92&lt;&gt;"",IF(AF94&lt;&gt;"",IF(AF92=AF94,"",IF(AF92&gt;AF94,AG92,AG94)),""),"")</f>
        <v>MURILO KENZO KIYOMOTO SHIGENO</v>
      </c>
      <c r="AD86" s="37"/>
      <c r="AE86" s="89"/>
      <c r="AF86" s="37"/>
      <c r="AG86" s="198"/>
      <c r="AH86" s="37"/>
      <c r="AI86" s="37"/>
      <c r="AJ86" s="29"/>
      <c r="AK86" s="188"/>
      <c r="AL86" s="29"/>
      <c r="AP86" s="31">
        <f>IF(AR86&lt;&gt;"",1+COUNTIF(AP72:AP85,"1")+COUNTIF(AP72:AP85,"2")+COUNTIF(AP72:AP85,"3")+COUNTIF(AP72:AP85,"4")+COUNTIF(AP72:AP85,"5")+COUNTIF(AP72:AP85,"6")+COUNTIF(AP72:AP85,"7")+COUNTIF(AP72:AP85,"8")+COUNTIF(AP72:AP85,"9")+COUNTIF(AP72:AP85,"10")+COUNTIF(AP72:AP85,"11")+COUNTIF(AP72:AP85,"12")+COUNTIF(AP72:AP85,"13")+COUNTIF(AP72:AP85,"14"),"")</f>
        <v>15</v>
      </c>
      <c r="AQ86" s="32" t="str">
        <f t="shared" si="3"/>
        <v>LUGAR</v>
      </c>
      <c r="AR86" s="111" t="str">
        <f>IF(AR78&lt;&gt;"",IF(G76=AR78,G78,IF(G78=AR78,G76,IF(G92=AR78,G94,IF(G94=AR78,G92,IF(AG76=AR78,AG78,IF(AG78=AR78,AG76,IF(AG92=AR78,AG94,IF(AG94=AR78,AG92,IF(G106=AR78,G108,IF(G108=AR78,G106,IF(G122=AR78,G124,IF(G124=AR78,G122,IF(AG106=AR78,AG108,IF(AG108=AR78,AG106,IF(AG122=AR78,AG124,IF(AG124=AR78,AG122)))))))))))))))),"")</f>
        <v>MATEUS ROCHETTI VAZQUEZ CARMO</v>
      </c>
      <c r="AS86" s="33" t="str">
        <f>IFERROR(IF(AR86="","",VLOOKUP(AR86,LISTAS!$F$5:$G$1004,2,0)),"0")</f>
        <v>COLÉGIO ENGENHEIRO SALVADOR ARENA</v>
      </c>
      <c r="AT86" s="33">
        <f t="shared" si="4"/>
        <v>105</v>
      </c>
      <c r="AU86" s="33">
        <f t="shared" si="5"/>
        <v>105</v>
      </c>
    </row>
    <row r="87" spans="2:47" ht="18" customHeight="1" thickBot="1" x14ac:dyDescent="0.3">
      <c r="B87" s="133"/>
      <c r="C87" s="188"/>
      <c r="D87" s="29"/>
      <c r="E87" s="29"/>
      <c r="F87" s="29"/>
      <c r="G87" s="188"/>
      <c r="H87" s="29"/>
      <c r="I87" s="35"/>
      <c r="J87" s="29"/>
      <c r="K87" s="170" t="str">
        <f>IFERROR(IF(K86="","",VLOOKUP(K86,LISTAS!$F$5:$G$1004,2,0)),"0")</f>
        <v>COLÉGIO ARBOS - UNIDADE SANTO ANDRÉ</v>
      </c>
      <c r="L87" s="267"/>
      <c r="M87" s="138"/>
      <c r="N87" s="101"/>
      <c r="O87" s="190"/>
      <c r="P87" s="101"/>
      <c r="Q87" s="37"/>
      <c r="R87" s="198"/>
      <c r="S87" s="37"/>
      <c r="T87" s="37"/>
      <c r="U87" s="37"/>
      <c r="V87" s="198"/>
      <c r="W87" s="37"/>
      <c r="X87" s="86"/>
      <c r="Y87" s="198"/>
      <c r="Z87" s="94"/>
      <c r="AA87" s="37"/>
      <c r="AB87" s="267"/>
      <c r="AC87" s="170" t="str">
        <f>IFERROR(IF(AC86="","",VLOOKUP(AC86,LISTAS!$F$5:$G$1004,2,0)),"0")</f>
        <v>LICEU JARDIM</v>
      </c>
      <c r="AD87" s="37"/>
      <c r="AE87" s="89"/>
      <c r="AF87" s="37"/>
      <c r="AG87" s="198"/>
      <c r="AH87" s="37"/>
      <c r="AI87" s="37"/>
      <c r="AJ87" s="29"/>
      <c r="AK87" s="188"/>
      <c r="AL87" s="29"/>
      <c r="AP87" s="31" t="str">
        <f>IF(AR87&lt;&gt;"",1+COUNTIF(AP72:AP86,"1")+COUNTIF(AP72:AP86,"2")+COUNTIF(AP72:AP86,"3")+COUNTIF(AP72:AP86,"4")+COUNTIF(AP72:AP86,"5")+COUNTIF(AP72:AP86,"6")+COUNTIF(AP72:AP86,"7")+COUNTIF(AP72:AP86,"8")+COUNTIF(AP72:AP86,"9")+COUNTIF(AP72:AP86,"10")+COUNTIF(AP72:AP86,"11")+COUNTIF(AP72:AP86,"12")+COUNTIF(AP72:AP86,"13")+COUNTIF(AP72:AP86,"14")+COUNTIF(AP72:AP86,"15"),"")</f>
        <v/>
      </c>
      <c r="AQ87" s="32" t="str">
        <f t="shared" si="3"/>
        <v/>
      </c>
      <c r="AR87" s="111" t="str">
        <f>IF(AR79&lt;&gt;"",IF(G76=AR79,G78,IF(G78=AR79,G76,IF(G92=AR79,G94,IF(G94=AR79,G92,IF(AG76=AR79,AG78,IF(AG78=AR79,AG76,IF(AG92=AR79,AG94,IF(AG94=AR79,AG92,IF(G106=AR79,G108,IF(G108=AR79,G106,IF(G122=AR79,G124,IF(G124=AR79,G122,IF(AG106=AR79,AG108,IF(AG108=AR79,AG106,IF(AG122=AR79,AG124,IF(AG124=AR79,AG122)))))))))))))))),"")</f>
        <v/>
      </c>
      <c r="AS87" s="33" t="str">
        <f>IFERROR(IF(AR87="","",VLOOKUP(AR87,LISTAS!$F$5:$G$1004,2,0)),"0")</f>
        <v/>
      </c>
      <c r="AT87" s="33" t="str">
        <f t="shared" si="4"/>
        <v/>
      </c>
      <c r="AU87" s="33" t="str">
        <f t="shared" si="5"/>
        <v/>
      </c>
    </row>
    <row r="88" spans="2:47" ht="18" customHeight="1" x14ac:dyDescent="0.25">
      <c r="B88" s="133">
        <v>9</v>
      </c>
      <c r="C88" s="169" t="str">
        <f>IF('15M GRP'!G5&gt;=3,'15M GRP'!J126,IF('15M GRP'!G5=2,"",IF('15M GRP'!G5=1,"","")))</f>
        <v>ARTHUR FIORAVANTE</v>
      </c>
      <c r="D88" s="266">
        <v>1</v>
      </c>
      <c r="E88" s="101">
        <f>IF(D88&lt;&gt;"",D88,"")</f>
        <v>1</v>
      </c>
      <c r="F88" s="101" t="str">
        <f>IF(D88&lt;&gt;"",IF(C88="","",C88),"")</f>
        <v>ARTHUR FIORAVANTE</v>
      </c>
      <c r="G88" s="190">
        <f>IF(E88&lt;&gt;"",IF(E90&lt;&gt;"",SMALL(E88:E90,1),""),"")</f>
        <v>0</v>
      </c>
      <c r="H88" s="101"/>
      <c r="I88" s="138"/>
      <c r="J88" s="101"/>
      <c r="K88" s="190"/>
      <c r="L88" s="29"/>
      <c r="M88" s="138"/>
      <c r="N88" s="101"/>
      <c r="O88" s="190"/>
      <c r="P88" s="101"/>
      <c r="Q88" s="37"/>
      <c r="R88" s="198"/>
      <c r="S88" s="37"/>
      <c r="T88" s="37"/>
      <c r="U88" s="37"/>
      <c r="V88" s="198"/>
      <c r="W88" s="37"/>
      <c r="X88" s="86"/>
      <c r="Y88" s="198"/>
      <c r="Z88" s="94"/>
      <c r="AA88" s="37"/>
      <c r="AB88" s="29"/>
      <c r="AC88" s="198"/>
      <c r="AD88" s="100"/>
      <c r="AE88" s="144"/>
      <c r="AF88" s="100"/>
      <c r="AG88" s="197">
        <f>IF(AJ88&lt;&gt;"",AJ88,"")</f>
        <v>0</v>
      </c>
      <c r="AH88" s="100" t="str">
        <f>IF(AJ88&lt;&gt;"",IF(AK88="","",AK88),"")</f>
        <v/>
      </c>
      <c r="AI88" s="101">
        <f>IF(AG88&lt;&gt;"",IF(AG90&lt;&gt;"",SMALL(AG88:AG90,1),""),"")</f>
        <v>0</v>
      </c>
      <c r="AJ88" s="266">
        <v>0</v>
      </c>
      <c r="AK88" s="169" t="str">
        <f>IF('15M GRP'!G5&gt;=3,'15M GRP'!J295,IF('15M GRP'!G5=2,"",IF('15M GRP'!G5=1,"","")))</f>
        <v/>
      </c>
      <c r="AL88" s="29">
        <v>22</v>
      </c>
      <c r="AP88" s="31" t="str">
        <f>IF(AR88&lt;&gt;"",1+COUNTIF(AP72:AP87,"1")+COUNTIF(AP72:AP87,"2")+COUNTIF(AP72:AP87,"3")+COUNTIF(AP72:AP87,"4")+COUNTIF(AP72:AP87,"5")+COUNTIF(AP72:AP87,"6")+COUNTIF(AP72:AP87,"7")+COUNTIF(AP72:AP87,"8")+COUNTIF(AP72:AP87,"9")+COUNTIF(AP72:AP87,"10")+COUNTIF(AP72:AP87,"11")+COUNTIF(AP72:AP87,"12")+COUNTIF(AP72:AP87,"13")+COUNTIF(AP72:AP87,"14")+COUNTIF(AP72:AP87,"15")+COUNTIF(AP72:AP87,"16"),"")</f>
        <v/>
      </c>
      <c r="AQ88" s="32" t="str">
        <f t="shared" si="3"/>
        <v/>
      </c>
      <c r="AR88" s="111" t="str">
        <f>IF(AR72&lt;&gt;"",IF(C72=AR72,G74,IF(C74=AR72,G74,IF(C80=AR72,G82,IF(C82=AR72,G82,IF(C102=AR72,G104,IF(C104=AR72,G104,IF(C110=AR72,G112,IF(C112=AR72,G112,IF(C88=AR72,G90,IF(C90=AR72,G90,IF(C96=AR72,G98,IF(C98=AR72,G98,IF(C118=AR72,G120,IF(C120=AR72,G120,IF(C126=AR72,G128,IF(C128=AR72,G128,IF(AK72=AR72,AI74,IF(AK74=AR72,AI74,IF(AK80=AR72,AI82,IF(AK82=AR72,AI82,IF(AK102=AR72,AI104,IF(AK104=AR72,AI104,IF(AK110=AR72,AI112,IF(AK112=AR72,AI112,IF(AK88=AR72,AI90,IF(AK90=AR72,AI90,IF(AK96=AR72,AI98,IF(AK98=AR72,AI98,IF(AK118=AR72,AI120,IF(AK120=AR72,AI120,IF(AK126=AR72,AI128,IF(AK128=AR72,AI128)))))))))))))))))))))))))))))))),"")</f>
        <v/>
      </c>
      <c r="AS88" s="33" t="str">
        <f>IFERROR(IF(AR88="","",VLOOKUP(AR88,LISTAS!$F$5:$G$1004,2,0)),"0")</f>
        <v/>
      </c>
      <c r="AT88" s="33" t="str">
        <f t="shared" si="4"/>
        <v/>
      </c>
      <c r="AU88" s="33" t="str">
        <f t="shared" si="5"/>
        <v/>
      </c>
    </row>
    <row r="89" spans="2:47" ht="18" customHeight="1" thickBot="1" x14ac:dyDescent="0.3">
      <c r="B89" s="133"/>
      <c r="C89" s="170" t="str">
        <f>IFERROR(IF(C88="","",VLOOKUP(C88,LISTAS!$F$5:$G$1004,2,0)),"0")</f>
        <v>COLÉGIO MARCONI - GRU</v>
      </c>
      <c r="D89" s="267"/>
      <c r="E89" s="101"/>
      <c r="F89" s="101"/>
      <c r="G89" s="190"/>
      <c r="H89" s="101"/>
      <c r="I89" s="138"/>
      <c r="J89" s="101"/>
      <c r="K89" s="190"/>
      <c r="L89" s="29"/>
      <c r="M89" s="35"/>
      <c r="N89" s="29"/>
      <c r="O89" s="188"/>
      <c r="P89" s="29"/>
      <c r="Q89" s="37"/>
      <c r="R89" s="198"/>
      <c r="S89" s="37"/>
      <c r="T89" s="37"/>
      <c r="U89" s="37"/>
      <c r="V89" s="198"/>
      <c r="W89" s="37"/>
      <c r="X89" s="86"/>
      <c r="Y89" s="198"/>
      <c r="Z89" s="94"/>
      <c r="AA89" s="37"/>
      <c r="AB89" s="29"/>
      <c r="AC89" s="198"/>
      <c r="AD89" s="100"/>
      <c r="AE89" s="144"/>
      <c r="AF89" s="100"/>
      <c r="AG89" s="197"/>
      <c r="AH89" s="100"/>
      <c r="AI89" s="101"/>
      <c r="AJ89" s="267"/>
      <c r="AK89" s="170" t="str">
        <f>IFERROR(IF(AK88="","",VLOOKUP(AK88,LISTAS!$F$5:$G$1004,2,0)),"0")</f>
        <v/>
      </c>
      <c r="AL89" s="29"/>
      <c r="AP89" s="31" t="str">
        <f>IF(AR89&lt;&gt;"",1+COUNTIF(AP72:AP88,"1")+COUNTIF(AP72:AP88,"2")+COUNTIF(AP72:AP88,"3")+COUNTIF(AP72:AP88,"4")+COUNTIF(AP72:AP88,"5")+COUNTIF(AP72:AP88,"6")+COUNTIF(AP72:AP88,"7")+COUNTIF(AP72:AP88,"8")+COUNTIF(AP72:AP88,"9")+COUNTIF(AP72:AP88,"10")+COUNTIF(AP72:AP88,"11")+COUNTIF(AP72:AP88,"12")+COUNTIF(AP72:AP88,"13")+COUNTIF(AP72:AP88,"14")+COUNTIF(AP72:AP88,"15")+COUNTIF(AP72:AP88,"16")+COUNTIF(AP72:AP88,"17"),"")</f>
        <v/>
      </c>
      <c r="AQ89" s="32" t="str">
        <f t="shared" si="3"/>
        <v/>
      </c>
      <c r="AR89" s="111" t="str">
        <f>IF(AR73&lt;&gt;"",IF(C72=AR73,G74,IF(C74=AR73,G74,IF(C80=AR73,G82,IF(C82=AR73,G82,IF(C102=AR73,G104,IF(C104=AR73,G104,IF(C110=AR73,G112,IF(C112=AR73,G112,IF(C88=AR73,G90,IF(C90=AR73,G90,IF(C96=AR73,G98,IF(C98=AR73,G98,IF(C118=AR73,G120,IF(C120=AR73,G120,IF(C126=AR73,G128,IF(C128=AR73,G128,IF(AK72=AR73,AI74,IF(AK74=AR73,AI74,IF(AK80=AR73,AI82,IF(AK82=AR73,AI82,IF(AK102=AR73,AI104,IF(AK104=AR73,AI104,IF(AK110=AR73,AI112,IF(AK112=AR73,AI112,IF(AK88=AR73,AI90,IF(AK90=AR73,AI90,IF(AK96=AR73,AI98,IF(AK98=AR73,AI98,IF(AK118=AR73,AI120,IF(AK120=AR73,AI120,IF(AK126=AR73,AI128,IF(AK128=AR73,AI128)))))))))))))))))))))))))))))))),"")</f>
        <v/>
      </c>
      <c r="AS89" s="33" t="str">
        <f>IFERROR(IF(AR89="","",VLOOKUP(AR89,LISTAS!$F$5:$G$1004,2,0)),"0")</f>
        <v/>
      </c>
      <c r="AT89" s="33" t="str">
        <f t="shared" si="4"/>
        <v/>
      </c>
      <c r="AU89" s="33" t="str">
        <f t="shared" si="5"/>
        <v/>
      </c>
    </row>
    <row r="90" spans="2:47" ht="18" customHeight="1" x14ac:dyDescent="0.25">
      <c r="B90" s="133">
        <v>24</v>
      </c>
      <c r="C90" s="169" t="str">
        <f>IF('15M GRP'!G5&gt;=3,'15M GRP'!J321,IF('15M GRP'!G5=2,"",IF('15M GRP'!G5=1,"","")))</f>
        <v/>
      </c>
      <c r="D90" s="266">
        <v>0</v>
      </c>
      <c r="E90" s="107">
        <f>IF(D90&lt;&gt;"",D90,"")</f>
        <v>0</v>
      </c>
      <c r="F90" s="101" t="str">
        <f>IF(D90&lt;&gt;"",IF(C90="","",C90),"")</f>
        <v/>
      </c>
      <c r="G90" s="190" t="str">
        <f>VLOOKUP(G88,E88:F90,2,0)</f>
        <v/>
      </c>
      <c r="H90" s="101"/>
      <c r="I90" s="138"/>
      <c r="J90" s="101"/>
      <c r="K90" s="190"/>
      <c r="L90" s="29"/>
      <c r="M90" s="35"/>
      <c r="N90" s="29"/>
      <c r="O90" s="188"/>
      <c r="P90" s="29"/>
      <c r="Q90" s="37"/>
      <c r="R90" s="198"/>
      <c r="S90" s="37"/>
      <c r="T90" s="37"/>
      <c r="U90" s="37"/>
      <c r="V90" s="198"/>
      <c r="W90" s="37"/>
      <c r="X90" s="86"/>
      <c r="Y90" s="198"/>
      <c r="Z90" s="94"/>
      <c r="AA90" s="37"/>
      <c r="AB90" s="29"/>
      <c r="AC90" s="198"/>
      <c r="AD90" s="100"/>
      <c r="AE90" s="144"/>
      <c r="AF90" s="100"/>
      <c r="AG90" s="197">
        <f>IF(AJ90&lt;&gt;"",AJ90,"")</f>
        <v>1</v>
      </c>
      <c r="AH90" s="100" t="str">
        <f>IF(AJ90&lt;&gt;"",IF(AK90="","",AK90),"")</f>
        <v>MATHEUS HENRIQUE SGOBI</v>
      </c>
      <c r="AI90" s="102" t="str">
        <f>VLOOKUP(AI88,AG88:AH90,2,0)</f>
        <v/>
      </c>
      <c r="AJ90" s="266">
        <v>1</v>
      </c>
      <c r="AK90" s="169" t="str">
        <f>IF('15M GRP'!G5&gt;=3,'15M GRP'!J152,IF('15M GRP'!G5=2,"",IF('15M GRP'!G5=1,"","")))</f>
        <v>MATHEUS HENRIQUE SGOBI</v>
      </c>
      <c r="AL90" s="29">
        <v>11</v>
      </c>
      <c r="AP90" s="31" t="str">
        <f>IF(AR90&lt;&gt;"",1+COUNTIF(AP72:AP89,"1")+COUNTIF(AP72:AP89,"2")+COUNTIF(AP72:AP89,"3")+COUNTIF(AP72:AP89,"4")+COUNTIF(AP72:AP89,"5")+COUNTIF(AP72:AP89,"6")+COUNTIF(AP72:AP89,"7")+COUNTIF(AP72:AP89,"8")+COUNTIF(AP72:AP89,"9")+COUNTIF(AP72:AP89,"10")+COUNTIF(AP72:AP89,"11")+COUNTIF(AP72:AP89,"12")+COUNTIF(AP72:AP89,"13")+COUNTIF(AP72:AP89,"14")+COUNTIF(AP72:AP89,"15")+COUNTIF(AP72:AP89,"16")+COUNTIF(AP72:AP89,"17")+COUNTIF(AP72:AP89,"18"),"")</f>
        <v/>
      </c>
      <c r="AQ90" s="32" t="str">
        <f t="shared" si="3"/>
        <v/>
      </c>
      <c r="AR90" s="111" t="str">
        <f>IF(AR74&lt;&gt;"",IF(C72=AR74,G74,IF(C74=AR74,G74,IF(C80=AR74,G82,IF(C82=AR74,G82,IF(C102=AR74,G104,IF(C104=AR74,G104,IF(C110=AR74,G112,IF(C112=AR74,G112,IF(C88=AR74,G90,IF(C90=AR74,G90,IF(C96=AR74,G98,IF(C98=AR74,G98,IF(C118=AR74,G120,IF(C120=AR74,G120,IF(C126=AR74,G128,IF(C128=AR74,G128,IF(AK72=AR74,AI74,IF(AK74=AR74,AI74,IF(AK80=AR74,AI82,IF(AK82=AR74,AI82,IF(AK102=AR74,AI104,IF(AK104=AR74,AI104,IF(AK110=AR74,AI112,IF(AK112=AR74,AI112,IF(AK88=AR74,AI90,IF(AK90=AR74,AI90,IF(AK96=AR74,AI98,IF(AK98=AR74,AI98,IF(AK118=AR74,AI120,IF(AK120=AR74,AI120,IF(AK126=AR74,AI128,IF(AK128=AR74,AI128)))))))))))))))))))))))))))))))),"")</f>
        <v/>
      </c>
      <c r="AS90" s="33" t="str">
        <f>IFERROR(IF(AR90="","",VLOOKUP(AR90,LISTAS!$F$5:$G$1004,2,0)),"0")</f>
        <v/>
      </c>
      <c r="AT90" s="33" t="str">
        <f t="shared" si="4"/>
        <v/>
      </c>
      <c r="AU90" s="33" t="str">
        <f t="shared" si="5"/>
        <v/>
      </c>
    </row>
    <row r="91" spans="2:47" ht="18" customHeight="1" thickBot="1" x14ac:dyDescent="0.3">
      <c r="B91" s="133"/>
      <c r="C91" s="170" t="str">
        <f>IFERROR(IF(C90="","",VLOOKUP(C90,LISTAS!$F$5:$G$1004,2,0)),"0")</f>
        <v/>
      </c>
      <c r="D91" s="267"/>
      <c r="E91" s="148"/>
      <c r="F91" s="101"/>
      <c r="G91" s="190"/>
      <c r="H91" s="101"/>
      <c r="I91" s="138"/>
      <c r="J91" s="101"/>
      <c r="K91" s="190"/>
      <c r="L91" s="29"/>
      <c r="M91" s="35"/>
      <c r="N91" s="29"/>
      <c r="O91" s="188"/>
      <c r="P91" s="29"/>
      <c r="Q91" s="37"/>
      <c r="R91" s="198"/>
      <c r="S91" s="37"/>
      <c r="T91" s="37"/>
      <c r="U91" s="37"/>
      <c r="V91" s="198"/>
      <c r="W91" s="37"/>
      <c r="X91" s="86"/>
      <c r="Y91" s="198"/>
      <c r="Z91" s="94"/>
      <c r="AA91" s="37"/>
      <c r="AB91" s="29"/>
      <c r="AC91" s="198"/>
      <c r="AD91" s="100"/>
      <c r="AE91" s="144"/>
      <c r="AF91" s="100"/>
      <c r="AG91" s="197"/>
      <c r="AH91" s="100"/>
      <c r="AI91" s="142"/>
      <c r="AJ91" s="267"/>
      <c r="AK91" s="170" t="str">
        <f>IFERROR(IF(AK90="","",VLOOKUP(AK90,LISTAS!$F$5:$G$1004,2,0)),"0")</f>
        <v>COLÉGIO ARBOS - UNIDADE SANTO ANDRÉ</v>
      </c>
      <c r="AL91" s="29"/>
      <c r="AP91" s="31" t="str">
        <f>IF(AR91&lt;&gt;"",1+COUNTIF(AP72:AP90,"1")+COUNTIF(AP72:AP90,"2")+COUNTIF(AP72:AP90,"3")+COUNTIF(AP72:AP90,"4")+COUNTIF(AP72:AP90,"5")+COUNTIF(AP72:AP90,"6")+COUNTIF(AP72:AP90,"7")+COUNTIF(AP72:AP90,"8")+COUNTIF(AP72:AP90,"9")+COUNTIF(AP72:AP90,"10")+COUNTIF(AP72:AP90,"11")+COUNTIF(AP72:AP90,"12")+COUNTIF(AP72:AP90,"13")+COUNTIF(AP72:AP90,"14")+COUNTIF(AP72:AP90,"15")+COUNTIF(AP72:AP90,"16")+COUNTIF(AP72:AP90,"17")+COUNTIF(AP72:AP90,"18")+COUNTIF(AP72:AP90,"19"),"")</f>
        <v/>
      </c>
      <c r="AQ91" s="32" t="str">
        <f t="shared" si="3"/>
        <v/>
      </c>
      <c r="AR91" s="111" t="str">
        <f>IF(AR75&lt;&gt;"",IF(C72=AR75,G74,IF(C74=AR75,G74,IF(C80=AR75,G82,IF(C82=AR75,G82,IF(C102=AR75,G104,IF(C104=AR75,G104,IF(C110=AR75,G112,IF(C112=AR75,G112,IF(C88=AR75,G90,IF(C90=AR75,G90,IF(C96=AR75,G98,IF(C98=AR75,G98,IF(C118=AR75,G120,IF(C120=AR75,G120,IF(C126=AR75,G128,IF(C128=AR75,G128,IF(AK72=AR75,AI74,IF(AK74=AR75,AI74,IF(AK80=AR75,AI82,IF(AK82=AR75,AI82,IF(AK102=AR75,AI104,IF(AK104=AR75,AI104,IF(AK110=AR75,AI112,IF(AK112=AR75,AI112,IF(AK88=AR75,AI90,IF(AK90=AR75,AI90,IF(AK96=AR75,AI98,IF(AK98=AR75,AI98,IF(AK118=AR75,AI120,IF(AK120=AR75,AI120,IF(AK126=AR75,AI128,IF(AK128=AR75,AI128)))))))))))))))))))))))))))))))),"")</f>
        <v/>
      </c>
      <c r="AS91" s="33" t="str">
        <f>IFERROR(IF(AR91="","",VLOOKUP(AR91,LISTAS!$F$5:$G$1004,2,0)),"0")</f>
        <v/>
      </c>
      <c r="AT91" s="33" t="str">
        <f t="shared" si="4"/>
        <v/>
      </c>
      <c r="AU91" s="33" t="str">
        <f t="shared" si="5"/>
        <v/>
      </c>
    </row>
    <row r="92" spans="2:47" ht="18" customHeight="1" x14ac:dyDescent="0.25">
      <c r="B92" s="133"/>
      <c r="C92" s="188"/>
      <c r="D92" s="29"/>
      <c r="E92" s="29"/>
      <c r="F92" s="34"/>
      <c r="G92" s="169" t="str">
        <f>IF(D88&lt;&gt;"",IF(D90&lt;&gt;"",IF(D88=D90,"",IF(D88&gt;D90,C88,C90)),""),"")</f>
        <v>ARTHUR FIORAVANTE</v>
      </c>
      <c r="H92" s="266">
        <v>0</v>
      </c>
      <c r="I92" s="148">
        <f>IF(H92&lt;&gt;"",H92,"")</f>
        <v>0</v>
      </c>
      <c r="J92" s="101" t="str">
        <f>IF(H92&lt;&gt;"",IF(G92="","",G92),"")</f>
        <v>ARTHUR FIORAVANTE</v>
      </c>
      <c r="K92" s="190">
        <f>IF(I92&lt;&gt;"",IF(I94&lt;&gt;"",SMALL(I92:J94,1),""),"")</f>
        <v>0</v>
      </c>
      <c r="L92" s="101"/>
      <c r="M92" s="138"/>
      <c r="N92" s="101"/>
      <c r="O92" s="190"/>
      <c r="P92" s="29"/>
      <c r="Q92" s="37"/>
      <c r="R92" s="198"/>
      <c r="S92" s="37"/>
      <c r="T92" s="37"/>
      <c r="U92" s="37"/>
      <c r="V92" s="198"/>
      <c r="W92" s="37"/>
      <c r="X92" s="86"/>
      <c r="Y92" s="198"/>
      <c r="Z92" s="94"/>
      <c r="AA92" s="37"/>
      <c r="AB92" s="29"/>
      <c r="AC92" s="198"/>
      <c r="AD92" s="37"/>
      <c r="AE92" s="34"/>
      <c r="AF92" s="266">
        <v>0</v>
      </c>
      <c r="AG92" s="169" t="str">
        <f>IF(AJ88&lt;&gt;"",IF(AJ90&lt;&gt;"",IF(AJ88=AJ90,"",IF(AJ88&gt;AJ90,AK88,AK90)),""),"")</f>
        <v>MATHEUS HENRIQUE SGOBI</v>
      </c>
      <c r="AH92" s="94"/>
      <c r="AI92" s="37"/>
      <c r="AJ92" s="29"/>
      <c r="AK92" s="188"/>
      <c r="AL92" s="29"/>
      <c r="AN92" s="23"/>
      <c r="AO92" s="23"/>
      <c r="AP92" s="31" t="str">
        <f>IF(AR92&lt;&gt;"",1+COUNTIF(AP72:AP91,"1")+COUNTIF(AP72:AP91,"2")+COUNTIF(AP72:AP91,"3")+COUNTIF(AP72:AP91,"4")+COUNTIF(AP72:AP91,"5")+COUNTIF(AP72:AP91,"6")+COUNTIF(AP72:AP91,"7")+COUNTIF(AP72:AP91,"8")+COUNTIF(AP72:AP91,"9")+COUNTIF(AP72:AP91,"10")+COUNTIF(AP72:AP91,"11")+COUNTIF(AP72:AP91,"12")+COUNTIF(AP72:AP91,"13")+COUNTIF(AP72:AP91,"14")+COUNTIF(AP72:AP91,"15")+COUNTIF(AP72:AP91,"16")+COUNTIF(AP72:AP91,"17")+COUNTIF(AP72:AP91,"18")+COUNTIF(AP72:AP91,"19")+COUNTIF(AP72:AP91,"20"),"")</f>
        <v/>
      </c>
      <c r="AQ92" s="32" t="str">
        <f t="shared" si="3"/>
        <v/>
      </c>
      <c r="AR92" s="111" t="str">
        <f>IF(AR76&lt;&gt;"",IF(C72=AR76,G74,IF(C74=AR76,G74,IF(C80=AR76,G82,IF(C82=AR76,G82,IF(C102=AR76,G104,IF(C104=AR76,G104,IF(C110=AR76,G112,IF(C112=AR76,G112,IF(C88=AR76,G90,IF(C90=AR76,G90,IF(C96=AR76,G98,IF(C98=AR76,G98,IF(C118=AR76,G120,IF(C120=AR76,G120,IF(C126=AR76,G128,IF(C128=AR76,G128,IF(AK72=AR76,AI74,IF(AK74=AR76,AI74,IF(AK80=AR76,AI82,IF(AK82=AR76,AI82,IF(AK102=AR76,AI104,IF(AK104=AR76,AI104,IF(AK110=AR76,AI112,IF(AK112=AR76,AI112,IF(AK88=AR76,AI90,IF(AK90=AR76,AI90,IF(AK96=AR76,AI98,IF(AK98=AR76,AI98,IF(AK118=AR76,AI120,IF(AK120=AR76,AI120,IF(AK126=AR76,AI128,IF(AK128=AR76,AI128)))))))))))))))))))))))))))))))),"")</f>
        <v/>
      </c>
      <c r="AS92" s="33" t="str">
        <f>IFERROR(IF(AR92="","",VLOOKUP(AR92,LISTAS!$F$5:$G$1004,2,0)),"0")</f>
        <v/>
      </c>
      <c r="AT92" s="33" t="str">
        <f t="shared" si="4"/>
        <v/>
      </c>
      <c r="AU92" s="33" t="str">
        <f t="shared" si="5"/>
        <v/>
      </c>
    </row>
    <row r="93" spans="2:47" ht="18" customHeight="1" thickBot="1" x14ac:dyDescent="0.3">
      <c r="B93" s="133"/>
      <c r="C93" s="188"/>
      <c r="D93" s="29"/>
      <c r="E93" s="29"/>
      <c r="F93" s="34"/>
      <c r="G93" s="170" t="str">
        <f>IFERROR(IF(G92="","",VLOOKUP(G92,LISTAS!$F$5:$G$1004,2,0)),"0")</f>
        <v>COLÉGIO MARCONI - GRU</v>
      </c>
      <c r="H93" s="267"/>
      <c r="I93" s="105"/>
      <c r="J93" s="101"/>
      <c r="K93" s="190"/>
      <c r="L93" s="101"/>
      <c r="M93" s="138"/>
      <c r="N93" s="101"/>
      <c r="O93" s="190"/>
      <c r="P93" s="29"/>
      <c r="Q93" s="37"/>
      <c r="R93" s="198"/>
      <c r="S93" s="37"/>
      <c r="T93" s="37"/>
      <c r="U93" s="37"/>
      <c r="V93" s="198"/>
      <c r="W93" s="37"/>
      <c r="X93" s="86"/>
      <c r="Y93" s="198"/>
      <c r="Z93" s="94"/>
      <c r="AA93" s="37"/>
      <c r="AB93" s="29"/>
      <c r="AC93" s="198"/>
      <c r="AD93" s="37"/>
      <c r="AE93" s="140"/>
      <c r="AF93" s="267"/>
      <c r="AG93" s="170" t="str">
        <f>IFERROR(IF(AG92="","",VLOOKUP(AG92,LISTAS!$F$5:$G$1004,2,0)),"0")</f>
        <v>COLÉGIO ARBOS - UNIDADE SANTO ANDRÉ</v>
      </c>
      <c r="AH93" s="94"/>
      <c r="AI93" s="37"/>
      <c r="AJ93" s="29"/>
      <c r="AK93" s="188"/>
      <c r="AL93" s="29"/>
      <c r="AM93" s="23"/>
      <c r="AN93" s="23"/>
      <c r="AO93" s="23"/>
      <c r="AP93" s="31" t="str">
        <f>IF(AR93&lt;&gt;"",1+COUNTIF(AP72:AP92,"1")+COUNTIF(AP72:AP92,"2")+COUNTIF(AP72:AP92,"3")+COUNTIF(AP72:AP92,"4")+COUNTIF(AP72:AP92,"5")+COUNTIF(AP72:AP92,"6")+COUNTIF(AP72:AP92,"7")+COUNTIF(AP72:AP92,"8")+COUNTIF(AP72:AP92,"9")+COUNTIF(AP72:AP92,"10")+COUNTIF(AP72:AP92,"11")+COUNTIF(AP72:AP92,"12")+COUNTIF(AP72:AP92,"13")+COUNTIF(AP72:AP92,"14")+COUNTIF(AP72:AP92,"15")+COUNTIF(AP72:AP92,"16")+COUNTIF(AP72:AP92,"17")+COUNTIF(AP72:AP92,"18")+COUNTIF(AP72:AP92,"19")+COUNTIF(AP72:AP92,"20")+COUNTIF(AP72:AP92,"21"),"")</f>
        <v/>
      </c>
      <c r="AQ93" s="32" t="str">
        <f t="shared" si="3"/>
        <v/>
      </c>
      <c r="AR93" s="111" t="str">
        <f>IF(AR77&lt;&gt;"",IF(C72=AR77,G74,IF(C74=AR77,G74,IF(C80=AR77,G82,IF(C82=AR77,G82,IF(C102=AR77,G104,IF(C104=AR77,G104,IF(C110=AR77,G112,IF(C112=AR77,G112,IF(C88=AR77,G90,IF(C90=AR77,G90,IF(C96=AR77,G98,IF(C98=AR77,G98,IF(C118=AR77,G120,IF(C120=AR77,G120,IF(C126=AR77,G128,IF(C128=AR77,G128,IF(AK72=AR77,AI74,IF(AK74=AR77,AI74,IF(AK80=AR77,AI82,IF(AK82=AR77,AI82,IF(AK102=AR77,AI104,IF(AK104=AR77,AI104,IF(AK110=AR77,AI112,IF(AK112=AR77,AI112,IF(AK88=AR77,AI90,IF(AK90=AR77,AI90,IF(AK96=AR77,AI98,IF(AK98=AR77,AI98,IF(AK118=AR77,AI120,IF(AK120=AR77,AI120,IF(AK126=AR77,AI128,IF(AK128=AR77,AI128)))))))))))))))))))))))))))))))),"")</f>
        <v/>
      </c>
      <c r="AS93" s="33" t="str">
        <f>IFERROR(IF(AR93="","",VLOOKUP(AR93,LISTAS!$F$5:$G$1004,2,0)),"0")</f>
        <v/>
      </c>
      <c r="AT93" s="33" t="str">
        <f t="shared" si="4"/>
        <v/>
      </c>
      <c r="AU93" s="33" t="str">
        <f t="shared" si="5"/>
        <v/>
      </c>
    </row>
    <row r="94" spans="2:47" ht="18" customHeight="1" x14ac:dyDescent="0.25">
      <c r="B94" s="133"/>
      <c r="C94" s="188"/>
      <c r="D94" s="29"/>
      <c r="E94" s="35"/>
      <c r="F94" s="36"/>
      <c r="G94" s="169" t="str">
        <f>IF(D96&lt;&gt;"",IF(D98&lt;&gt;"",IF(D96=D98,"",IF(D96&gt;D98,C96,C98)),""),"")</f>
        <v>JOÃO EMÍLIO DE SOUZA BASTOS</v>
      </c>
      <c r="H94" s="266">
        <v>1</v>
      </c>
      <c r="I94" s="106">
        <f>IF(H94&lt;&gt;"",H94,"")</f>
        <v>1</v>
      </c>
      <c r="J94" s="101" t="str">
        <f>IF(H94&lt;&gt;"",IF(G94="","",G94),"")</f>
        <v>JOÃO EMÍLIO DE SOUZA BASTOS</v>
      </c>
      <c r="K94" s="190" t="str">
        <f>VLOOKUP(K92,I92:J94,2,0)</f>
        <v>ARTHUR FIORAVANTE</v>
      </c>
      <c r="L94" s="101"/>
      <c r="M94" s="138"/>
      <c r="N94" s="101"/>
      <c r="O94" s="190"/>
      <c r="P94" s="29"/>
      <c r="Q94" s="37"/>
      <c r="R94" s="198"/>
      <c r="S94" s="37"/>
      <c r="T94" s="37"/>
      <c r="U94" s="37"/>
      <c r="V94" s="198"/>
      <c r="W94" s="37"/>
      <c r="X94" s="86"/>
      <c r="Y94" s="198"/>
      <c r="Z94" s="94"/>
      <c r="AA94" s="37"/>
      <c r="AB94" s="29"/>
      <c r="AC94" s="198"/>
      <c r="AD94" s="37"/>
      <c r="AE94" s="91"/>
      <c r="AF94" s="266">
        <v>1</v>
      </c>
      <c r="AG94" s="169" t="str">
        <f>IF(AJ96&lt;&gt;"",IF(AJ98&lt;&gt;"",IF(AJ96=AJ98,"",IF(AJ96&gt;AJ98,AK96,AK98)),""),"")</f>
        <v>MURILO KENZO KIYOMOTO SHIGENO</v>
      </c>
      <c r="AH94" s="98"/>
      <c r="AI94" s="37"/>
      <c r="AJ94" s="29"/>
      <c r="AK94" s="188"/>
      <c r="AL94" s="29"/>
      <c r="AM94" s="23"/>
      <c r="AP94" s="31" t="str">
        <f>IF(AR94&lt;&gt;"",1+COUNTIF(AP72:AP93,"1")+COUNTIF(AP72:AP93,"2")+COUNTIF(AP72:AP93,"3")+COUNTIF(AP72:AP93,"4")+COUNTIF(AP72:AP93,"5")+COUNTIF(AP72:AP93,"6")+COUNTIF(AP72:AP93,"7")+COUNTIF(AP72:AP93,"8")+COUNTIF(AP72:AP93,"9")+COUNTIF(AP72:AP93,"10")+COUNTIF(AP72:AP93,"11")+COUNTIF(AP72:AP93,"12")+COUNTIF(AP72:AP93,"13")+COUNTIF(AP72:AP93,"14")+COUNTIF(AP72:AP93,"15")+COUNTIF(AP72:AP93,"16")+COUNTIF(AP72:AP93,"17")+COUNTIF(AP72:AP93,"18")+COUNTIF(AP72:AP93,"19")+COUNTIF(AP72:AP93,"20")+COUNTIF(AP72:AP93,"21")+COUNTIF(AP72:AP93,"22"),"")</f>
        <v/>
      </c>
      <c r="AQ94" s="32" t="str">
        <f t="shared" si="3"/>
        <v/>
      </c>
      <c r="AR94" s="111" t="str">
        <f>IF(AR78&lt;&gt;"",IF(C72=AR78,G74,IF(C74=AR78,G74,IF(C80=AR78,G82,IF(C82=AR78,G82,IF(C102=AR78,G104,IF(C104=AR78,G104,IF(C110=AR78,G112,IF(C112=AR78,G112,IF(C88=AR78,G90,IF(C90=AR78,G90,IF(C96=AR78,G98,IF(C98=AR78,G98,IF(C118=AR78,G120,IF(C120=AR78,G120,IF(C126=AR78,G128,IF(C128=AR78,G128,IF(AK72=AR78,AI74,IF(AK74=AR78,AI74,IF(AK80=AR78,AI82,IF(AK82=AR78,AI82,IF(AK102=AR78,AI104,IF(AK104=AR78,AI104,IF(AK110=AR78,AI112,IF(AK112=AR78,AI112,IF(AK88=AR78,AI90,IF(AK90=AR78,AI90,IF(AK96=AR78,AI98,IF(AK98=AR78,AI98,IF(AK118=AR78,AI120,IF(AK120=AR78,AI120,IF(AK126=AR78,AI128,IF(AK128=AR78,AI128)))))))))))))))))))))))))))))))),"")</f>
        <v/>
      </c>
      <c r="AS94" s="33" t="str">
        <f>IFERROR(IF(AR94="","",VLOOKUP(AR94,LISTAS!$F$5:$G$1004,2,0)),"0")</f>
        <v/>
      </c>
      <c r="AT94" s="33" t="str">
        <f t="shared" si="4"/>
        <v/>
      </c>
      <c r="AU94" s="33" t="str">
        <f t="shared" si="5"/>
        <v/>
      </c>
    </row>
    <row r="95" spans="2:47" ht="18" customHeight="1" thickBot="1" x14ac:dyDescent="0.3">
      <c r="B95" s="133"/>
      <c r="C95" s="188"/>
      <c r="D95" s="29"/>
      <c r="E95" s="35"/>
      <c r="F95" s="29"/>
      <c r="G95" s="170" t="str">
        <f>IFERROR(IF(G94="","",VLOOKUP(G94,LISTAS!$F$5:$G$1004,2,0)),"0")</f>
        <v>COLÉGIO ARBOS - UNIDADE SANTO ANDRÉ</v>
      </c>
      <c r="H95" s="267"/>
      <c r="I95" s="101"/>
      <c r="J95" s="101"/>
      <c r="K95" s="190"/>
      <c r="L95" s="101"/>
      <c r="M95" s="138"/>
      <c r="N95" s="101"/>
      <c r="O95" s="190"/>
      <c r="P95" s="29"/>
      <c r="Q95" s="37"/>
      <c r="R95" s="198"/>
      <c r="S95" s="37"/>
      <c r="T95" s="37"/>
      <c r="U95" s="37"/>
      <c r="V95" s="198"/>
      <c r="W95" s="37"/>
      <c r="X95" s="86"/>
      <c r="Y95" s="198"/>
      <c r="Z95" s="94"/>
      <c r="AA95" s="37"/>
      <c r="AB95" s="29"/>
      <c r="AC95" s="198"/>
      <c r="AD95" s="37"/>
      <c r="AE95" s="37"/>
      <c r="AF95" s="267"/>
      <c r="AG95" s="170" t="str">
        <f>IFERROR(IF(AG94="","",VLOOKUP(AG94,LISTAS!$F$5:$G$1004,2,0)),"0")</f>
        <v>LICEU JARDIM</v>
      </c>
      <c r="AH95" s="37"/>
      <c r="AI95" s="89"/>
      <c r="AJ95" s="29"/>
      <c r="AK95" s="188"/>
      <c r="AL95" s="29"/>
      <c r="AP95" s="31" t="str">
        <f>IF(AR95&lt;&gt;"",1+COUNTIF(AP72:AP94,"1")+COUNTIF(AP72:AP94,"2")+COUNTIF(AP72:AP94,"3")+COUNTIF(AP72:AP94,"4")+COUNTIF(AP72:AP94,"5")+COUNTIF(AP72:AP94,"6")+COUNTIF(AP72:AP94,"7")+COUNTIF(AP72:AP94,"8")+COUNTIF(AP72:AP94,"9")+COUNTIF(AP72:AP94,"10")+COUNTIF(AP72:AP94,"11")+COUNTIF(AP72:AP94,"12")+COUNTIF(AP72:AP94,"13")+COUNTIF(AP72:AP94,"14")+COUNTIF(AP72:AP94,"15")+COUNTIF(AP72:AP94,"16")+COUNTIF(AP72:AP94,"17")+COUNTIF(AP72:AP94,"18")+COUNTIF(AP72:AP94,"19")+COUNTIF(AP72:AP94,"20")+COUNTIF(AP72:AP94,"21")+COUNTIF(AP72:AP94,"22")+COUNTIF(AP72:AP94,"23"),"")</f>
        <v/>
      </c>
      <c r="AQ95" s="32" t="str">
        <f t="shared" si="3"/>
        <v/>
      </c>
      <c r="AR95" s="111" t="str">
        <f>IF(AR79&lt;&gt;"",IF(C72=AR79,G74,IF(C74=AR79,G74,IF(C80=AR79,G82,IF(C82=AR79,G82,IF(C102=AR79,G104,IF(C104=AR79,G104,IF(C110=AR79,G112,IF(C112=AR79,G112,IF(C88=AR79,G90,IF(C90=AR79,G90,IF(C96=AR79,G98,IF(C98=AR79,G98,IF(C118=AR79,G120,IF(C120=AR79,G120,IF(C126=AR79,G128,IF(C128=AR79,G128,IF(AK72=AR79,AI74,IF(AK74=AR79,AI74,IF(AK80=AR79,AI82,IF(AK82=AR79,AI82,IF(AK102=AR79,AI104,IF(AK104=AR79,AI104,IF(AK110=AR79,AI112,IF(AK112=AR79,AI112,IF(AK88=AR79,AI90,IF(AK90=AR79,AI90,IF(AK96=AR79,AI98,IF(AK98=AR79,AI98,IF(AK118=AR79,AI120,IF(AK120=AR79,AI120,IF(AK126=AR79,AI128,IF(AK128=AR79,AI128)))))))))))))))))))))))))))))))),"")</f>
        <v/>
      </c>
      <c r="AS95" s="33" t="str">
        <f>IFERROR(IF(AR95="","",VLOOKUP(AR95,LISTAS!$F$5:$G$1004,2,0)),"0")</f>
        <v/>
      </c>
      <c r="AT95" s="33" t="str">
        <f t="shared" si="4"/>
        <v/>
      </c>
      <c r="AU95" s="33" t="str">
        <f t="shared" si="5"/>
        <v/>
      </c>
    </row>
    <row r="96" spans="2:47" ht="18" customHeight="1" x14ac:dyDescent="0.25">
      <c r="B96" s="133">
        <v>25</v>
      </c>
      <c r="C96" s="169" t="str">
        <f>IF('15M GRP'!G5&gt;=3,'15M GRP'!J334,IF('15M GRP'!G5=2,"",IF('15M GRP'!G5=1,"","")))</f>
        <v/>
      </c>
      <c r="D96" s="266">
        <v>0</v>
      </c>
      <c r="E96" s="148">
        <f>IF(D96&lt;&gt;"",D96,"")</f>
        <v>0</v>
      </c>
      <c r="F96" s="101" t="str">
        <f>IF(D96&lt;&gt;"",IF(C96="","",C96),"")</f>
        <v/>
      </c>
      <c r="G96" s="190">
        <f>IF(E96&lt;&gt;"",IF(E98&lt;&gt;"",SMALL(E96:E98,1),""),"")</f>
        <v>0</v>
      </c>
      <c r="H96" s="101"/>
      <c r="I96" s="101"/>
      <c r="J96" s="101"/>
      <c r="K96" s="190"/>
      <c r="L96" s="101"/>
      <c r="M96" s="138"/>
      <c r="N96" s="101"/>
      <c r="O96" s="190"/>
      <c r="P96" s="29"/>
      <c r="Q96" s="37"/>
      <c r="R96" s="198"/>
      <c r="S96" s="37"/>
      <c r="T96" s="37"/>
      <c r="U96" s="37"/>
      <c r="V96" s="198"/>
      <c r="W96" s="37"/>
      <c r="X96" s="86"/>
      <c r="Y96" s="198"/>
      <c r="Z96" s="94"/>
      <c r="AA96" s="37"/>
      <c r="AB96" s="29"/>
      <c r="AC96" s="198"/>
      <c r="AD96" s="37"/>
      <c r="AE96" s="100"/>
      <c r="AF96" s="100"/>
      <c r="AG96" s="197">
        <f>IF(AJ96&lt;&gt;"",AJ96,"")</f>
        <v>0</v>
      </c>
      <c r="AH96" s="100" t="str">
        <f>IF(AJ96&lt;&gt;"",IF(AK96="","",AK96),"")</f>
        <v/>
      </c>
      <c r="AI96" s="137">
        <f>IF(AG96&lt;&gt;"",IF(AG98&lt;&gt;"",SMALL(AG96:AG98,1),""),"")</f>
        <v>0</v>
      </c>
      <c r="AJ96" s="266">
        <v>0</v>
      </c>
      <c r="AK96" s="169" t="str">
        <f>IF('15M GRP'!G5&gt;=3,'15M GRP'!J360,IF('15M GRP'!G5=2,"",IF('15M GRP'!G5=1,"","")))</f>
        <v/>
      </c>
      <c r="AL96" s="29">
        <v>27</v>
      </c>
      <c r="AP96" s="31" t="str">
        <f>IF(AR96&lt;&gt;"",1+COUNTIF(AP72:AP95,"1")+COUNTIF(AP72:AP95,"2")+COUNTIF(AP72:AP95,"3")+COUNTIF(AP72:AP95,"4")+COUNTIF(AP72:AP95,"5")+COUNTIF(AP72:AP95,"6")+COUNTIF(AP72:AP95,"7")+COUNTIF(AP72:AP95,"8")+COUNTIF(AP72:AP95,"9")+COUNTIF(AP72:AP95,"10")+COUNTIF(AP72:AP95,"11")+COUNTIF(AP72:AP95,"12")+COUNTIF(AP72:AP95,"13")+COUNTIF(AP72:AP95,"14")+COUNTIF(AP72:AP95,"15")+COUNTIF(AP72:AP95,"16")+COUNTIF(AP72:AP95,"17")+COUNTIF(AP72:AP95,"18")+COUNTIF(AP72:AP95,"19")+COUNTIF(AP72:AP95,"20")+COUNTIF(AP72:AP95,"21")+COUNTIF(AP72:AP95,"22")+COUNTIF(AP72:AP95,"23")+COUNTIF(AP72:AP95,"24"),"")</f>
        <v/>
      </c>
      <c r="AQ96" s="32" t="str">
        <f t="shared" si="3"/>
        <v/>
      </c>
      <c r="AR96" s="111" t="str">
        <f>IF(AR80&lt;&gt;"",IF(C72=AR80,G74,IF(C74=AR80,G74,IF(C80=AR80,G82,IF(C82=AR80,G82,IF(C102=AR80,G104,IF(C104=AR80,G104,IF(C110=AR80,G112,IF(C112=AR80,G112,IF(C88=AR80,G90,IF(C90=AR80,G90,IF(C96=AR80,G98,IF(C98=AR80,G98,IF(C118=AR80,G120,IF(C120=AR80,G120,IF(C126=AR80,G128,IF(C128=AR80,G128,IF(AK72=AR80,AI74,IF(AK74=AR80,AI74,IF(AK80=AR80,AI82,IF(AK82=AR80,AI82,IF(AK102=AR80,AI104,IF(AK104=AR80,AI104,IF(AK110=AR80,AI112,IF(AK112=AR80,AI112,IF(AK88=AR80,AI90,IF(AK90=AR80,AI90,IF(AK96=AR80,AI98,IF(AK98=AR80,AI98,IF(AK118=AR80,AI120,IF(AK120=AR80,AI120,IF(AK126=AR80,AI128,IF(AK128=AR80,AI128)))))))))))))))))))))))))))))))),"")</f>
        <v/>
      </c>
      <c r="AS96" s="33" t="str">
        <f>IFERROR(IF(AR96="","",VLOOKUP(AR96,LISTAS!$F$5:$G$1004,2,0)),"0")</f>
        <v/>
      </c>
      <c r="AT96" s="33" t="str">
        <f t="shared" si="4"/>
        <v/>
      </c>
      <c r="AU96" s="33" t="str">
        <f t="shared" si="5"/>
        <v/>
      </c>
    </row>
    <row r="97" spans="2:47" ht="18" customHeight="1" thickBot="1" x14ac:dyDescent="0.3">
      <c r="B97" s="133"/>
      <c r="C97" s="170" t="str">
        <f>IFERROR(IF(C96="","",VLOOKUP(C96,LISTAS!$F$5:$G$1004,2,0)),"0")</f>
        <v/>
      </c>
      <c r="D97" s="267"/>
      <c r="E97" s="105"/>
      <c r="F97" s="101"/>
      <c r="G97" s="190"/>
      <c r="H97" s="101"/>
      <c r="I97" s="101"/>
      <c r="J97" s="101"/>
      <c r="K97" s="190"/>
      <c r="L97" s="29"/>
      <c r="M97" s="35"/>
      <c r="N97" s="29"/>
      <c r="O97" s="188"/>
      <c r="P97" s="29"/>
      <c r="Q97" s="37"/>
      <c r="R97" s="198"/>
      <c r="S97" s="37"/>
      <c r="T97" s="37"/>
      <c r="U97" s="37"/>
      <c r="V97" s="198"/>
      <c r="W97" s="37"/>
      <c r="X97" s="86"/>
      <c r="Y97" s="198"/>
      <c r="Z97" s="94"/>
      <c r="AA97" s="37"/>
      <c r="AB97" s="29"/>
      <c r="AC97" s="198"/>
      <c r="AD97" s="37"/>
      <c r="AE97" s="100"/>
      <c r="AF97" s="100"/>
      <c r="AG97" s="197"/>
      <c r="AH97" s="100"/>
      <c r="AI97" s="143"/>
      <c r="AJ97" s="267"/>
      <c r="AK97" s="170" t="str">
        <f>IFERROR(IF(AK96="","",VLOOKUP(AK96,LISTAS!$F$5:$G$1004,2,0)),"0")</f>
        <v/>
      </c>
      <c r="AL97" s="29"/>
      <c r="AP97" s="31" t="str">
        <f>IF(AR97&lt;&gt;"",1+COUNTIF(AP72:AP96,"1")+COUNTIF(AP72:AP96,"2")+COUNTIF(AP72:AP96,"3")+COUNTIF(AP72:AP96,"4")+COUNTIF(AP72:AP96,"5")+COUNTIF(AP72:AP96,"6")+COUNTIF(AP72:AP96,"7")+COUNTIF(AP72:AP96,"8")+COUNTIF(AP72:AP96,"9")+COUNTIF(AP72:AP96,"10")+COUNTIF(AP72:AP96,"11")+COUNTIF(AP72:AP96,"12")+COUNTIF(AP72:AP96,"13")+COUNTIF(AP72:AP96,"14")+COUNTIF(AP72:AP96,"15")+COUNTIF(AP72:AP96,"16")+COUNTIF(AP72:AP96,"17")+COUNTIF(AP72:AP96,"18")+COUNTIF(AP72:AP96,"19")+COUNTIF(AP72:AP96,"20")+COUNTIF(AP72:AP96,"21")+COUNTIF(AP72:AP96,"22")+COUNTIF(AP72:AP96,"23")+COUNTIF(AP72:AP96,"24")+COUNTIF(AP72:AP96,"25"),"")</f>
        <v/>
      </c>
      <c r="AQ97" s="32" t="str">
        <f t="shared" si="3"/>
        <v/>
      </c>
      <c r="AR97" s="111" t="str">
        <f>IF(AR81&lt;&gt;"",IF(C72=AR81,G74,IF(C74=AR81,G74,IF(C80=AR81,G82,IF(C82=AR81,G82,IF(C102=AR81,G104,IF(C104=AR81,G104,IF(C110=AR81,G112,IF(C112=AR81,G112,IF(C88=AR81,G90,IF(C90=AR81,G90,IF(C96=AR81,G98,IF(C98=AR81,G98,IF(C118=AR81,G120,IF(C120=AR81,G120,IF(C126=AR81,G128,IF(C128=AR81,G128,IF(AK72=AR81,AI74,IF(AK74=AR81,AI74,IF(AK80=AR81,AI82,IF(AK82=AR81,AI82,IF(AK102=AR81,AI104,IF(AK104=AR81,AI104,IF(AK110=AR81,AI112,IF(AK112=AR81,AI112,IF(AK88=AR81,AI90,IF(AK90=AR81,AI90,IF(AK96=AR81,AI98,IF(AK98=AR81,AI98,IF(AK118=AR81,AI120,IF(AK120=AR81,AI120,IF(AK126=AR81,AI128,IF(AK128=AR81,AI128)))))))))))))))))))))))))))))))),"")</f>
        <v/>
      </c>
      <c r="AS97" s="33" t="str">
        <f>IFERROR(IF(AR97="","",VLOOKUP(AR97,LISTAS!$F$5:$G$1004,2,0)),"0")</f>
        <v/>
      </c>
      <c r="AT97" s="33" t="str">
        <f t="shared" si="4"/>
        <v/>
      </c>
      <c r="AU97" s="33" t="str">
        <f t="shared" si="5"/>
        <v/>
      </c>
    </row>
    <row r="98" spans="2:47" ht="18" customHeight="1" thickBot="1" x14ac:dyDescent="0.3">
      <c r="B98" s="133">
        <v>8</v>
      </c>
      <c r="C98" s="169" t="str">
        <f>IF('15M GRP'!G5&gt;=3,'15M GRP'!J113,IF('15M GRP'!G5=2,"",IF('15M GRP'!G5=1,"","")))</f>
        <v>JOÃO EMÍLIO DE SOUZA BASTOS</v>
      </c>
      <c r="D98" s="266">
        <v>1</v>
      </c>
      <c r="E98" s="106">
        <f>IF(D98&lt;&gt;"",D98,"")</f>
        <v>1</v>
      </c>
      <c r="F98" s="101" t="str">
        <f>IF(D98&lt;&gt;"",IF(C98="","",C98),"")</f>
        <v>JOÃO EMÍLIO DE SOUZA BASTOS</v>
      </c>
      <c r="G98" s="190" t="str">
        <f>VLOOKUP(G96,E96:F98,2,0)</f>
        <v/>
      </c>
      <c r="H98" s="101"/>
      <c r="I98" s="101"/>
      <c r="J98" s="101"/>
      <c r="K98" s="190"/>
      <c r="L98" s="29"/>
      <c r="M98" s="35"/>
      <c r="N98" s="29"/>
      <c r="O98" s="188"/>
      <c r="P98" s="29"/>
      <c r="Q98" s="37"/>
      <c r="R98" s="268" t="s">
        <v>37</v>
      </c>
      <c r="S98" s="268"/>
      <c r="T98" s="268"/>
      <c r="U98" s="268"/>
      <c r="V98" s="268"/>
      <c r="W98" s="37"/>
      <c r="X98" s="86"/>
      <c r="Y98" s="198"/>
      <c r="Z98" s="94"/>
      <c r="AA98" s="37"/>
      <c r="AB98" s="29"/>
      <c r="AC98" s="198"/>
      <c r="AD98" s="37"/>
      <c r="AE98" s="100"/>
      <c r="AF98" s="100"/>
      <c r="AG98" s="197">
        <f>IF(AJ98&lt;&gt;"",AJ98,"")</f>
        <v>1</v>
      </c>
      <c r="AH98" s="100" t="str">
        <f>IF(AJ98&lt;&gt;"",IF(AK98="","",AK98),"")</f>
        <v>MURILO KENZO KIYOMOTO SHIGENO</v>
      </c>
      <c r="AI98" s="145" t="str">
        <f>VLOOKUP(AI96,AG96:AH98,2,0)</f>
        <v/>
      </c>
      <c r="AJ98" s="266">
        <v>1</v>
      </c>
      <c r="AK98" s="169" t="str">
        <f>IF('15M GRP'!G5&gt;=3,'15M GRP'!J87,IF('15M GRP'!G5=2,"",IF('15M GRP'!G5=1,"","")))</f>
        <v>MURILO KENZO KIYOMOTO SHIGENO</v>
      </c>
      <c r="AL98" s="29">
        <v>6</v>
      </c>
      <c r="AN98" s="23"/>
      <c r="AO98" s="23"/>
      <c r="AP98" s="31" t="str">
        <f>IF(AR98&lt;&gt;"",1+COUNTIF(AP72:AP97,"1")+COUNTIF(AP72:AP97,"2")+COUNTIF(AP72:AP97,"3")+COUNTIF(AP72:AP97,"4")+COUNTIF(AP72:AP97,"5")+COUNTIF(AP72:AP97,"6")+COUNTIF(AP72:AP97,"7")+COUNTIF(AP72:AP97,"8")+COUNTIF(AP72:AP97,"9")+COUNTIF(AP72:AP97,"10")+COUNTIF(AP72:AP97,"11")+COUNTIF(AP72:AP97,"12")+COUNTIF(AP72:AP97,"13")+COUNTIF(AP72:AP97,"14")+COUNTIF(AP72:AP97,"15")+COUNTIF(AP72:AP97,"16")+COUNTIF(AP72:AP97,"17")+COUNTIF(AP72:AP97,"18")+COUNTIF(AP72:AP97,"19")+COUNTIF(AP72:AP97,"20")+COUNTIF(AP72:AP97,"21")+COUNTIF(AP72:AP97,"22")+COUNTIF(AP72:AP97,"23")+COUNTIF(AP72:AP97,"24")+COUNTIF(AP72:AP97,"25")+COUNTIF(AP72:AP97,"26"),"")</f>
        <v/>
      </c>
      <c r="AQ98" s="32" t="str">
        <f t="shared" si="3"/>
        <v/>
      </c>
      <c r="AR98" s="111" t="str">
        <f>IF(AR82&lt;&gt;"",IF(C72=AR82,G74,IF(C74=AR82,G74,IF(C80=AR82,G82,IF(C82=AR82,G82,IF(C102=AR82,G104,IF(C104=AR82,G104,IF(C110=AR82,G112,IF(C112=AR82,G112,IF(C88=AR82,G90,IF(C90=AR82,G90,IF(C96=AR82,G98,IF(C98=AR82,G98,IF(C118=AR82,G120,IF(C120=AR82,G120,IF(C126=AR82,G128,IF(C128=AR82,G128,IF(AK72=AR82,AI74,IF(AK74=AR82,AI74,IF(AK80=AR82,AI82,IF(AK82=AR82,AI82,IF(AK102=AR82,AI104,IF(AK104=AR82,AI104,IF(AK110=AR82,AI112,IF(AK112=AR82,AI112,IF(AK88=AR82,AI90,IF(AK90=AR82,AI90,IF(AK96=AR82,AI98,IF(AK98=AR82,AI98,IF(AK118=AR82,AI120,IF(AK120=AR82,AI120,IF(AK126=AR82,AI128,IF(AK128=AR82,AI128)))))))))))))))))))))))))))))))),"")</f>
        <v/>
      </c>
      <c r="AS98" s="33" t="str">
        <f>IFERROR(IF(AR98="","",VLOOKUP(AR98,LISTAS!$F$5:$G$1004,2,0)),"0")</f>
        <v/>
      </c>
      <c r="AT98" s="33" t="str">
        <f t="shared" si="4"/>
        <v/>
      </c>
      <c r="AU98" s="33" t="str">
        <f t="shared" si="5"/>
        <v/>
      </c>
    </row>
    <row r="99" spans="2:47" ht="18" customHeight="1" thickBot="1" x14ac:dyDescent="0.3">
      <c r="B99" s="133"/>
      <c r="C99" s="170" t="str">
        <f>IFERROR(IF(C98="","",VLOOKUP(C98,LISTAS!$F$5:$G$1004,2,0)),"0")</f>
        <v>COLÉGIO ARBOS - UNIDADE SANTO ANDRÉ</v>
      </c>
      <c r="D99" s="267"/>
      <c r="E99" s="101"/>
      <c r="F99" s="101"/>
      <c r="G99" s="190"/>
      <c r="H99" s="101"/>
      <c r="I99" s="101"/>
      <c r="J99" s="101"/>
      <c r="K99" s="190"/>
      <c r="L99" s="29"/>
      <c r="M99" s="35"/>
      <c r="N99" s="29"/>
      <c r="O99" s="169" t="str">
        <f>IF(L84&lt;&gt;"",IF(L86&lt;&gt;"",IF(L84=L86,"",IF(L84&gt;L86,K84,K86)),""),"")</f>
        <v>GABRIEL DE MELLO PIRES</v>
      </c>
      <c r="P99" s="266">
        <v>1</v>
      </c>
      <c r="Q99" s="37"/>
      <c r="R99" s="189"/>
      <c r="S99" s="84"/>
      <c r="T99" s="84"/>
      <c r="U99" s="84"/>
      <c r="V99" s="189"/>
      <c r="W99" s="37"/>
      <c r="X99" s="266">
        <v>0</v>
      </c>
      <c r="Y99" s="169" t="str">
        <f>IF(AB84&lt;&gt;"",IF(AB86&lt;&gt;"",IF(AB84=AB86,"",IF(AB84&gt;AB86,AC84,AC86)),""),"")</f>
        <v>MURILO KENZO KIYOMOTO SHIGENO</v>
      </c>
      <c r="Z99" s="94"/>
      <c r="AA99" s="37"/>
      <c r="AB99" s="29"/>
      <c r="AC99" s="198"/>
      <c r="AD99" s="37"/>
      <c r="AE99" s="100"/>
      <c r="AF99" s="100"/>
      <c r="AG99" s="197"/>
      <c r="AH99" s="100"/>
      <c r="AI99" s="101"/>
      <c r="AJ99" s="267"/>
      <c r="AK99" s="170" t="str">
        <f>IFERROR(IF(AK98="","",VLOOKUP(AK98,LISTAS!$F$5:$G$1004,2,0)),"0")</f>
        <v>LICEU JARDIM</v>
      </c>
      <c r="AL99" s="29"/>
      <c r="AM99" s="23"/>
      <c r="AP99" s="31" t="str">
        <f>IF(AR99&lt;&gt;"",1+COUNTIF(AP72:AP98,"1")+COUNTIF(AP72:AP98,"2")+COUNTIF(AP72:AP98,"3")+COUNTIF(AP72:AP98,"4")+COUNTIF(AP72:AP98,"5")+COUNTIF(AP72:AP98,"6")+COUNTIF(AP72:AP98,"7")+COUNTIF(AP72:AP98,"8")+COUNTIF(AP72:AP98,"9")+COUNTIF(AP72:AP98,"10")+COUNTIF(AP72:AP98,"11")+COUNTIF(AP72:AP98,"12")+COUNTIF(AP72:AP98,"13")+COUNTIF(AP72:AP98,"14")+COUNTIF(AP72:AP98,"15")+COUNTIF(AP72:AP98,"16")+COUNTIF(AP72:AP98,"17")+COUNTIF(AP72:AP98,"18")+COUNTIF(AP72:AP98,"19")+COUNTIF(AP72:AP98,"20")+COUNTIF(AP72:AP98,"21")+COUNTIF(AP72:AP98,"22")+COUNTIF(AP72:AP98,"23")+COUNTIF(AP72:AP98,"24")+COUNTIF(AP72:AP98,"25")+COUNTIF(AP72:AP98,"26")+COUNTIF(AP72:AP98,"27"),"")</f>
        <v/>
      </c>
      <c r="AQ99" s="32" t="str">
        <f t="shared" si="3"/>
        <v/>
      </c>
      <c r="AR99" s="111" t="str">
        <f>IF(AR83&lt;&gt;"",IF(C72=AR83,G74,IF(C74=AR83,G74,IF(C80=AR83,G82,IF(C82=AR83,G82,IF(C102=AR83,G104,IF(C104=AR83,G104,IF(C110=AR83,G112,IF(C112=AR83,G112,IF(C88=AR83,G90,IF(C90=AR83,G90,IF(C96=AR83,G98,IF(C98=AR83,G98,IF(C118=AR83,G120,IF(C120=AR83,G120,IF(C126=AR83,G128,IF(C128=AR83,G128,IF(AK72=AR83,AI74,IF(AK74=AR83,AI74,IF(AK80=AR83,AI82,IF(AK82=AR83,AI82,IF(AK102=AR83,AI104,IF(AK104=AR83,AI104,IF(AK110=AR83,AI112,IF(AK112=AR83,AI112,IF(AK88=AR83,AI90,IF(AK90=AR83,AI90,IF(AK96=AR83,AI98,IF(AK98=AR83,AI98,IF(AK118=AR83,AI120,IF(AK120=AR83,AI120,IF(AK126=AR83,AI128,IF(AK128=AR83,AI128)))))))))))))))))))))))))))))))),"")</f>
        <v/>
      </c>
      <c r="AS99" s="33" t="str">
        <f>IFERROR(IF(AR99="","",VLOOKUP(AR99,LISTAS!$F$5:$G$1004,2,0)),"0")</f>
        <v/>
      </c>
      <c r="AT99" s="33" t="str">
        <f t="shared" si="4"/>
        <v/>
      </c>
      <c r="AU99" s="33" t="str">
        <f t="shared" si="5"/>
        <v/>
      </c>
    </row>
    <row r="100" spans="2:47" ht="18" customHeight="1" thickBot="1" x14ac:dyDescent="0.3">
      <c r="B100" s="133"/>
      <c r="C100" s="188"/>
      <c r="D100" s="29"/>
      <c r="E100" s="101"/>
      <c r="F100" s="101"/>
      <c r="G100" s="190"/>
      <c r="H100" s="101"/>
      <c r="I100" s="101"/>
      <c r="J100" s="101"/>
      <c r="K100" s="190"/>
      <c r="L100" s="29"/>
      <c r="M100" s="35"/>
      <c r="N100" s="29"/>
      <c r="O100" s="170" t="str">
        <f>IFERROR(IF(O99="","",VLOOKUP(O99,LISTAS!$F$5:$G$1004,2,0)),"0")</f>
        <v>COLÉGIO ARBOS DE SÃO BERNARDO DO CAMPO</v>
      </c>
      <c r="P100" s="267"/>
      <c r="Q100" s="37"/>
      <c r="R100" s="169" t="str">
        <f>IF(P99&lt;&gt;"",IF(P101&lt;&gt;"",IF(P99=P101,"",IF(P99&gt;P101,O99,O101)),""),"")</f>
        <v>GABRIEL DE MELLO PIRES</v>
      </c>
      <c r="S100" s="266">
        <v>0</v>
      </c>
      <c r="T100" s="269" t="s">
        <v>38</v>
      </c>
      <c r="U100" s="266">
        <v>1</v>
      </c>
      <c r="V100" s="169" t="str">
        <f>IF(X99&lt;&gt;"",IF(X101&lt;&gt;"",IF(X99=X101,"",IF(X99&gt;X101,Y99,Y101)),""),"")</f>
        <v>PABLO VASQUES GOMES</v>
      </c>
      <c r="W100" s="141"/>
      <c r="X100" s="267"/>
      <c r="Y100" s="170" t="str">
        <f>IFERROR(IF(Y99="","",VLOOKUP(Y99,LISTAS!$F$5:$G$1004,2,0)),"0")</f>
        <v>LICEU JARDIM</v>
      </c>
      <c r="Z100" s="141"/>
      <c r="AA100" s="37"/>
      <c r="AB100" s="29"/>
      <c r="AC100" s="198"/>
      <c r="AD100" s="37"/>
      <c r="AE100" s="100"/>
      <c r="AF100" s="100"/>
      <c r="AG100" s="197"/>
      <c r="AH100" s="100"/>
      <c r="AI100" s="100"/>
      <c r="AJ100" s="29"/>
      <c r="AK100" s="188"/>
      <c r="AL100" s="29"/>
      <c r="AP100" s="31" t="str">
        <f>IF(AR100&lt;&gt;"",1+COUNTIF(AP72:AP99,"1")+COUNTIF(AP72:AP99,"2")+COUNTIF(AP72:AP99,"3")+COUNTIF(AP72:AP99,"4")+COUNTIF(AP72:AP99,"5")+COUNTIF(AP72:AP99,"6")+COUNTIF(AP72:AP99,"7")+COUNTIF(AP72:AP99,"8")+COUNTIF(AP72:AP99,"9")+COUNTIF(AP72:AP99,"10")+COUNTIF(AP72:AP99,"11")+COUNTIF(AP72:AP99,"12")+COUNTIF(AP72:AP99,"13")+COUNTIF(AP72:AP99,"14")+COUNTIF(AP72:AP99,"15")+COUNTIF(AP72:AP99,"16")+COUNTIF(AP72:AP99,"17")+COUNTIF(AP72:AP99,"18")+COUNTIF(AP72:AP99,"19")+COUNTIF(AP72:AP99,"20")+COUNTIF(AP72:AP99,"21")+COUNTIF(AP72:AP99,"22")+COUNTIF(AP72:AP99,"23")+COUNTIF(AP72:AP99,"24")+COUNTIF(AP72:AP99,"25")+COUNTIF(AP72:AP99,"26")+COUNTIF(AP72:AP99,"27")+COUNTIF(AP72:AP99,"28"),"")</f>
        <v/>
      </c>
      <c r="AQ100" s="32" t="str">
        <f t="shared" si="3"/>
        <v/>
      </c>
      <c r="AR100" s="111" t="str">
        <f>IF(AR84&lt;&gt;"",IF(C72=AR84,G74,IF(C74=AR84,G74,IF(C80=AR84,G82,IF(C82=AR84,G82,IF(C102=AR84,G104,IF(C104=AR84,G104,IF(C110=AR84,G112,IF(C112=AR84,G112,IF(C88=AR84,G90,IF(C90=AR84,G90,IF(C96=AR84,G98,IF(C98=AR84,G98,IF(C118=AR84,G120,IF(C120=AR84,G120,IF(C126=AR84,G128,IF(C128=AR84,G128,IF(AK72=AR84,AI74,IF(AK74=AR84,AI74,IF(AK80=AR84,AI82,IF(AK82=AR84,AI82,IF(AK102=AR84,AI104,IF(AK104=AR84,AI104,IF(AK110=AR84,AI112,IF(AK112=AR84,AI112,IF(AK88=AR84,AI90,IF(AK90=AR84,AI90,IF(AK96=AR84,AI98,IF(AK98=AR84,AI98,IF(AK118=AR84,AI120,IF(AK120=AR84,AI120,IF(AK126=AR84,AI128,IF(AK128=AR84,AI128)))))))))))))))))))))))))))))))),"")</f>
        <v/>
      </c>
      <c r="AS100" s="33" t="str">
        <f>IFERROR(IF(AR100="","",VLOOKUP(AR100,LISTAS!$F$5:$G$1004,2,0)),"0")</f>
        <v/>
      </c>
      <c r="AT100" s="33" t="str">
        <f t="shared" si="4"/>
        <v/>
      </c>
      <c r="AU100" s="33" t="str">
        <f t="shared" si="5"/>
        <v/>
      </c>
    </row>
    <row r="101" spans="2:47" ht="18" customHeight="1" thickBot="1" x14ac:dyDescent="0.3">
      <c r="B101" s="133"/>
      <c r="C101" s="188"/>
      <c r="D101" s="29"/>
      <c r="E101" s="101"/>
      <c r="F101" s="101"/>
      <c r="G101" s="190"/>
      <c r="H101" s="101"/>
      <c r="I101" s="101"/>
      <c r="J101" s="101"/>
      <c r="K101" s="190"/>
      <c r="L101" s="29"/>
      <c r="M101" s="35"/>
      <c r="N101" s="36"/>
      <c r="O101" s="169" t="str">
        <f>IF(L114&lt;&gt;"",IF(L116&lt;&gt;"",IF(L114=L116,"",IF(L114&gt;L116,K114,K116)),""),"")</f>
        <v>BRUNO NEPOMUCENO DOS SANTOS</v>
      </c>
      <c r="P101" s="266">
        <v>0</v>
      </c>
      <c r="Q101" s="97"/>
      <c r="R101" s="170" t="str">
        <f>IFERROR(IF(R100="","",VLOOKUP(R100,LISTAS!$F$5:$G$1004,2,0)),"0")</f>
        <v>COLÉGIO ARBOS DE SÃO BERNARDO DO CAMPO</v>
      </c>
      <c r="S101" s="267"/>
      <c r="T101" s="269"/>
      <c r="U101" s="267"/>
      <c r="V101" s="170" t="str">
        <f>IFERROR(IF(V100="","",VLOOKUP(V100,LISTAS!$F$5:$G$1004,2,0)),"0")</f>
        <v>COLÉGIO ARBOS - UNIDADE SANTO ANDRÉ</v>
      </c>
      <c r="W101" s="98"/>
      <c r="X101" s="266">
        <v>1</v>
      </c>
      <c r="Y101" s="169" t="str">
        <f>IF(AB114&lt;&gt;"",IF(AB116&lt;&gt;"",IF(AB114=AB116,"",IF(AB114&gt;AB116,AC114,AC116)),""),"")</f>
        <v>PABLO VASQUES GOMES</v>
      </c>
      <c r="Z101" s="98"/>
      <c r="AA101" s="37"/>
      <c r="AB101" s="29"/>
      <c r="AC101" s="198"/>
      <c r="AD101" s="37"/>
      <c r="AE101" s="100"/>
      <c r="AF101" s="100"/>
      <c r="AG101" s="197"/>
      <c r="AH101" s="100"/>
      <c r="AI101" s="100"/>
      <c r="AJ101" s="29"/>
      <c r="AK101" s="188"/>
      <c r="AL101" s="29"/>
      <c r="AP101" s="31" t="str">
        <f>IF(AR101&lt;&gt;"",1+COUNTIF(AP72:AP100,"1")+COUNTIF(AP72:AP100,"2")+COUNTIF(AP72:AP100,"3")+COUNTIF(AP72:AP100,"4")+COUNTIF(AP72:AP100,"5")+COUNTIF(AP72:AP100,"6")+COUNTIF(AP72:AP100,"7")+COUNTIF(AP72:AP100,"8")+COUNTIF(AP72:AP100,"9")+COUNTIF(AP72:AP100,"10")+COUNTIF(AP72:AP100,"11")+COUNTIF(AP72:AP100,"12")+COUNTIF(AP72:AP100,"13")+COUNTIF(AP72:AP100,"14")+COUNTIF(AP72:AP100,"15")+COUNTIF(AP72:AP100,"16")+COUNTIF(AP72:AP100,"17")+COUNTIF(AP72:AP100,"18")+COUNTIF(AP72:AP100,"19")+COUNTIF(AP72:AP100,"20")+COUNTIF(AP72:AP100,"21")+COUNTIF(AP72:AP100,"22")+COUNTIF(AP72:AP100,"23")+COUNTIF(AP72:AP100,"24")+COUNTIF(AP72:AP100,"25")+COUNTIF(AP72:AP100,"26")+COUNTIF(AP72:AP100,"27")+COUNTIF(AP72:AP100,"28")+COUNTIF(AP72:AP100,"29"),"")</f>
        <v/>
      </c>
      <c r="AQ101" s="32" t="str">
        <f t="shared" si="3"/>
        <v/>
      </c>
      <c r="AR101" s="111" t="str">
        <f>IF(AR85&lt;&gt;"",IF(C72=AR85,G74,IF(C74=AR85,G74,IF(C80=AR85,G82,IF(C82=AR85,G82,IF(C102=AR85,G104,IF(C104=AR85,G104,IF(C110=AR85,G112,IF(C112=AR85,G112,IF(C88=AR85,G90,IF(C90=AR85,G90,IF(C96=AR85,G98,IF(C98=AR85,G98,IF(C118=AR85,G120,IF(C120=AR85,G120,IF(C126=AR85,G128,IF(C128=AR85,G128,IF(AK72=AR85,AI74,IF(AK74=AR85,AI74,IF(AK80=AR85,AI82,IF(AK82=AR85,AI82,IF(AK102=AR85,AI104,IF(AK104=AR85,AI104,IF(AK110=AR85,AI112,IF(AK112=AR85,AI112,IF(AK88=AR85,AI90,IF(AK90=AR85,AI90,IF(AK96=AR85,AI98,IF(AK98=AR85,AI98,IF(AK118=AR85,AI120,IF(AK120=AR85,AI120,IF(AK126=AR85,AI128,IF(AK128=AR85,AI128)))))))))))))))))))))))))))))))),"")</f>
        <v/>
      </c>
      <c r="AS101" s="33" t="str">
        <f>IFERROR(IF(AR101="","",VLOOKUP(AR101,LISTAS!$F$5:$G$1004,2,0)),"0")</f>
        <v/>
      </c>
      <c r="AT101" s="33" t="str">
        <f t="shared" si="4"/>
        <v/>
      </c>
      <c r="AU101" s="33" t="str">
        <f t="shared" si="5"/>
        <v/>
      </c>
    </row>
    <row r="102" spans="2:47" ht="18" customHeight="1" thickBot="1" x14ac:dyDescent="0.3">
      <c r="B102" s="133">
        <v>5</v>
      </c>
      <c r="C102" s="169" t="str">
        <f>IF('15M GRP'!G5&gt;=3,'15M GRP'!J74,IF('15M GRP'!G5=2,"",IF('15M GRP'!G5=1,"","")))</f>
        <v>GABRIEL MÜLLER POPI PEDROSA RAMOS</v>
      </c>
      <c r="D102" s="266">
        <v>1</v>
      </c>
      <c r="E102" s="101">
        <f>IF(D102&lt;&gt;"",D102,"")</f>
        <v>1</v>
      </c>
      <c r="F102" s="101" t="str">
        <f>IF(D102&lt;&gt;"",IF(C102="","",C102),"")</f>
        <v>GABRIEL MÜLLER POPI PEDROSA RAMOS</v>
      </c>
      <c r="G102" s="190">
        <f>IF(E102&lt;&gt;"",IF(E104&lt;&gt;"",SMALL(E102:E104,1),""),"")</f>
        <v>0</v>
      </c>
      <c r="H102" s="101"/>
      <c r="I102" s="101"/>
      <c r="J102" s="101"/>
      <c r="K102" s="190"/>
      <c r="L102" s="101"/>
      <c r="M102" s="138"/>
      <c r="N102" s="100"/>
      <c r="O102" s="170" t="str">
        <f>IFERROR(IF(O101="","",VLOOKUP(O101,LISTAS!$F$5:$G$1004,2,0)),"0")</f>
        <v>COLÉGIO ARBOS - UNIDADE SANTO ANDRÉ</v>
      </c>
      <c r="P102" s="267"/>
      <c r="Q102" s="85"/>
      <c r="R102" s="198"/>
      <c r="S102" s="37"/>
      <c r="T102" s="37"/>
      <c r="U102" s="37"/>
      <c r="V102" s="198"/>
      <c r="W102" s="37"/>
      <c r="X102" s="267"/>
      <c r="Y102" s="170" t="str">
        <f>IFERROR(IF(Y101="","",VLOOKUP(Y101,LISTAS!$F$5:$G$1004,2,0)),"0")</f>
        <v>COLÉGIO ARBOS - UNIDADE SANTO ANDRÉ</v>
      </c>
      <c r="Z102" s="94"/>
      <c r="AA102" s="37"/>
      <c r="AB102" s="29"/>
      <c r="AC102" s="198"/>
      <c r="AD102" s="37"/>
      <c r="AE102" s="100"/>
      <c r="AF102" s="100"/>
      <c r="AG102" s="197">
        <f>IF(AJ102&lt;&gt;"",AJ102,"")</f>
        <v>1</v>
      </c>
      <c r="AH102" s="100" t="str">
        <f>IF(AJ102&lt;&gt;"",IF(AK102="","",AK102),"")</f>
        <v>MIGUEL CUNHA DA SILVA</v>
      </c>
      <c r="AI102" s="101">
        <f>IF(AG102&lt;&gt;"",IF(AG104&lt;&gt;"",SMALL(AG102:AG104,1),""),"")</f>
        <v>0</v>
      </c>
      <c r="AJ102" s="266">
        <v>1</v>
      </c>
      <c r="AK102" s="169" t="str">
        <f>IF('15M GRP'!G5&gt;=3,'15M GRP'!J100,IF('15M GRP'!G5=2,"",IF('15M GRP'!G5=1,"","")))</f>
        <v>MIGUEL CUNHA DA SILVA</v>
      </c>
      <c r="AL102" s="29">
        <v>7</v>
      </c>
      <c r="AP102" s="31" t="str">
        <f>IF(AR102&lt;&gt;"",1+COUNTIF(AP72:AP101,"1")+COUNTIF(AP72:AP101,"2")+COUNTIF(AP72:AP101,"3")+COUNTIF(AP72:AP101,"4")+COUNTIF(AP72:AP101,"5")+COUNTIF(AP72:AP101,"6")+COUNTIF(AP72:AP101,"7")+COUNTIF(AP72:AP101,"8")+COUNTIF(AP72:AP101,"9")+COUNTIF(AP72:AP101,"10")+COUNTIF(AP72:AP101,"11")+COUNTIF(AP72:AP101,"12")+COUNTIF(AP72:AP101,"13")+COUNTIF(AP72:AP101,"14")+COUNTIF(AP72:AP101,"15")+COUNTIF(AP72:AP101,"16")+COUNTIF(AP72:AP101,"17")+COUNTIF(AP72:AP101,"18")+COUNTIF(AP72:AP101,"19")+COUNTIF(AP72:AP101,"20")+COUNTIF(AP72:AP101,"21")+COUNTIF(AP72:AP101,"22")+COUNTIF(AP72:AP101,"23")+COUNTIF(AP72:AP101,"24")+COUNTIF(AP72:AP101,"25")+COUNTIF(AP72:AP101,"26")+COUNTIF(AP72:AP101,"27")+COUNTIF(AP72:AP101,"28")+COUNTIF(AP72:AP101,"29")+COUNTIF(AP72:AP101,"30"),"")</f>
        <v/>
      </c>
      <c r="AQ102" s="32" t="str">
        <f t="shared" si="3"/>
        <v/>
      </c>
      <c r="AR102" s="111" t="str">
        <f>IF(AR86&lt;&gt;"",IF(C72=AR86,G74,IF(C74=AR86,G74,IF(C80=AR86,G82,IF(C82=AR86,G82,IF(C102=AR86,G104,IF(C104=AR86,G104,IF(C110=AR86,G112,IF(C112=AR86,G112,IF(C88=AR86,G90,IF(C90=AR86,G90,IF(C96=AR86,G98,IF(C98=AR86,G98,IF(C118=AR86,G120,IF(C120=AR86,G120,IF(C126=AR86,G128,IF(C128=AR86,G128,IF(AK72=AR86,AI74,IF(AK74=AR86,AI74,IF(AK80=AR86,AI82,IF(AK82=AR86,AI82,IF(AK102=AR86,AI104,IF(AK104=AR86,AI104,IF(AK110=AR86,AI112,IF(AK112=AR86,AI112,IF(AK88=AR86,AI90,IF(AK90=AR86,AI90,IF(AK96=AR86,AI98,IF(AK98=AR86,AI98,IF(AK118=AR86,AI120,IF(AK120=AR86,AI120,IF(AK126=AR86,AI128,IF(AK128=AR86,AI128)))))))))))))))))))))))))))))))),"")</f>
        <v/>
      </c>
      <c r="AS102" s="33" t="str">
        <f>IFERROR(IF(AR102="","",VLOOKUP(AR102,LISTAS!$F$5:$G$1004,2,0)),"0")</f>
        <v/>
      </c>
      <c r="AT102" s="33" t="str">
        <f t="shared" si="4"/>
        <v/>
      </c>
      <c r="AU102" s="33" t="str">
        <f t="shared" si="5"/>
        <v/>
      </c>
    </row>
    <row r="103" spans="2:47" ht="18" customHeight="1" thickBot="1" x14ac:dyDescent="0.3">
      <c r="B103" s="133"/>
      <c r="C103" s="170" t="str">
        <f>IFERROR(IF(C102="","",VLOOKUP(C102,LISTAS!$F$5:$G$1004,2,0)),"0")</f>
        <v>ESCOLA VILLARE</v>
      </c>
      <c r="D103" s="267"/>
      <c r="E103" s="101"/>
      <c r="F103" s="101"/>
      <c r="G103" s="190"/>
      <c r="H103" s="101"/>
      <c r="I103" s="101"/>
      <c r="J103" s="101"/>
      <c r="K103" s="190"/>
      <c r="L103" s="101"/>
      <c r="M103" s="138"/>
      <c r="N103" s="100"/>
      <c r="O103" s="197"/>
      <c r="P103" s="100"/>
      <c r="Q103" s="85"/>
      <c r="R103" s="198"/>
      <c r="S103" s="37"/>
      <c r="T103" s="37"/>
      <c r="U103" s="37"/>
      <c r="V103" s="198"/>
      <c r="W103" s="37"/>
      <c r="X103" s="86"/>
      <c r="Y103" s="198"/>
      <c r="Z103" s="94"/>
      <c r="AA103" s="37"/>
      <c r="AB103" s="29"/>
      <c r="AC103" s="198"/>
      <c r="AD103" s="37"/>
      <c r="AE103" s="100"/>
      <c r="AF103" s="100"/>
      <c r="AG103" s="197"/>
      <c r="AH103" s="100"/>
      <c r="AI103" s="101"/>
      <c r="AJ103" s="267"/>
      <c r="AK103" s="170" t="str">
        <f>IFERROR(IF(AK102="","",VLOOKUP(AK102,LISTAS!$F$5:$G$1004,2,0)),"0")</f>
        <v>COLÉGIO ENGENHEIRO SALVADOR ARENA</v>
      </c>
      <c r="AL103" s="29"/>
      <c r="AP103" s="31" t="str">
        <f>IF(AR103&lt;&gt;"",1+COUNTIF(AP72:AP102,"1")+COUNTIF(AP72:AP102,"2")+COUNTIF(AP72:AP102,"3")+COUNTIF(AP72:AP102,"4")+COUNTIF(AP72:AP102,"5")+COUNTIF(AP72:AP102,"6")+COUNTIF(AP72:AP102,"7")+COUNTIF(AP72:AP102,"8")+COUNTIF(AP72:AP102,"9")+COUNTIF(AP72:AP102,"10")+COUNTIF(AP72:AP102,"11")+COUNTIF(AP72:AP102,"12")+COUNTIF(AP72:AP102,"13")+COUNTIF(AP72:AP102,"14")+COUNTIF(AP72:AP102,"15")+COUNTIF(AP72:AP102,"16")+COUNTIF(AP72:AP102,"17")+COUNTIF(AP72:AP102,"18")+COUNTIF(AP72:AP102,"19")+COUNTIF(AP72:AP102,"20")+COUNTIF(AP72:AP102,"21")+COUNTIF(AP72:AP102,"22")+COUNTIF(AP72:AP102,"23")+COUNTIF(AP72:AP102,"24")+COUNTIF(AP72:AP102,"25")+COUNTIF(AP72:AP102,"26")+COUNTIF(AP72:AP102,"27")+COUNTIF(AP72:AP102,"28")+COUNTIF(AP72:AP102,"29")+COUNTIF(AP72:AP102,"30")+COUNTIF(AP72:AP102,"31"),"")</f>
        <v/>
      </c>
      <c r="AQ103" s="32" t="str">
        <f t="shared" si="3"/>
        <v/>
      </c>
      <c r="AR103" s="111" t="str">
        <f>IF(AR87&lt;&gt;"",IF(C72=AR87,G74,IF(C74=AR87,G74,IF(C80=AR87,G82,IF(C82=AR87,G82,IF(C102=AR87,G104,IF(C104=AR87,G104,IF(C110=AR87,G112,IF(C112=AR87,G112,IF(C88=AR87,G90,IF(C90=AR87,G90,IF(C96=AR87,G98,IF(C98=AR87,G98,IF(C118=AR87,G120,IF(C120=AR87,G120,IF(C126=AR87,G128,IF(C128=AR87,G128,IF(AK72=AR87,AI74,IF(AK74=AR87,AI74,IF(AK80=AR87,AI82,IF(AK82=AR87,AI82,IF(AK102=AR87,AI104,IF(AK104=AR87,AI104,IF(AK110=AR87,AI112,IF(AK112=AR87,AI112,IF(AK88=AR87,AI90,IF(AK90=AR87,AI90,IF(AK96=AR87,AI98,IF(AK98=AR87,AI98,IF(AK118=AR87,AI120,IF(AK120=AR87,AI120,IF(AK126=AR87,AI128,IF(AK128=AR87,AI128)))))))))))))))))))))))))))))))),"")</f>
        <v/>
      </c>
      <c r="AS103" s="33" t="str">
        <f>IFERROR(IF(AR103="","",VLOOKUP(AR103,LISTAS!$F$5:$G$1004,2,0)),"0")</f>
        <v/>
      </c>
      <c r="AT103" s="33" t="str">
        <f>IF(AP103="","",IF(AP103=1,180,IF(AP103=2,170,IF(AP103=3,150,IF(AP103=4,140,IF(AP103=5,135,IF(AP103=6,130,IF(AP103=7,120,IF(AP103=8,110,IF(AP103=9,105,IF(AP103=10,105,IF(AP103=11,105,IF(AP103=12,105,IF(AP103=13,105,IF(AP103=14,105,IF(AP103=15,105,IF(AP103=16,105,IF(AP103&gt;16,"",""))))))))))))))))))</f>
        <v/>
      </c>
      <c r="AU103" s="33" t="str">
        <f>IF(AP103="","",IF($AS$5="NÃO","",IF(AP103=1,180,IF(AP103=2,170,IF(AP103=3,150,IF(AP103=4,140,IF(AP103=5,135,IF(AP103=6,130,IF(AP103=7,120,IF(AP103=8,110,IF(AP103=9,105,IF(AP103=10,105,IF(AP103=11,105,IF(AP103=12,105,IF(AP103=13,105,IF(AP103=14,105,IF(AP103=15,105,IF(AP103=16,105,IF(AP103&gt;16,"","")))))))))))))))))))</f>
        <v/>
      </c>
    </row>
    <row r="104" spans="2:47" ht="18" customHeight="1" x14ac:dyDescent="0.25">
      <c r="B104" s="133">
        <v>28</v>
      </c>
      <c r="C104" s="169" t="str">
        <f>IF('15M GRP'!G5&gt;=3,'15M GRP'!J373,IF('15M GRP'!G5=2,"",IF('15M GRP'!G5=1,"","")))</f>
        <v/>
      </c>
      <c r="D104" s="266">
        <v>0</v>
      </c>
      <c r="E104" s="107">
        <f>IF(D104&lt;&gt;"",D104,"")</f>
        <v>0</v>
      </c>
      <c r="F104" s="101" t="str">
        <f>IF(D104&lt;&gt;"",IF(C104="","",C104),"")</f>
        <v/>
      </c>
      <c r="G104" s="190" t="str">
        <f>VLOOKUP(G102,E102:F104,2,0)</f>
        <v/>
      </c>
      <c r="H104" s="101"/>
      <c r="I104" s="101"/>
      <c r="J104" s="101"/>
      <c r="K104" s="190"/>
      <c r="L104" s="101"/>
      <c r="M104" s="138"/>
      <c r="N104" s="101">
        <f>IF(P99&lt;&gt;"",P99,"")</f>
        <v>1</v>
      </c>
      <c r="O104" s="190" t="str">
        <f>IF(P99&lt;&gt;"",O99,"")</f>
        <v>GABRIEL DE MELLO PIRES</v>
      </c>
      <c r="P104" s="101">
        <f>IF(N104&lt;&gt;"",IF(N106&lt;&gt;"",LARGE(N104:N106,1),""),"")</f>
        <v>1</v>
      </c>
      <c r="Q104" s="88"/>
      <c r="R104" s="199"/>
      <c r="S104" s="37"/>
      <c r="T104" s="37"/>
      <c r="U104" s="37"/>
      <c r="V104" s="198"/>
      <c r="W104" s="37"/>
      <c r="X104" s="86"/>
      <c r="Y104" s="198"/>
      <c r="Z104" s="94"/>
      <c r="AA104" s="37"/>
      <c r="AB104" s="29"/>
      <c r="AC104" s="198"/>
      <c r="AD104" s="37"/>
      <c r="AE104" s="100"/>
      <c r="AF104" s="100"/>
      <c r="AG104" s="197">
        <f>IF(AJ104&lt;&gt;"",AJ104,"")</f>
        <v>0</v>
      </c>
      <c r="AH104" s="100" t="str">
        <f>IF(AJ104&lt;&gt;"",IF(AK104="","",AK104),"")</f>
        <v/>
      </c>
      <c r="AI104" s="102" t="str">
        <f>VLOOKUP(AI102,AG102:AH104,2,0)</f>
        <v/>
      </c>
      <c r="AJ104" s="266">
        <v>0</v>
      </c>
      <c r="AK104" s="169" t="str">
        <f>IF('15M GRP'!G5&gt;=3,'15M GRP'!J347,IF('15M GRP'!G5=2,"",IF('15M GRP'!G5=1,"","")))</f>
        <v/>
      </c>
      <c r="AL104" s="29">
        <v>26</v>
      </c>
    </row>
    <row r="105" spans="2:47" ht="18" customHeight="1" thickBot="1" x14ac:dyDescent="0.3">
      <c r="B105" s="133"/>
      <c r="C105" s="170" t="str">
        <f>IFERROR(IF(C104="","",VLOOKUP(C104,LISTAS!$F$5:$G$1004,2,0)),"0")</f>
        <v/>
      </c>
      <c r="D105" s="267"/>
      <c r="E105" s="148"/>
      <c r="F105" s="101"/>
      <c r="G105" s="190"/>
      <c r="H105" s="101"/>
      <c r="I105" s="101"/>
      <c r="J105" s="101"/>
      <c r="K105" s="190"/>
      <c r="L105" s="101"/>
      <c r="M105" s="138"/>
      <c r="N105" s="101"/>
      <c r="O105" s="190"/>
      <c r="P105" s="101"/>
      <c r="Q105" s="88"/>
      <c r="R105" s="199"/>
      <c r="S105" s="37"/>
      <c r="T105" s="37"/>
      <c r="U105" s="37"/>
      <c r="V105" s="198"/>
      <c r="W105" s="37"/>
      <c r="X105" s="86"/>
      <c r="Y105" s="198"/>
      <c r="Z105" s="94"/>
      <c r="AA105" s="37"/>
      <c r="AB105" s="29"/>
      <c r="AC105" s="198"/>
      <c r="AD105" s="37"/>
      <c r="AE105" s="100"/>
      <c r="AF105" s="100"/>
      <c r="AG105" s="197"/>
      <c r="AH105" s="100"/>
      <c r="AI105" s="142"/>
      <c r="AJ105" s="267"/>
      <c r="AK105" s="170" t="str">
        <f>IFERROR(IF(AK104="","",VLOOKUP(AK104,LISTAS!$F$5:$G$1004,2,0)),"0")</f>
        <v/>
      </c>
      <c r="AL105" s="29"/>
    </row>
    <row r="106" spans="2:47" ht="18" customHeight="1" x14ac:dyDescent="0.25">
      <c r="B106" s="133"/>
      <c r="C106" s="188"/>
      <c r="D106" s="29"/>
      <c r="E106" s="29"/>
      <c r="F106" s="34"/>
      <c r="G106" s="169" t="str">
        <f>IF(D102&lt;&gt;"",IF(D104&lt;&gt;"",IF(D102=D104,"",IF(D102&gt;D104,C102,C104)),""),"")</f>
        <v>GABRIEL MÜLLER POPI PEDROSA RAMOS</v>
      </c>
      <c r="H106" s="266">
        <v>1</v>
      </c>
      <c r="I106" s="101">
        <f>IF(H106&lt;&gt;"",H106,"")</f>
        <v>1</v>
      </c>
      <c r="J106" s="101" t="str">
        <f>IF(H106&lt;&gt;"",IF(G106="","",G106),"")</f>
        <v>GABRIEL MÜLLER POPI PEDROSA RAMOS</v>
      </c>
      <c r="K106" s="190">
        <f>IF(I106&lt;&gt;"",IF(I108&lt;&gt;"",SMALL(I106:J108,1),""),"")</f>
        <v>0</v>
      </c>
      <c r="L106" s="101"/>
      <c r="M106" s="138"/>
      <c r="N106" s="101">
        <f>IF(P101&lt;&gt;"",P101,"")</f>
        <v>0</v>
      </c>
      <c r="O106" s="190" t="str">
        <f>IF(P101&lt;&gt;"",O101,"")</f>
        <v>BRUNO NEPOMUCENO DOS SANTOS</v>
      </c>
      <c r="P106" s="101" t="str">
        <f>VLOOKUP(P104,N104:O106,2,0)</f>
        <v>GABRIEL DE MELLO PIRES</v>
      </c>
      <c r="Q106" s="100"/>
      <c r="R106" s="197"/>
      <c r="S106" s="37"/>
      <c r="T106" s="37"/>
      <c r="U106" s="37"/>
      <c r="V106" s="198"/>
      <c r="W106" s="37"/>
      <c r="X106" s="86"/>
      <c r="Y106" s="198"/>
      <c r="Z106" s="94"/>
      <c r="AA106" s="37"/>
      <c r="AB106" s="29"/>
      <c r="AC106" s="198"/>
      <c r="AD106" s="37"/>
      <c r="AE106" s="95"/>
      <c r="AF106" s="266">
        <v>1</v>
      </c>
      <c r="AG106" s="169" t="str">
        <f>IF(AJ102&lt;&gt;"",IF(AJ104&lt;&gt;"",IF(AJ102=AJ104,"",IF(AJ102&gt;AJ104,AK102,AK104)),""),"")</f>
        <v>MIGUEL CUNHA DA SILVA</v>
      </c>
      <c r="AH106" s="94"/>
      <c r="AI106" s="37"/>
      <c r="AJ106" s="29"/>
      <c r="AK106" s="188"/>
      <c r="AL106" s="29"/>
    </row>
    <row r="107" spans="2:47" ht="18" customHeight="1" thickBot="1" x14ac:dyDescent="0.3">
      <c r="B107" s="133"/>
      <c r="C107" s="188"/>
      <c r="D107" s="29"/>
      <c r="E107" s="29"/>
      <c r="F107" s="34"/>
      <c r="G107" s="170" t="str">
        <f>IFERROR(IF(G106="","",VLOOKUP(G106,LISTAS!$F$5:$G$1004,2,0)),"0")</f>
        <v>ESCOLA VILLARE</v>
      </c>
      <c r="H107" s="267"/>
      <c r="I107" s="101"/>
      <c r="J107" s="101"/>
      <c r="K107" s="190"/>
      <c r="L107" s="101"/>
      <c r="M107" s="138"/>
      <c r="N107" s="101"/>
      <c r="O107" s="190"/>
      <c r="P107" s="101"/>
      <c r="Q107" s="100"/>
      <c r="R107" s="197"/>
      <c r="S107" s="37"/>
      <c r="T107" s="37"/>
      <c r="U107" s="37"/>
      <c r="V107" s="198"/>
      <c r="W107" s="37"/>
      <c r="X107" s="86"/>
      <c r="Y107" s="198"/>
      <c r="Z107" s="94"/>
      <c r="AA107" s="37"/>
      <c r="AB107" s="29"/>
      <c r="AC107" s="198"/>
      <c r="AD107" s="37"/>
      <c r="AE107" s="95"/>
      <c r="AF107" s="267"/>
      <c r="AG107" s="170" t="str">
        <f>IFERROR(IF(AG106="","",VLOOKUP(AG106,LISTAS!$F$5:$G$1004,2,0)),"0")</f>
        <v>COLÉGIO ENGENHEIRO SALVADOR ARENA</v>
      </c>
      <c r="AH107" s="94"/>
      <c r="AI107" s="37"/>
      <c r="AJ107" s="29"/>
      <c r="AK107" s="188"/>
      <c r="AL107" s="29"/>
    </row>
    <row r="108" spans="2:47" ht="18" customHeight="1" x14ac:dyDescent="0.25">
      <c r="B108" s="133"/>
      <c r="C108" s="188"/>
      <c r="D108" s="29"/>
      <c r="E108" s="35"/>
      <c r="F108" s="36"/>
      <c r="G108" s="169" t="str">
        <f>IF(D110&lt;&gt;"",IF(D112&lt;&gt;"",IF(D110=D112,"",IF(D110&gt;D112,C110,C112)),""),"")</f>
        <v/>
      </c>
      <c r="H108" s="266">
        <v>0</v>
      </c>
      <c r="I108" s="107">
        <f>IF(H108&lt;&gt;"",H108,"")</f>
        <v>0</v>
      </c>
      <c r="J108" s="101" t="str">
        <f>IF(H108&lt;&gt;"",IF(G108="","",G108),"")</f>
        <v/>
      </c>
      <c r="K108" s="190" t="str">
        <f>VLOOKUP(K106,I106:J108,2,0)</f>
        <v/>
      </c>
      <c r="L108" s="101"/>
      <c r="M108" s="138"/>
      <c r="N108" s="101">
        <f>IF(P99&lt;&gt;"",P99,"")</f>
        <v>1</v>
      </c>
      <c r="O108" s="190" t="str">
        <f>IF(P99&lt;&gt;"",O99,"")</f>
        <v>GABRIEL DE MELLO PIRES</v>
      </c>
      <c r="P108" s="101">
        <f>IF(N108&lt;&gt;"",IF(N110&lt;&gt;"",SMALL(N108:N110,1),""),"")</f>
        <v>0</v>
      </c>
      <c r="Q108" s="100"/>
      <c r="R108" s="197"/>
      <c r="S108" s="37"/>
      <c r="T108" s="37"/>
      <c r="U108" s="37"/>
      <c r="V108" s="198"/>
      <c r="W108" s="37"/>
      <c r="X108" s="86"/>
      <c r="Y108" s="198"/>
      <c r="Z108" s="94"/>
      <c r="AA108" s="37"/>
      <c r="AB108" s="29"/>
      <c r="AC108" s="198"/>
      <c r="AD108" s="94"/>
      <c r="AE108" s="96"/>
      <c r="AF108" s="266">
        <v>0</v>
      </c>
      <c r="AG108" s="169" t="str">
        <f>IF(AJ110&lt;&gt;"",IF(AJ112&lt;&gt;"",IF(AJ110=AJ112,"",IF(AJ110&gt;AJ112,AK110,AK112)),""),"")</f>
        <v>RODRIGO LAVIOLA GONZALEZ</v>
      </c>
      <c r="AH108" s="98"/>
      <c r="AI108" s="37"/>
      <c r="AJ108" s="29"/>
      <c r="AK108" s="188"/>
      <c r="AL108" s="29"/>
    </row>
    <row r="109" spans="2:47" ht="18" customHeight="1" thickBot="1" x14ac:dyDescent="0.3">
      <c r="B109" s="133"/>
      <c r="C109" s="188"/>
      <c r="D109" s="29"/>
      <c r="E109" s="35"/>
      <c r="F109" s="29"/>
      <c r="G109" s="170" t="str">
        <f>IFERROR(IF(G108="","",VLOOKUP(G108,LISTAS!$F$5:$G$1004,2,0)),"0")</f>
        <v/>
      </c>
      <c r="H109" s="267"/>
      <c r="I109" s="138"/>
      <c r="J109" s="101"/>
      <c r="K109" s="190"/>
      <c r="L109" s="101"/>
      <c r="M109" s="138"/>
      <c r="N109" s="101"/>
      <c r="O109" s="190"/>
      <c r="P109" s="101"/>
      <c r="Q109" s="100"/>
      <c r="R109" s="197"/>
      <c r="S109" s="37"/>
      <c r="T109" s="37"/>
      <c r="U109" s="37"/>
      <c r="V109" s="198"/>
      <c r="W109" s="37"/>
      <c r="X109" s="86"/>
      <c r="Y109" s="198"/>
      <c r="Z109" s="37"/>
      <c r="AA109" s="89"/>
      <c r="AB109" s="29"/>
      <c r="AC109" s="198"/>
      <c r="AD109" s="94"/>
      <c r="AE109" s="37"/>
      <c r="AF109" s="267"/>
      <c r="AG109" s="170" t="str">
        <f>IFERROR(IF(AG108="","",VLOOKUP(AG108,LISTAS!$F$5:$G$1004,2,0)),"0")</f>
        <v>ESCOLA VILLARE</v>
      </c>
      <c r="AH109" s="37"/>
      <c r="AI109" s="89"/>
      <c r="AJ109" s="29"/>
      <c r="AK109" s="188"/>
      <c r="AL109" s="29"/>
    </row>
    <row r="110" spans="2:47" ht="18" customHeight="1" x14ac:dyDescent="0.25">
      <c r="B110" s="133">
        <v>12</v>
      </c>
      <c r="C110" s="169"/>
      <c r="D110" s="266">
        <v>0</v>
      </c>
      <c r="E110" s="148">
        <f>IF(D110&lt;&gt;"",D110,"")</f>
        <v>0</v>
      </c>
      <c r="F110" s="101" t="str">
        <f>IF(D110&lt;&gt;"",IF(C110="","",C110),"")</f>
        <v/>
      </c>
      <c r="G110" s="190">
        <f>IF(E110&lt;&gt;"",IF(E112&lt;&gt;"",SMALL(E110:E112,1),""),"")</f>
        <v>0</v>
      </c>
      <c r="H110" s="29"/>
      <c r="I110" s="138"/>
      <c r="J110" s="101"/>
      <c r="K110" s="190"/>
      <c r="L110" s="101"/>
      <c r="M110" s="138"/>
      <c r="N110" s="101">
        <f>IF(P101&lt;&gt;"",P101,"")</f>
        <v>0</v>
      </c>
      <c r="O110" s="190" t="str">
        <f>IF(P101&lt;&gt;"",O101,"")</f>
        <v>BRUNO NEPOMUCENO DOS SANTOS</v>
      </c>
      <c r="P110" s="101" t="str">
        <f>VLOOKUP(P108,N108:O110,2,0)</f>
        <v>BRUNO NEPOMUCENO DOS SANTOS</v>
      </c>
      <c r="Q110" s="100"/>
      <c r="R110" s="197"/>
      <c r="S110" s="37"/>
      <c r="T110" s="37"/>
      <c r="U110" s="37"/>
      <c r="V110" s="198"/>
      <c r="W110" s="37"/>
      <c r="X110" s="86"/>
      <c r="Y110" s="198"/>
      <c r="Z110" s="37"/>
      <c r="AA110" s="89"/>
      <c r="AB110" s="29"/>
      <c r="AC110" s="198"/>
      <c r="AD110" s="94"/>
      <c r="AE110" s="100"/>
      <c r="AF110" s="100"/>
      <c r="AG110" s="197">
        <f>IF(AJ110&lt;&gt;"",AJ110,"")</f>
        <v>1</v>
      </c>
      <c r="AH110" s="100" t="str">
        <f>IF(AJ110&lt;&gt;"",IF(AK110="","",AK110),"")</f>
        <v>RODRIGO LAVIOLA GONZALEZ</v>
      </c>
      <c r="AI110" s="137">
        <f>IF(AG110&lt;&gt;"",IF(AG112&lt;&gt;"",SMALL(AG110:AG112,1),""),"")</f>
        <v>0</v>
      </c>
      <c r="AJ110" s="266">
        <v>1</v>
      </c>
      <c r="AK110" s="169" t="str">
        <f>IF('15M GRP'!G5&gt;=3,'15M GRP'!J139,IF('15M GRP'!G5=2,"",IF('15M GRP'!G5=1,"","")))</f>
        <v>RODRIGO LAVIOLA GONZALEZ</v>
      </c>
      <c r="AL110" s="29">
        <v>10</v>
      </c>
    </row>
    <row r="111" spans="2:47" ht="18" customHeight="1" thickBot="1" x14ac:dyDescent="0.3">
      <c r="B111" s="133"/>
      <c r="C111" s="170" t="str">
        <f>IFERROR(IF(C110="","",VLOOKUP(C110,LISTAS!$F$5:$G$1004,2,0)),"0")</f>
        <v/>
      </c>
      <c r="D111" s="267"/>
      <c r="E111" s="105"/>
      <c r="F111" s="101"/>
      <c r="G111" s="190"/>
      <c r="H111" s="29"/>
      <c r="I111" s="138"/>
      <c r="J111" s="101"/>
      <c r="K111" s="190"/>
      <c r="L111" s="101"/>
      <c r="M111" s="138"/>
      <c r="N111" s="101"/>
      <c r="O111" s="190"/>
      <c r="P111" s="101"/>
      <c r="Q111" s="100"/>
      <c r="R111" s="197"/>
      <c r="S111" s="37"/>
      <c r="T111" s="37"/>
      <c r="U111" s="37"/>
      <c r="V111" s="198"/>
      <c r="W111" s="37"/>
      <c r="X111" s="86"/>
      <c r="Y111" s="198"/>
      <c r="Z111" s="37"/>
      <c r="AA111" s="89"/>
      <c r="AB111" s="29"/>
      <c r="AC111" s="198"/>
      <c r="AD111" s="94"/>
      <c r="AE111" s="100"/>
      <c r="AF111" s="100"/>
      <c r="AG111" s="197"/>
      <c r="AH111" s="100"/>
      <c r="AI111" s="143"/>
      <c r="AJ111" s="267"/>
      <c r="AK111" s="170" t="str">
        <f>IFERROR(IF(AK110="","",VLOOKUP(AK110,LISTAS!$F$5:$G$1004,2,0)),"0")</f>
        <v>ESCOLA VILLARE</v>
      </c>
      <c r="AL111" s="29"/>
    </row>
    <row r="112" spans="2:47" ht="18" customHeight="1" x14ac:dyDescent="0.25">
      <c r="B112" s="133">
        <v>21</v>
      </c>
      <c r="C112" s="169" t="str">
        <f>IF('15M GRP'!G5&gt;=3,'15M GRP'!J282,IF('15M GRP'!G5=2,"",IF('15M GRP'!G5=1,"","")))</f>
        <v/>
      </c>
      <c r="D112" s="266">
        <v>0</v>
      </c>
      <c r="E112" s="106">
        <f>IF(D112&lt;&gt;"",D112,"")</f>
        <v>0</v>
      </c>
      <c r="F112" s="101" t="str">
        <f>IF(D112&lt;&gt;"",IF(C112="","",C112),"")</f>
        <v/>
      </c>
      <c r="G112" s="190" t="str">
        <f>VLOOKUP(G110,E110:F112,2,0)</f>
        <v/>
      </c>
      <c r="H112" s="29"/>
      <c r="I112" s="138"/>
      <c r="J112" s="101"/>
      <c r="K112" s="190"/>
      <c r="L112" s="101"/>
      <c r="M112" s="138"/>
      <c r="N112" s="101"/>
      <c r="O112" s="190"/>
      <c r="P112" s="101"/>
      <c r="Q112" s="100"/>
      <c r="R112" s="197"/>
      <c r="S112" s="37"/>
      <c r="T112" s="37"/>
      <c r="U112" s="37"/>
      <c r="V112" s="198"/>
      <c r="W112" s="37"/>
      <c r="X112" s="86"/>
      <c r="Y112" s="198"/>
      <c r="Z112" s="37"/>
      <c r="AA112" s="89"/>
      <c r="AB112" s="29"/>
      <c r="AC112" s="198"/>
      <c r="AD112" s="94"/>
      <c r="AE112" s="100"/>
      <c r="AF112" s="100"/>
      <c r="AG112" s="197">
        <f>IF(AJ112&lt;&gt;"",AJ112,"")</f>
        <v>0</v>
      </c>
      <c r="AH112" s="100" t="str">
        <f>IF(AJ112&lt;&gt;"",IF(AK112="","",AK112),"")</f>
        <v/>
      </c>
      <c r="AI112" s="145" t="str">
        <f>VLOOKUP(AI110,AG110:AH112,2,0)</f>
        <v/>
      </c>
      <c r="AJ112" s="266">
        <v>0</v>
      </c>
      <c r="AK112" s="169" t="str">
        <f>IF('15M GRP'!G5&gt;=3,'15M GRP'!J308,IF('15M GRP'!G5=2,"",IF('15M GRP'!G5=1,"","")))</f>
        <v/>
      </c>
      <c r="AL112" s="29">
        <v>23</v>
      </c>
    </row>
    <row r="113" spans="2:38" ht="18" customHeight="1" thickBot="1" x14ac:dyDescent="0.3">
      <c r="B113" s="133"/>
      <c r="C113" s="170" t="str">
        <f>IFERROR(IF(C112="","",VLOOKUP(C112,LISTAS!$F$5:$G$1004,2,0)),"0")</f>
        <v/>
      </c>
      <c r="D113" s="267"/>
      <c r="E113" s="101"/>
      <c r="F113" s="101"/>
      <c r="G113" s="190"/>
      <c r="H113" s="29"/>
      <c r="I113" s="138"/>
      <c r="J113" s="101"/>
      <c r="K113" s="190"/>
      <c r="L113" s="101"/>
      <c r="M113" s="138"/>
      <c r="N113" s="101"/>
      <c r="O113" s="190"/>
      <c r="P113" s="101"/>
      <c r="Q113" s="100"/>
      <c r="R113" s="197"/>
      <c r="S113" s="37"/>
      <c r="T113" s="37"/>
      <c r="U113" s="37"/>
      <c r="V113" s="198"/>
      <c r="W113" s="37"/>
      <c r="X113" s="86"/>
      <c r="Y113" s="198"/>
      <c r="Z113" s="37"/>
      <c r="AA113" s="89"/>
      <c r="AB113" s="29"/>
      <c r="AC113" s="198"/>
      <c r="AD113" s="94"/>
      <c r="AE113" s="100"/>
      <c r="AF113" s="100"/>
      <c r="AG113" s="197"/>
      <c r="AH113" s="100"/>
      <c r="AI113" s="101"/>
      <c r="AJ113" s="267"/>
      <c r="AK113" s="170" t="str">
        <f>IFERROR(IF(AK112="","",VLOOKUP(AK112,LISTAS!$F$5:$G$1004,2,0)),"0")</f>
        <v/>
      </c>
      <c r="AL113" s="29"/>
    </row>
    <row r="114" spans="2:38" ht="18" customHeight="1" x14ac:dyDescent="0.25">
      <c r="B114" s="133"/>
      <c r="C114" s="188"/>
      <c r="D114" s="29"/>
      <c r="E114" s="101"/>
      <c r="F114" s="101"/>
      <c r="G114" s="190"/>
      <c r="H114" s="29"/>
      <c r="I114" s="35"/>
      <c r="J114" s="29"/>
      <c r="K114" s="169" t="str">
        <f>IF(H106&lt;&gt;"",IF(H108&lt;&gt;"",IF(H106=H108,"",IF(H106&gt;H108,G106,G108)),""),"")</f>
        <v>GABRIEL MÜLLER POPI PEDROSA RAMOS</v>
      </c>
      <c r="L114" s="266">
        <v>0</v>
      </c>
      <c r="M114" s="148">
        <f>IF(L114&lt;&gt;"",L114,"")</f>
        <v>0</v>
      </c>
      <c r="N114" s="101" t="str">
        <f>IF(L114&lt;&gt;"",IF(K114="","",K114),"")</f>
        <v>GABRIEL MÜLLER POPI PEDROSA RAMOS</v>
      </c>
      <c r="O114" s="190">
        <f>IF(M114&lt;&gt;"",IF(M116&lt;&gt;"",SMALL(M114:N116,1),""),"")</f>
        <v>0</v>
      </c>
      <c r="P114" s="101"/>
      <c r="Q114" s="37"/>
      <c r="R114" s="198"/>
      <c r="S114" s="37"/>
      <c r="T114" s="37"/>
      <c r="U114" s="37"/>
      <c r="V114" s="198"/>
      <c r="W114" s="37"/>
      <c r="X114" s="86"/>
      <c r="Y114" s="198"/>
      <c r="Z114" s="37"/>
      <c r="AA114" s="89"/>
      <c r="AB114" s="266">
        <v>0</v>
      </c>
      <c r="AC114" s="169" t="str">
        <f>IF(AF106&lt;&gt;"",IF(AF108&lt;&gt;"",IF(AF106=AF108,"",IF(AF106&gt;AF108,AG106,AG108)),""),"")</f>
        <v>MIGUEL CUNHA DA SILVA</v>
      </c>
      <c r="AD114" s="141"/>
      <c r="AE114" s="37"/>
      <c r="AF114" s="88"/>
      <c r="AG114" s="199"/>
      <c r="AH114" s="88"/>
      <c r="AI114" s="88"/>
      <c r="AJ114" s="29"/>
      <c r="AK114" s="188"/>
      <c r="AL114" s="29"/>
    </row>
    <row r="115" spans="2:38" ht="18" customHeight="1" thickBot="1" x14ac:dyDescent="0.3">
      <c r="B115" s="133"/>
      <c r="C115" s="188"/>
      <c r="D115" s="29"/>
      <c r="E115" s="101"/>
      <c r="F115" s="101"/>
      <c r="G115" s="190"/>
      <c r="H115" s="29"/>
      <c r="I115" s="35"/>
      <c r="J115" s="29"/>
      <c r="K115" s="170" t="str">
        <f>IFERROR(IF(K114="","",VLOOKUP(K114,LISTAS!$F$5:$G$1004,2,0)),"0")</f>
        <v>ESCOLA VILLARE</v>
      </c>
      <c r="L115" s="267"/>
      <c r="M115" s="105"/>
      <c r="N115" s="101"/>
      <c r="O115" s="190"/>
      <c r="P115" s="101"/>
      <c r="Q115" s="37"/>
      <c r="R115" s="198"/>
      <c r="S115" s="37"/>
      <c r="T115" s="37"/>
      <c r="U115" s="37"/>
      <c r="V115" s="198"/>
      <c r="W115" s="37"/>
      <c r="X115" s="86"/>
      <c r="Y115" s="198"/>
      <c r="Z115" s="37"/>
      <c r="AA115" s="139"/>
      <c r="AB115" s="267"/>
      <c r="AC115" s="170" t="str">
        <f>IFERROR(IF(AC114="","",VLOOKUP(AC114,LISTAS!$F$5:$G$1004,2,0)),"0")</f>
        <v>COLÉGIO ENGENHEIRO SALVADOR ARENA</v>
      </c>
      <c r="AD115" s="37"/>
      <c r="AE115" s="89"/>
      <c r="AF115" s="88"/>
      <c r="AG115" s="199"/>
      <c r="AH115" s="88"/>
      <c r="AI115" s="88"/>
      <c r="AJ115" s="29"/>
      <c r="AK115" s="188"/>
      <c r="AL115" s="29"/>
    </row>
    <row r="116" spans="2:38" ht="18" customHeight="1" x14ac:dyDescent="0.25">
      <c r="B116" s="133"/>
      <c r="C116" s="188"/>
      <c r="D116" s="29"/>
      <c r="E116" s="29"/>
      <c r="F116" s="29"/>
      <c r="G116" s="188"/>
      <c r="H116" s="29"/>
      <c r="I116" s="35"/>
      <c r="J116" s="36"/>
      <c r="K116" s="169" t="str">
        <f>IF(H122&lt;&gt;"",IF(H124&lt;&gt;"",IF(H122=H124,"",IF(H122&gt;H124,G122,G124)),""),"")</f>
        <v>BRUNO NEPOMUCENO DOS SANTOS</v>
      </c>
      <c r="L116" s="266">
        <v>1</v>
      </c>
      <c r="M116" s="106">
        <f>IF(L116&lt;&gt;"",L116,"")</f>
        <v>1</v>
      </c>
      <c r="N116" s="101" t="str">
        <f>IF(L116&lt;&gt;"",IF(K116="","",K116),"")</f>
        <v>BRUNO NEPOMUCENO DOS SANTOS</v>
      </c>
      <c r="O116" s="190" t="str">
        <f>VLOOKUP(O114,M114:N116,2,0)</f>
        <v>GABRIEL MÜLLER POPI PEDROSA RAMOS</v>
      </c>
      <c r="P116" s="101"/>
      <c r="Q116" s="37"/>
      <c r="R116" s="198"/>
      <c r="S116" s="37"/>
      <c r="T116" s="37"/>
      <c r="U116" s="37"/>
      <c r="V116" s="198"/>
      <c r="W116" s="37"/>
      <c r="X116" s="86"/>
      <c r="Y116" s="198"/>
      <c r="Z116" s="37"/>
      <c r="AA116" s="37"/>
      <c r="AB116" s="266">
        <v>1</v>
      </c>
      <c r="AC116" s="169" t="str">
        <f>IF(AF122&lt;&gt;"",IF(AF124&lt;&gt;"",IF(AF122=AF124,"",IF(AF122&gt;AF124,AG122,AG124)),""),"")</f>
        <v>PABLO VASQUES GOMES</v>
      </c>
      <c r="AD116" s="37"/>
      <c r="AE116" s="89"/>
      <c r="AF116" s="88"/>
      <c r="AG116" s="199"/>
      <c r="AH116" s="88"/>
      <c r="AI116" s="88"/>
      <c r="AJ116" s="29"/>
      <c r="AK116" s="188"/>
      <c r="AL116" s="29"/>
    </row>
    <row r="117" spans="2:38" ht="18" customHeight="1" thickBot="1" x14ac:dyDescent="0.3">
      <c r="B117" s="133"/>
      <c r="C117" s="188"/>
      <c r="D117" s="29"/>
      <c r="E117" s="29"/>
      <c r="F117" s="29"/>
      <c r="G117" s="188"/>
      <c r="H117" s="29"/>
      <c r="I117" s="35"/>
      <c r="J117" s="29"/>
      <c r="K117" s="170" t="str">
        <f>IFERROR(IF(K116="","",VLOOKUP(K116,LISTAS!$F$5:$G$1004,2,0)),"0")</f>
        <v>COLÉGIO ARBOS - UNIDADE SANTO ANDRÉ</v>
      </c>
      <c r="L117" s="267"/>
      <c r="M117" s="101"/>
      <c r="N117" s="101"/>
      <c r="O117" s="190"/>
      <c r="P117" s="101"/>
      <c r="Q117" s="37"/>
      <c r="R117" s="198"/>
      <c r="S117" s="37"/>
      <c r="T117" s="37"/>
      <c r="U117" s="37"/>
      <c r="V117" s="198"/>
      <c r="W117" s="37"/>
      <c r="X117" s="86"/>
      <c r="Y117" s="198"/>
      <c r="Z117" s="37"/>
      <c r="AA117" s="37"/>
      <c r="AB117" s="267"/>
      <c r="AC117" s="170" t="str">
        <f>IFERROR(IF(AC116="","",VLOOKUP(AC116,LISTAS!$F$5:$G$1004,2,0)),"0")</f>
        <v>COLÉGIO ARBOS - UNIDADE SANTO ANDRÉ</v>
      </c>
      <c r="AD117" s="37"/>
      <c r="AE117" s="89"/>
      <c r="AF117" s="88"/>
      <c r="AG117" s="199"/>
      <c r="AH117" s="88"/>
      <c r="AI117" s="88"/>
      <c r="AJ117" s="29"/>
      <c r="AK117" s="188"/>
      <c r="AL117" s="29"/>
    </row>
    <row r="118" spans="2:38" ht="18" customHeight="1" x14ac:dyDescent="0.25">
      <c r="B118" s="133">
        <v>20</v>
      </c>
      <c r="C118" s="169" t="str">
        <f>IF('15M GRP'!G5&gt;=3,'15M GRP'!J269,IF('15M GRP'!G5=2,"",IF('15M GRP'!G5=1,"","")))</f>
        <v/>
      </c>
      <c r="D118" s="266">
        <v>0</v>
      </c>
      <c r="E118" s="101">
        <f>IF(D118&lt;&gt;"",D118,"")</f>
        <v>0</v>
      </c>
      <c r="F118" s="101" t="str">
        <f>IF(D118&lt;&gt;"",IF(C118="","",C118),"")</f>
        <v/>
      </c>
      <c r="G118" s="190">
        <f>IF(E118&lt;&gt;"",IF(E120&lt;&gt;"",SMALL(E118:E120,1),""),"")</f>
        <v>0</v>
      </c>
      <c r="H118" s="101"/>
      <c r="I118" s="138"/>
      <c r="J118" s="101"/>
      <c r="K118" s="190"/>
      <c r="L118" s="101"/>
      <c r="M118" s="101"/>
      <c r="N118" s="101"/>
      <c r="O118" s="190"/>
      <c r="P118" s="101"/>
      <c r="Q118" s="37"/>
      <c r="R118" s="198"/>
      <c r="S118" s="37"/>
      <c r="T118" s="37"/>
      <c r="U118" s="37"/>
      <c r="V118" s="198"/>
      <c r="W118" s="37"/>
      <c r="X118" s="86"/>
      <c r="Y118" s="198"/>
      <c r="Z118" s="37"/>
      <c r="AA118" s="37"/>
      <c r="AB118" s="29"/>
      <c r="AC118" s="197"/>
      <c r="AD118" s="100"/>
      <c r="AE118" s="144"/>
      <c r="AF118" s="100"/>
      <c r="AG118" s="197">
        <f>IF(AJ118&lt;&gt;"",AJ118,"")</f>
        <v>2</v>
      </c>
      <c r="AH118" s="100" t="str">
        <f>IF(AJ118&lt;&gt;"",IF(AK118="","",AK118),"")</f>
        <v>PABLO VASQUES GOMES</v>
      </c>
      <c r="AI118" s="101">
        <f>IF(AG118&lt;&gt;"",IF(AG120&lt;&gt;"",SMALL(AG118:AG120,1),""),"")</f>
        <v>0</v>
      </c>
      <c r="AJ118" s="266">
        <v>2</v>
      </c>
      <c r="AK118" s="169" t="str">
        <f>IF('15M GRP'!G5&gt;=3,'15M GRP'!J204,IF('15M GRP'!G5=2,"",IF('15M GRP'!G5=1,"","")))</f>
        <v>PABLO VASQUES GOMES</v>
      </c>
      <c r="AL118" s="29">
        <v>15</v>
      </c>
    </row>
    <row r="119" spans="2:38" ht="18" customHeight="1" thickBot="1" x14ac:dyDescent="0.3">
      <c r="B119" s="133"/>
      <c r="C119" s="170" t="str">
        <f>IFERROR(IF(C118="","",VLOOKUP(C118,LISTAS!$F$5:$G$1004,2,0)),"0")</f>
        <v/>
      </c>
      <c r="D119" s="267"/>
      <c r="E119" s="101"/>
      <c r="F119" s="101"/>
      <c r="G119" s="190"/>
      <c r="H119" s="101"/>
      <c r="I119" s="138"/>
      <c r="J119" s="101"/>
      <c r="K119" s="190"/>
      <c r="L119" s="101"/>
      <c r="M119" s="101"/>
      <c r="N119" s="101"/>
      <c r="O119" s="190"/>
      <c r="P119" s="101"/>
      <c r="Q119" s="37"/>
      <c r="R119" s="198"/>
      <c r="S119" s="37"/>
      <c r="T119" s="37"/>
      <c r="U119" s="37"/>
      <c r="V119" s="198"/>
      <c r="W119" s="37"/>
      <c r="X119" s="86"/>
      <c r="Y119" s="198"/>
      <c r="Z119" s="37"/>
      <c r="AA119" s="37"/>
      <c r="AB119" s="29"/>
      <c r="AC119" s="197"/>
      <c r="AD119" s="100"/>
      <c r="AE119" s="144"/>
      <c r="AF119" s="100"/>
      <c r="AG119" s="197"/>
      <c r="AH119" s="100"/>
      <c r="AI119" s="101"/>
      <c r="AJ119" s="267"/>
      <c r="AK119" s="170" t="str">
        <f>IFERROR(IF(AK118="","",VLOOKUP(AK118,LISTAS!$F$5:$G$1004,2,0)),"0")</f>
        <v>COLÉGIO ARBOS - UNIDADE SANTO ANDRÉ</v>
      </c>
      <c r="AL119" s="29"/>
    </row>
    <row r="120" spans="2:38" ht="18" customHeight="1" x14ac:dyDescent="0.25">
      <c r="B120" s="133">
        <v>13</v>
      </c>
      <c r="C120" s="169" t="str">
        <f>IF('15M GRP'!G5&gt;=3,'15M GRP'!J178,IF('15M GRP'!G5=2,"",IF('15M GRP'!G5=1,"","")))</f>
        <v>THIAGO SILVESTRE MORGAN</v>
      </c>
      <c r="D120" s="266">
        <v>1</v>
      </c>
      <c r="E120" s="107">
        <f>IF(D120&lt;&gt;"",D120,"")</f>
        <v>1</v>
      </c>
      <c r="F120" s="101" t="str">
        <f>IF(D120&lt;&gt;"",IF(C120="","",C120),"")</f>
        <v>THIAGO SILVESTRE MORGAN</v>
      </c>
      <c r="G120" s="190" t="str">
        <f>VLOOKUP(G118,E118:F120,2,0)</f>
        <v/>
      </c>
      <c r="H120" s="101"/>
      <c r="I120" s="138"/>
      <c r="J120" s="101"/>
      <c r="K120" s="190"/>
      <c r="L120" s="101"/>
      <c r="M120" s="101"/>
      <c r="N120" s="101"/>
      <c r="O120" s="190"/>
      <c r="P120" s="101"/>
      <c r="Q120" s="37"/>
      <c r="R120" s="198"/>
      <c r="S120" s="37"/>
      <c r="T120" s="37"/>
      <c r="U120" s="37"/>
      <c r="V120" s="198"/>
      <c r="W120" s="37"/>
      <c r="X120" s="86"/>
      <c r="Y120" s="198"/>
      <c r="Z120" s="37"/>
      <c r="AA120" s="37"/>
      <c r="AB120" s="29"/>
      <c r="AC120" s="197"/>
      <c r="AD120" s="100"/>
      <c r="AE120" s="144"/>
      <c r="AF120" s="100"/>
      <c r="AG120" s="197">
        <f>IF(AJ120&lt;&gt;"",AJ120,"")</f>
        <v>0</v>
      </c>
      <c r="AH120" s="100" t="str">
        <f>IF(AJ120&lt;&gt;"",IF(AK120="","",AK120),"")</f>
        <v/>
      </c>
      <c r="AI120" s="102" t="str">
        <f>VLOOKUP(AI118,AG118:AH120,2,0)</f>
        <v/>
      </c>
      <c r="AJ120" s="266">
        <v>0</v>
      </c>
      <c r="AK120" s="169"/>
      <c r="AL120" s="29">
        <v>18</v>
      </c>
    </row>
    <row r="121" spans="2:38" ht="18" customHeight="1" thickBot="1" x14ac:dyDescent="0.3">
      <c r="B121" s="133"/>
      <c r="C121" s="170" t="str">
        <f>IFERROR(IF(C120="","",VLOOKUP(C120,LISTAS!$F$5:$G$1004,2,0)),"0")</f>
        <v>COLÉGIO ENGENHEIRO SALVADOR ARENA</v>
      </c>
      <c r="D121" s="267"/>
      <c r="E121" s="148"/>
      <c r="F121" s="101"/>
      <c r="G121" s="190"/>
      <c r="H121" s="101"/>
      <c r="I121" s="138"/>
      <c r="J121" s="101"/>
      <c r="K121" s="190"/>
      <c r="L121" s="101"/>
      <c r="M121" s="101"/>
      <c r="N121" s="101"/>
      <c r="O121" s="190"/>
      <c r="P121" s="101"/>
      <c r="Q121" s="37"/>
      <c r="R121" s="198"/>
      <c r="S121" s="37"/>
      <c r="T121" s="37"/>
      <c r="U121" s="37"/>
      <c r="V121" s="198"/>
      <c r="W121" s="37"/>
      <c r="X121" s="86"/>
      <c r="Y121" s="198"/>
      <c r="Z121" s="37"/>
      <c r="AA121" s="37"/>
      <c r="AB121" s="29"/>
      <c r="AC121" s="197"/>
      <c r="AD121" s="100"/>
      <c r="AE121" s="144"/>
      <c r="AF121" s="100"/>
      <c r="AG121" s="197"/>
      <c r="AH121" s="146"/>
      <c r="AI121" s="101"/>
      <c r="AJ121" s="267"/>
      <c r="AK121" s="170" t="str">
        <f>IFERROR(IF(AK120="","",VLOOKUP(AK120,LISTAS!$F$5:$G$1004,2,0)),"0")</f>
        <v/>
      </c>
      <c r="AL121" s="29"/>
    </row>
    <row r="122" spans="2:38" ht="18" customHeight="1" x14ac:dyDescent="0.25">
      <c r="B122" s="133"/>
      <c r="C122" s="188"/>
      <c r="D122" s="29"/>
      <c r="E122" s="29"/>
      <c r="F122" s="34"/>
      <c r="G122" s="169" t="str">
        <f>IF(D118&lt;&gt;"",IF(D120&lt;&gt;"",IF(D118=D120,"",IF(D118&gt;D120,C118,C120)),""),"")</f>
        <v>THIAGO SILVESTRE MORGAN</v>
      </c>
      <c r="H122" s="266">
        <v>0</v>
      </c>
      <c r="I122" s="148">
        <f>IF(H122&lt;&gt;"",H122,"")</f>
        <v>0</v>
      </c>
      <c r="J122" s="101" t="str">
        <f>IF(H122&lt;&gt;"",IF(G122="","",G122),"")</f>
        <v>THIAGO SILVESTRE MORGAN</v>
      </c>
      <c r="K122" s="190">
        <f>IF(I122&lt;&gt;"",IF(I124&lt;&gt;"",SMALL(I122:J124,1),""),"")</f>
        <v>0</v>
      </c>
      <c r="L122" s="29"/>
      <c r="M122" s="29"/>
      <c r="N122" s="29"/>
      <c r="O122" s="188"/>
      <c r="P122" s="29"/>
      <c r="Q122" s="37"/>
      <c r="R122" s="198"/>
      <c r="S122" s="37"/>
      <c r="T122" s="37"/>
      <c r="U122" s="37"/>
      <c r="V122" s="198"/>
      <c r="W122" s="37"/>
      <c r="X122" s="86"/>
      <c r="Y122" s="198"/>
      <c r="Z122" s="37"/>
      <c r="AA122" s="37"/>
      <c r="AB122" s="29"/>
      <c r="AC122" s="198"/>
      <c r="AD122" s="37"/>
      <c r="AE122" s="89"/>
      <c r="AF122" s="266">
        <v>1</v>
      </c>
      <c r="AG122" s="169" t="str">
        <f>IF(AJ118&lt;&gt;"",IF(AJ120&lt;&gt;"",IF(AJ118=AJ120,"",IF(AJ118&gt;AJ120,AK118,AK120)),""),"")</f>
        <v>PABLO VASQUES GOMES</v>
      </c>
      <c r="AH122" s="94"/>
      <c r="AI122" s="37"/>
      <c r="AJ122" s="29"/>
      <c r="AK122" s="188"/>
      <c r="AL122" s="29"/>
    </row>
    <row r="123" spans="2:38" ht="18" customHeight="1" thickBot="1" x14ac:dyDescent="0.3">
      <c r="B123" s="133"/>
      <c r="C123" s="188"/>
      <c r="D123" s="29"/>
      <c r="E123" s="29"/>
      <c r="F123" s="34"/>
      <c r="G123" s="170" t="str">
        <f>IFERROR(IF(G122="","",VLOOKUP(G122,LISTAS!$F$5:$G$1004,2,0)),"0")</f>
        <v>COLÉGIO ENGENHEIRO SALVADOR ARENA</v>
      </c>
      <c r="H123" s="267"/>
      <c r="I123" s="105"/>
      <c r="J123" s="101"/>
      <c r="K123" s="190"/>
      <c r="L123" s="29"/>
      <c r="M123" s="29"/>
      <c r="N123" s="29"/>
      <c r="O123" s="188"/>
      <c r="P123" s="29"/>
      <c r="Q123" s="37"/>
      <c r="R123" s="198"/>
      <c r="S123" s="37"/>
      <c r="T123" s="37"/>
      <c r="U123" s="37"/>
      <c r="V123" s="198"/>
      <c r="W123" s="37"/>
      <c r="X123" s="86"/>
      <c r="Y123" s="198"/>
      <c r="Z123" s="37"/>
      <c r="AA123" s="37"/>
      <c r="AB123" s="29"/>
      <c r="AC123" s="198"/>
      <c r="AD123" s="37"/>
      <c r="AE123" s="90"/>
      <c r="AF123" s="267"/>
      <c r="AG123" s="170" t="str">
        <f>IFERROR(IF(AG122="","",VLOOKUP(AG122,LISTAS!$F$5:$G$1004,2,0)),"0")</f>
        <v>COLÉGIO ARBOS - UNIDADE SANTO ANDRÉ</v>
      </c>
      <c r="AH123" s="94"/>
      <c r="AI123" s="37"/>
      <c r="AJ123" s="29"/>
      <c r="AK123" s="188"/>
      <c r="AL123" s="29"/>
    </row>
    <row r="124" spans="2:38" ht="18" customHeight="1" x14ac:dyDescent="0.25">
      <c r="B124" s="133"/>
      <c r="C124" s="188"/>
      <c r="D124" s="29"/>
      <c r="E124" s="35"/>
      <c r="F124" s="36"/>
      <c r="G124" s="169" t="str">
        <f>IF(D126&lt;&gt;"",IF(D128&lt;&gt;"",IF(D126=D128,"",IF(D126&gt;D128,C126,C128)),""),"")</f>
        <v>BRUNO NEPOMUCENO DOS SANTOS</v>
      </c>
      <c r="H124" s="266">
        <v>1</v>
      </c>
      <c r="I124" s="106">
        <f>IF(H124&lt;&gt;"",H124,"")</f>
        <v>1</v>
      </c>
      <c r="J124" s="101" t="str">
        <f>IF(H124&lt;&gt;"",IF(G124="","",G124),"")</f>
        <v>BRUNO NEPOMUCENO DOS SANTOS</v>
      </c>
      <c r="K124" s="190" t="str">
        <f>VLOOKUP(K122,I122:J124,2,0)</f>
        <v>THIAGO SILVESTRE MORGAN</v>
      </c>
      <c r="L124" s="29"/>
      <c r="M124" s="29"/>
      <c r="N124" s="29"/>
      <c r="O124" s="188"/>
      <c r="P124" s="29"/>
      <c r="Q124" s="37"/>
      <c r="R124" s="198"/>
      <c r="S124" s="37"/>
      <c r="T124" s="37"/>
      <c r="U124" s="37"/>
      <c r="V124" s="198"/>
      <c r="W124" s="37"/>
      <c r="X124" s="86"/>
      <c r="Y124" s="198"/>
      <c r="Z124" s="37"/>
      <c r="AA124" s="37"/>
      <c r="AB124" s="29"/>
      <c r="AC124" s="198"/>
      <c r="AD124" s="37"/>
      <c r="AE124" s="91"/>
      <c r="AF124" s="266">
        <v>0</v>
      </c>
      <c r="AG124" s="169" t="str">
        <f>IF(AJ126&lt;&gt;"",IF(AJ128&lt;&gt;"",IF(AJ126=AJ128,"",IF(AJ126&gt;AJ128,AK126,AK128)),""),"")</f>
        <v>LUIGI ENRICO SILVA ZENORINI MURTA</v>
      </c>
      <c r="AH124" s="98"/>
      <c r="AI124" s="37"/>
      <c r="AJ124" s="29"/>
      <c r="AK124" s="188"/>
      <c r="AL124" s="29"/>
    </row>
    <row r="125" spans="2:38" ht="18" customHeight="1" thickBot="1" x14ac:dyDescent="0.3">
      <c r="B125" s="133"/>
      <c r="C125" s="188"/>
      <c r="D125" s="29"/>
      <c r="E125" s="35"/>
      <c r="F125" s="29"/>
      <c r="G125" s="170" t="str">
        <f>IFERROR(IF(G124="","",VLOOKUP(G124,LISTAS!$F$5:$G$1004,2,0)),"0")</f>
        <v>COLÉGIO ARBOS - UNIDADE SANTO ANDRÉ</v>
      </c>
      <c r="H125" s="267"/>
      <c r="I125" s="101"/>
      <c r="J125" s="101"/>
      <c r="K125" s="190"/>
      <c r="L125" s="29"/>
      <c r="M125" s="29"/>
      <c r="N125" s="29"/>
      <c r="O125" s="188"/>
      <c r="P125" s="29"/>
      <c r="Q125" s="37"/>
      <c r="R125" s="198"/>
      <c r="S125" s="37"/>
      <c r="T125" s="37"/>
      <c r="U125" s="37"/>
      <c r="V125" s="198"/>
      <c r="W125" s="37"/>
      <c r="X125" s="86"/>
      <c r="Y125" s="198"/>
      <c r="Z125" s="37"/>
      <c r="AA125" s="37"/>
      <c r="AB125" s="29"/>
      <c r="AC125" s="198"/>
      <c r="AD125" s="37"/>
      <c r="AE125" s="37"/>
      <c r="AF125" s="267"/>
      <c r="AG125" s="170" t="str">
        <f>IFERROR(IF(AG124="","",VLOOKUP(AG124,LISTAS!$F$5:$G$1004,2,0)),"0")</f>
        <v>ESCOLA IL SOLE</v>
      </c>
      <c r="AH125" s="37"/>
      <c r="AI125" s="89"/>
      <c r="AJ125" s="29"/>
      <c r="AK125" s="188"/>
      <c r="AL125" s="29"/>
    </row>
    <row r="126" spans="2:38" ht="18" customHeight="1" x14ac:dyDescent="0.25">
      <c r="B126" s="133">
        <v>29</v>
      </c>
      <c r="C126" s="169" t="str">
        <f>IF('15M GRP'!G5&gt;=3,'15M GRP'!J386,IF('15M GRP'!G5=2,"",IF('15M GRP'!G5=1,"","")))</f>
        <v/>
      </c>
      <c r="D126" s="266">
        <v>0</v>
      </c>
      <c r="E126" s="148">
        <f>IF(D126&lt;&gt;"",D126,"")</f>
        <v>0</v>
      </c>
      <c r="F126" s="101" t="str">
        <f>IF(D126&lt;&gt;"",IF(C126="","",C126),"")</f>
        <v/>
      </c>
      <c r="G126" s="190">
        <f>IF(E126&lt;&gt;"",IF(E128&lt;&gt;"",SMALL(E126:E128,1),""),"")</f>
        <v>0</v>
      </c>
      <c r="H126" s="87"/>
      <c r="I126" s="29"/>
      <c r="J126" s="29"/>
      <c r="K126" s="188"/>
      <c r="L126" s="29"/>
      <c r="M126" s="29"/>
      <c r="N126" s="29"/>
      <c r="O126" s="188"/>
      <c r="P126" s="29"/>
      <c r="Q126" s="37"/>
      <c r="R126" s="198"/>
      <c r="S126" s="37"/>
      <c r="T126" s="37"/>
      <c r="U126" s="37"/>
      <c r="V126" s="198"/>
      <c r="W126" s="37"/>
      <c r="X126" s="86"/>
      <c r="Y126" s="198"/>
      <c r="Z126" s="37"/>
      <c r="AA126" s="37"/>
      <c r="AB126" s="29"/>
      <c r="AC126" s="198"/>
      <c r="AD126" s="37"/>
      <c r="AE126" s="100"/>
      <c r="AF126" s="100"/>
      <c r="AG126" s="197">
        <f>IF(AJ126&lt;&gt;"",AJ126,"")</f>
        <v>0</v>
      </c>
      <c r="AH126" s="100" t="str">
        <f>IF(AJ126&lt;&gt;"",IF(AK126="","",AK126),"")</f>
        <v/>
      </c>
      <c r="AI126" s="137">
        <f>IF(AG126&lt;&gt;"",IF(AG128&lt;&gt;"",SMALL(AG126:AG128,1),""),"")</f>
        <v>0</v>
      </c>
      <c r="AJ126" s="266">
        <v>0</v>
      </c>
      <c r="AK126" s="169" t="str">
        <f>IF('15M GRP'!G5&gt;=3,'15M GRP'!J412,IF('15M GRP'!G5=2,"",IF('15M GRP'!G5=1,"","")))</f>
        <v/>
      </c>
      <c r="AL126" s="29">
        <v>31</v>
      </c>
    </row>
    <row r="127" spans="2:38" ht="18" customHeight="1" thickBot="1" x14ac:dyDescent="0.3">
      <c r="B127" s="133"/>
      <c r="C127" s="170" t="str">
        <f>IFERROR(IF(C126="","",VLOOKUP(C126,LISTAS!$F$5:$G$1004,2,0)),"0")</f>
        <v/>
      </c>
      <c r="D127" s="267"/>
      <c r="E127" s="105"/>
      <c r="F127" s="101"/>
      <c r="G127" s="190"/>
      <c r="H127" s="87"/>
      <c r="I127" s="29"/>
      <c r="J127" s="29"/>
      <c r="K127" s="188"/>
      <c r="L127" s="29"/>
      <c r="M127" s="29"/>
      <c r="N127" s="29"/>
      <c r="O127" s="188"/>
      <c r="P127" s="29"/>
      <c r="Q127" s="37"/>
      <c r="R127" s="198"/>
      <c r="S127" s="37"/>
      <c r="T127" s="37"/>
      <c r="U127" s="37"/>
      <c r="V127" s="198"/>
      <c r="W127" s="37"/>
      <c r="X127" s="86"/>
      <c r="Y127" s="198"/>
      <c r="Z127" s="37"/>
      <c r="AA127" s="37"/>
      <c r="AB127" s="29"/>
      <c r="AC127" s="198"/>
      <c r="AD127" s="37"/>
      <c r="AE127" s="100"/>
      <c r="AF127" s="100"/>
      <c r="AG127" s="197"/>
      <c r="AH127" s="100"/>
      <c r="AI127" s="103"/>
      <c r="AJ127" s="267"/>
      <c r="AK127" s="170" t="str">
        <f>IFERROR(IF(AK126="","",VLOOKUP(AK126,LISTAS!$F$5:$G$1004,2,0)),"0")</f>
        <v/>
      </c>
      <c r="AL127" s="29"/>
    </row>
    <row r="128" spans="2:38" ht="18" customHeight="1" x14ac:dyDescent="0.25">
      <c r="B128" s="133">
        <v>4</v>
      </c>
      <c r="C128" s="169" t="str">
        <f>IF('15M GRP'!G5&gt;=3,'15M GRP'!J61,IF('15M GRP'!G5=2,IF('15M GRP'!H8=3,"",'15M GRP'!J33),IF('15M GRP'!G5=1,"","")))</f>
        <v>BRUNO NEPOMUCENO DOS SANTOS</v>
      </c>
      <c r="D128" s="266">
        <v>1</v>
      </c>
      <c r="E128" s="106">
        <f>IF(D128&lt;&gt;"",D128,"")</f>
        <v>1</v>
      </c>
      <c r="F128" s="101" t="str">
        <f>IF(D128&lt;&gt;"",IF(C128="","",C128),"")</f>
        <v>BRUNO NEPOMUCENO DOS SANTOS</v>
      </c>
      <c r="G128" s="190" t="str">
        <f>VLOOKUP(G126,E126:F128,2,0)</f>
        <v/>
      </c>
      <c r="H128" s="87"/>
      <c r="I128" s="29"/>
      <c r="J128" s="29"/>
      <c r="K128" s="188"/>
      <c r="L128" s="29"/>
      <c r="M128" s="29"/>
      <c r="N128" s="29"/>
      <c r="O128" s="188"/>
      <c r="P128" s="29"/>
      <c r="Q128" s="37"/>
      <c r="R128" s="198"/>
      <c r="S128" s="37"/>
      <c r="T128" s="37"/>
      <c r="U128" s="37"/>
      <c r="V128" s="198"/>
      <c r="W128" s="37"/>
      <c r="X128" s="86"/>
      <c r="Y128" s="198"/>
      <c r="Z128" s="37"/>
      <c r="AA128" s="37"/>
      <c r="AB128" s="29"/>
      <c r="AC128" s="198"/>
      <c r="AD128" s="37"/>
      <c r="AE128" s="100"/>
      <c r="AF128" s="100"/>
      <c r="AG128" s="197">
        <f>IF(AJ128&lt;&gt;"",AJ128,"")</f>
        <v>1</v>
      </c>
      <c r="AH128" s="100" t="str">
        <f>IF(AJ128&lt;&gt;"",IF(AK128="","",AK128),"")</f>
        <v>LUIGI ENRICO SILVA ZENORINI MURTA</v>
      </c>
      <c r="AI128" s="104" t="str">
        <f>VLOOKUP(AI126,AG126:AH128,2,0)</f>
        <v/>
      </c>
      <c r="AJ128" s="266">
        <v>1</v>
      </c>
      <c r="AK128" s="169" t="str">
        <f>IF('15M GRP'!G5&gt;=3,'15M GRP'!J31,IF('15M GRP'!G5=2,IF('15M GRP'!H8=3,'15M GRP'!J31,'15M GRP'!J32),IF('15M GRP'!G5=1,"","")))</f>
        <v>LUIGI ENRICO SILVA ZENORINI MURTA</v>
      </c>
      <c r="AL128" s="29">
        <v>2</v>
      </c>
    </row>
    <row r="129" spans="2:48" ht="18" customHeight="1" thickBot="1" x14ac:dyDescent="0.3">
      <c r="B129" s="133"/>
      <c r="C129" s="170" t="str">
        <f>IFERROR(IF(C128="","",VLOOKUP(C128,LISTAS!$F$5:$G$1004,2,0)),"0")</f>
        <v>COLÉGIO ARBOS - UNIDADE SANTO ANDRÉ</v>
      </c>
      <c r="D129" s="267"/>
      <c r="E129" s="101"/>
      <c r="F129" s="101"/>
      <c r="G129" s="190"/>
      <c r="H129" s="87"/>
      <c r="I129" s="29"/>
      <c r="J129" s="29"/>
      <c r="K129" s="188"/>
      <c r="L129" s="29"/>
      <c r="M129" s="29"/>
      <c r="N129" s="29"/>
      <c r="O129" s="188"/>
      <c r="P129" s="29"/>
      <c r="Q129" s="37"/>
      <c r="R129" s="198"/>
      <c r="S129" s="37"/>
      <c r="T129" s="37"/>
      <c r="U129" s="37"/>
      <c r="V129" s="198"/>
      <c r="W129" s="37"/>
      <c r="X129" s="86"/>
      <c r="Y129" s="198"/>
      <c r="Z129" s="37"/>
      <c r="AA129" s="37"/>
      <c r="AB129" s="29"/>
      <c r="AC129" s="198"/>
      <c r="AD129" s="37"/>
      <c r="AE129" s="100"/>
      <c r="AF129" s="100"/>
      <c r="AG129" s="197"/>
      <c r="AH129" s="100"/>
      <c r="AI129" s="101"/>
      <c r="AJ129" s="267"/>
      <c r="AK129" s="170" t="str">
        <f>IFERROR(IF(AK128="","",VLOOKUP(AK128,LISTAS!$F$5:$G$1004,2,0)),"0")</f>
        <v>ESCOLA IL SOLE</v>
      </c>
      <c r="AL129" s="29"/>
    </row>
    <row r="130" spans="2:48" ht="18" customHeight="1" x14ac:dyDescent="0.25">
      <c r="B130" s="133"/>
      <c r="C130" s="189"/>
      <c r="D130" s="84"/>
      <c r="E130" s="134"/>
      <c r="F130" s="134"/>
      <c r="G130" s="193"/>
      <c r="H130" s="134"/>
      <c r="I130" s="84"/>
      <c r="J130" s="84"/>
      <c r="K130" s="189"/>
      <c r="L130" s="84"/>
      <c r="M130" s="84"/>
      <c r="N130" s="84"/>
      <c r="O130" s="189"/>
      <c r="P130" s="84"/>
      <c r="Q130" s="37"/>
      <c r="R130" s="198"/>
      <c r="S130" s="37"/>
      <c r="T130" s="37"/>
      <c r="U130" s="37"/>
      <c r="V130" s="198"/>
      <c r="W130" s="37"/>
      <c r="X130" s="86"/>
      <c r="Y130" s="198"/>
      <c r="Z130" s="37"/>
      <c r="AA130" s="37"/>
      <c r="AB130" s="29"/>
      <c r="AC130" s="198"/>
      <c r="AD130" s="37"/>
      <c r="AE130" s="100"/>
      <c r="AF130" s="100"/>
      <c r="AG130" s="197"/>
      <c r="AH130" s="100"/>
      <c r="AI130" s="100"/>
      <c r="AJ130" s="84"/>
      <c r="AK130" s="189"/>
      <c r="AL130" s="29"/>
    </row>
    <row r="131" spans="2:48" ht="18" customHeight="1" x14ac:dyDescent="0.25">
      <c r="B131" s="29"/>
      <c r="C131" s="189"/>
      <c r="D131" s="84"/>
      <c r="E131" s="84"/>
      <c r="F131" s="84"/>
      <c r="G131" s="189"/>
      <c r="H131" s="84"/>
      <c r="I131" s="84"/>
      <c r="J131" s="84"/>
      <c r="K131" s="189"/>
      <c r="L131" s="84"/>
      <c r="M131" s="84"/>
      <c r="N131" s="84"/>
      <c r="O131" s="189"/>
      <c r="P131" s="84"/>
      <c r="Q131" s="37"/>
      <c r="R131" s="198"/>
      <c r="S131" s="37"/>
      <c r="T131" s="37"/>
      <c r="U131" s="37"/>
      <c r="V131" s="198"/>
      <c r="W131" s="37"/>
      <c r="X131" s="86"/>
      <c r="Y131" s="198"/>
      <c r="Z131" s="37"/>
      <c r="AA131" s="37"/>
      <c r="AB131" s="29"/>
      <c r="AC131" s="198"/>
      <c r="AD131" s="37"/>
      <c r="AE131" s="37"/>
      <c r="AF131" s="37"/>
      <c r="AG131" s="199"/>
      <c r="AH131" s="88"/>
      <c r="AI131" s="88"/>
      <c r="AJ131" s="84"/>
      <c r="AK131" s="189"/>
      <c r="AL131" s="29"/>
    </row>
    <row r="132" spans="2:48" ht="18" customHeight="1" x14ac:dyDescent="0.25">
      <c r="B132" s="22"/>
      <c r="C132" s="168"/>
      <c r="D132" s="22"/>
      <c r="E132" s="22"/>
      <c r="F132" s="22"/>
      <c r="G132" s="168"/>
      <c r="H132" s="22"/>
      <c r="I132" s="22"/>
      <c r="J132" s="22"/>
      <c r="K132" s="168"/>
      <c r="L132" s="22"/>
      <c r="M132" s="22"/>
      <c r="N132" s="22"/>
      <c r="O132" s="168"/>
      <c r="P132" s="22"/>
      <c r="W132" s="22"/>
      <c r="X132" s="22"/>
      <c r="Y132" s="168"/>
      <c r="Z132" s="22"/>
      <c r="AA132" s="22"/>
      <c r="AB132" s="22"/>
      <c r="AC132" s="168"/>
      <c r="AD132" s="22"/>
      <c r="AE132" s="22"/>
      <c r="AF132" s="22"/>
      <c r="AG132" s="168"/>
      <c r="AH132" s="22"/>
      <c r="AI132" s="22"/>
      <c r="AJ132" s="22"/>
      <c r="AK132" s="168"/>
    </row>
    <row r="133" spans="2:48" ht="18" customHeight="1" x14ac:dyDescent="0.25">
      <c r="B133" s="22"/>
      <c r="C133" s="168"/>
      <c r="D133" s="22"/>
      <c r="E133" s="22"/>
      <c r="F133" s="22"/>
      <c r="G133" s="168"/>
      <c r="H133" s="22"/>
      <c r="I133" s="22"/>
      <c r="J133" s="22"/>
      <c r="K133" s="168"/>
      <c r="L133" s="22"/>
      <c r="M133" s="22"/>
      <c r="N133" s="22"/>
      <c r="O133" s="168"/>
      <c r="P133" s="22"/>
      <c r="W133" s="22"/>
      <c r="X133" s="22"/>
      <c r="Y133" s="168"/>
      <c r="Z133" s="22"/>
      <c r="AA133" s="22"/>
      <c r="AB133" s="22"/>
      <c r="AC133" s="168"/>
      <c r="AD133" s="22"/>
      <c r="AE133" s="22"/>
      <c r="AF133" s="22"/>
      <c r="AG133" s="168"/>
      <c r="AH133" s="22"/>
      <c r="AI133" s="22"/>
      <c r="AJ133" s="22"/>
      <c r="AK133" s="168"/>
    </row>
    <row r="134" spans="2:48" ht="30" customHeight="1" x14ac:dyDescent="0.25">
      <c r="B134" s="251" t="s">
        <v>22</v>
      </c>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52"/>
      <c r="AE134" s="252"/>
      <c r="AF134" s="252"/>
      <c r="AG134" s="252"/>
      <c r="AH134" s="252"/>
      <c r="AI134" s="252"/>
      <c r="AJ134" s="252"/>
      <c r="AK134" s="252"/>
      <c r="AL134" s="252"/>
      <c r="AP134" s="241" t="s">
        <v>23</v>
      </c>
      <c r="AQ134" s="241"/>
      <c r="AR134" s="241"/>
      <c r="AS134" s="241"/>
      <c r="AT134" s="241"/>
      <c r="AU134" s="241"/>
    </row>
    <row r="135" spans="2:48" ht="18" customHeight="1" thickBot="1" x14ac:dyDescent="0.3">
      <c r="B135" s="135"/>
      <c r="C135" s="187"/>
      <c r="D135" s="27"/>
      <c r="E135" s="27"/>
      <c r="F135" s="27"/>
      <c r="G135" s="191"/>
      <c r="H135" s="27"/>
      <c r="I135" s="27"/>
      <c r="J135" s="27"/>
      <c r="K135" s="195"/>
      <c r="L135" s="27"/>
      <c r="M135" s="27"/>
      <c r="N135" s="27"/>
      <c r="O135" s="195"/>
      <c r="P135" s="27"/>
      <c r="Q135" s="27"/>
      <c r="R135" s="195"/>
      <c r="S135" s="27"/>
      <c r="T135" s="27"/>
      <c r="U135" s="27"/>
      <c r="V135" s="195"/>
      <c r="W135" s="27"/>
      <c r="X135" s="26"/>
      <c r="Y135" s="195"/>
      <c r="Z135" s="27"/>
      <c r="AA135" s="27"/>
      <c r="AB135" s="92"/>
      <c r="AC135" s="195"/>
      <c r="AD135" s="27"/>
      <c r="AE135" s="27"/>
      <c r="AF135" s="27"/>
      <c r="AG135" s="195"/>
      <c r="AH135" s="27"/>
      <c r="AI135" s="27"/>
      <c r="AJ135" s="27"/>
      <c r="AK135" s="195"/>
      <c r="AL135" s="27"/>
      <c r="AP135" s="258" t="s">
        <v>3</v>
      </c>
      <c r="AQ135" s="260"/>
      <c r="AR135" s="132" t="s">
        <v>15</v>
      </c>
      <c r="AS135" s="132" t="s">
        <v>0</v>
      </c>
      <c r="AT135" s="132" t="s">
        <v>16</v>
      </c>
      <c r="AU135" s="132" t="s">
        <v>17</v>
      </c>
    </row>
    <row r="136" spans="2:48" ht="18" customHeight="1" x14ac:dyDescent="0.25">
      <c r="B136" s="136">
        <v>1</v>
      </c>
      <c r="C136" s="171" t="str">
        <f>IF('15M GRP'!G5&gt;=3,'15M GRP'!J10,IF('15M GRP'!G5=2,IF('15M GRP'!H8=3,'15M GRP'!J10,""),IF('15M GRP'!G5=1,"","")))</f>
        <v>DAVI L RUGGERI</v>
      </c>
      <c r="D136" s="266">
        <v>1</v>
      </c>
      <c r="E136" s="101">
        <f>IF(D136&lt;&gt;"",D136,"")</f>
        <v>1</v>
      </c>
      <c r="F136" s="101" t="str">
        <f>IF(D136&lt;&gt;"",IF(C136="","",C136),"")</f>
        <v>DAVI L RUGGERI</v>
      </c>
      <c r="G136" s="190">
        <f>IF(E136&lt;&gt;"",IF(E138&lt;&gt;"",SMALL(E136:E138,1),""),"")</f>
        <v>0</v>
      </c>
      <c r="H136" s="101"/>
      <c r="I136" s="101"/>
      <c r="J136" s="101"/>
      <c r="K136" s="190"/>
      <c r="L136" s="29"/>
      <c r="M136" s="30"/>
      <c r="N136" s="30"/>
      <c r="O136" s="196"/>
      <c r="P136" s="30"/>
      <c r="Q136" s="37"/>
      <c r="R136" s="198"/>
      <c r="S136" s="37"/>
      <c r="T136" s="37"/>
      <c r="U136" s="37"/>
      <c r="V136" s="198"/>
      <c r="W136" s="37"/>
      <c r="X136" s="86"/>
      <c r="Y136" s="198"/>
      <c r="Z136" s="37"/>
      <c r="AA136" s="37"/>
      <c r="AB136" s="29"/>
      <c r="AC136" s="198"/>
      <c r="AD136" s="37"/>
      <c r="AE136" s="37"/>
      <c r="AF136" s="37"/>
      <c r="AG136" s="197">
        <f>IF(AJ136&lt;&gt;"",AJ136,"")</f>
        <v>1</v>
      </c>
      <c r="AH136" s="100" t="str">
        <f>IF(AJ136&lt;&gt;"",IF(AK136="","",AK136),"")</f>
        <v>BENICIO VASCONCELOS VIEIRA</v>
      </c>
      <c r="AI136" s="101">
        <f>IF(AG136&lt;&gt;"",IF(AG138&lt;&gt;"",SMALL(AG136:AG138,1),""),"")</f>
        <v>0</v>
      </c>
      <c r="AJ136" s="266">
        <v>1</v>
      </c>
      <c r="AK136" s="171" t="str">
        <f>IF('15M GRP'!G5&gt;=3,'15M GRP'!J49,IF('15M GRP'!G5=2,"",IF('15M GRP'!G5=1,"","")))</f>
        <v>BENICIO VASCONCELOS VIEIRA</v>
      </c>
      <c r="AL136" s="99">
        <v>3</v>
      </c>
      <c r="AP136" s="31">
        <f>IF(AR136&lt;&gt;"",1,"")</f>
        <v>1</v>
      </c>
      <c r="AQ136" s="32" t="str">
        <f>IF(AP136&lt;&gt;"","LUGAR","")</f>
        <v>LUGAR</v>
      </c>
      <c r="AR136" s="33" t="str">
        <f>IF(S164&lt;&gt;"",IF(U164&lt;&gt;"",IF(S164=U164,"",IF(S164&gt;U164,R164,V164)),""),"")</f>
        <v>FELIPE RIBEIRO DA SILVA MOREIRA</v>
      </c>
      <c r="AS136" s="33" t="str">
        <f>IFERROR(IF(AR136="","",VLOOKUP(AR136,LISTAS!$F$5:$G$1004,2,0)),"0")</f>
        <v>EDUCANDÁRIO - S.A</v>
      </c>
      <c r="AT136" s="33">
        <f>IF(AP136="","",IF(AP136=1,100,IF(AP136=2,80,IF(AP136=3,70,IF(AP136=4,50,IF(AP136=5,45,IF(AP136=6,40,IF(AP136=7,35,IF(AP136=8,30,IF(AP136=9,28,IF(AP136=10,28,IF(AP136=11,28,IF(AP136=12,28,IF(AP136=13,28,IF(AP136=14,28,IF(AP136=15,28,IF(AP136=16,28,IF(AP136&gt;16,"",""))))))))))))))))))</f>
        <v>100</v>
      </c>
      <c r="AU136" s="33">
        <f>IF(AP136="","",IF($AS$5="NÃO","",IF(AP136=1,100,IF(AP136=2,80,IF(AP136=3,70,IF(AP136=4,50,IF(AP136=5,45,IF(AP136=6,40,IF(AP136=7,35,IF(AP136=8,30,IF(AP136=9,28,IF(AP136=10,28,IF(AP136=11,28,IF(AP136=12,28,IF(AP136=13,28,IF(AP136=14,28,IF(AP136=15,28,IF(AP136=16,28,IF(AP136&gt;16,"","")))))))))))))))))))</f>
        <v>100</v>
      </c>
    </row>
    <row r="137" spans="2:48" ht="18" customHeight="1" thickBot="1" x14ac:dyDescent="0.3">
      <c r="B137" s="136"/>
      <c r="C137" s="172" t="str">
        <f>IFERROR(IF(C136="","",VLOOKUP(C136,LISTAS!$F$5:$G$1004,2,0)),"0")</f>
        <v>COLEGIO PETROPOLIS</v>
      </c>
      <c r="D137" s="267"/>
      <c r="E137" s="101"/>
      <c r="F137" s="101"/>
      <c r="G137" s="190"/>
      <c r="H137" s="101"/>
      <c r="I137" s="101"/>
      <c r="J137" s="101"/>
      <c r="K137" s="190"/>
      <c r="L137" s="29"/>
      <c r="M137" s="30"/>
      <c r="N137" s="30"/>
      <c r="O137" s="196"/>
      <c r="P137" s="30"/>
      <c r="Q137" s="37"/>
      <c r="R137" s="198"/>
      <c r="S137" s="37"/>
      <c r="T137" s="37"/>
      <c r="U137" s="37"/>
      <c r="V137" s="198"/>
      <c r="W137" s="37"/>
      <c r="X137" s="86"/>
      <c r="Y137" s="198"/>
      <c r="Z137" s="37"/>
      <c r="AA137" s="37"/>
      <c r="AB137" s="29"/>
      <c r="AC137" s="198"/>
      <c r="AD137" s="37"/>
      <c r="AE137" s="37"/>
      <c r="AF137" s="37"/>
      <c r="AG137" s="197"/>
      <c r="AH137" s="100"/>
      <c r="AI137" s="101"/>
      <c r="AJ137" s="267"/>
      <c r="AK137" s="172" t="str">
        <f>IFERROR(IF(AK136="","",VLOOKUP(AK136,LISTAS!$F$5:$G$1004,2,0)),"0")</f>
        <v>ESCOLA STAGIUM</v>
      </c>
      <c r="AL137" s="99"/>
      <c r="AP137" s="31">
        <f>IF(AR137&lt;&gt;"",1+COUNTIF(AP136,"1"),"")</f>
        <v>2</v>
      </c>
      <c r="AQ137" s="32" t="str">
        <f t="shared" ref="AQ137:AQ167" si="6">IF(AP137&lt;&gt;"","LUGAR","")</f>
        <v>LUGAR</v>
      </c>
      <c r="AR137" s="33" t="str">
        <f>IF(S164&lt;&gt;"",IF(U164&lt;&gt;"",IF(S164=U164,"",IF(S164&lt;U164,R164,V164)),""),"")</f>
        <v>LEONARDO GUIRELLI DE ABREU</v>
      </c>
      <c r="AS137" s="33" t="str">
        <f>IFERROR(IF(AR137="","",VLOOKUP(AR137,LISTAS!$F$5:$G$1004,2,0)),"0")</f>
        <v>COLEGIO PETROPOLIS</v>
      </c>
      <c r="AT137" s="33">
        <f t="shared" ref="AT137:AT166" si="7">IF(AP137="","",IF(AP137=1,100,IF(AP137=2,80,IF(AP137=3,70,IF(AP137=4,50,IF(AP137=5,45,IF(AP137=6,40,IF(AP137=7,35,IF(AP137=8,30,IF(AP137=9,28,IF(AP137=10,28,IF(AP137=11,28,IF(AP137=12,28,IF(AP137=13,28,IF(AP137=14,28,IF(AP137=15,28,IF(AP137=16,28,IF(AP137&gt;16,"",""))))))))))))))))))</f>
        <v>80</v>
      </c>
      <c r="AU137" s="33">
        <f t="shared" ref="AU137:AU166" si="8">IF(AP137="","",IF($AS$5="NÃO","",IF(AP137=1,100,IF(AP137=2,80,IF(AP137=3,70,IF(AP137=4,50,IF(AP137=5,45,IF(AP137=6,40,IF(AP137=7,35,IF(AP137=8,30,IF(AP137=9,28,IF(AP137=10,28,IF(AP137=11,28,IF(AP137=12,28,IF(AP137=13,28,IF(AP137=14,28,IF(AP137=15,28,IF(AP137=16,28,IF(AP137&gt;16,"","")))))))))))))))))))</f>
        <v>80</v>
      </c>
    </row>
    <row r="138" spans="2:48" ht="18" customHeight="1" x14ac:dyDescent="0.25">
      <c r="B138" s="133">
        <v>32</v>
      </c>
      <c r="C138" s="171" t="str">
        <f>IF('15M GRP'!G5&gt;=3,'15M GRP'!J426,IF('15M GRP'!G5=2,"",IF('15M GRP'!G5=1,"","")))</f>
        <v/>
      </c>
      <c r="D138" s="266">
        <v>0</v>
      </c>
      <c r="E138" s="107">
        <f>IF(D138&lt;&gt;"",D138,"")</f>
        <v>0</v>
      </c>
      <c r="F138" s="101" t="str">
        <f>IF(D138&lt;&gt;"",IF(C138="","",C138),"")</f>
        <v/>
      </c>
      <c r="G138" s="190" t="str">
        <f>VLOOKUP(G136,E136:F138,2,0)</f>
        <v/>
      </c>
      <c r="H138" s="101"/>
      <c r="I138" s="101"/>
      <c r="J138" s="101"/>
      <c r="K138" s="190"/>
      <c r="L138" s="29"/>
      <c r="M138" s="30"/>
      <c r="N138" s="30"/>
      <c r="O138" s="196"/>
      <c r="P138" s="30"/>
      <c r="Q138" s="37"/>
      <c r="R138" s="198"/>
      <c r="S138" s="37"/>
      <c r="T138" s="37"/>
      <c r="U138" s="37"/>
      <c r="V138" s="198"/>
      <c r="W138" s="37"/>
      <c r="X138" s="86"/>
      <c r="Y138" s="198"/>
      <c r="Z138" s="37"/>
      <c r="AA138" s="37"/>
      <c r="AB138" s="29"/>
      <c r="AC138" s="198"/>
      <c r="AD138" s="37"/>
      <c r="AE138" s="37"/>
      <c r="AF138" s="37"/>
      <c r="AG138" s="197">
        <f>IF(AJ138&lt;&gt;"",AJ138,"")</f>
        <v>0</v>
      </c>
      <c r="AH138" s="100" t="str">
        <f>IF(AJ138&lt;&gt;"",IF(AK138="","",AK138),"")</f>
        <v/>
      </c>
      <c r="AI138" s="102" t="str">
        <f>VLOOKUP(AI136,AG136:AH138,2,0)</f>
        <v/>
      </c>
      <c r="AJ138" s="266">
        <v>0</v>
      </c>
      <c r="AK138" s="171" t="str">
        <f>IF('15M GRP'!G5&gt;=3,'15M GRP'!J400,IF('15M GRP'!G5=2,"",IF('15M GRP'!G5=1,"","")))</f>
        <v/>
      </c>
      <c r="AL138" s="29">
        <v>30</v>
      </c>
      <c r="AP138" s="31">
        <f>IF(AR138&lt;&gt;"",1+COUNTIF(AP136:AP137,"1")+COUNTIF(AP136:AP137,"2"),"")</f>
        <v>3</v>
      </c>
      <c r="AQ138" s="32" t="str">
        <f t="shared" si="6"/>
        <v>LUGAR</v>
      </c>
      <c r="AR138" s="111" t="str">
        <f>IF(AR136&lt;&gt;"",IF(O163=AR136,O165,IF(O165=AR136,O163,IF(Y163=AR136,Y165,IF(Y165=AR136,Y163)))),"")</f>
        <v>GABRIEL EDUARDO MARINELLI PEGO</v>
      </c>
      <c r="AS138" s="33" t="str">
        <f>IFERROR(IF(AR138="","",VLOOKUP(AR138,LISTAS!$F$5:$G$1004,2,0)),"0")</f>
        <v>COLÉGIO SÃO MAURO</v>
      </c>
      <c r="AT138" s="33">
        <f t="shared" si="7"/>
        <v>70</v>
      </c>
      <c r="AU138" s="33">
        <f t="shared" si="8"/>
        <v>70</v>
      </c>
    </row>
    <row r="139" spans="2:48" ht="18" customHeight="1" thickBot="1" x14ac:dyDescent="0.3">
      <c r="B139" s="133"/>
      <c r="C139" s="172" t="str">
        <f>IFERROR(IF(C138="","",VLOOKUP(C138,LISTAS!$F$5:$G$1004,2,0)),"0")</f>
        <v/>
      </c>
      <c r="D139" s="267"/>
      <c r="E139" s="148"/>
      <c r="F139" s="101"/>
      <c r="G139" s="190"/>
      <c r="H139" s="101"/>
      <c r="I139" s="101"/>
      <c r="J139" s="101"/>
      <c r="K139" s="190"/>
      <c r="L139" s="29"/>
      <c r="M139" s="30"/>
      <c r="N139" s="30"/>
      <c r="O139" s="196"/>
      <c r="P139" s="30"/>
      <c r="Q139" s="37"/>
      <c r="R139" s="198"/>
      <c r="S139" s="37"/>
      <c r="T139" s="37"/>
      <c r="U139" s="37"/>
      <c r="V139" s="198"/>
      <c r="W139" s="37"/>
      <c r="X139" s="86"/>
      <c r="Y139" s="198"/>
      <c r="Z139" s="37"/>
      <c r="AA139" s="37"/>
      <c r="AB139" s="29"/>
      <c r="AC139" s="198"/>
      <c r="AD139" s="37"/>
      <c r="AE139" s="37"/>
      <c r="AF139" s="37"/>
      <c r="AG139" s="197"/>
      <c r="AH139" s="100"/>
      <c r="AI139" s="142"/>
      <c r="AJ139" s="267"/>
      <c r="AK139" s="172" t="str">
        <f>IFERROR(IF(AK138="","",VLOOKUP(AK138,LISTAS!$F$5:$G$1004,2,0)),"0")</f>
        <v/>
      </c>
      <c r="AL139" s="29"/>
      <c r="AP139" s="31">
        <f>IF(AR139&lt;&gt;"",1+COUNTIF(AP136:AP138,"1")+COUNTIF(AP136:AP138,"2")+COUNTIF(AP136:AP138,"3"),"")</f>
        <v>4</v>
      </c>
      <c r="AQ139" s="32" t="str">
        <f t="shared" si="6"/>
        <v>LUGAR</v>
      </c>
      <c r="AR139" s="111" t="str">
        <f>IF(AR137&lt;&gt;"",IF(O163=AR137,O165,IF(O165=AR137,O163,IF(Y163=AR137,Y165,IF(Y165=AR137,Y163)))),"")</f>
        <v>BENICIO VASCONCELOS VIEIRA</v>
      </c>
      <c r="AS139" s="33" t="str">
        <f>IFERROR(IF(AR139="","",VLOOKUP(AR139,LISTAS!$F$5:$G$1004,2,0)),"0")</f>
        <v>ESCOLA STAGIUM</v>
      </c>
      <c r="AT139" s="33">
        <f t="shared" si="7"/>
        <v>50</v>
      </c>
      <c r="AU139" s="33">
        <f t="shared" si="8"/>
        <v>50</v>
      </c>
    </row>
    <row r="140" spans="2:48" ht="18" customHeight="1" x14ac:dyDescent="0.25">
      <c r="B140" s="133"/>
      <c r="C140" s="188"/>
      <c r="D140" s="29"/>
      <c r="E140" s="29"/>
      <c r="F140" s="34"/>
      <c r="G140" s="171" t="str">
        <f>IF(D136&lt;&gt;"",IF(D138&lt;&gt;"",IF(D136=D138,"",IF(D136&gt;D138,C136,C138)),""),"")</f>
        <v>DAVI L RUGGERI</v>
      </c>
      <c r="H140" s="266">
        <v>0</v>
      </c>
      <c r="I140" s="101">
        <f>IF(H140&lt;&gt;"",H140,"")</f>
        <v>0</v>
      </c>
      <c r="J140" s="101" t="str">
        <f>IF(H140&lt;&gt;"",IF(G140="","",G140),"")</f>
        <v>DAVI L RUGGERI</v>
      </c>
      <c r="K140" s="190">
        <f>IF(I140&lt;&gt;"",IF(I142&lt;&gt;"",SMALL(I140:J142,1),""),"")</f>
        <v>0</v>
      </c>
      <c r="L140" s="101"/>
      <c r="M140" s="101"/>
      <c r="N140" s="101"/>
      <c r="O140" s="188"/>
      <c r="P140" s="29"/>
      <c r="Q140" s="37"/>
      <c r="R140" s="198"/>
      <c r="S140" s="37"/>
      <c r="T140" s="37"/>
      <c r="U140" s="37"/>
      <c r="V140" s="198"/>
      <c r="W140" s="37"/>
      <c r="X140" s="86"/>
      <c r="Y140" s="198"/>
      <c r="Z140" s="37"/>
      <c r="AA140" s="37"/>
      <c r="AB140" s="29"/>
      <c r="AC140" s="198"/>
      <c r="AD140" s="37"/>
      <c r="AE140" s="95"/>
      <c r="AF140" s="266">
        <v>1</v>
      </c>
      <c r="AG140" s="171" t="str">
        <f>IF(AJ136&lt;&gt;"",IF(AJ138&lt;&gt;"",IF(AJ136=AJ138,"",IF(AJ136&gt;AJ138,AK136,AK138)),""),"")</f>
        <v>BENICIO VASCONCELOS VIEIRA</v>
      </c>
      <c r="AH140" s="94"/>
      <c r="AI140" s="37"/>
      <c r="AJ140" s="29"/>
      <c r="AK140" s="188"/>
      <c r="AL140" s="29"/>
      <c r="AP140" s="31">
        <f>IF(AR140&lt;&gt;"",1+COUNTIF(AP136:AP139,"1")+COUNTIF(AP136:AP139,"2")+COUNTIF(AP136:AP139,"3")+COUNTIF(AP136:AP139,"4"),"")</f>
        <v>5</v>
      </c>
      <c r="AQ140" s="32" t="str">
        <f t="shared" si="6"/>
        <v>LUGAR</v>
      </c>
      <c r="AR140" s="111" t="str">
        <f>IF(AR136&lt;&gt;"",IF(K148=AR136,K150,IF(K150=AR136,K148,IF(K178=AR136,K180,IF(K180=AR136,K178,IF(AC148=AR136,AC150,IF(AC150=AR136,AC148,IF(AC178=AR136,AC180,IF(AC180=AR136,AC178)))))))),"")</f>
        <v>RAPHAEL FERNANDES DE ALMEIDA</v>
      </c>
      <c r="AS140" s="33" t="str">
        <f>IFERROR(IF(AR140="","",VLOOKUP(AR140,LISTAS!$F$5:$G$1004,2,0)),"0")</f>
        <v>ESCOLA STAGIUM</v>
      </c>
      <c r="AT140" s="33">
        <f t="shared" si="7"/>
        <v>45</v>
      </c>
      <c r="AU140" s="33">
        <f t="shared" si="8"/>
        <v>45</v>
      </c>
    </row>
    <row r="141" spans="2:48" ht="18" customHeight="1" thickBot="1" x14ac:dyDescent="0.3">
      <c r="B141" s="133"/>
      <c r="C141" s="188"/>
      <c r="D141" s="29"/>
      <c r="E141" s="29"/>
      <c r="F141" s="34"/>
      <c r="G141" s="172" t="str">
        <f>IFERROR(IF(G140="","",VLOOKUP(G140,LISTAS!$F$5:$G$1004,2,0)),"0")</f>
        <v>COLEGIO PETROPOLIS</v>
      </c>
      <c r="H141" s="267"/>
      <c r="I141" s="101"/>
      <c r="J141" s="101"/>
      <c r="K141" s="190"/>
      <c r="L141" s="101"/>
      <c r="M141" s="101"/>
      <c r="N141" s="101"/>
      <c r="O141" s="188"/>
      <c r="P141" s="29"/>
      <c r="Q141" s="37"/>
      <c r="R141" s="198"/>
      <c r="S141" s="37"/>
      <c r="T141" s="37"/>
      <c r="U141" s="37"/>
      <c r="V141" s="198"/>
      <c r="W141" s="37"/>
      <c r="X141" s="86"/>
      <c r="Y141" s="198"/>
      <c r="Z141" s="37"/>
      <c r="AA141" s="37"/>
      <c r="AB141" s="29"/>
      <c r="AC141" s="198"/>
      <c r="AD141" s="37"/>
      <c r="AE141" s="95"/>
      <c r="AF141" s="267"/>
      <c r="AG141" s="172" t="str">
        <f>IFERROR(IF(AG140="","",VLOOKUP(AG140,LISTAS!$F$5:$G$1004,2,0)),"0")</f>
        <v>ESCOLA STAGIUM</v>
      </c>
      <c r="AH141" s="94"/>
      <c r="AI141" s="37"/>
      <c r="AJ141" s="29"/>
      <c r="AK141" s="188"/>
      <c r="AL141" s="29"/>
      <c r="AP141" s="31">
        <f>IF(AR141&lt;&gt;"",1+COUNTIF(AP136:AP140,"1")+COUNTIF(AP136:AP140,"2")+COUNTIF(AP136:AP140,"3")+COUNTIF(AP136:AP140,"4")+COUNTIF(AP136:AP140,"5"),"")</f>
        <v>6</v>
      </c>
      <c r="AQ141" s="32" t="str">
        <f t="shared" si="6"/>
        <v>LUGAR</v>
      </c>
      <c r="AR141" s="111" t="str">
        <f>IF(AR137&lt;&gt;"",IF(K148=AR137,K150,IF(K150=AR137,K148,IF(K178=AR137,K180,IF(K180=AR137,K178,IF(AC148=AR137,AC150,IF(AC150=AR137,AC148,IF(AC178=AR137,AC180,IF(AC180=AR137,AC178)))))))),"")</f>
        <v>Vitor Moretto Gifu</v>
      </c>
      <c r="AS141" s="33" t="str">
        <f>IFERROR(IF(AR141="","",VLOOKUP(AR141,LISTAS!$F$5:$G$1004,2,0)),"0")</f>
        <v>ESCOLA INTERAÇÃO</v>
      </c>
      <c r="AT141" s="33">
        <f t="shared" si="7"/>
        <v>40</v>
      </c>
      <c r="AU141" s="33">
        <f t="shared" si="8"/>
        <v>40</v>
      </c>
    </row>
    <row r="142" spans="2:48" ht="18" customHeight="1" x14ac:dyDescent="0.25">
      <c r="B142" s="133"/>
      <c r="C142" s="188"/>
      <c r="D142" s="29"/>
      <c r="E142" s="35"/>
      <c r="F142" s="36"/>
      <c r="G142" s="171" t="str">
        <f>IF(D144&lt;&gt;"",IF(D146&lt;&gt;"",IF(D144=D146,"",IF(D144&gt;D146,C144,C146)),""),"")</f>
        <v>FELIPE RIBEIRO DA SILVA MOREIRA</v>
      </c>
      <c r="H142" s="266">
        <v>1</v>
      </c>
      <c r="I142" s="107">
        <f>IF(H142&lt;&gt;"",H142,"")</f>
        <v>1</v>
      </c>
      <c r="J142" s="101" t="str">
        <f>IF(H142&lt;&gt;"",IF(G142="","",G142),"")</f>
        <v>FELIPE RIBEIRO DA SILVA MOREIRA</v>
      </c>
      <c r="K142" s="190" t="str">
        <f>VLOOKUP(K140,I140:J142,2,0)</f>
        <v>DAVI L RUGGERI</v>
      </c>
      <c r="L142" s="101"/>
      <c r="M142" s="101"/>
      <c r="N142" s="101"/>
      <c r="O142" s="188"/>
      <c r="P142" s="29"/>
      <c r="Q142" s="37"/>
      <c r="R142" s="198"/>
      <c r="S142" s="37"/>
      <c r="T142" s="37"/>
      <c r="U142" s="37"/>
      <c r="V142" s="198"/>
      <c r="W142" s="37"/>
      <c r="X142" s="86"/>
      <c r="Y142" s="198"/>
      <c r="Z142" s="37"/>
      <c r="AA142" s="37"/>
      <c r="AB142" s="29"/>
      <c r="AC142" s="198"/>
      <c r="AD142" s="94"/>
      <c r="AE142" s="96"/>
      <c r="AF142" s="266">
        <v>0</v>
      </c>
      <c r="AG142" s="171" t="str">
        <f>IF(AJ144&lt;&gt;"",IF(AJ146&lt;&gt;"",IF(AJ144=AJ146,"",IF(AJ144&gt;AJ146,AK144,AK146)),""),"")</f>
        <v>JOSÉ LUÍS FERNANDES VALENÇA</v>
      </c>
      <c r="AH142" s="98"/>
      <c r="AI142" s="37"/>
      <c r="AJ142" s="29"/>
      <c r="AK142" s="188"/>
      <c r="AL142" s="29"/>
      <c r="AN142" s="2"/>
      <c r="AO142" s="2"/>
      <c r="AP142" s="31">
        <f>IF(AR142&lt;&gt;"",1+COUNTIF(AP136:AP141,"1")+COUNTIF(AP136:AP141,"2")+COUNTIF(AP136:AP141,"3")+COUNTIF(AP136:AP141,"4")+COUNTIF(AP136:AP141,"5")+COUNTIF(AP136:AP141,"6"),"")</f>
        <v>7</v>
      </c>
      <c r="AQ142" s="32" t="str">
        <f t="shared" si="6"/>
        <v>LUGAR</v>
      </c>
      <c r="AR142" s="111" t="str">
        <f>IF(AR138&lt;&gt;"",IF(K148=AR138,K150,IF(K150=AR138,K148,IF(K178=AR138,K180,IF(K180=AR138,K178,IF(AC148=AR138,AC150,IF(AC150=AR138,AC148,IF(AC178=AR138,AC180,IF(AC180=AR138,AC178)))))))),"")</f>
        <v>MATHEUS MOREIRA CHAGAS</v>
      </c>
      <c r="AS142" s="33" t="str">
        <f>IFERROR(IF(AR142="","",VLOOKUP(AR142,LISTAS!$F$5:$G$1004,2,0)),"0")</f>
        <v>ESCOLA STAGIUM</v>
      </c>
      <c r="AT142" s="33">
        <f t="shared" si="7"/>
        <v>35</v>
      </c>
      <c r="AU142" s="33">
        <f t="shared" si="8"/>
        <v>35</v>
      </c>
      <c r="AV142" s="2"/>
    </row>
    <row r="143" spans="2:48" ht="18" customHeight="1" thickBot="1" x14ac:dyDescent="0.3">
      <c r="B143" s="133"/>
      <c r="C143" s="188"/>
      <c r="D143" s="29"/>
      <c r="E143" s="35"/>
      <c r="F143" s="29"/>
      <c r="G143" s="172" t="str">
        <f>IFERROR(IF(G142="","",VLOOKUP(G142,LISTAS!$F$5:$G$1004,2,0)),"0")</f>
        <v>EDUCANDÁRIO - S.A</v>
      </c>
      <c r="H143" s="267"/>
      <c r="I143" s="138"/>
      <c r="J143" s="101"/>
      <c r="K143" s="190"/>
      <c r="L143" s="101"/>
      <c r="M143" s="101"/>
      <c r="N143" s="101"/>
      <c r="O143" s="188"/>
      <c r="P143" s="29"/>
      <c r="Q143" s="37"/>
      <c r="R143" s="198"/>
      <c r="S143" s="37"/>
      <c r="T143" s="37"/>
      <c r="U143" s="37"/>
      <c r="V143" s="198"/>
      <c r="W143" s="37"/>
      <c r="X143" s="86"/>
      <c r="Y143" s="198"/>
      <c r="Z143" s="37"/>
      <c r="AA143" s="37"/>
      <c r="AB143" s="29"/>
      <c r="AC143" s="198"/>
      <c r="AD143" s="94"/>
      <c r="AE143" s="37"/>
      <c r="AF143" s="267"/>
      <c r="AG143" s="172" t="str">
        <f>IFERROR(IF(AG142="","",VLOOKUP(AG142,LISTAS!$F$5:$G$1004,2,0)),"0")</f>
        <v>COLÉGIO SÃO MAURO</v>
      </c>
      <c r="AH143" s="37"/>
      <c r="AI143" s="89"/>
      <c r="AJ143" s="29"/>
      <c r="AK143" s="188"/>
      <c r="AL143" s="29"/>
      <c r="AM143" s="2"/>
      <c r="AN143" s="2"/>
      <c r="AO143" s="2"/>
      <c r="AP143" s="31">
        <f>IF(AR143&lt;&gt;"",1+COUNTIF(AP136:AP142,"1")+COUNTIF(AP136:AP142,"2")+COUNTIF(AP136:AP142,"3")+COUNTIF(AP136:AP142,"4")+COUNTIF(AP136:AP142,"5")+COUNTIF(AP136:AP142,"6")+COUNTIF(AP136:AP142,"7"),"")</f>
        <v>8</v>
      </c>
      <c r="AQ143" s="32" t="str">
        <f t="shared" si="6"/>
        <v>LUGAR</v>
      </c>
      <c r="AR143" s="111" t="str">
        <f>IF(AR139&lt;&gt;"",IF(K148=AR139,K150,IF(K150=AR139,K148,IF(K178=AR139,K180,IF(K180=AR139,K178,IF(AC148=AR139,AC150,IF(AC150=AR139,AC148,IF(AC178=AR139,AC180,IF(AC180=AR139,AC178)))))))),"")</f>
        <v>GUSTAVO CANO</v>
      </c>
      <c r="AS143" s="33" t="str">
        <f>IFERROR(IF(AR143="","",VLOOKUP(AR143,LISTAS!$F$5:$G$1004,2,0)),"0")</f>
        <v>RIO BRANCO - SBC</v>
      </c>
      <c r="AT143" s="33">
        <f t="shared" si="7"/>
        <v>30</v>
      </c>
      <c r="AU143" s="33">
        <f t="shared" si="8"/>
        <v>30</v>
      </c>
      <c r="AV143" s="2"/>
    </row>
    <row r="144" spans="2:48" ht="18" customHeight="1" x14ac:dyDescent="0.25">
      <c r="B144" s="133">
        <v>17</v>
      </c>
      <c r="C144" s="171"/>
      <c r="D144" s="266">
        <v>0</v>
      </c>
      <c r="E144" s="148">
        <f>IF(D144&lt;&gt;"",D144,"")</f>
        <v>0</v>
      </c>
      <c r="F144" s="101" t="str">
        <f>IF(D144&lt;&gt;"",IF(C144="","",C144),"")</f>
        <v/>
      </c>
      <c r="G144" s="190">
        <f>IF(E144&lt;&gt;"",IF(E146&lt;&gt;"",SMALL(E144:E146,1),""),"")</f>
        <v>0</v>
      </c>
      <c r="H144" s="101"/>
      <c r="I144" s="138"/>
      <c r="J144" s="29"/>
      <c r="K144" s="188"/>
      <c r="L144" s="29"/>
      <c r="M144" s="29"/>
      <c r="N144" s="29"/>
      <c r="O144" s="188"/>
      <c r="P144" s="29"/>
      <c r="Q144" s="37"/>
      <c r="R144" s="198"/>
      <c r="S144" s="37"/>
      <c r="T144" s="37"/>
      <c r="U144" s="37"/>
      <c r="V144" s="198"/>
      <c r="W144" s="37"/>
      <c r="X144" s="86"/>
      <c r="Y144" s="198"/>
      <c r="Z144" s="37"/>
      <c r="AA144" s="37"/>
      <c r="AB144" s="29"/>
      <c r="AC144" s="198"/>
      <c r="AD144" s="94"/>
      <c r="AE144" s="100"/>
      <c r="AF144" s="100"/>
      <c r="AG144" s="197">
        <f>IF(AJ144&lt;&gt;"",AJ144,"")</f>
        <v>1</v>
      </c>
      <c r="AH144" s="100" t="str">
        <f>IF(AJ144&lt;&gt;"",IF(AK144="","",AK144),"")</f>
        <v>JOSÉ LUÍS FERNANDES VALENÇA</v>
      </c>
      <c r="AI144" s="137">
        <f>IF(AG144&lt;&gt;"",IF(AG146&lt;&gt;"",SMALL(AG144:AG146,1),""),"")</f>
        <v>0</v>
      </c>
      <c r="AJ144" s="266">
        <v>1</v>
      </c>
      <c r="AK144" s="171" t="str">
        <f>IF('15M GRP'!G5&gt;=3,'15M GRP'!J192,IF('15M GRP'!G5=2,"",IF('15M GRP'!G5=1,"","")))</f>
        <v>JOSÉ LUÍS FERNANDES VALENÇA</v>
      </c>
      <c r="AL144" s="29">
        <v>14</v>
      </c>
      <c r="AM144" s="2"/>
      <c r="AP144" s="31">
        <f>IF(AR144&lt;&gt;"",1+COUNTIF(AP136:AP143,"1")+COUNTIF(AP136:AP143,"2")+COUNTIF(AP136:AP143,"3")+COUNTIF(AP136:AP143,"4")+COUNTIF(AP136:AP143,"5")+COUNTIF(AP136:AP143,"6")+COUNTIF(AP136:AP143,"7")+COUNTIF(AP136:AP143,"8"),"")</f>
        <v>9</v>
      </c>
      <c r="AQ144" s="32" t="str">
        <f t="shared" si="6"/>
        <v>LUGAR</v>
      </c>
      <c r="AR144" s="111" t="str">
        <f>IF(AR136&lt;&gt;"",IF(G140=AR136,G142,IF(G142=AR136,G140,IF(G156=AR136,G158,IF(G158=AR136,G156,IF(AG140=AR136,AG142,IF(AG142=AR136,AG140,IF(AG156=AR136,AG158,IF(AG158=AR136,AG156,IF(G170=AR136,G172,IF(G172=AR136,G170,IF(G186=AR136,G188,IF(G188=AR136,G186,IF(AG170=AR136,AG172,IF(AG172=AR136,AG170,IF(AG186=AR136,AG188,IF(AG188=AR136,AG186)))))))))))))))),"")</f>
        <v>DAVI L RUGGERI</v>
      </c>
      <c r="AS144" s="33" t="str">
        <f>IFERROR(IF(AR144="","",VLOOKUP(AR144,LISTAS!$F$5:$G$1004,2,0)),"0")</f>
        <v>COLEGIO PETROPOLIS</v>
      </c>
      <c r="AT144" s="33">
        <f t="shared" si="7"/>
        <v>28</v>
      </c>
      <c r="AU144" s="33">
        <f t="shared" si="8"/>
        <v>28</v>
      </c>
    </row>
    <row r="145" spans="2:47" ht="18" customHeight="1" thickBot="1" x14ac:dyDescent="0.3">
      <c r="B145" s="133"/>
      <c r="C145" s="172" t="str">
        <f>IFERROR(IF(C144="","",VLOOKUP(C144,LISTAS!$F$5:$G$1004,2,0)),"0")</f>
        <v/>
      </c>
      <c r="D145" s="267"/>
      <c r="E145" s="105"/>
      <c r="F145" s="101"/>
      <c r="G145" s="190"/>
      <c r="H145" s="101"/>
      <c r="I145" s="138"/>
      <c r="J145" s="29"/>
      <c r="K145" s="188"/>
      <c r="L145" s="29"/>
      <c r="M145" s="29"/>
      <c r="N145" s="29"/>
      <c r="O145" s="188"/>
      <c r="P145" s="29"/>
      <c r="Q145" s="37"/>
      <c r="R145" s="198"/>
      <c r="S145" s="37"/>
      <c r="T145" s="37"/>
      <c r="U145" s="37"/>
      <c r="V145" s="198"/>
      <c r="W145" s="37"/>
      <c r="X145" s="86"/>
      <c r="Y145" s="198"/>
      <c r="Z145" s="37"/>
      <c r="AA145" s="37"/>
      <c r="AB145" s="29"/>
      <c r="AC145" s="198"/>
      <c r="AD145" s="94"/>
      <c r="AE145" s="100"/>
      <c r="AF145" s="100"/>
      <c r="AG145" s="197"/>
      <c r="AH145" s="100"/>
      <c r="AI145" s="143"/>
      <c r="AJ145" s="267"/>
      <c r="AK145" s="172" t="str">
        <f>IFERROR(IF(AK144="","",VLOOKUP(AK144,LISTAS!$F$5:$G$1004,2,0)),"0")</f>
        <v>COLÉGIO SÃO MAURO</v>
      </c>
      <c r="AL145" s="29"/>
      <c r="AP145" s="31">
        <f>IF(AR145&lt;&gt;"",1+COUNTIF(AP136:AP144,"1")+COUNTIF(AP136:AP144,"2")+COUNTIF(AP136:AP144,"3")+COUNTIF(AP136:AP144,"4")+COUNTIF(AP136:AP144,"5")+COUNTIF(AP136:AP144,"6")+COUNTIF(AP136:AP144,"7")+COUNTIF(AP136:AP144,"8")+COUNTIF(AP136:AP144,"9"),"")</f>
        <v>10</v>
      </c>
      <c r="AQ145" s="32" t="str">
        <f t="shared" si="6"/>
        <v>LUGAR</v>
      </c>
      <c r="AR145" s="111" t="str">
        <f>IF(AR137&lt;&gt;"",IF(G140=AR137,G142,IF(G142=AR137,G140,IF(G156=AR137,G158,IF(G158=AR137,G156,IF(AG140=AR137,AG142,IF(AG142=AR137,AG140,IF(AG156=AR137,AG158,IF(AG158=AR137,AG156,IF(G170=AR137,G172,IF(G172=AR137,G170,IF(G186=AR137,G188,IF(G188=AR137,G186,IF(AG170=AR137,AG172,IF(AG172=AR137,AG170,IF(AG186=AR137,AG188,IF(AG188=AR137,AG186)))))))))))))))),"")</f>
        <v>ARTHUR REIS DE ARAUJO</v>
      </c>
      <c r="AS145" s="33" t="str">
        <f>IFERROR(IF(AR145="","",VLOOKUP(AR145,LISTAS!$F$5:$G$1004,2,0)),"0")</f>
        <v>ESCOLA STAGIUM</v>
      </c>
      <c r="AT145" s="33">
        <f t="shared" si="7"/>
        <v>28</v>
      </c>
      <c r="AU145" s="33">
        <f t="shared" si="8"/>
        <v>28</v>
      </c>
    </row>
    <row r="146" spans="2:47" ht="18" customHeight="1" x14ac:dyDescent="0.25">
      <c r="B146" s="133">
        <v>16</v>
      </c>
      <c r="C146" s="171" t="str">
        <f>IF('15M GRP'!G5&gt;=3,'15M GRP'!J218,IF('15M GRP'!G5=2,"",IF('15M GRP'!G5=1,"","")))</f>
        <v>FELIPE RIBEIRO DA SILVA MOREIRA</v>
      </c>
      <c r="D146" s="266">
        <v>1</v>
      </c>
      <c r="E146" s="106">
        <f>IF(D146&lt;&gt;"",D146,"")</f>
        <v>1</v>
      </c>
      <c r="F146" s="101" t="str">
        <f>IF(D146&lt;&gt;"",IF(C146="","",C146),"")</f>
        <v>FELIPE RIBEIRO DA SILVA MOREIRA</v>
      </c>
      <c r="G146" s="190" t="str">
        <f>VLOOKUP(G144,E144:F146,2,0)</f>
        <v/>
      </c>
      <c r="H146" s="101"/>
      <c r="I146" s="138"/>
      <c r="J146" s="29"/>
      <c r="K146" s="188"/>
      <c r="L146" s="29"/>
      <c r="M146" s="29"/>
      <c r="N146" s="29"/>
      <c r="O146" s="188"/>
      <c r="P146" s="29"/>
      <c r="Q146" s="37"/>
      <c r="R146" s="198"/>
      <c r="S146" s="37"/>
      <c r="T146" s="37"/>
      <c r="U146" s="37"/>
      <c r="V146" s="198"/>
      <c r="W146" s="37"/>
      <c r="X146" s="86"/>
      <c r="Y146" s="198"/>
      <c r="Z146" s="37"/>
      <c r="AA146" s="37"/>
      <c r="AB146" s="29"/>
      <c r="AC146" s="198"/>
      <c r="AD146" s="94"/>
      <c r="AE146" s="100"/>
      <c r="AF146" s="100"/>
      <c r="AG146" s="197">
        <f>IF(AJ146&lt;&gt;"",AJ146,"")</f>
        <v>0</v>
      </c>
      <c r="AH146" s="100" t="str">
        <f>IF(AJ146&lt;&gt;"",IF(AK146="","",AK146),"")</f>
        <v/>
      </c>
      <c r="AI146" s="104" t="str">
        <f>VLOOKUP(AI144,AG144:AH146,2,0)</f>
        <v/>
      </c>
      <c r="AJ146" s="266">
        <v>0</v>
      </c>
      <c r="AK146" s="171" t="str">
        <f>IF('15M GRP'!G5&gt;=3,'15M GRP'!J257,IF('15M GRP'!G5=2,"",IF('15M GRP'!G5=1,"","")))</f>
        <v/>
      </c>
      <c r="AL146" s="29">
        <v>19</v>
      </c>
      <c r="AP146" s="31">
        <f>IF(AR146&lt;&gt;"",1+COUNTIF(AP136:AP145,"1")+COUNTIF(AP136:AP145,"2")+COUNTIF(AP136:AP145,"3")+COUNTIF(AP136:AP145,"4")+COUNTIF(AP136:AP145,"5")+COUNTIF(AP136:AP145,"6")+COUNTIF(AP136:AP145,"7")+COUNTIF(AP136:AP145,"8")+COUNTIF(AP136:AP145,"9")+COUNTIF(AP136:AP145,"10"),"")</f>
        <v>11</v>
      </c>
      <c r="AQ146" s="32" t="str">
        <f t="shared" si="6"/>
        <v>LUGAR</v>
      </c>
      <c r="AR146" s="111" t="str">
        <f>IF(AR138&lt;&gt;"",IF(G140=AR138,G142,IF(G142=AR138,G140,IF(G156=AR138,G158,IF(G158=AR138,G156,IF(AG140=AR138,AG142,IF(AG142=AR138,AG140,IF(AG156=AR138,AG158,IF(AG158=AR138,AG156,IF(G170=AR138,G172,IF(G172=AR138,G170,IF(G186=AR138,G188,IF(G188=AR138,G186,IF(AG170=AR138,AG172,IF(AG172=AR138,AG170,IF(AG186=AR138,AG188,IF(AG188=AR138,AG186)))))))))))))))),"")</f>
        <v>CAIQUE ACAIABA DE SOUSA MARTIS</v>
      </c>
      <c r="AS146" s="33" t="str">
        <f>IFERROR(IF(AR146="","",VLOOKUP(AR146,LISTAS!$F$5:$G$1004,2,0)),"0")</f>
        <v>ESCOLA STAGIUM</v>
      </c>
      <c r="AT146" s="33">
        <f t="shared" si="7"/>
        <v>28</v>
      </c>
      <c r="AU146" s="33">
        <f t="shared" si="8"/>
        <v>28</v>
      </c>
    </row>
    <row r="147" spans="2:47" ht="18" customHeight="1" thickBot="1" x14ac:dyDescent="0.3">
      <c r="B147" s="133"/>
      <c r="C147" s="172" t="str">
        <f>IFERROR(IF(C146="","",VLOOKUP(C146,LISTAS!$F$5:$G$1004,2,0)),"0")</f>
        <v>EDUCANDÁRIO - S.A</v>
      </c>
      <c r="D147" s="267"/>
      <c r="E147" s="101"/>
      <c r="F147" s="101"/>
      <c r="G147" s="190"/>
      <c r="H147" s="101"/>
      <c r="I147" s="138"/>
      <c r="J147" s="29"/>
      <c r="K147" s="188"/>
      <c r="L147" s="29"/>
      <c r="M147" s="87"/>
      <c r="N147" s="87"/>
      <c r="O147" s="192"/>
      <c r="P147" s="29"/>
      <c r="Q147" s="37"/>
      <c r="R147" s="198"/>
      <c r="S147" s="37"/>
      <c r="T147" s="37"/>
      <c r="U147" s="37"/>
      <c r="V147" s="198"/>
      <c r="W147" s="37"/>
      <c r="X147" s="86"/>
      <c r="Y147" s="198"/>
      <c r="Z147" s="37"/>
      <c r="AA147" s="37"/>
      <c r="AB147" s="29"/>
      <c r="AC147" s="198"/>
      <c r="AD147" s="94"/>
      <c r="AE147" s="100"/>
      <c r="AF147" s="100"/>
      <c r="AG147" s="197"/>
      <c r="AH147" s="100"/>
      <c r="AI147" s="101"/>
      <c r="AJ147" s="267"/>
      <c r="AK147" s="172" t="str">
        <f>IFERROR(IF(AK146="","",VLOOKUP(AK146,LISTAS!$F$5:$G$1004,2,0)),"0")</f>
        <v/>
      </c>
      <c r="AL147" s="29"/>
      <c r="AP147" s="31">
        <f>IF(AR147&lt;&gt;"",1+COUNTIF(AP136:AP146,"1")+COUNTIF(AP136:AP146,"2")+COUNTIF(AP136:AP146,"3")+COUNTIF(AP136:AP146,"4")+COUNTIF(AP136:AP146,"5")+COUNTIF(AP136:AP146,"6")+COUNTIF(AP136:AP146,"7")+COUNTIF(AP136:AP146,"8")+COUNTIF(AP136:AP146,"9")+COUNTIF(AP136:AP146,"10")+COUNTIF(AP136:AP146,"11"),"")</f>
        <v>12</v>
      </c>
      <c r="AQ147" s="32" t="str">
        <f t="shared" si="6"/>
        <v>LUGAR</v>
      </c>
      <c r="AR147" s="111" t="str">
        <f>IF(AR139&lt;&gt;"",IF(G140=AR139,G142,IF(G142=AR139,G140,IF(G156=AR139,G158,IF(G158=AR139,G156,IF(AG140=AR139,AG142,IF(AG142=AR139,AG140,IF(AG156=AR139,AG158,IF(AG158=AR139,AG156,IF(G170=AR139,G172,IF(G172=AR139,G170,IF(G186=AR139,G188,IF(G188=AR139,G186,IF(AG170=AR139,AG172,IF(AG172=AR139,AG170,IF(AG186=AR139,AG188,IF(AG188=AR139,AG186)))))))))))))))),"")</f>
        <v>JOSÉ LUÍS FERNANDES VALENÇA</v>
      </c>
      <c r="AS147" s="33" t="str">
        <f>IFERROR(IF(AR147="","",VLOOKUP(AR147,LISTAS!$F$5:$G$1004,2,0)),"0")</f>
        <v>COLÉGIO SÃO MAURO</v>
      </c>
      <c r="AT147" s="33">
        <f t="shared" si="7"/>
        <v>28</v>
      </c>
      <c r="AU147" s="33">
        <f t="shared" si="8"/>
        <v>28</v>
      </c>
    </row>
    <row r="148" spans="2:47" ht="18" customHeight="1" x14ac:dyDescent="0.25">
      <c r="B148" s="133"/>
      <c r="C148" s="188"/>
      <c r="D148" s="29"/>
      <c r="E148" s="101"/>
      <c r="F148" s="101"/>
      <c r="G148" s="190"/>
      <c r="H148" s="101"/>
      <c r="I148" s="138"/>
      <c r="J148" s="29"/>
      <c r="K148" s="171" t="str">
        <f>IF(H140&lt;&gt;"",IF(H142&lt;&gt;"",IF(H140=H142,"",IF(H140&gt;H142,G140,G142)),""),"")</f>
        <v>FELIPE RIBEIRO DA SILVA MOREIRA</v>
      </c>
      <c r="L148" s="266">
        <v>1</v>
      </c>
      <c r="M148" s="101">
        <f>IF(L148&lt;&gt;"",L148,"")</f>
        <v>1</v>
      </c>
      <c r="N148" s="101" t="str">
        <f>IF(L148&lt;&gt;"",IF(K148="","",K148),"")</f>
        <v>FELIPE RIBEIRO DA SILVA MOREIRA</v>
      </c>
      <c r="O148" s="190">
        <f>IF(M148&lt;&gt;"",IF(M150&lt;&gt;"",SMALL(M148:N150,1),""),"")</f>
        <v>0</v>
      </c>
      <c r="P148" s="29"/>
      <c r="Q148" s="37"/>
      <c r="R148" s="198"/>
      <c r="S148" s="37"/>
      <c r="T148" s="37"/>
      <c r="U148" s="37"/>
      <c r="V148" s="198"/>
      <c r="W148" s="37"/>
      <c r="X148" s="86"/>
      <c r="Y148" s="198"/>
      <c r="Z148" s="37"/>
      <c r="AA148" s="37"/>
      <c r="AB148" s="266">
        <v>1</v>
      </c>
      <c r="AC148" s="171" t="str">
        <f>IF(AF140&lt;&gt;"",IF(AF142&lt;&gt;"",IF(AF140=AF142,"",IF(AF140&gt;AF142,AG140,AG142)),""),"")</f>
        <v>BENICIO VASCONCELOS VIEIRA</v>
      </c>
      <c r="AD148" s="141"/>
      <c r="AE148" s="100"/>
      <c r="AF148" s="100"/>
      <c r="AG148" s="197"/>
      <c r="AH148" s="100"/>
      <c r="AI148" s="100"/>
      <c r="AJ148" s="29"/>
      <c r="AK148" s="188"/>
      <c r="AL148" s="29"/>
      <c r="AP148" s="31" t="str">
        <f>IF(AR148&lt;&gt;"",1+COUNTIF(AP136:AP147,"1")+COUNTIF(AP136:AP147,"2")+COUNTIF(AP136:AP147,"3")+COUNTIF(AP136:AP147,"4")+COUNTIF(AP136:AP147,"5")+COUNTIF(AP136:AP147,"6")+COUNTIF(AP136:AP147,"7")+COUNTIF(AP136:AP147,"8")+COUNTIF(AP136:AP147,"9")+COUNTIF(AP136:AP147,"10")+COUNTIF(AP136:AP147,"11")+COUNTIF(AP136:AP147,"12"),"")</f>
        <v/>
      </c>
      <c r="AQ148" s="32" t="str">
        <f t="shared" si="6"/>
        <v/>
      </c>
      <c r="AR148" s="111" t="str">
        <f>IF(AR140&lt;&gt;"",IF(G140=AR140,G142,IF(G142=AR140,G140,IF(G156=AR140,G158,IF(G158=AR140,G156,IF(AG140=AR140,AG142,IF(AG142=AR140,AG140,IF(AG156=AR140,AG158,IF(AG158=AR140,AG156,IF(G170=AR140,G172,IF(G172=AR140,G170,IF(G186=AR140,G188,IF(G188=AR140,G186,IF(AG170=AR140,AG172,IF(AG172=AR140,AG170,IF(AG186=AR140,AG188,IF(AG188=AR140,AG186)))))))))))))))),"")</f>
        <v/>
      </c>
      <c r="AS148" s="33" t="str">
        <f>IFERROR(IF(AR148="","",VLOOKUP(AR148,LISTAS!$F$5:$G$1004,2,0)),"0")</f>
        <v/>
      </c>
      <c r="AT148" s="33" t="str">
        <f t="shared" si="7"/>
        <v/>
      </c>
      <c r="AU148" s="33" t="str">
        <f t="shared" si="8"/>
        <v/>
      </c>
    </row>
    <row r="149" spans="2:47" ht="18" customHeight="1" thickBot="1" x14ac:dyDescent="0.3">
      <c r="B149" s="133"/>
      <c r="C149" s="188"/>
      <c r="D149" s="29"/>
      <c r="E149" s="101"/>
      <c r="F149" s="101"/>
      <c r="G149" s="190"/>
      <c r="H149" s="101"/>
      <c r="I149" s="138"/>
      <c r="J149" s="29"/>
      <c r="K149" s="172" t="str">
        <f>IFERROR(IF(K148="","",VLOOKUP(K148,LISTAS!$F$5:$G$1004,2,0)),"0")</f>
        <v>EDUCANDÁRIO - S.A</v>
      </c>
      <c r="L149" s="267"/>
      <c r="M149" s="101"/>
      <c r="N149" s="101"/>
      <c r="O149" s="190"/>
      <c r="P149" s="29"/>
      <c r="Q149" s="37"/>
      <c r="R149" s="272" t="s">
        <v>89</v>
      </c>
      <c r="S149" s="273"/>
      <c r="T149" s="273"/>
      <c r="U149" s="273"/>
      <c r="V149" s="273"/>
      <c r="W149" s="37"/>
      <c r="X149" s="86"/>
      <c r="Y149" s="198"/>
      <c r="Z149" s="37"/>
      <c r="AA149" s="37"/>
      <c r="AB149" s="267"/>
      <c r="AC149" s="172" t="str">
        <f>IFERROR(IF(AC148="","",VLOOKUP(AC148,LISTAS!$F$5:$G$1004,2,0)),"0")</f>
        <v>ESCOLA STAGIUM</v>
      </c>
      <c r="AD149" s="37"/>
      <c r="AE149" s="144"/>
      <c r="AF149" s="100"/>
      <c r="AG149" s="197"/>
      <c r="AH149" s="100"/>
      <c r="AI149" s="100"/>
      <c r="AJ149" s="29"/>
      <c r="AK149" s="188"/>
      <c r="AL149" s="29"/>
      <c r="AP149" s="31">
        <f>IF(AR149&lt;&gt;"",1+COUNTIF(AP136:AP148,"1")+COUNTIF(AP136:AP148,"2")+COUNTIF(AP136:AP148,"3")+COUNTIF(AP136:AP148,"4")+COUNTIF(AP136:AP148,"5")+COUNTIF(AP136:AP148,"6")+COUNTIF(AP136:AP148,"7")+COUNTIF(AP136:AP148,"8")+COUNTIF(AP136:AP148,"9")+COUNTIF(AP136:AP148,"10")+COUNTIF(AP136:AP148,"11")+COUNTIF(AP136:AP148,"12")+COUNTIF(AP136:AP148,"13"),"")</f>
        <v>13</v>
      </c>
      <c r="AQ149" s="32" t="str">
        <f t="shared" si="6"/>
        <v>LUGAR</v>
      </c>
      <c r="AR149" s="111" t="str">
        <f>IF(AR141&lt;&gt;"",IF(G140=AR141,G142,IF(G142=AR141,G140,IF(G156=AR141,G158,IF(G158=AR141,G156,IF(AG140=AR141,AG142,IF(AG142=AR141,AG140,IF(AG156=AR141,AG158,IF(AG158=AR141,AG156,IF(G170=AR141,G172,IF(G172=AR141,G170,IF(G186=AR141,G188,IF(G188=AR141,G186,IF(AG170=AR141,AG172,IF(AG172=AR141,AG170,IF(AG186=AR141,AG188,IF(AG188=AR141,AG186)))))))))))))))),"")</f>
        <v>NICOLAS CLEBER SANTOS TAVARES</v>
      </c>
      <c r="AS149" s="33" t="str">
        <f>IFERROR(IF(AR149="","",VLOOKUP(AR149,LISTAS!$F$5:$G$1004,2,0)),"0")</f>
        <v>ESCOLA STAGIUM</v>
      </c>
      <c r="AT149" s="33">
        <f t="shared" si="7"/>
        <v>28</v>
      </c>
      <c r="AU149" s="33">
        <f t="shared" si="8"/>
        <v>28</v>
      </c>
    </row>
    <row r="150" spans="2:47" ht="18" customHeight="1" x14ac:dyDescent="0.25">
      <c r="B150" s="133"/>
      <c r="C150" s="188"/>
      <c r="D150" s="29"/>
      <c r="E150" s="29"/>
      <c r="F150" s="29"/>
      <c r="G150" s="188"/>
      <c r="H150" s="29"/>
      <c r="I150" s="35"/>
      <c r="J150" s="36"/>
      <c r="K150" s="171" t="str">
        <f>IF(H156&lt;&gt;"",IF(H158&lt;&gt;"",IF(H156=H158,"",IF(H156&gt;H158,G156,G158)),""),"")</f>
        <v>RAPHAEL FERNANDES DE ALMEIDA</v>
      </c>
      <c r="L150" s="266">
        <v>0</v>
      </c>
      <c r="M150" s="107">
        <f>IF(L150&lt;&gt;"",L150,"")</f>
        <v>0</v>
      </c>
      <c r="N150" s="101" t="str">
        <f>IF(L150&lt;&gt;"",IF(K150="","",K150),"")</f>
        <v>RAPHAEL FERNANDES DE ALMEIDA</v>
      </c>
      <c r="O150" s="190" t="str">
        <f>VLOOKUP(O148,M148:N150,2,0)</f>
        <v>RAPHAEL FERNANDES DE ALMEIDA</v>
      </c>
      <c r="P150" s="29"/>
      <c r="Q150" s="37"/>
      <c r="R150" s="272" t="s">
        <v>32</v>
      </c>
      <c r="S150" s="273"/>
      <c r="T150" s="273"/>
      <c r="U150" s="273"/>
      <c r="V150" s="273"/>
      <c r="W150" s="37"/>
      <c r="X150" s="86"/>
      <c r="Y150" s="198"/>
      <c r="Z150" s="94"/>
      <c r="AA150" s="96"/>
      <c r="AB150" s="266">
        <v>0</v>
      </c>
      <c r="AC150" s="171" t="str">
        <f>IF(AF156&lt;&gt;"",IF(AF158&lt;&gt;"",IF(AF156=AF158,"",IF(AF156&gt;AF158,AG156,AG158)),""),"")</f>
        <v>GUSTAVO CANO</v>
      </c>
      <c r="AD150" s="37"/>
      <c r="AE150" s="144"/>
      <c r="AF150" s="100"/>
      <c r="AG150" s="197"/>
      <c r="AH150" s="100"/>
      <c r="AI150" s="100"/>
      <c r="AJ150" s="29"/>
      <c r="AK150" s="188"/>
      <c r="AL150" s="29"/>
      <c r="AP150" s="31" t="str">
        <f>IF(AR150&lt;&gt;"",1+COUNTIF(AP136:AP149,"1")+COUNTIF(AP136:AP149,"2")+COUNTIF(AP136:AP149,"3")+COUNTIF(AP136:AP149,"4")+COUNTIF(AP136:AP149,"5")+COUNTIF(AP136:AP149,"6")+COUNTIF(AP136:AP149,"7")+COUNTIF(AP136:AP149,"8")+COUNTIF(AP136:AP149,"9")+COUNTIF(AP136:AP149,"10")+COUNTIF(AP136:AP149,"11")+COUNTIF(AP136:AP149,"12")+COUNTIF(AP136:AP149,"13")+COUNTIF(AP136:AP149,"14"),"")</f>
        <v/>
      </c>
      <c r="AQ150" s="32" t="str">
        <f t="shared" si="6"/>
        <v/>
      </c>
      <c r="AR150" s="111" t="str">
        <f>IF(AR142&lt;&gt;"",IF(G140=AR142,G142,IF(G142=AR142,G140,IF(G156=AR142,G158,IF(G158=AR142,G156,IF(AG140=AR142,AG142,IF(AG142=AR142,AG140,IF(AG156=AR142,AG158,IF(AG158=AR142,AG156,IF(G170=AR142,G172,IF(G172=AR142,G170,IF(G186=AR142,G188,IF(G188=AR142,G186,IF(AG170=AR142,AG172,IF(AG172=AR142,AG170,IF(AG186=AR142,AG188,IF(AG188=AR142,AG186)))))))))))))))),"")</f>
        <v/>
      </c>
      <c r="AS150" s="33" t="str">
        <f>IFERROR(IF(AR150="","",VLOOKUP(AR150,LISTAS!$F$5:$G$1004,2,0)),"0")</f>
        <v/>
      </c>
      <c r="AT150" s="33" t="str">
        <f t="shared" si="7"/>
        <v/>
      </c>
      <c r="AU150" s="33" t="str">
        <f t="shared" si="8"/>
        <v/>
      </c>
    </row>
    <row r="151" spans="2:47" ht="18" customHeight="1" thickBot="1" x14ac:dyDescent="0.3">
      <c r="B151" s="133"/>
      <c r="C151" s="188"/>
      <c r="D151" s="29"/>
      <c r="E151" s="29"/>
      <c r="F151" s="29"/>
      <c r="G151" s="188"/>
      <c r="H151" s="29"/>
      <c r="I151" s="35"/>
      <c r="J151" s="29"/>
      <c r="K151" s="172" t="str">
        <f>IFERROR(IF(K150="","",VLOOKUP(K150,LISTAS!$F$5:$G$1004,2,0)),"0")</f>
        <v>ESCOLA STAGIUM</v>
      </c>
      <c r="L151" s="267"/>
      <c r="M151" s="138"/>
      <c r="N151" s="101"/>
      <c r="O151" s="190"/>
      <c r="P151" s="29"/>
      <c r="Q151" s="37"/>
      <c r="R151" s="198"/>
      <c r="S151" s="37"/>
      <c r="T151" s="37"/>
      <c r="U151" s="37"/>
      <c r="V151" s="198"/>
      <c r="W151" s="37"/>
      <c r="X151" s="86"/>
      <c r="Y151" s="198"/>
      <c r="Z151" s="94"/>
      <c r="AA151" s="37"/>
      <c r="AB151" s="267"/>
      <c r="AC151" s="172" t="str">
        <f>IFERROR(IF(AC150="","",VLOOKUP(AC150,LISTAS!$F$5:$G$1004,2,0)),"0")</f>
        <v>RIO BRANCO - SBC</v>
      </c>
      <c r="AD151" s="37"/>
      <c r="AE151" s="144"/>
      <c r="AF151" s="100"/>
      <c r="AG151" s="197"/>
      <c r="AH151" s="100"/>
      <c r="AI151" s="100"/>
      <c r="AJ151" s="29"/>
      <c r="AK151" s="188"/>
      <c r="AL151" s="29"/>
      <c r="AP151" s="31">
        <f>IF(AR151&lt;&gt;"",1+COUNTIF(AP136:AP150,"1")+COUNTIF(AP136:AP150,"2")+COUNTIF(AP136:AP150,"3")+COUNTIF(AP136:AP150,"4")+COUNTIF(AP136:AP150,"5")+COUNTIF(AP136:AP150,"6")+COUNTIF(AP136:AP150,"7")+COUNTIF(AP136:AP150,"8")+COUNTIF(AP136:AP150,"9")+COUNTIF(AP136:AP150,"10")+COUNTIF(AP136:AP150,"11")+COUNTIF(AP136:AP150,"12")+COUNTIF(AP136:AP150,"13")+COUNTIF(AP136:AP150,"14")+COUNTIF(AP136:AP150,"15"),"")</f>
        <v>14</v>
      </c>
      <c r="AQ151" s="32" t="str">
        <f t="shared" si="6"/>
        <v>LUGAR</v>
      </c>
      <c r="AR151" s="111" t="str">
        <f>IF(AR143&lt;&gt;"",IF(G140=AR143,G142,IF(G142=AR143,G140,IF(G156=AR143,G158,IF(G158=AR143,G156,IF(AG140=AR143,AG142,IF(AG142=AR143,AG140,IF(AG156=AR143,AG158,IF(AG158=AR143,AG156,IF(G170=AR143,G172,IF(G172=AR143,G170,IF(G186=AR143,G188,IF(G188=AR143,G186,IF(AG170=AR143,AG172,IF(AG172=AR143,AG170,IF(AG186=AR143,AG188,IF(AG188=AR143,AG186)))))))))))))))),"")</f>
        <v>LEONARDO CALANDRELLI SILVA</v>
      </c>
      <c r="AS151" s="33" t="str">
        <f>IFERROR(IF(AR151="","",VLOOKUP(AR151,LISTAS!$F$5:$G$1004,2,0)),"0")</f>
        <v>LICEU JARDIM</v>
      </c>
      <c r="AT151" s="33">
        <f t="shared" si="7"/>
        <v>28</v>
      </c>
      <c r="AU151" s="33">
        <f t="shared" si="8"/>
        <v>28</v>
      </c>
    </row>
    <row r="152" spans="2:47" ht="18" customHeight="1" x14ac:dyDescent="0.25">
      <c r="B152" s="133">
        <v>9</v>
      </c>
      <c r="C152" s="171"/>
      <c r="D152" s="266">
        <v>0</v>
      </c>
      <c r="E152" s="101">
        <f>IF(D152&lt;&gt;"",D152,"")</f>
        <v>0</v>
      </c>
      <c r="F152" s="101" t="str">
        <f>IF(D152&lt;&gt;"",IF(C152="","",C152),"")</f>
        <v/>
      </c>
      <c r="G152" s="190">
        <f>IF(E152&lt;&gt;"",IF(E154&lt;&gt;"",SMALL(E152:E154,1),""),"")</f>
        <v>0</v>
      </c>
      <c r="H152" s="101"/>
      <c r="I152" s="138"/>
      <c r="J152" s="29"/>
      <c r="K152" s="188"/>
      <c r="L152" s="29"/>
      <c r="M152" s="138"/>
      <c r="N152" s="101"/>
      <c r="O152" s="190"/>
      <c r="P152" s="29"/>
      <c r="Q152" s="37"/>
      <c r="R152" s="198"/>
      <c r="S152" s="37"/>
      <c r="T152" s="37"/>
      <c r="U152" s="37"/>
      <c r="V152" s="198"/>
      <c r="W152" s="37"/>
      <c r="X152" s="86"/>
      <c r="Y152" s="198"/>
      <c r="Z152" s="94"/>
      <c r="AA152" s="37"/>
      <c r="AB152" s="29"/>
      <c r="AC152" s="198"/>
      <c r="AD152" s="37"/>
      <c r="AE152" s="144"/>
      <c r="AF152" s="100"/>
      <c r="AG152" s="197">
        <f>IF(AJ152&lt;&gt;"",AJ152,"")</f>
        <v>0</v>
      </c>
      <c r="AH152" s="100" t="str">
        <f>IF(AJ152&lt;&gt;"",IF(AK152="","",AK152),"")</f>
        <v/>
      </c>
      <c r="AI152" s="101">
        <f>IF(AG152&lt;&gt;"",IF(AG154&lt;&gt;"",SMALL(AG152:AG154,1),""),"")</f>
        <v>0</v>
      </c>
      <c r="AJ152" s="266">
        <v>0</v>
      </c>
      <c r="AK152" s="171" t="str">
        <f>IF('15M GRP'!G5&gt;=3,'15M GRP'!J296,IF('15M GRP'!G5=2,"",IF('15M GRP'!G5=1,"","")))</f>
        <v/>
      </c>
      <c r="AL152" s="29">
        <v>22</v>
      </c>
      <c r="AP152" s="31" t="str">
        <f>IF(AR152&lt;&gt;"",1+COUNTIF(AP136:AP151,"1")+COUNTIF(AP136:AP151,"2")+COUNTIF(AP136:AP151,"3")+COUNTIF(AP136:AP151,"4")+COUNTIF(AP136:AP151,"5")+COUNTIF(AP136:AP151,"6")+COUNTIF(AP136:AP151,"7")+COUNTIF(AP136:AP151,"8")+COUNTIF(AP136:AP151,"9")+COUNTIF(AP136:AP151,"10")+COUNTIF(AP136:AP151,"11")+COUNTIF(AP136:AP151,"12")+COUNTIF(AP136:AP151,"13")+COUNTIF(AP136:AP151,"14")+COUNTIF(AP136:AP151,"15")+COUNTIF(AP136:AP151,"16"),"")</f>
        <v/>
      </c>
      <c r="AQ152" s="32" t="str">
        <f t="shared" si="6"/>
        <v/>
      </c>
      <c r="AR152" s="111" t="str">
        <f>IF(AR136&lt;&gt;"",IF(C136=AR136,G138,IF(C138=AR136,G138,IF(C144=AR136,G146,IF(C146=AR136,G146,IF(C166=AR136,G168,IF(C168=AR136,G168,IF(C174=AR136,G176,IF(C176=AR136,G176,IF(C152=AR136,G154,IF(C154=AR136,G154,IF(C160=AR136,G162,IF(C162=AR136,G162,IF(C182=AR136,G184,IF(C184=AR136,G184,IF(C190=AR136,G192,IF(C192=AR136,G192,IF(AK136=AR136,AI138,IF(AK138=AR136,AI138,IF(AK144=AR136,AI146,IF(AK146=AR136,AI146,IF(AK166=AR136,AI168,IF(AK168=AR136,AI168,IF(AK174=AR136,AI176,IF(AK176=AR136,AI176,IF(AK152=AR136,AI154,IF(AK154=AR136,AI154,IF(AK160=AR136,AI162,IF(AK162=AR136,AI162,IF(AK182=AR136,AI184,IF(AK184=AR136,AI184,IF(AK190=AR136,AI192,IF(AK192=AR136,AI192)))))))))))))))))))))))))))))))),"")</f>
        <v/>
      </c>
      <c r="AS152" s="33" t="str">
        <f>IFERROR(IF(AR152="","",VLOOKUP(AR152,LISTAS!$F$5:$G$1004,2,0)),"0")</f>
        <v/>
      </c>
      <c r="AT152" s="33" t="str">
        <f t="shared" si="7"/>
        <v/>
      </c>
      <c r="AU152" s="33" t="str">
        <f t="shared" si="8"/>
        <v/>
      </c>
    </row>
    <row r="153" spans="2:47" ht="18" customHeight="1" thickBot="1" x14ac:dyDescent="0.3">
      <c r="B153" s="133"/>
      <c r="C153" s="172" t="str">
        <f>IFERROR(IF(C152="","",VLOOKUP(C152,LISTAS!$F$5:$G$1004,2,0)),"0")</f>
        <v/>
      </c>
      <c r="D153" s="267"/>
      <c r="E153" s="101"/>
      <c r="F153" s="101"/>
      <c r="G153" s="190"/>
      <c r="H153" s="101"/>
      <c r="I153" s="138"/>
      <c r="J153" s="29"/>
      <c r="K153" s="188"/>
      <c r="L153" s="29"/>
      <c r="M153" s="138"/>
      <c r="N153" s="101"/>
      <c r="O153" s="190"/>
      <c r="P153" s="29"/>
      <c r="Q153" s="37"/>
      <c r="R153" s="198"/>
      <c r="S153" s="37"/>
      <c r="T153" s="37"/>
      <c r="U153" s="37"/>
      <c r="V153" s="198"/>
      <c r="W153" s="37"/>
      <c r="X153" s="86"/>
      <c r="Y153" s="198"/>
      <c r="Z153" s="94"/>
      <c r="AA153" s="37"/>
      <c r="AB153" s="29"/>
      <c r="AC153" s="198"/>
      <c r="AD153" s="37"/>
      <c r="AE153" s="144"/>
      <c r="AF153" s="100"/>
      <c r="AG153" s="197"/>
      <c r="AH153" s="100"/>
      <c r="AI153" s="101"/>
      <c r="AJ153" s="267"/>
      <c r="AK153" s="172" t="str">
        <f>IFERROR(IF(AK152="","",VLOOKUP(AK152,LISTAS!$F$5:$G$1004,2,0)),"0")</f>
        <v/>
      </c>
      <c r="AL153" s="29"/>
      <c r="AP153" s="31" t="str">
        <f>IF(AR153&lt;&gt;"",1+COUNTIF(AP136:AP152,"1")+COUNTIF(AP136:AP152,"2")+COUNTIF(AP136:AP152,"3")+COUNTIF(AP136:AP152,"4")+COUNTIF(AP136:AP152,"5")+COUNTIF(AP136:AP152,"6")+COUNTIF(AP136:AP152,"7")+COUNTIF(AP136:AP152,"8")+COUNTIF(AP136:AP152,"9")+COUNTIF(AP136:AP152,"10")+COUNTIF(AP136:AP152,"11")+COUNTIF(AP136:AP152,"12")+COUNTIF(AP136:AP152,"13")+COUNTIF(AP136:AP152,"14")+COUNTIF(AP136:AP152,"15")+COUNTIF(AP136:AP152,"16")+COUNTIF(AP136:AP152,"17"),"")</f>
        <v/>
      </c>
      <c r="AQ153" s="32" t="str">
        <f t="shared" si="6"/>
        <v/>
      </c>
      <c r="AR153" s="111" t="str">
        <f>IF(AR137&lt;&gt;"",IF(C136=AR137,G138,IF(C138=AR137,G138,IF(C144=AR137,G146,IF(C146=AR137,G146,IF(C166=AR137,G168,IF(C168=AR137,G168,IF(C174=AR137,G176,IF(C176=AR137,G176,IF(C152=AR137,G154,IF(C154=AR137,G154,IF(C160=AR137,G162,IF(C162=AR137,G162,IF(C182=AR137,G184,IF(C184=AR137,G184,IF(C190=AR137,G192,IF(C192=AR137,G192,IF(AK136=AR137,AI138,IF(AK138=AR137,AI138,IF(AK144=AR137,AI146,IF(AK146=AR137,AI146,IF(AK166=AR137,AI168,IF(AK168=AR137,AI168,IF(AK174=AR137,AI176,IF(AK176=AR137,AI176,IF(AK152=AR137,AI154,IF(AK154=AR137,AI154,IF(AK160=AR137,AI162,IF(AK162=AR137,AI162,IF(AK182=AR137,AI184,IF(AK184=AR137,AI184,IF(AK190=AR137,AI192,IF(AK192=AR137,AI192)))))))))))))))))))))))))))))))),"")</f>
        <v/>
      </c>
      <c r="AS153" s="33" t="str">
        <f>IFERROR(IF(AR153="","",VLOOKUP(AR153,LISTAS!$F$5:$G$1004,2,0)),"0")</f>
        <v/>
      </c>
      <c r="AT153" s="33" t="str">
        <f t="shared" si="7"/>
        <v/>
      </c>
      <c r="AU153" s="33" t="str">
        <f t="shared" si="8"/>
        <v/>
      </c>
    </row>
    <row r="154" spans="2:47" ht="18" customHeight="1" x14ac:dyDescent="0.25">
      <c r="B154" s="133">
        <v>24</v>
      </c>
      <c r="C154" s="171" t="str">
        <f>IF('15M GRP'!G5&gt;=3,'15M GRP'!J322,IF('15M GRP'!G5=2,"",IF('15M GRP'!G5=1,"","")))</f>
        <v/>
      </c>
      <c r="D154" s="266">
        <v>0</v>
      </c>
      <c r="E154" s="107">
        <f>IF(D154&lt;&gt;"",D154,"")</f>
        <v>0</v>
      </c>
      <c r="F154" s="101" t="str">
        <f>IF(D154&lt;&gt;"",IF(C154="","",C154),"")</f>
        <v/>
      </c>
      <c r="G154" s="190" t="str">
        <f>VLOOKUP(G152,E152:F154,2,0)</f>
        <v/>
      </c>
      <c r="H154" s="101"/>
      <c r="I154" s="138"/>
      <c r="J154" s="29"/>
      <c r="K154" s="188"/>
      <c r="L154" s="29"/>
      <c r="M154" s="35"/>
      <c r="N154" s="29"/>
      <c r="O154" s="188"/>
      <c r="P154" s="29"/>
      <c r="Q154" s="37"/>
      <c r="R154" s="198"/>
      <c r="S154" s="37"/>
      <c r="T154" s="37"/>
      <c r="U154" s="37"/>
      <c r="V154" s="198"/>
      <c r="W154" s="37"/>
      <c r="X154" s="86"/>
      <c r="Y154" s="198"/>
      <c r="Z154" s="94"/>
      <c r="AA154" s="37"/>
      <c r="AB154" s="29"/>
      <c r="AC154" s="198"/>
      <c r="AD154" s="37"/>
      <c r="AE154" s="144"/>
      <c r="AF154" s="100"/>
      <c r="AG154" s="197">
        <f>IF(AJ154&lt;&gt;"",AJ154,"")</f>
        <v>1</v>
      </c>
      <c r="AH154" s="100" t="str">
        <f>IF(AJ154&lt;&gt;"",IF(AK154="","",AK154),"")</f>
        <v>LEONARDO CALANDRELLI SILVA</v>
      </c>
      <c r="AI154" s="102" t="str">
        <f>VLOOKUP(AI152,AG152:AH154,2,0)</f>
        <v/>
      </c>
      <c r="AJ154" s="266">
        <v>1</v>
      </c>
      <c r="AK154" s="171" t="str">
        <f>IF('15M GRP'!G5&gt;=3,'15M GRP'!J153,IF('15M GRP'!G5=2,"",IF('15M GRP'!G5=1,"","")))</f>
        <v>LEONARDO CALANDRELLI SILVA</v>
      </c>
      <c r="AL154" s="29">
        <v>11</v>
      </c>
      <c r="AP154" s="31" t="str">
        <f>IF(AR154&lt;&gt;"",1+COUNTIF(AP136:AP153,"1")+COUNTIF(AP136:AP153,"2")+COUNTIF(AP136:AP153,"3")+COUNTIF(AP136:AP153,"4")+COUNTIF(AP136:AP153,"5")+COUNTIF(AP136:AP153,"6")+COUNTIF(AP136:AP153,"7")+COUNTIF(AP136:AP153,"8")+COUNTIF(AP136:AP153,"9")+COUNTIF(AP136:AP153,"10")+COUNTIF(AP136:AP153,"11")+COUNTIF(AP136:AP153,"12")+COUNTIF(AP136:AP153,"13")+COUNTIF(AP136:AP153,"14")+COUNTIF(AP136:AP153,"15")+COUNTIF(AP136:AP153,"16")+COUNTIF(AP136:AP153,"17")+COUNTIF(AP136:AP153,"18"),"")</f>
        <v/>
      </c>
      <c r="AQ154" s="32" t="str">
        <f t="shared" si="6"/>
        <v/>
      </c>
      <c r="AR154" s="111" t="str">
        <f>IF(AR138&lt;&gt;"",IF(C136=AR138,G138,IF(C138=AR138,G138,IF(C144=AR138,G146,IF(C146=AR138,G146,IF(C166=AR138,G168,IF(C168=AR138,G168,IF(C174=AR138,G176,IF(C176=AR138,G176,IF(C152=AR138,G154,IF(C154=AR138,G154,IF(C160=AR138,G162,IF(C162=AR138,G162,IF(C182=AR138,G184,IF(C184=AR138,G184,IF(C190=AR138,G192,IF(C192=AR138,G192,IF(AK136=AR138,AI138,IF(AK138=AR138,AI138,IF(AK144=AR138,AI146,IF(AK146=AR138,AI146,IF(AK166=AR138,AI168,IF(AK168=AR138,AI168,IF(AK174=AR138,AI176,IF(AK176=AR138,AI176,IF(AK152=AR138,AI154,IF(AK154=AR138,AI154,IF(AK160=AR138,AI162,IF(AK162=AR138,AI162,IF(AK182=AR138,AI184,IF(AK184=AR138,AI184,IF(AK190=AR138,AI192,IF(AK192=AR138,AI192)))))))))))))))))))))))))))))))),"")</f>
        <v/>
      </c>
      <c r="AS154" s="33" t="str">
        <f>IFERROR(IF(AR154="","",VLOOKUP(AR154,LISTAS!$F$5:$G$1004,2,0)),"0")</f>
        <v/>
      </c>
      <c r="AT154" s="33" t="str">
        <f t="shared" si="7"/>
        <v/>
      </c>
      <c r="AU154" s="33" t="str">
        <f t="shared" si="8"/>
        <v/>
      </c>
    </row>
    <row r="155" spans="2:47" ht="18" customHeight="1" thickBot="1" x14ac:dyDescent="0.3">
      <c r="B155" s="133"/>
      <c r="C155" s="172" t="str">
        <f>IFERROR(IF(C154="","",VLOOKUP(C154,LISTAS!$F$5:$G$1004,2,0)),"0")</f>
        <v/>
      </c>
      <c r="D155" s="267"/>
      <c r="E155" s="148"/>
      <c r="F155" s="101"/>
      <c r="G155" s="190"/>
      <c r="H155" s="101"/>
      <c r="I155" s="138"/>
      <c r="J155" s="87"/>
      <c r="K155" s="192"/>
      <c r="L155" s="87"/>
      <c r="M155" s="93"/>
      <c r="N155" s="29"/>
      <c r="O155" s="188"/>
      <c r="P155" s="29"/>
      <c r="Q155" s="37"/>
      <c r="R155" s="198"/>
      <c r="S155" s="37"/>
      <c r="T155" s="37"/>
      <c r="U155" s="37"/>
      <c r="V155" s="198"/>
      <c r="W155" s="37"/>
      <c r="X155" s="86"/>
      <c r="Y155" s="198"/>
      <c r="Z155" s="94"/>
      <c r="AA155" s="37"/>
      <c r="AB155" s="29"/>
      <c r="AC155" s="198"/>
      <c r="AD155" s="37"/>
      <c r="AE155" s="144"/>
      <c r="AF155" s="100"/>
      <c r="AG155" s="197"/>
      <c r="AH155" s="100"/>
      <c r="AI155" s="142"/>
      <c r="AJ155" s="267"/>
      <c r="AK155" s="172" t="str">
        <f>IFERROR(IF(AK154="","",VLOOKUP(AK154,LISTAS!$F$5:$G$1004,2,0)),"0")</f>
        <v>LICEU JARDIM</v>
      </c>
      <c r="AL155" s="29"/>
      <c r="AP155" s="31" t="str">
        <f>IF(AR155&lt;&gt;"",1+COUNTIF(AP136:AP154,"1")+COUNTIF(AP136:AP154,"2")+COUNTIF(AP136:AP154,"3")+COUNTIF(AP136:AP154,"4")+COUNTIF(AP136:AP154,"5")+COUNTIF(AP136:AP154,"6")+COUNTIF(AP136:AP154,"7")+COUNTIF(AP136:AP154,"8")+COUNTIF(AP136:AP154,"9")+COUNTIF(AP136:AP154,"10")+COUNTIF(AP136:AP154,"11")+COUNTIF(AP136:AP154,"12")+COUNTIF(AP136:AP154,"13")+COUNTIF(AP136:AP154,"14")+COUNTIF(AP136:AP154,"15")+COUNTIF(AP136:AP154,"16")+COUNTIF(AP136:AP154,"17")+COUNTIF(AP136:AP154,"18")+COUNTIF(AP136:AP154,"19"),"")</f>
        <v/>
      </c>
      <c r="AQ155" s="32" t="str">
        <f t="shared" si="6"/>
        <v/>
      </c>
      <c r="AR155" s="111" t="str">
        <f>IF(AR139&lt;&gt;"",IF(C136=AR139,G138,IF(C138=AR139,G138,IF(C144=AR139,G146,IF(C146=AR139,G146,IF(C166=AR139,G168,IF(C168=AR139,G168,IF(C174=AR139,G176,IF(C176=AR139,G176,IF(C152=AR139,G154,IF(C154=AR139,G154,IF(C160=AR139,G162,IF(C162=AR139,G162,IF(C182=AR139,G184,IF(C184=AR139,G184,IF(C190=AR139,G192,IF(C192=AR139,G192,IF(AK136=AR139,AI138,IF(AK138=AR139,AI138,IF(AK144=AR139,AI146,IF(AK146=AR139,AI146,IF(AK166=AR139,AI168,IF(AK168=AR139,AI168,IF(AK174=AR139,AI176,IF(AK176=AR139,AI176,IF(AK152=AR139,AI154,IF(AK154=AR139,AI154,IF(AK160=AR139,AI162,IF(AK162=AR139,AI162,IF(AK182=AR139,AI184,IF(AK184=AR139,AI184,IF(AK190=AR139,AI192,IF(AK192=AR139,AI192)))))))))))))))))))))))))))))))),"")</f>
        <v/>
      </c>
      <c r="AS155" s="33" t="str">
        <f>IFERROR(IF(AR155="","",VLOOKUP(AR155,LISTAS!$F$5:$G$1004,2,0)),"0")</f>
        <v/>
      </c>
      <c r="AT155" s="33" t="str">
        <f t="shared" si="7"/>
        <v/>
      </c>
      <c r="AU155" s="33" t="str">
        <f t="shared" si="8"/>
        <v/>
      </c>
    </row>
    <row r="156" spans="2:47" ht="18" customHeight="1" x14ac:dyDescent="0.25">
      <c r="B156" s="133"/>
      <c r="C156" s="188"/>
      <c r="D156" s="29"/>
      <c r="E156" s="29"/>
      <c r="F156" s="34"/>
      <c r="G156" s="171" t="str">
        <f>IF(D152&lt;&gt;"",IF(D154&lt;&gt;"",IF(D152=D154,"",IF(D152&gt;D154,C152,C154)),""),"")</f>
        <v/>
      </c>
      <c r="H156" s="266">
        <v>0</v>
      </c>
      <c r="I156" s="148">
        <f>IF(H156&lt;&gt;"",H156,"")</f>
        <v>0</v>
      </c>
      <c r="J156" s="101" t="str">
        <f>IF(H156&lt;&gt;"",IF(G156="","",G156),"")</f>
        <v/>
      </c>
      <c r="K156" s="190">
        <f>IF(I156&lt;&gt;"",IF(I158&lt;&gt;"",SMALL(I156:J158,1),""),"")</f>
        <v>0</v>
      </c>
      <c r="L156" s="101"/>
      <c r="M156" s="93"/>
      <c r="N156" s="29"/>
      <c r="O156" s="188"/>
      <c r="P156" s="29"/>
      <c r="Q156" s="37"/>
      <c r="R156" s="198"/>
      <c r="S156" s="37"/>
      <c r="T156" s="37"/>
      <c r="U156" s="37"/>
      <c r="V156" s="198"/>
      <c r="W156" s="37"/>
      <c r="X156" s="86"/>
      <c r="Y156" s="198"/>
      <c r="Z156" s="94"/>
      <c r="AA156" s="37"/>
      <c r="AB156" s="29"/>
      <c r="AC156" s="198"/>
      <c r="AD156" s="37"/>
      <c r="AE156" s="34"/>
      <c r="AF156" s="266">
        <v>0</v>
      </c>
      <c r="AG156" s="171" t="str">
        <f>IF(AJ152&lt;&gt;"",IF(AJ154&lt;&gt;"",IF(AJ152=AJ154,"",IF(AJ152&gt;AJ154,AK152,AK154)),""),"")</f>
        <v>LEONARDO CALANDRELLI SILVA</v>
      </c>
      <c r="AH156" s="94"/>
      <c r="AI156" s="37"/>
      <c r="AJ156" s="29"/>
      <c r="AK156" s="188"/>
      <c r="AL156" s="29"/>
      <c r="AP156" s="31" t="str">
        <f>IF(AR156&lt;&gt;"",1+COUNTIF(AP136:AP155,"1")+COUNTIF(AP136:AP155,"2")+COUNTIF(AP136:AP155,"3")+COUNTIF(AP136:AP155,"4")+COUNTIF(AP136:AP155,"5")+COUNTIF(AP136:AP155,"6")+COUNTIF(AP136:AP155,"7")+COUNTIF(AP136:AP155,"8")+COUNTIF(AP136:AP155,"9")+COUNTIF(AP136:AP155,"10")+COUNTIF(AP136:AP155,"11")+COUNTIF(AP136:AP155,"12")+COUNTIF(AP136:AP155,"13")+COUNTIF(AP136:AP155,"14")+COUNTIF(AP136:AP155,"15")+COUNTIF(AP136:AP155,"16")+COUNTIF(AP136:AP155,"17")+COUNTIF(AP136:AP155,"18")+COUNTIF(AP136:AP155,"19")+COUNTIF(AP136:AP155,"20"),"")</f>
        <v/>
      </c>
      <c r="AQ156" s="32" t="str">
        <f t="shared" si="6"/>
        <v/>
      </c>
      <c r="AR156" s="111" t="str">
        <f>IF(AR140&lt;&gt;"",IF(C136=AR140,G138,IF(C138=AR140,G138,IF(C144=AR140,G146,IF(C146=AR140,G146,IF(C166=AR140,G168,IF(C168=AR140,G168,IF(C174=AR140,G176,IF(C176=AR140,G176,IF(C152=AR140,G154,IF(C154=AR140,G154,IF(C160=AR140,G162,IF(C162=AR140,G162,IF(C182=AR140,G184,IF(C184=AR140,G184,IF(C190=AR140,G192,IF(C192=AR140,G192,IF(AK136=AR140,AI138,IF(AK138=AR140,AI138,IF(AK144=AR140,AI146,IF(AK146=AR140,AI146,IF(AK166=AR140,AI168,IF(AK168=AR140,AI168,IF(AK174=AR140,AI176,IF(AK176=AR140,AI176,IF(AK152=AR140,AI154,IF(AK154=AR140,AI154,IF(AK160=AR140,AI162,IF(AK162=AR140,AI162,IF(AK182=AR140,AI184,IF(AK184=AR140,AI184,IF(AK190=AR140,AI192,IF(AK192=AR140,AI192)))))))))))))))))))))))))))))))),"")</f>
        <v/>
      </c>
      <c r="AS156" s="33" t="str">
        <f>IFERROR(IF(AR156="","",VLOOKUP(AR156,LISTAS!$F$5:$G$1004,2,0)),"0")</f>
        <v/>
      </c>
      <c r="AT156" s="33" t="str">
        <f t="shared" si="7"/>
        <v/>
      </c>
      <c r="AU156" s="33" t="str">
        <f t="shared" si="8"/>
        <v/>
      </c>
    </row>
    <row r="157" spans="2:47" ht="18" customHeight="1" thickBot="1" x14ac:dyDescent="0.3">
      <c r="B157" s="133"/>
      <c r="C157" s="188"/>
      <c r="D157" s="29"/>
      <c r="E157" s="29"/>
      <c r="F157" s="34"/>
      <c r="G157" s="172" t="str">
        <f>IFERROR(IF(G156="","",VLOOKUP(G156,LISTAS!$F$5:$G$1004,2,0)),"0")</f>
        <v/>
      </c>
      <c r="H157" s="267"/>
      <c r="I157" s="105"/>
      <c r="J157" s="101"/>
      <c r="K157" s="190"/>
      <c r="L157" s="101"/>
      <c r="M157" s="93"/>
      <c r="N157" s="29"/>
      <c r="O157" s="188"/>
      <c r="P157" s="29"/>
      <c r="Q157" s="37"/>
      <c r="R157" s="198"/>
      <c r="S157" s="37"/>
      <c r="T157" s="37"/>
      <c r="U157" s="37"/>
      <c r="V157" s="198"/>
      <c r="W157" s="37"/>
      <c r="X157" s="86"/>
      <c r="Y157" s="198"/>
      <c r="Z157" s="94"/>
      <c r="AA157" s="37"/>
      <c r="AB157" s="29"/>
      <c r="AC157" s="198"/>
      <c r="AD157" s="37"/>
      <c r="AE157" s="140"/>
      <c r="AF157" s="267"/>
      <c r="AG157" s="172" t="str">
        <f>IFERROR(IF(AG156="","",VLOOKUP(AG156,LISTAS!$F$5:$G$1004,2,0)),"0")</f>
        <v>LICEU JARDIM</v>
      </c>
      <c r="AH157" s="94"/>
      <c r="AI157" s="37"/>
      <c r="AJ157" s="29"/>
      <c r="AK157" s="188"/>
      <c r="AL157" s="29"/>
      <c r="AP157" s="31" t="str">
        <f>IF(AR157&lt;&gt;"",1+COUNTIF(AP136:AP156,"1")+COUNTIF(AP136:AP156,"2")+COUNTIF(AP136:AP156,"3")+COUNTIF(AP136:AP156,"4")+COUNTIF(AP136:AP156,"5")+COUNTIF(AP136:AP156,"6")+COUNTIF(AP136:AP156,"7")+COUNTIF(AP136:AP156,"8")+COUNTIF(AP136:AP156,"9")+COUNTIF(AP136:AP156,"10")+COUNTIF(AP136:AP156,"11")+COUNTIF(AP136:AP156,"12")+COUNTIF(AP136:AP156,"13")+COUNTIF(AP136:AP156,"14")+COUNTIF(AP136:AP156,"15")+COUNTIF(AP136:AP156,"16")+COUNTIF(AP136:AP156,"17")+COUNTIF(AP136:AP156,"18")+COUNTIF(AP136:AP156,"19")+COUNTIF(AP136:AP156,"20")+COUNTIF(AP136:AP156,"21"),"")</f>
        <v/>
      </c>
      <c r="AQ157" s="32" t="str">
        <f t="shared" si="6"/>
        <v/>
      </c>
      <c r="AR157" s="111" t="str">
        <f>IF(AR141&lt;&gt;"",IF(C136=AR141,G138,IF(C138=AR141,G138,IF(C144=AR141,G146,IF(C146=AR141,G146,IF(C166=AR141,G168,IF(C168=AR141,G168,IF(C174=AR141,G176,IF(C176=AR141,G176,IF(C152=AR141,G154,IF(C154=AR141,G154,IF(C160=AR141,G162,IF(C162=AR141,G162,IF(C182=AR141,G184,IF(C184=AR141,G184,IF(C190=AR141,G192,IF(C192=AR141,G192,IF(AK136=AR141,AI138,IF(AK138=AR141,AI138,IF(AK144=AR141,AI146,IF(AK146=AR141,AI146,IF(AK166=AR141,AI168,IF(AK168=AR141,AI168,IF(AK174=AR141,AI176,IF(AK176=AR141,AI176,IF(AK152=AR141,AI154,IF(AK154=AR141,AI154,IF(AK160=AR141,AI162,IF(AK162=AR141,AI162,IF(AK182=AR141,AI184,IF(AK184=AR141,AI184,IF(AK190=AR141,AI192,IF(AK192=AR141,AI192)))))))))))))))))))))))))))))))),"")</f>
        <v/>
      </c>
      <c r="AS157" s="33" t="str">
        <f>IFERROR(IF(AR157="","",VLOOKUP(AR157,LISTAS!$F$5:$G$1004,2,0)),"0")</f>
        <v/>
      </c>
      <c r="AT157" s="33" t="str">
        <f t="shared" si="7"/>
        <v/>
      </c>
      <c r="AU157" s="33" t="str">
        <f t="shared" si="8"/>
        <v/>
      </c>
    </row>
    <row r="158" spans="2:47" ht="18" customHeight="1" x14ac:dyDescent="0.25">
      <c r="B158" s="133"/>
      <c r="C158" s="188"/>
      <c r="D158" s="29"/>
      <c r="E158" s="35"/>
      <c r="F158" s="36"/>
      <c r="G158" s="171" t="str">
        <f>IF(D160&lt;&gt;"",IF(D162&lt;&gt;"",IF(D160=D162,"",IF(D160&gt;D162,C160,C162)),""),"")</f>
        <v>RAPHAEL FERNANDES DE ALMEIDA</v>
      </c>
      <c r="H158" s="266">
        <v>1</v>
      </c>
      <c r="I158" s="106">
        <f>IF(H158&lt;&gt;"",H158,"")</f>
        <v>1</v>
      </c>
      <c r="J158" s="101" t="str">
        <f>IF(H158&lt;&gt;"",IF(G158="","",G158),"")</f>
        <v>RAPHAEL FERNANDES DE ALMEIDA</v>
      </c>
      <c r="K158" s="190" t="str">
        <f>VLOOKUP(K156,I156:J158,2,0)</f>
        <v/>
      </c>
      <c r="L158" s="101"/>
      <c r="M158" s="93"/>
      <c r="N158" s="29"/>
      <c r="O158" s="188"/>
      <c r="P158" s="29"/>
      <c r="Q158" s="37"/>
      <c r="R158" s="198"/>
      <c r="S158" s="37"/>
      <c r="T158" s="37"/>
      <c r="U158" s="37"/>
      <c r="V158" s="198"/>
      <c r="W158" s="37"/>
      <c r="X158" s="86"/>
      <c r="Y158" s="198"/>
      <c r="Z158" s="94"/>
      <c r="AA158" s="37"/>
      <c r="AB158" s="29"/>
      <c r="AC158" s="198"/>
      <c r="AD158" s="37"/>
      <c r="AE158" s="91"/>
      <c r="AF158" s="266">
        <v>1</v>
      </c>
      <c r="AG158" s="171" t="str">
        <f>IF(AJ160&lt;&gt;"",IF(AJ162&lt;&gt;"",IF(AJ160=AJ162,"",IF(AJ160&gt;AJ162,AK160,AK162)),""),"")</f>
        <v>GUSTAVO CANO</v>
      </c>
      <c r="AH158" s="98"/>
      <c r="AI158" s="37"/>
      <c r="AJ158" s="29"/>
      <c r="AK158" s="188"/>
      <c r="AL158" s="29"/>
      <c r="AP158" s="31" t="str">
        <f>IF(AR158&lt;&gt;"",1+COUNTIF(AP136:AP157,"1")+COUNTIF(AP136:AP157,"2")+COUNTIF(AP136:AP157,"3")+COUNTIF(AP136:AP157,"4")+COUNTIF(AP136:AP157,"5")+COUNTIF(AP136:AP157,"6")+COUNTIF(AP136:AP157,"7")+COUNTIF(AP136:AP157,"8")+COUNTIF(AP136:AP157,"9")+COUNTIF(AP136:AP157,"10")+COUNTIF(AP136:AP157,"11")+COUNTIF(AP136:AP157,"12")+COUNTIF(AP136:AP157,"13")+COUNTIF(AP136:AP157,"14")+COUNTIF(AP136:AP157,"15")+COUNTIF(AP136:AP157,"16")+COUNTIF(AP136:AP157,"17")+COUNTIF(AP136:AP157,"18")+COUNTIF(AP136:AP157,"19")+COUNTIF(AP136:AP157,"20")+COUNTIF(AP136:AP157,"21")+COUNTIF(AP136:AP157,"22"),"")</f>
        <v/>
      </c>
      <c r="AQ158" s="32" t="str">
        <f t="shared" si="6"/>
        <v/>
      </c>
      <c r="AR158" s="111" t="str">
        <f>IF(AR142&lt;&gt;"",IF(C136=AR142,G138,IF(C138=AR142,G138,IF(C144=AR142,G146,IF(C146=AR142,G146,IF(C166=AR142,G168,IF(C168=AR142,G168,IF(C174=AR142,G176,IF(C176=AR142,G176,IF(C152=AR142,G154,IF(C154=AR142,G154,IF(C160=AR142,G162,IF(C162=AR142,G162,IF(C182=AR142,G184,IF(C184=AR142,G184,IF(C190=AR142,G192,IF(C192=AR142,G192,IF(AK136=AR142,AI138,IF(AK138=AR142,AI138,IF(AK144=AR142,AI146,IF(AK146=AR142,AI146,IF(AK166=AR142,AI168,IF(AK168=AR142,AI168,IF(AK174=AR142,AI176,IF(AK176=AR142,AI176,IF(AK152=AR142,AI154,IF(AK154=AR142,AI154,IF(AK160=AR142,AI162,IF(AK162=AR142,AI162,IF(AK182=AR142,AI184,IF(AK184=AR142,AI184,IF(AK190=AR142,AI192,IF(AK192=AR142,AI192)))))))))))))))))))))))))))))))),"")</f>
        <v/>
      </c>
      <c r="AS158" s="33" t="str">
        <f>IFERROR(IF(AR158="","",VLOOKUP(AR158,LISTAS!$F$5:$G$1004,2,0)),"0")</f>
        <v/>
      </c>
      <c r="AT158" s="33" t="str">
        <f t="shared" si="7"/>
        <v/>
      </c>
      <c r="AU158" s="33" t="str">
        <f t="shared" si="8"/>
        <v/>
      </c>
    </row>
    <row r="159" spans="2:47" ht="18" customHeight="1" thickBot="1" x14ac:dyDescent="0.3">
      <c r="B159" s="133"/>
      <c r="C159" s="188"/>
      <c r="D159" s="29"/>
      <c r="E159" s="35"/>
      <c r="F159" s="29"/>
      <c r="G159" s="172" t="str">
        <f>IFERROR(IF(G158="","",VLOOKUP(G158,LISTAS!$F$5:$G$1004,2,0)),"0")</f>
        <v>ESCOLA STAGIUM</v>
      </c>
      <c r="H159" s="267"/>
      <c r="I159" s="101"/>
      <c r="J159" s="101"/>
      <c r="K159" s="190"/>
      <c r="L159" s="101"/>
      <c r="M159" s="93"/>
      <c r="N159" s="29"/>
      <c r="O159" s="188"/>
      <c r="P159" s="29"/>
      <c r="Q159" s="37"/>
      <c r="R159" s="198"/>
      <c r="S159" s="37"/>
      <c r="T159" s="37"/>
      <c r="U159" s="37"/>
      <c r="V159" s="198"/>
      <c r="W159" s="37"/>
      <c r="X159" s="86"/>
      <c r="Y159" s="198"/>
      <c r="Z159" s="94"/>
      <c r="AA159" s="37"/>
      <c r="AB159" s="29"/>
      <c r="AC159" s="198"/>
      <c r="AD159" s="37"/>
      <c r="AE159" s="37"/>
      <c r="AF159" s="267"/>
      <c r="AG159" s="172" t="str">
        <f>IFERROR(IF(AG158="","",VLOOKUP(AG158,LISTAS!$F$5:$G$1004,2,0)),"0")</f>
        <v>RIO BRANCO - SBC</v>
      </c>
      <c r="AH159" s="37"/>
      <c r="AI159" s="89"/>
      <c r="AJ159" s="29"/>
      <c r="AK159" s="188"/>
      <c r="AL159" s="29"/>
      <c r="AP159" s="31" t="str">
        <f>IF(AR159&lt;&gt;"",1+COUNTIF(AP136:AP158,"1")+COUNTIF(AP136:AP158,"2")+COUNTIF(AP136:AP158,"3")+COUNTIF(AP136:AP158,"4")+COUNTIF(AP136:AP158,"5")+COUNTIF(AP136:AP158,"6")+COUNTIF(AP136:AP158,"7")+COUNTIF(AP136:AP158,"8")+COUNTIF(AP136:AP158,"9")+COUNTIF(AP136:AP158,"10")+COUNTIF(AP136:AP158,"11")+COUNTIF(AP136:AP158,"12")+COUNTIF(AP136:AP158,"13")+COUNTIF(AP136:AP158,"14")+COUNTIF(AP136:AP158,"15")+COUNTIF(AP136:AP158,"16")+COUNTIF(AP136:AP158,"17")+COUNTIF(AP136:AP158,"18")+COUNTIF(AP136:AP158,"19")+COUNTIF(AP136:AP158,"20")+COUNTIF(AP136:AP158,"21")+COUNTIF(AP136:AP158,"22")+COUNTIF(AP136:AP158,"23"),"")</f>
        <v/>
      </c>
      <c r="AQ159" s="32" t="str">
        <f t="shared" si="6"/>
        <v/>
      </c>
      <c r="AR159" s="111" t="str">
        <f>IF(AR143&lt;&gt;"",IF(C136=AR143,G138,IF(C138=AR143,G138,IF(C144=AR143,G146,IF(C146=AR143,G146,IF(C166=AR143,G168,IF(C168=AR143,G168,IF(C174=AR143,G176,IF(C176=AR143,G176,IF(C152=AR143,G154,IF(C154=AR143,G154,IF(C160=AR143,G162,IF(C162=AR143,G162,IF(C182=AR143,G184,IF(C184=AR143,G184,IF(C190=AR143,G192,IF(C192=AR143,G192,IF(AK136=AR143,AI138,IF(AK138=AR143,AI138,IF(AK144=AR143,AI146,IF(AK146=AR143,AI146,IF(AK166=AR143,AI168,IF(AK168=AR143,AI168,IF(AK174=AR143,AI176,IF(AK176=AR143,AI176,IF(AK152=AR143,AI154,IF(AK154=AR143,AI154,IF(AK160=AR143,AI162,IF(AK162=AR143,AI162,IF(AK182=AR143,AI184,IF(AK184=AR143,AI184,IF(AK190=AR143,AI192,IF(AK192=AR143,AI192)))))))))))))))))))))))))))))))),"")</f>
        <v/>
      </c>
      <c r="AS159" s="33" t="str">
        <f>IFERROR(IF(AR159="","",VLOOKUP(AR159,LISTAS!$F$5:$G$1004,2,0)),"0")</f>
        <v/>
      </c>
      <c r="AT159" s="33" t="str">
        <f t="shared" si="7"/>
        <v/>
      </c>
      <c r="AU159" s="33" t="str">
        <f t="shared" si="8"/>
        <v/>
      </c>
    </row>
    <row r="160" spans="2:47" ht="18" customHeight="1" x14ac:dyDescent="0.25">
      <c r="B160" s="133">
        <v>25</v>
      </c>
      <c r="C160" s="171" t="str">
        <f>IF('15M GRP'!G5&gt;=3,'15M GRP'!J335,IF('15M GRP'!G5=2,"",IF('15M GRP'!G5=1,"","")))</f>
        <v/>
      </c>
      <c r="D160" s="266">
        <v>0</v>
      </c>
      <c r="E160" s="148">
        <f>IF(D160&lt;&gt;"",D160,"")</f>
        <v>0</v>
      </c>
      <c r="F160" s="101" t="str">
        <f>IF(D160&lt;&gt;"",IF(C160="","",C160),"")</f>
        <v/>
      </c>
      <c r="G160" s="190">
        <f>IF(E160&lt;&gt;"",IF(E162&lt;&gt;"",SMALL(E160:E162,1),""),"")</f>
        <v>0</v>
      </c>
      <c r="H160" s="101"/>
      <c r="I160" s="101"/>
      <c r="J160" s="101"/>
      <c r="K160" s="190"/>
      <c r="L160" s="101"/>
      <c r="M160" s="93"/>
      <c r="N160" s="29"/>
      <c r="O160" s="188"/>
      <c r="P160" s="29"/>
      <c r="Q160" s="37"/>
      <c r="R160" s="198"/>
      <c r="S160" s="37"/>
      <c r="T160" s="37"/>
      <c r="U160" s="37"/>
      <c r="V160" s="198"/>
      <c r="W160" s="37"/>
      <c r="X160" s="86"/>
      <c r="Y160" s="198"/>
      <c r="Z160" s="94"/>
      <c r="AA160" s="37"/>
      <c r="AB160" s="29"/>
      <c r="AC160" s="198"/>
      <c r="AD160" s="37"/>
      <c r="AE160" s="100"/>
      <c r="AF160" s="100"/>
      <c r="AG160" s="197">
        <f>IF(AJ160&lt;&gt;"",AJ160,"")</f>
        <v>0</v>
      </c>
      <c r="AH160" s="100" t="str">
        <f>IF(AJ160&lt;&gt;"",IF(AK160="","",AK160),"")</f>
        <v/>
      </c>
      <c r="AI160" s="137">
        <f>IF(AG160&lt;&gt;"",IF(AG162&lt;&gt;"",SMALL(AG160:AG162,1),""),"")</f>
        <v>0</v>
      </c>
      <c r="AJ160" s="270">
        <v>0</v>
      </c>
      <c r="AK160" s="201" t="str">
        <f>IF('15M GRP'!G5&gt;=3,'15M GRP'!J361,IF('15M GRP'!G5=2,"",IF('15M GRP'!G5=1,"","")))</f>
        <v/>
      </c>
      <c r="AL160" s="29">
        <v>27</v>
      </c>
      <c r="AP160" s="31" t="str">
        <f>IF(AR160&lt;&gt;"",1+COUNTIF(AP136:AP159,"1")+COUNTIF(AP136:AP159,"2")+COUNTIF(AP136:AP159,"3")+COUNTIF(AP136:AP159,"4")+COUNTIF(AP136:AP159,"5")+COUNTIF(AP136:AP159,"6")+COUNTIF(AP136:AP159,"7")+COUNTIF(AP136:AP159,"8")+COUNTIF(AP136:AP159,"9")+COUNTIF(AP136:AP159,"10")+COUNTIF(AP136:AP159,"11")+COUNTIF(AP136:AP159,"12")+COUNTIF(AP136:AP159,"13")+COUNTIF(AP136:AP159,"14")+COUNTIF(AP136:AP159,"15")+COUNTIF(AP136:AP159,"16")+COUNTIF(AP136:AP159,"17")+COUNTIF(AP136:AP159,"18")+COUNTIF(AP136:AP159,"19")+COUNTIF(AP136:AP159,"20")+COUNTIF(AP136:AP159,"21")+COUNTIF(AP136:AP159,"22")+COUNTIF(AP136:AP159,"23")+COUNTIF(AP136:AP159,"24"),"")</f>
        <v/>
      </c>
      <c r="AQ160" s="32" t="str">
        <f t="shared" si="6"/>
        <v/>
      </c>
      <c r="AR160" s="111" t="str">
        <f>IF(AR144&lt;&gt;"",IF(C136=AR144,G138,IF(C138=AR144,G138,IF(C144=AR144,G146,IF(C146=AR144,G146,IF(C166=AR144,G168,IF(C168=AR144,G168,IF(C174=AR144,G176,IF(C176=AR144,G176,IF(C152=AR144,G154,IF(C154=AR144,G154,IF(C160=AR144,G162,IF(C162=AR144,G162,IF(C182=AR144,G184,IF(C184=AR144,G184,IF(C190=AR144,G192,IF(C192=AR144,G192,IF(AK136=AR144,AI138,IF(AK138=AR144,AI138,IF(AK144=AR144,AI146,IF(AK146=AR144,AI146,IF(AK166=AR144,AI168,IF(AK168=AR144,AI168,IF(AK174=AR144,AI176,IF(AK176=AR144,AI176,IF(AK152=AR144,AI154,IF(AK154=AR144,AI154,IF(AK160=AR144,AI162,IF(AK162=AR144,AI162,IF(AK182=AR144,AI184,IF(AK184=AR144,AI184,IF(AK190=AR144,AI192,IF(AK192=AR144,AI192)))))))))))))))))))))))))))))))),"")</f>
        <v/>
      </c>
      <c r="AS160" s="33" t="str">
        <f>IFERROR(IF(AR160="","",VLOOKUP(AR160,LISTAS!$F$5:$G$1004,2,0)),"0")</f>
        <v/>
      </c>
      <c r="AT160" s="33" t="str">
        <f t="shared" si="7"/>
        <v/>
      </c>
      <c r="AU160" s="33" t="str">
        <f t="shared" si="8"/>
        <v/>
      </c>
    </row>
    <row r="161" spans="2:47" ht="18" customHeight="1" thickBot="1" x14ac:dyDescent="0.3">
      <c r="B161" s="133"/>
      <c r="C161" s="172" t="str">
        <f>IFERROR(IF(C160="","",VLOOKUP(C160,LISTAS!$F$5:$G$1004,2,0)),"0")</f>
        <v/>
      </c>
      <c r="D161" s="267"/>
      <c r="E161" s="105"/>
      <c r="F161" s="101"/>
      <c r="G161" s="190"/>
      <c r="H161" s="101"/>
      <c r="I161" s="101"/>
      <c r="J161" s="101"/>
      <c r="K161" s="190"/>
      <c r="L161" s="101"/>
      <c r="M161" s="35"/>
      <c r="N161" s="29"/>
      <c r="O161" s="188"/>
      <c r="P161" s="29"/>
      <c r="Q161" s="37"/>
      <c r="R161" s="198"/>
      <c r="S161" s="37"/>
      <c r="T161" s="37"/>
      <c r="U161" s="37"/>
      <c r="V161" s="198"/>
      <c r="W161" s="37"/>
      <c r="X161" s="86"/>
      <c r="Y161" s="198"/>
      <c r="Z161" s="94"/>
      <c r="AA161" s="37"/>
      <c r="AB161" s="29"/>
      <c r="AC161" s="198"/>
      <c r="AD161" s="37"/>
      <c r="AE161" s="100"/>
      <c r="AF161" s="100"/>
      <c r="AG161" s="197"/>
      <c r="AH161" s="100"/>
      <c r="AI161" s="143"/>
      <c r="AJ161" s="271"/>
      <c r="AK161" s="172" t="str">
        <f>IFERROR(IF(AK160="","",VLOOKUP(AK160,LISTAS!$F$5:$G$1004,2,0)),"0")</f>
        <v/>
      </c>
      <c r="AL161" s="29"/>
      <c r="AP161" s="31" t="str">
        <f>IF(AR161&lt;&gt;"",1+COUNTIF(AP136:AP160,"1")+COUNTIF(AP136:AP160,"2")+COUNTIF(AP136:AP160,"3")+COUNTIF(AP136:AP160,"4")+COUNTIF(AP136:AP160,"5")+COUNTIF(AP136:AP160,"6")+COUNTIF(AP136:AP160,"7")+COUNTIF(AP136:AP160,"8")+COUNTIF(AP136:AP160,"9")+COUNTIF(AP136:AP160,"10")+COUNTIF(AP136:AP160,"11")+COUNTIF(AP136:AP160,"12")+COUNTIF(AP136:AP160,"13")+COUNTIF(AP136:AP160,"14")+COUNTIF(AP136:AP160,"15")+COUNTIF(AP136:AP160,"16")+COUNTIF(AP136:AP160,"17")+COUNTIF(AP136:AP160,"18")+COUNTIF(AP136:AP160,"19")+COUNTIF(AP136:AP160,"20")+COUNTIF(AP136:AP160,"21")+COUNTIF(AP136:AP160,"22")+COUNTIF(AP136:AP160,"23")+COUNTIF(AP136:AP160,"24")+COUNTIF(AP136:AP160,"25"),"")</f>
        <v/>
      </c>
      <c r="AQ161" s="32" t="str">
        <f t="shared" si="6"/>
        <v/>
      </c>
      <c r="AR161" s="111" t="str">
        <f>IF(AR145&lt;&gt;"",IF(C136=AR145,G138,IF(C138=AR145,G138,IF(C144=AR145,G146,IF(C146=AR145,G146,IF(C166=AR145,G168,IF(C168=AR145,G168,IF(C174=AR145,G176,IF(C176=AR145,G176,IF(C152=AR145,G154,IF(C154=AR145,G154,IF(C160=AR145,G162,IF(C162=AR145,G162,IF(C182=AR145,G184,IF(C184=AR145,G184,IF(C190=AR145,G192,IF(C192=AR145,G192,IF(AK136=AR145,AI138,IF(AK138=AR145,AI138,IF(AK144=AR145,AI146,IF(AK146=AR145,AI146,IF(AK166=AR145,AI168,IF(AK168=AR145,AI168,IF(AK174=AR145,AI176,IF(AK176=AR145,AI176,IF(AK152=AR145,AI154,IF(AK154=AR145,AI154,IF(AK160=AR145,AI162,IF(AK162=AR145,AI162,IF(AK182=AR145,AI184,IF(AK184=AR145,AI184,IF(AK190=AR145,AI192,IF(AK192=AR145,AI192)))))))))))))))))))))))))))))))),"")</f>
        <v/>
      </c>
      <c r="AS161" s="33" t="str">
        <f>IFERROR(IF(AR161="","",VLOOKUP(AR161,LISTAS!$F$5:$G$1004,2,0)),"0")</f>
        <v/>
      </c>
      <c r="AT161" s="33" t="str">
        <f t="shared" si="7"/>
        <v/>
      </c>
      <c r="AU161" s="33" t="str">
        <f t="shared" si="8"/>
        <v/>
      </c>
    </row>
    <row r="162" spans="2:47" ht="18" customHeight="1" thickBot="1" x14ac:dyDescent="0.3">
      <c r="B162" s="133">
        <v>8</v>
      </c>
      <c r="C162" s="171" t="str">
        <f>IF('15M GRP'!G5&gt;=3,'15M GRP'!J114,IF('15M GRP'!G5=2,"",IF('15M GRP'!G5=1,"","")))</f>
        <v>RAPHAEL FERNANDES DE ALMEIDA</v>
      </c>
      <c r="D162" s="266">
        <v>1</v>
      </c>
      <c r="E162" s="106">
        <f>IF(D162&lt;&gt;"",D162,"")</f>
        <v>1</v>
      </c>
      <c r="F162" s="101" t="str">
        <f>IF(D162&lt;&gt;"",IF(C162="","",C162),"")</f>
        <v>RAPHAEL FERNANDES DE ALMEIDA</v>
      </c>
      <c r="G162" s="190" t="str">
        <f>VLOOKUP(G160,E160:F162,2,0)</f>
        <v/>
      </c>
      <c r="H162" s="101"/>
      <c r="I162" s="29"/>
      <c r="J162" s="29"/>
      <c r="K162" s="188"/>
      <c r="L162" s="29"/>
      <c r="M162" s="35"/>
      <c r="N162" s="29"/>
      <c r="O162" s="188"/>
      <c r="P162" s="29"/>
      <c r="Q162" s="37"/>
      <c r="R162" s="268" t="s">
        <v>37</v>
      </c>
      <c r="S162" s="268"/>
      <c r="T162" s="268"/>
      <c r="U162" s="268"/>
      <c r="V162" s="268"/>
      <c r="W162" s="37"/>
      <c r="X162" s="86"/>
      <c r="Y162" s="198"/>
      <c r="Z162" s="94"/>
      <c r="AA162" s="37"/>
      <c r="AB162" s="29"/>
      <c r="AC162" s="198"/>
      <c r="AD162" s="37"/>
      <c r="AE162" s="100"/>
      <c r="AF162" s="100"/>
      <c r="AG162" s="197">
        <f>IF(AJ162&lt;&gt;"",AJ162,"")</f>
        <v>1</v>
      </c>
      <c r="AH162" s="100" t="str">
        <f>IF(AJ162&lt;&gt;"",IF(AK162="","",AK162),"")</f>
        <v>GUSTAVO CANO</v>
      </c>
      <c r="AI162" s="145" t="str">
        <f>VLOOKUP(AI160,AG160:AH162,2,0)</f>
        <v/>
      </c>
      <c r="AJ162" s="266">
        <v>1</v>
      </c>
      <c r="AK162" s="171" t="str">
        <f>IF('15M GRP'!G5&gt;=3,'15M GRP'!J88,IF('15M GRP'!G5=2,"",IF('15M GRP'!G5=1,"","")))</f>
        <v>GUSTAVO CANO</v>
      </c>
      <c r="AL162" s="29">
        <v>6</v>
      </c>
      <c r="AP162" s="31" t="str">
        <f>IF(AR162&lt;&gt;"",1+COUNTIF(AP136:AP161,"1")+COUNTIF(AP136:AP161,"2")+COUNTIF(AP136:AP161,"3")+COUNTIF(AP136:AP161,"4")+COUNTIF(AP136:AP161,"5")+COUNTIF(AP136:AP161,"6")+COUNTIF(AP136:AP161,"7")+COUNTIF(AP136:AP161,"8")+COUNTIF(AP136:AP161,"9")+COUNTIF(AP136:AP161,"10")+COUNTIF(AP136:AP161,"11")+COUNTIF(AP136:AP161,"12")+COUNTIF(AP136:AP161,"13")+COUNTIF(AP136:AP161,"14")+COUNTIF(AP136:AP161,"15")+COUNTIF(AP136:AP161,"16")+COUNTIF(AP136:AP161,"17")+COUNTIF(AP136:AP161,"18")+COUNTIF(AP136:AP161,"19")+COUNTIF(AP136:AP161,"20")+COUNTIF(AP136:AP161,"21")+COUNTIF(AP136:AP161,"22")+COUNTIF(AP136:AP161,"23")+COUNTIF(AP136:AP161,"24")+COUNTIF(AP136:AP161,"25")+COUNTIF(AP136:AP161,"26"),"")</f>
        <v/>
      </c>
      <c r="AQ162" s="32" t="str">
        <f t="shared" si="6"/>
        <v/>
      </c>
      <c r="AR162" s="111" t="str">
        <f>IF(AR146&lt;&gt;"",IF(C136=AR146,G138,IF(C138=AR146,G138,IF(C144=AR146,G146,IF(C146=AR146,G146,IF(C166=AR146,G168,IF(C168=AR146,G168,IF(C174=AR146,G176,IF(C176=AR146,G176,IF(C152=AR146,G154,IF(C154=AR146,G154,IF(C160=AR146,G162,IF(C162=AR146,G162,IF(C182=AR146,G184,IF(C184=AR146,G184,IF(C190=AR146,G192,IF(C192=AR146,G192,IF(AK136=AR146,AI138,IF(AK138=AR146,AI138,IF(AK144=AR146,AI146,IF(AK146=AR146,AI146,IF(AK166=AR146,AI168,IF(AK168=AR146,AI168,IF(AK174=AR146,AI176,IF(AK176=AR146,AI176,IF(AK152=AR146,AI154,IF(AK154=AR146,AI154,IF(AK160=AR146,AI162,IF(AK162=AR146,AI162,IF(AK182=AR146,AI184,IF(AK184=AR146,AI184,IF(AK190=AR146,AI192,IF(AK192=AR146,AI192)))))))))))))))))))))))))))))))),"")</f>
        <v/>
      </c>
      <c r="AS162" s="33" t="str">
        <f>IFERROR(IF(AR162="","",VLOOKUP(AR162,LISTAS!$F$5:$G$1004,2,0)),"0")</f>
        <v/>
      </c>
      <c r="AT162" s="33" t="str">
        <f t="shared" si="7"/>
        <v/>
      </c>
      <c r="AU162" s="33" t="str">
        <f t="shared" si="8"/>
        <v/>
      </c>
    </row>
    <row r="163" spans="2:47" ht="18" customHeight="1" thickBot="1" x14ac:dyDescent="0.3">
      <c r="B163" s="133"/>
      <c r="C163" s="172" t="str">
        <f>IFERROR(IF(C162="","",VLOOKUP(C162,LISTAS!$F$5:$G$1004,2,0)),"0")</f>
        <v>ESCOLA STAGIUM</v>
      </c>
      <c r="D163" s="267"/>
      <c r="E163" s="101"/>
      <c r="F163" s="101"/>
      <c r="G163" s="190"/>
      <c r="H163" s="101"/>
      <c r="I163" s="29"/>
      <c r="J163" s="29"/>
      <c r="K163" s="188"/>
      <c r="L163" s="29"/>
      <c r="M163" s="35"/>
      <c r="N163" s="29"/>
      <c r="O163" s="171" t="str">
        <f>IF(L148&lt;&gt;"",IF(L150&lt;&gt;"",IF(L148=L150,"",IF(L148&gt;L150,K148,K150)),""),"")</f>
        <v>FELIPE RIBEIRO DA SILVA MOREIRA</v>
      </c>
      <c r="P163" s="266">
        <v>1</v>
      </c>
      <c r="Q163" s="37"/>
      <c r="R163" s="189"/>
      <c r="S163" s="84"/>
      <c r="T163" s="84"/>
      <c r="U163" s="84"/>
      <c r="V163" s="189"/>
      <c r="W163" s="37"/>
      <c r="X163" s="266">
        <v>0</v>
      </c>
      <c r="Y163" s="171" t="str">
        <f>IF(AB148&lt;&gt;"",IF(AB150&lt;&gt;"",IF(AB148=AB150,"",IF(AB148&gt;AB150,AC148,AC150)),""),"")</f>
        <v>BENICIO VASCONCELOS VIEIRA</v>
      </c>
      <c r="Z163" s="94"/>
      <c r="AA163" s="37"/>
      <c r="AB163" s="29"/>
      <c r="AC163" s="198"/>
      <c r="AD163" s="37"/>
      <c r="AE163" s="100"/>
      <c r="AF163" s="100"/>
      <c r="AG163" s="197"/>
      <c r="AH163" s="100"/>
      <c r="AI163" s="101"/>
      <c r="AJ163" s="267"/>
      <c r="AK163" s="172" t="str">
        <f>IFERROR(IF(AK162="","",VLOOKUP(AK162,LISTAS!$F$5:$G$1004,2,0)),"0")</f>
        <v>RIO BRANCO - SBC</v>
      </c>
      <c r="AL163" s="29"/>
      <c r="AP163" s="31" t="str">
        <f>IF(AR163&lt;&gt;"",1+COUNTIF(AP136:AP162,"1")+COUNTIF(AP136:AP162,"2")+COUNTIF(AP136:AP162,"3")+COUNTIF(AP136:AP162,"4")+COUNTIF(AP136:AP162,"5")+COUNTIF(AP136:AP162,"6")+COUNTIF(AP136:AP162,"7")+COUNTIF(AP136:AP162,"8")+COUNTIF(AP136:AP162,"9")+COUNTIF(AP136:AP162,"10")+COUNTIF(AP136:AP162,"11")+COUNTIF(AP136:AP162,"12")+COUNTIF(AP136:AP162,"13")+COUNTIF(AP136:AP162,"14")+COUNTIF(AP136:AP162,"15")+COUNTIF(AP136:AP162,"16")+COUNTIF(AP136:AP162,"17")+COUNTIF(AP136:AP162,"18")+COUNTIF(AP136:AP162,"19")+COUNTIF(AP136:AP162,"20")+COUNTIF(AP136:AP162,"21")+COUNTIF(AP136:AP162,"22")+COUNTIF(AP136:AP162,"23")+COUNTIF(AP136:AP162,"24")+COUNTIF(AP136:AP162,"25")+COUNTIF(AP136:AP162,"26")+COUNTIF(AP136:AP162,"27"),"")</f>
        <v/>
      </c>
      <c r="AQ163" s="32" t="str">
        <f t="shared" si="6"/>
        <v/>
      </c>
      <c r="AR163" s="111" t="str">
        <f>IF(AR147&lt;&gt;"",IF(C136=AR147,G138,IF(C138=AR147,G138,IF(C144=AR147,G146,IF(C146=AR147,G146,IF(C166=AR147,G168,IF(C168=AR147,G168,IF(C174=AR147,G176,IF(C176=AR147,G176,IF(C152=AR147,G154,IF(C154=AR147,G154,IF(C160=AR147,G162,IF(C162=AR147,G162,IF(C182=AR147,G184,IF(C184=AR147,G184,IF(C190=AR147,G192,IF(C192=AR147,G192,IF(AK136=AR147,AI138,IF(AK138=AR147,AI138,IF(AK144=AR147,AI146,IF(AK146=AR147,AI146,IF(AK166=AR147,AI168,IF(AK168=AR147,AI168,IF(AK174=AR147,AI176,IF(AK176=AR147,AI176,IF(AK152=AR147,AI154,IF(AK154=AR147,AI154,IF(AK160=AR147,AI162,IF(AK162=AR147,AI162,IF(AK182=AR147,AI184,IF(AK184=AR147,AI184,IF(AK190=AR147,AI192,IF(AK192=AR147,AI192)))))))))))))))))))))))))))))))),"")</f>
        <v/>
      </c>
      <c r="AS163" s="33" t="str">
        <f>IFERROR(IF(AR163="","",VLOOKUP(AR163,LISTAS!$F$5:$G$1004,2,0)),"0")</f>
        <v/>
      </c>
      <c r="AT163" s="33" t="str">
        <f t="shared" si="7"/>
        <v/>
      </c>
      <c r="AU163" s="33" t="str">
        <f t="shared" si="8"/>
        <v/>
      </c>
    </row>
    <row r="164" spans="2:47" ht="18" customHeight="1" thickBot="1" x14ac:dyDescent="0.3">
      <c r="B164" s="133"/>
      <c r="C164" s="188"/>
      <c r="D164" s="29"/>
      <c r="E164" s="29"/>
      <c r="F164" s="29"/>
      <c r="G164" s="188"/>
      <c r="H164" s="29"/>
      <c r="I164" s="29"/>
      <c r="J164" s="29"/>
      <c r="K164" s="188"/>
      <c r="L164" s="29"/>
      <c r="M164" s="35"/>
      <c r="N164" s="29"/>
      <c r="O164" s="172" t="str">
        <f>IFERROR(IF(O163="","",VLOOKUP(O163,LISTAS!$F$5:$G$1004,2,0)),"0")</f>
        <v>EDUCANDÁRIO - S.A</v>
      </c>
      <c r="P164" s="267"/>
      <c r="Q164" s="37"/>
      <c r="R164" s="171" t="str">
        <f>IF(P163&lt;&gt;"",IF(P165&lt;&gt;"",IF(P163=P165,"",IF(P163&gt;P165,O163,O165)),""),"")</f>
        <v>FELIPE RIBEIRO DA SILVA MOREIRA</v>
      </c>
      <c r="S164" s="266">
        <v>1</v>
      </c>
      <c r="T164" s="269" t="s">
        <v>38</v>
      </c>
      <c r="U164" s="266">
        <v>0</v>
      </c>
      <c r="V164" s="171" t="str">
        <f>IF(X163&lt;&gt;"",IF(X165&lt;&gt;"",IF(X163=X165,"",IF(X163&gt;X165,Y163,Y165)),""),"")</f>
        <v>LEONARDO GUIRELLI DE ABREU</v>
      </c>
      <c r="W164" s="141"/>
      <c r="X164" s="267"/>
      <c r="Y164" s="172" t="str">
        <f>IFERROR(IF(Y163="","",VLOOKUP(Y163,LISTAS!$F$5:$G$1004,2,0)),"0")</f>
        <v>ESCOLA STAGIUM</v>
      </c>
      <c r="Z164" s="141"/>
      <c r="AA164" s="37"/>
      <c r="AB164" s="29"/>
      <c r="AC164" s="198"/>
      <c r="AD164" s="37"/>
      <c r="AE164" s="100"/>
      <c r="AF164" s="100"/>
      <c r="AG164" s="197"/>
      <c r="AH164" s="100"/>
      <c r="AI164" s="100"/>
      <c r="AJ164" s="29"/>
      <c r="AK164" s="188"/>
      <c r="AL164" s="29"/>
      <c r="AP164" s="31" t="str">
        <f>IF(AR164&lt;&gt;"",1+COUNTIF(AP136:AP163,"1")+COUNTIF(AP136:AP163,"2")+COUNTIF(AP136:AP163,"3")+COUNTIF(AP136:AP163,"4")+COUNTIF(AP136:AP163,"5")+COUNTIF(AP136:AP163,"6")+COUNTIF(AP136:AP163,"7")+COUNTIF(AP136:AP163,"8")+COUNTIF(AP136:AP163,"9")+COUNTIF(AP136:AP163,"10")+COUNTIF(AP136:AP163,"11")+COUNTIF(AP136:AP163,"12")+COUNTIF(AP136:AP163,"13")+COUNTIF(AP136:AP163,"14")+COUNTIF(AP136:AP163,"15")+COUNTIF(AP136:AP163,"16")+COUNTIF(AP136:AP163,"17")+COUNTIF(AP136:AP163,"18")+COUNTIF(AP136:AP163,"19")+COUNTIF(AP136:AP163,"20")+COUNTIF(AP136:AP163,"21")+COUNTIF(AP136:AP163,"22")+COUNTIF(AP136:AP163,"23")+COUNTIF(AP136:AP163,"24")+COUNTIF(AP136:AP163,"25")+COUNTIF(AP136:AP163,"26")+COUNTIF(AP136:AP163,"27")+COUNTIF(AP136:AP163,"28"),"")</f>
        <v/>
      </c>
      <c r="AQ164" s="32" t="str">
        <f t="shared" si="6"/>
        <v/>
      </c>
      <c r="AR164" s="111" t="str">
        <f>IF(AR148&lt;&gt;"",IF(C136=AR148,G138,IF(C138=AR148,G138,IF(C144=AR148,G146,IF(C146=AR148,G146,IF(C166=AR148,G168,IF(C168=AR148,G168,IF(C174=AR148,G176,IF(C176=AR148,G176,IF(C152=AR148,G154,IF(C154=AR148,G154,IF(C160=AR148,G162,IF(C162=AR148,G162,IF(C182=AR148,G184,IF(C184=AR148,G184,IF(C190=AR148,G192,IF(C192=AR148,G192,IF(AK136=AR148,AI138,IF(AK138=AR148,AI138,IF(AK144=AR148,AI146,IF(AK146=AR148,AI146,IF(AK166=AR148,AI168,IF(AK168=AR148,AI168,IF(AK174=AR148,AI176,IF(AK176=AR148,AI176,IF(AK152=AR148,AI154,IF(AK154=AR148,AI154,IF(AK160=AR148,AI162,IF(AK162=AR148,AI162,IF(AK182=AR148,AI184,IF(AK184=AR148,AI184,IF(AK190=AR148,AI192,IF(AK192=AR148,AI192)))))))))))))))))))))))))))))))),"")</f>
        <v/>
      </c>
      <c r="AS164" s="33" t="str">
        <f>IFERROR(IF(AR164="","",VLOOKUP(AR164,LISTAS!$F$5:$G$1004,2,0)),"0")</f>
        <v/>
      </c>
      <c r="AT164" s="33" t="str">
        <f t="shared" si="7"/>
        <v/>
      </c>
      <c r="AU164" s="33" t="str">
        <f t="shared" si="8"/>
        <v/>
      </c>
    </row>
    <row r="165" spans="2:47" ht="18" customHeight="1" thickBot="1" x14ac:dyDescent="0.3">
      <c r="B165" s="133"/>
      <c r="C165" s="188"/>
      <c r="D165" s="29"/>
      <c r="E165" s="29"/>
      <c r="F165" s="29"/>
      <c r="G165" s="188"/>
      <c r="H165" s="29"/>
      <c r="I165" s="29"/>
      <c r="J165" s="29"/>
      <c r="K165" s="188"/>
      <c r="L165" s="29"/>
      <c r="M165" s="35"/>
      <c r="N165" s="36"/>
      <c r="O165" s="171" t="str">
        <f>IF(L178&lt;&gt;"",IF(L180&lt;&gt;"",IF(L178=L180,"",IF(L178&gt;L180,K178,K180)),""),"")</f>
        <v>GABRIEL EDUARDO MARINELLI PEGO</v>
      </c>
      <c r="P165" s="266">
        <v>0</v>
      </c>
      <c r="Q165" s="97"/>
      <c r="R165" s="172" t="str">
        <f>IFERROR(IF(R164="","",VLOOKUP(R164,LISTAS!$F$5:$G$1004,2,0)),"0")</f>
        <v>EDUCANDÁRIO - S.A</v>
      </c>
      <c r="S165" s="267"/>
      <c r="T165" s="269"/>
      <c r="U165" s="267"/>
      <c r="V165" s="172" t="str">
        <f>IFERROR(IF(V164="","",VLOOKUP(V164,LISTAS!$F$5:$G$1004,2,0)),"0")</f>
        <v>COLEGIO PETROPOLIS</v>
      </c>
      <c r="W165" s="98"/>
      <c r="X165" s="266">
        <v>1</v>
      </c>
      <c r="Y165" s="171" t="str">
        <f>IF(AB178&lt;&gt;"",IF(AB180&lt;&gt;"",IF(AB178=AB180,"",IF(AB178&gt;AB180,AC178,AC180)),""),"")</f>
        <v>LEONARDO GUIRELLI DE ABREU</v>
      </c>
      <c r="Z165" s="98"/>
      <c r="AA165" s="37"/>
      <c r="AB165" s="29"/>
      <c r="AC165" s="198"/>
      <c r="AD165" s="37"/>
      <c r="AE165" s="100"/>
      <c r="AF165" s="100"/>
      <c r="AG165" s="197"/>
      <c r="AH165" s="100"/>
      <c r="AI165" s="100"/>
      <c r="AJ165" s="29"/>
      <c r="AK165" s="188"/>
      <c r="AL165" s="29"/>
      <c r="AP165" s="31" t="str">
        <f>IF(AR165&lt;&gt;"",1+COUNTIF(AP136:AP164,"1")+COUNTIF(AP136:AP164,"2")+COUNTIF(AP136:AP164,"3")+COUNTIF(AP136:AP164,"4")+COUNTIF(AP136:AP164,"5")+COUNTIF(AP136:AP164,"6")+COUNTIF(AP136:AP164,"7")+COUNTIF(AP136:AP164,"8")+COUNTIF(AP136:AP164,"9")+COUNTIF(AP136:AP164,"10")+COUNTIF(AP136:AP164,"11")+COUNTIF(AP136:AP164,"12")+COUNTIF(AP136:AP164,"13")+COUNTIF(AP136:AP164,"14")+COUNTIF(AP136:AP164,"15")+COUNTIF(AP136:AP164,"16")+COUNTIF(AP136:AP164,"17")+COUNTIF(AP136:AP164,"18")+COUNTIF(AP136:AP164,"19")+COUNTIF(AP136:AP164,"20")+COUNTIF(AP136:AP164,"21")+COUNTIF(AP136:AP164,"22")+COUNTIF(AP136:AP164,"23")+COUNTIF(AP136:AP164,"24")+COUNTIF(AP136:AP164,"25")+COUNTIF(AP136:AP164,"26")+COUNTIF(AP136:AP164,"27")+COUNTIF(AP136:AP164,"28")+COUNTIF(AP136:AP164,"29"),"")</f>
        <v/>
      </c>
      <c r="AQ165" s="32" t="str">
        <f t="shared" si="6"/>
        <v/>
      </c>
      <c r="AR165" s="111" t="str">
        <f>IF(AR149&lt;&gt;"",IF(C136=AR149,G138,IF(C138=AR149,G138,IF(C144=AR149,G146,IF(C146=AR149,G146,IF(C166=AR149,G168,IF(C168=AR149,G168,IF(C174=AR149,G176,IF(C176=AR149,G176,IF(C152=AR149,G154,IF(C154=AR149,G154,IF(C160=AR149,G162,IF(C162=AR149,G162,IF(C182=AR149,G184,IF(C184=AR149,G184,IF(C190=AR149,G192,IF(C192=AR149,G192,IF(AK136=AR149,AI138,IF(AK138=AR149,AI138,IF(AK144=AR149,AI146,IF(AK146=AR149,AI146,IF(AK166=AR149,AI168,IF(AK168=AR149,AI168,IF(AK174=AR149,AI176,IF(AK176=AR149,AI176,IF(AK152=AR149,AI154,IF(AK154=AR149,AI154,IF(AK160=AR149,AI162,IF(AK162=AR149,AI162,IF(AK182=AR149,AI184,IF(AK184=AR149,AI184,IF(AK190=AR149,AI192,IF(AK192=AR149,AI192)))))))))))))))))))))))))))))))),"")</f>
        <v/>
      </c>
      <c r="AS165" s="33" t="str">
        <f>IFERROR(IF(AR165="","",VLOOKUP(AR165,LISTAS!$F$5:$G$1004,2,0)),"0")</f>
        <v/>
      </c>
      <c r="AT165" s="33" t="str">
        <f t="shared" si="7"/>
        <v/>
      </c>
      <c r="AU165" s="33" t="str">
        <f t="shared" si="8"/>
        <v/>
      </c>
    </row>
    <row r="166" spans="2:47" ht="18" customHeight="1" thickBot="1" x14ac:dyDescent="0.3">
      <c r="B166" s="133">
        <v>5</v>
      </c>
      <c r="C166" s="171" t="str">
        <f>IF('15M GRP'!G5&gt;=3,'15M GRP'!J75,IF('15M GRP'!G5=2,"",IF('15M GRP'!G5=1,"","")))</f>
        <v>MATHEUS MOREIRA CHAGAS</v>
      </c>
      <c r="D166" s="266">
        <v>1</v>
      </c>
      <c r="E166" s="101">
        <f>IF(D166&lt;&gt;"",D166,"")</f>
        <v>1</v>
      </c>
      <c r="F166" s="101" t="str">
        <f>IF(D166&lt;&gt;"",IF(C166="","",C166),"")</f>
        <v>MATHEUS MOREIRA CHAGAS</v>
      </c>
      <c r="G166" s="190">
        <f>IF(E166&lt;&gt;"",IF(E168&lt;&gt;"",SMALL(E166:E168,1),""),"")</f>
        <v>0</v>
      </c>
      <c r="H166" s="101"/>
      <c r="I166" s="101"/>
      <c r="J166" s="101"/>
      <c r="K166" s="190"/>
      <c r="L166" s="29"/>
      <c r="M166" s="35"/>
      <c r="N166" s="37"/>
      <c r="O166" s="172" t="str">
        <f>IFERROR(IF(O165="","",VLOOKUP(O165,LISTAS!$F$5:$G$1004,2,0)),"0")</f>
        <v>COLÉGIO SÃO MAURO</v>
      </c>
      <c r="P166" s="267"/>
      <c r="Q166" s="85"/>
      <c r="R166" s="198"/>
      <c r="S166" s="37"/>
      <c r="T166" s="37"/>
      <c r="U166" s="37"/>
      <c r="V166" s="198"/>
      <c r="W166" s="37"/>
      <c r="X166" s="267"/>
      <c r="Y166" s="172" t="str">
        <f>IFERROR(IF(Y165="","",VLOOKUP(Y165,LISTAS!$F$5:$G$1004,2,0)),"0")</f>
        <v>COLEGIO PETROPOLIS</v>
      </c>
      <c r="Z166" s="94"/>
      <c r="AA166" s="37"/>
      <c r="AB166" s="29"/>
      <c r="AC166" s="198"/>
      <c r="AD166" s="37"/>
      <c r="AE166" s="100"/>
      <c r="AF166" s="100"/>
      <c r="AG166" s="197">
        <f>IF(AJ166&lt;&gt;"",AJ166,"")</f>
        <v>1</v>
      </c>
      <c r="AH166" s="100" t="str">
        <f>IF(AJ166&lt;&gt;"",IF(AK166="","",AK166),"")</f>
        <v>NICOLAS CLEBER SANTOS TAVARES</v>
      </c>
      <c r="AI166" s="101">
        <f>IF(AG166&lt;&gt;"",IF(AG168&lt;&gt;"",SMALL(AG166:AG168,1),""),"")</f>
        <v>0</v>
      </c>
      <c r="AJ166" s="266">
        <v>1</v>
      </c>
      <c r="AK166" s="171" t="str">
        <f>IF('15M GRP'!G5&gt;=3,'15M GRP'!J101,IF('15M GRP'!G5=2,"",IF('15M GRP'!G5=1,"","")))</f>
        <v>NICOLAS CLEBER SANTOS TAVARES</v>
      </c>
      <c r="AL166" s="29">
        <v>7</v>
      </c>
      <c r="AP166" s="31" t="str">
        <f>IF(AR166&lt;&gt;"",1+COUNTIF(AP136:AP165,"1")+COUNTIF(AP136:AP165,"2")+COUNTIF(AP136:AP165,"3")+COUNTIF(AP136:AP165,"4")+COUNTIF(AP136:AP165,"5")+COUNTIF(AP136:AP165,"6")+COUNTIF(AP136:AP165,"7")+COUNTIF(AP136:AP165,"8")+COUNTIF(AP136:AP165,"9")+COUNTIF(AP136:AP165,"10")+COUNTIF(AP136:AP165,"11")+COUNTIF(AP136:AP165,"12")+COUNTIF(AP136:AP165,"13")+COUNTIF(AP136:AP165,"14")+COUNTIF(AP136:AP165,"15")+COUNTIF(AP136:AP165,"16")+COUNTIF(AP136:AP165,"17")+COUNTIF(AP136:AP165,"18")+COUNTIF(AP136:AP165,"19")+COUNTIF(AP136:AP165,"20")+COUNTIF(AP136:AP165,"21")+COUNTIF(AP136:AP165,"22")+COUNTIF(AP136:AP165,"23")+COUNTIF(AP136:AP165,"24")+COUNTIF(AP136:AP165,"25")+COUNTIF(AP136:AP165,"26")+COUNTIF(AP136:AP165,"27")+COUNTIF(AP136:AP165,"28")+COUNTIF(AP136:AP165,"29")+COUNTIF(AP136:AP165,"30"),"")</f>
        <v/>
      </c>
      <c r="AQ166" s="32" t="str">
        <f t="shared" si="6"/>
        <v/>
      </c>
      <c r="AR166" s="111" t="str">
        <f>IF(AR150&lt;&gt;"",IF(C136=AR150,G138,IF(C138=AR150,G138,IF(C144=AR150,G146,IF(C146=AR150,G146,IF(C166=AR150,G168,IF(C168=AR150,G168,IF(C174=AR150,G176,IF(C176=AR150,G176,IF(C152=AR150,G154,IF(C154=AR150,G154,IF(C160=AR150,G162,IF(C162=AR150,G162,IF(C182=AR150,G184,IF(C184=AR150,G184,IF(C190=AR150,G192,IF(C192=AR150,G192,IF(AK136=AR150,AI138,IF(AK138=AR150,AI138,IF(AK144=AR150,AI146,IF(AK146=AR150,AI146,IF(AK166=AR150,AI168,IF(AK168=AR150,AI168,IF(AK174=AR150,AI176,IF(AK176=AR150,AI176,IF(AK152=AR150,AI154,IF(AK154=AR150,AI154,IF(AK160=AR150,AI162,IF(AK162=AR150,AI162,IF(AK182=AR150,AI184,IF(AK184=AR150,AI184,IF(AK190=AR150,AI192,IF(AK192=AR150,AI192)))))))))))))))))))))))))))))))),"")</f>
        <v/>
      </c>
      <c r="AS166" s="33" t="str">
        <f>IFERROR(IF(AR166="","",VLOOKUP(AR166,LISTAS!$F$5:$G$1004,2,0)),"0")</f>
        <v/>
      </c>
      <c r="AT166" s="33" t="str">
        <f t="shared" si="7"/>
        <v/>
      </c>
      <c r="AU166" s="33" t="str">
        <f t="shared" si="8"/>
        <v/>
      </c>
    </row>
    <row r="167" spans="2:47" ht="18" customHeight="1" thickBot="1" x14ac:dyDescent="0.3">
      <c r="B167" s="133"/>
      <c r="C167" s="172" t="str">
        <f>IFERROR(IF(C166="","",VLOOKUP(C166,LISTAS!$F$5:$G$1004,2,0)),"0")</f>
        <v>ESCOLA STAGIUM</v>
      </c>
      <c r="D167" s="267"/>
      <c r="E167" s="101"/>
      <c r="F167" s="101"/>
      <c r="G167" s="190"/>
      <c r="H167" s="101"/>
      <c r="I167" s="101"/>
      <c r="J167" s="101"/>
      <c r="K167" s="190"/>
      <c r="L167" s="101"/>
      <c r="M167" s="138"/>
      <c r="N167" s="100"/>
      <c r="O167" s="197"/>
      <c r="P167" s="100"/>
      <c r="Q167" s="100"/>
      <c r="R167" s="197"/>
      <c r="S167" s="37"/>
      <c r="T167" s="37"/>
      <c r="U167" s="37"/>
      <c r="V167" s="198"/>
      <c r="W167" s="37"/>
      <c r="X167" s="86"/>
      <c r="Y167" s="198"/>
      <c r="Z167" s="94"/>
      <c r="AA167" s="37"/>
      <c r="AB167" s="29"/>
      <c r="AC167" s="198"/>
      <c r="AD167" s="37"/>
      <c r="AE167" s="100"/>
      <c r="AF167" s="100"/>
      <c r="AG167" s="197"/>
      <c r="AH167" s="100"/>
      <c r="AI167" s="101"/>
      <c r="AJ167" s="267"/>
      <c r="AK167" s="172" t="str">
        <f>IFERROR(IF(AK166="","",VLOOKUP(AK166,LISTAS!$F$5:$G$1004,2,0)),"0")</f>
        <v>ESCOLA STAGIUM</v>
      </c>
      <c r="AL167" s="29"/>
      <c r="AP167" s="31" t="str">
        <f>IF(AR167&lt;&gt;"",1+COUNTIF(AP136:AP166,"1")+COUNTIF(AP136:AP166,"2")+COUNTIF(AP136:AP166,"3")+COUNTIF(AP136:AP166,"4")+COUNTIF(AP136:AP166,"5")+COUNTIF(AP136:AP166,"6")+COUNTIF(AP136:AP166,"7")+COUNTIF(AP136:AP166,"8")+COUNTIF(AP136:AP166,"9")+COUNTIF(AP136:AP166,"10")+COUNTIF(AP136:AP166,"11")+COUNTIF(AP136:AP166,"12")+COUNTIF(AP136:AP166,"13")+COUNTIF(AP136:AP166,"14")+COUNTIF(AP136:AP166,"15")+COUNTIF(AP136:AP166,"16")+COUNTIF(AP136:AP166,"17")+COUNTIF(AP136:AP166,"18")+COUNTIF(AP136:AP166,"19")+COUNTIF(AP136:AP166,"20")+COUNTIF(AP136:AP166,"21")+COUNTIF(AP136:AP166,"22")+COUNTIF(AP136:AP166,"23")+COUNTIF(AP136:AP166,"24")+COUNTIF(AP136:AP166,"25")+COUNTIF(AP136:AP166,"26")+COUNTIF(AP136:AP166,"27")+COUNTIF(AP136:AP166,"28")+COUNTIF(AP136:AP166,"29")+COUNTIF(AP136:AP166,"30")+COUNTIF(AP136:AP166,"31"),"")</f>
        <v/>
      </c>
      <c r="AQ167" s="32" t="str">
        <f t="shared" si="6"/>
        <v/>
      </c>
      <c r="AR167" s="111" t="str">
        <f>IF(AR151&lt;&gt;"",IF(C136=AR151,G138,IF(C138=AR151,G138,IF(C144=AR151,G146,IF(C146=AR151,G146,IF(C166=AR151,G168,IF(C168=AR151,G168,IF(C174=AR151,G176,IF(C176=AR151,G176,IF(C152=AR151,G154,IF(C154=AR151,G154,IF(C160=AR151,G162,IF(C162=AR151,G162,IF(C182=AR151,G184,IF(C184=AR151,G184,IF(C190=AR151,G192,IF(C192=AR151,G192,IF(AK136=AR151,AI138,IF(AK138=AR151,AI138,IF(AK144=AR151,AI146,IF(AK146=AR151,AI146,IF(AK166=AR151,AI168,IF(AK168=AR151,AI168,IF(AK174=AR151,AI176,IF(AK176=AR151,AI176,IF(AK152=AR151,AI154,IF(AK154=AR151,AI154,IF(AK160=AR151,AI162,IF(AK162=AR151,AI162,IF(AK182=AR151,AI184,IF(AK184=AR151,AI184,IF(AK190=AR151,AI192,IF(AK192=AR151,AI192)))))))))))))))))))))))))))))))),"")</f>
        <v/>
      </c>
      <c r="AS167" s="33" t="str">
        <f>IFERROR(IF(AR167="","",VLOOKUP(AR167,LISTAS!$F$5:$G$1004,2,0)),"0")</f>
        <v/>
      </c>
      <c r="AT167" s="33" t="str">
        <f>IF(AP167="","",IF(AP167=1,100,IF(AP167=2,80,IF(AP167=3,70,IF(AP167=4,50,IF(AP167=5,45,IF(AP167=6,40,IF(AP167=7,35,IF(AP167=8,30,IF(AP167=9,28,IF(AP167=10,28,IF(AP167=11,28,IF(AP167=12,28,IF(AP167=13,28,IF(AP167=14,28,IF(AP167=15,28,IF(AP167=16,28,IF(AP167&gt;16,"",""))))))))))))))))))</f>
        <v/>
      </c>
      <c r="AU167" s="33" t="str">
        <f>IF(AP167="","",IF($AS$5="NÃO","",IF(AP167=1,100,IF(AP167=2,80,IF(AP167=3,70,IF(AP167=4,50,IF(AP167=5,45,IF(AP167=6,40,IF(AP167=7,35,IF(AP167=8,30,IF(AP167=9,28,IF(AP167=10,28,IF(AP167=11,28,IF(AP167=12,28,IF(AP167=13,28,IF(AP167=14,28,IF(AP167=15,28,IF(AP167=16,28,IF(AP167&gt;16,"","")))))))))))))))))))</f>
        <v/>
      </c>
    </row>
    <row r="168" spans="2:47" ht="18" customHeight="1" x14ac:dyDescent="0.25">
      <c r="B168" s="133">
        <v>28</v>
      </c>
      <c r="C168" s="171" t="str">
        <f>IF('15M GRP'!G5&gt;=3,'15M GRP'!J374,IF('15M GRP'!G5=2,"",IF('15M GRP'!G5=1,"","")))</f>
        <v/>
      </c>
      <c r="D168" s="266">
        <v>0</v>
      </c>
      <c r="E168" s="107">
        <f>IF(D168&lt;&gt;"",D168,"")</f>
        <v>0</v>
      </c>
      <c r="F168" s="101" t="str">
        <f>IF(D168&lt;&gt;"",IF(C168="","",C168),"")</f>
        <v/>
      </c>
      <c r="G168" s="190" t="str">
        <f>VLOOKUP(G166,E166:F168,2,0)</f>
        <v/>
      </c>
      <c r="H168" s="101"/>
      <c r="I168" s="101"/>
      <c r="J168" s="101"/>
      <c r="K168" s="190"/>
      <c r="L168" s="101"/>
      <c r="M168" s="138"/>
      <c r="N168" s="101">
        <f>IF(P163&lt;&gt;"",P163,"")</f>
        <v>1</v>
      </c>
      <c r="O168" s="190" t="str">
        <f>IF(P163&lt;&gt;"",O163,"")</f>
        <v>FELIPE RIBEIRO DA SILVA MOREIRA</v>
      </c>
      <c r="P168" s="101">
        <f>IF(N168&lt;&gt;"",IF(N170&lt;&gt;"",LARGE(N168:N170,1),""),"")</f>
        <v>1</v>
      </c>
      <c r="Q168" s="100"/>
      <c r="R168" s="197"/>
      <c r="S168" s="37"/>
      <c r="T168" s="37"/>
      <c r="U168" s="37"/>
      <c r="V168" s="198"/>
      <c r="W168" s="37"/>
      <c r="X168" s="86"/>
      <c r="Y168" s="198"/>
      <c r="Z168" s="94"/>
      <c r="AA168" s="37"/>
      <c r="AB168" s="29"/>
      <c r="AC168" s="198"/>
      <c r="AD168" s="37"/>
      <c r="AE168" s="100"/>
      <c r="AF168" s="100"/>
      <c r="AG168" s="197">
        <f>IF(AJ168&lt;&gt;"",AJ168,"")</f>
        <v>0</v>
      </c>
      <c r="AH168" s="100" t="str">
        <f>IF(AJ168&lt;&gt;"",IF(AK168="","",AK168),"")</f>
        <v/>
      </c>
      <c r="AI168" s="102" t="str">
        <f>VLOOKUP(AI166,AG166:AH168,2,0)</f>
        <v/>
      </c>
      <c r="AJ168" s="266">
        <v>0</v>
      </c>
      <c r="AK168" s="171" t="str">
        <f>IF('15M GRP'!G5&gt;=3,'15M GRP'!J348,IF('15M GRP'!G5=2,"",IF('15M GRP'!G5=1,"","")))</f>
        <v/>
      </c>
      <c r="AL168" s="29">
        <v>26</v>
      </c>
    </row>
    <row r="169" spans="2:47" ht="18" customHeight="1" thickBot="1" x14ac:dyDescent="0.3">
      <c r="B169" s="133"/>
      <c r="C169" s="172" t="str">
        <f>IFERROR(IF(C168="","",VLOOKUP(C168,LISTAS!$F$5:$G$1004,2,0)),"0")</f>
        <v/>
      </c>
      <c r="D169" s="267"/>
      <c r="E169" s="148"/>
      <c r="F169" s="101"/>
      <c r="G169" s="190"/>
      <c r="H169" s="101"/>
      <c r="I169" s="101"/>
      <c r="J169" s="101"/>
      <c r="K169" s="190"/>
      <c r="L169" s="101"/>
      <c r="M169" s="138"/>
      <c r="N169" s="101"/>
      <c r="O169" s="190"/>
      <c r="P169" s="101"/>
      <c r="Q169" s="100"/>
      <c r="R169" s="197"/>
      <c r="S169" s="37"/>
      <c r="T169" s="37"/>
      <c r="U169" s="37"/>
      <c r="V169" s="198"/>
      <c r="W169" s="37"/>
      <c r="X169" s="86"/>
      <c r="Y169" s="198"/>
      <c r="Z169" s="94"/>
      <c r="AA169" s="37"/>
      <c r="AB169" s="29"/>
      <c r="AC169" s="198"/>
      <c r="AD169" s="37"/>
      <c r="AE169" s="100"/>
      <c r="AF169" s="100"/>
      <c r="AG169" s="197"/>
      <c r="AH169" s="100"/>
      <c r="AI169" s="142"/>
      <c r="AJ169" s="267"/>
      <c r="AK169" s="172" t="str">
        <f>IFERROR(IF(AK168="","",VLOOKUP(AK168,LISTAS!$F$5:$G$1004,2,0)),"0")</f>
        <v/>
      </c>
      <c r="AL169" s="29"/>
    </row>
    <row r="170" spans="2:47" ht="18" customHeight="1" x14ac:dyDescent="0.25">
      <c r="B170" s="133"/>
      <c r="C170" s="190"/>
      <c r="D170" s="101"/>
      <c r="E170" s="101"/>
      <c r="F170" s="137"/>
      <c r="G170" s="171" t="str">
        <f>IF(D166&lt;&gt;"",IF(D168&lt;&gt;"",IF(D166=D168,"",IF(D166&gt;D168,C166,C168)),""),"")</f>
        <v>MATHEUS MOREIRA CHAGAS</v>
      </c>
      <c r="H170" s="266">
        <v>1</v>
      </c>
      <c r="I170" s="101">
        <f>IF(H170&lt;&gt;"",H170,"")</f>
        <v>1</v>
      </c>
      <c r="J170" s="101" t="str">
        <f>IF(H170&lt;&gt;"",IF(G170="","",G170),"")</f>
        <v>MATHEUS MOREIRA CHAGAS</v>
      </c>
      <c r="K170" s="190">
        <f>IF(I170&lt;&gt;"",IF(I172&lt;&gt;"",SMALL(I170:J172,1),""),"")</f>
        <v>0</v>
      </c>
      <c r="L170" s="101"/>
      <c r="M170" s="138"/>
      <c r="N170" s="101">
        <f>IF(P165&lt;&gt;"",P165,"")</f>
        <v>0</v>
      </c>
      <c r="O170" s="190" t="str">
        <f>IF(P165&lt;&gt;"",O165,"")</f>
        <v>GABRIEL EDUARDO MARINELLI PEGO</v>
      </c>
      <c r="P170" s="101" t="str">
        <f>VLOOKUP(P168,N168:O170,2,0)</f>
        <v>FELIPE RIBEIRO DA SILVA MOREIRA</v>
      </c>
      <c r="Q170" s="100"/>
      <c r="R170" s="197"/>
      <c r="S170" s="37"/>
      <c r="T170" s="37"/>
      <c r="U170" s="37"/>
      <c r="V170" s="198"/>
      <c r="W170" s="37"/>
      <c r="X170" s="86"/>
      <c r="Y170" s="198"/>
      <c r="Z170" s="94"/>
      <c r="AA170" s="37"/>
      <c r="AB170" s="29"/>
      <c r="AC170" s="198"/>
      <c r="AD170" s="37"/>
      <c r="AE170" s="95"/>
      <c r="AF170" s="266">
        <v>0</v>
      </c>
      <c r="AG170" s="171" t="str">
        <f>IF(AJ166&lt;&gt;"",IF(AJ168&lt;&gt;"",IF(AJ166=AJ168,"",IF(AJ166&gt;AJ168,AK166,AK168)),""),"")</f>
        <v>NICOLAS CLEBER SANTOS TAVARES</v>
      </c>
      <c r="AH170" s="94"/>
      <c r="AI170" s="37"/>
      <c r="AJ170" s="29"/>
      <c r="AK170" s="188"/>
      <c r="AL170" s="29"/>
      <c r="AP170" s="2"/>
      <c r="AQ170" s="2"/>
      <c r="AR170" s="2"/>
      <c r="AS170" s="2"/>
      <c r="AT170" s="2"/>
      <c r="AU170" s="2"/>
    </row>
    <row r="171" spans="2:47" ht="18" customHeight="1" thickBot="1" x14ac:dyDescent="0.3">
      <c r="B171" s="133"/>
      <c r="C171" s="190"/>
      <c r="D171" s="101"/>
      <c r="E171" s="101"/>
      <c r="F171" s="137"/>
      <c r="G171" s="172" t="str">
        <f>IFERROR(IF(G170="","",VLOOKUP(G170,LISTAS!$F$5:$G$1004,2,0)),"0")</f>
        <v>ESCOLA STAGIUM</v>
      </c>
      <c r="H171" s="267"/>
      <c r="I171" s="101"/>
      <c r="J171" s="101"/>
      <c r="K171" s="190"/>
      <c r="L171" s="101"/>
      <c r="M171" s="138"/>
      <c r="N171" s="101"/>
      <c r="O171" s="190"/>
      <c r="P171" s="101"/>
      <c r="Q171" s="100"/>
      <c r="R171" s="197"/>
      <c r="S171" s="37"/>
      <c r="T171" s="37"/>
      <c r="U171" s="37"/>
      <c r="V171" s="198"/>
      <c r="W171" s="37"/>
      <c r="X171" s="86"/>
      <c r="Y171" s="198"/>
      <c r="Z171" s="94"/>
      <c r="AA171" s="37"/>
      <c r="AB171" s="29"/>
      <c r="AC171" s="198"/>
      <c r="AD171" s="37"/>
      <c r="AE171" s="95"/>
      <c r="AF171" s="267"/>
      <c r="AG171" s="172" t="str">
        <f>IFERROR(IF(AG170="","",VLOOKUP(AG170,LISTAS!$F$5:$G$1004,2,0)),"0")</f>
        <v>ESCOLA STAGIUM</v>
      </c>
      <c r="AH171" s="94"/>
      <c r="AI171" s="37"/>
      <c r="AJ171" s="29"/>
      <c r="AK171" s="188"/>
      <c r="AL171" s="29"/>
      <c r="AP171" s="2"/>
      <c r="AQ171" s="2"/>
      <c r="AR171" s="2"/>
      <c r="AS171" s="2"/>
      <c r="AT171" s="2"/>
      <c r="AU171" s="2"/>
    </row>
    <row r="172" spans="2:47" ht="18" customHeight="1" x14ac:dyDescent="0.25">
      <c r="B172" s="133"/>
      <c r="C172" s="190"/>
      <c r="D172" s="101"/>
      <c r="E172" s="138"/>
      <c r="F172" s="102"/>
      <c r="G172" s="171" t="str">
        <f>IF(D174&lt;&gt;"",IF(D176&lt;&gt;"",IF(D174=D176,"",IF(D174&gt;D176,C174,C176)),""),"")</f>
        <v/>
      </c>
      <c r="H172" s="266">
        <v>0</v>
      </c>
      <c r="I172" s="107">
        <f>IF(H172&lt;&gt;"",H172,"")</f>
        <v>0</v>
      </c>
      <c r="J172" s="101" t="str">
        <f>IF(H172&lt;&gt;"",IF(G172="","",G172),"")</f>
        <v/>
      </c>
      <c r="K172" s="190" t="str">
        <f>VLOOKUP(K170,I170:J172,2,0)</f>
        <v/>
      </c>
      <c r="L172" s="101"/>
      <c r="M172" s="138"/>
      <c r="N172" s="101">
        <f>IF(P163&lt;&gt;"",P163,"")</f>
        <v>1</v>
      </c>
      <c r="O172" s="190" t="str">
        <f>IF(P163&lt;&gt;"",O163,"")</f>
        <v>FELIPE RIBEIRO DA SILVA MOREIRA</v>
      </c>
      <c r="P172" s="101">
        <f>IF(N172&lt;&gt;"",IF(N174&lt;&gt;"",SMALL(N172:N174,1),""),"")</f>
        <v>0</v>
      </c>
      <c r="Q172" s="100"/>
      <c r="R172" s="197"/>
      <c r="S172" s="37"/>
      <c r="T172" s="37"/>
      <c r="U172" s="37"/>
      <c r="V172" s="198"/>
      <c r="W172" s="37"/>
      <c r="X172" s="86"/>
      <c r="Y172" s="198"/>
      <c r="Z172" s="94"/>
      <c r="AA172" s="37"/>
      <c r="AB172" s="29"/>
      <c r="AC172" s="198"/>
      <c r="AD172" s="94"/>
      <c r="AE172" s="96"/>
      <c r="AF172" s="266">
        <v>1</v>
      </c>
      <c r="AG172" s="171" t="str">
        <f>IF(AJ174&lt;&gt;"",IF(AJ176&lt;&gt;"",IF(AJ174=AJ176,"",IF(AJ174&gt;AJ176,AK174,AK176)),""),"")</f>
        <v>Vitor Moretto Gifu</v>
      </c>
      <c r="AH172" s="98"/>
      <c r="AI172" s="37"/>
      <c r="AJ172" s="29"/>
      <c r="AK172" s="188"/>
      <c r="AL172" s="29"/>
    </row>
    <row r="173" spans="2:47" ht="18" customHeight="1" thickBot="1" x14ac:dyDescent="0.3">
      <c r="B173" s="133"/>
      <c r="C173" s="190"/>
      <c r="D173" s="101"/>
      <c r="E173" s="138"/>
      <c r="F173" s="101"/>
      <c r="G173" s="172" t="str">
        <f>IFERROR(IF(G172="","",VLOOKUP(G172,LISTAS!$F$5:$G$1004,2,0)),"0")</f>
        <v/>
      </c>
      <c r="H173" s="267"/>
      <c r="I173" s="138"/>
      <c r="J173" s="101"/>
      <c r="K173" s="190"/>
      <c r="L173" s="101"/>
      <c r="M173" s="138"/>
      <c r="N173" s="101"/>
      <c r="O173" s="190"/>
      <c r="P173" s="101"/>
      <c r="Q173" s="100"/>
      <c r="R173" s="197"/>
      <c r="S173" s="37"/>
      <c r="T173" s="37"/>
      <c r="U173" s="37"/>
      <c r="V173" s="198"/>
      <c r="W173" s="37"/>
      <c r="X173" s="86"/>
      <c r="Y173" s="198"/>
      <c r="Z173" s="37"/>
      <c r="AA173" s="89"/>
      <c r="AB173" s="29"/>
      <c r="AC173" s="198"/>
      <c r="AD173" s="94"/>
      <c r="AE173" s="37"/>
      <c r="AF173" s="267"/>
      <c r="AG173" s="172" t="str">
        <f>IFERROR(IF(AG172="","",VLOOKUP(AG172,LISTAS!$F$5:$G$1004,2,0)),"0")</f>
        <v>ESCOLA INTERAÇÃO</v>
      </c>
      <c r="AH173" s="37"/>
      <c r="AI173" s="89"/>
      <c r="AJ173" s="29"/>
      <c r="AK173" s="188"/>
      <c r="AL173" s="29"/>
    </row>
    <row r="174" spans="2:47" ht="18" customHeight="1" x14ac:dyDescent="0.25">
      <c r="B174" s="133">
        <v>12</v>
      </c>
      <c r="C174" s="171"/>
      <c r="D174" s="266">
        <v>0</v>
      </c>
      <c r="E174" s="148">
        <f>IF(D174&lt;&gt;"",D174,"")</f>
        <v>0</v>
      </c>
      <c r="F174" s="101" t="str">
        <f>IF(D174&lt;&gt;"",IF(C174="","",C174),"")</f>
        <v/>
      </c>
      <c r="G174" s="190">
        <f>IF(E174&lt;&gt;"",IF(E176&lt;&gt;"",SMALL(E174:E176,1),""),"")</f>
        <v>0</v>
      </c>
      <c r="H174" s="101"/>
      <c r="I174" s="138"/>
      <c r="J174" s="101"/>
      <c r="K174" s="190"/>
      <c r="L174" s="101"/>
      <c r="M174" s="138"/>
      <c r="N174" s="101">
        <f>IF(P165&lt;&gt;"",P165,"")</f>
        <v>0</v>
      </c>
      <c r="O174" s="190" t="str">
        <f>IF(P165&lt;&gt;"",O165,"")</f>
        <v>GABRIEL EDUARDO MARINELLI PEGO</v>
      </c>
      <c r="P174" s="101" t="str">
        <f>VLOOKUP(P172,N172:O174,2,0)</f>
        <v>GABRIEL EDUARDO MARINELLI PEGO</v>
      </c>
      <c r="Q174" s="100"/>
      <c r="R174" s="197"/>
      <c r="S174" s="37"/>
      <c r="T174" s="37"/>
      <c r="U174" s="37"/>
      <c r="V174" s="198"/>
      <c r="W174" s="37"/>
      <c r="X174" s="86"/>
      <c r="Y174" s="198"/>
      <c r="Z174" s="37"/>
      <c r="AA174" s="89"/>
      <c r="AB174" s="29"/>
      <c r="AC174" s="198"/>
      <c r="AD174" s="146"/>
      <c r="AE174" s="100"/>
      <c r="AF174" s="100"/>
      <c r="AG174" s="197">
        <f>IF(AJ174&lt;&gt;"",AJ174,"")</f>
        <v>1</v>
      </c>
      <c r="AH174" s="100" t="str">
        <f>IF(AJ174&lt;&gt;"",IF(AK174="","",AK174),"")</f>
        <v>Vitor Moretto Gifu</v>
      </c>
      <c r="AI174" s="137">
        <f>IF(AG174&lt;&gt;"",IF(AG176&lt;&gt;"",SMALL(AG174:AG176,1),""),"")</f>
        <v>0</v>
      </c>
      <c r="AJ174" s="266">
        <v>1</v>
      </c>
      <c r="AK174" s="39" t="s">
        <v>647</v>
      </c>
      <c r="AL174" s="29">
        <v>10</v>
      </c>
    </row>
    <row r="175" spans="2:47" ht="18" customHeight="1" thickBot="1" x14ac:dyDescent="0.3">
      <c r="B175" s="133"/>
      <c r="C175" s="172" t="str">
        <f>IFERROR(IF(C174="","",VLOOKUP(C174,LISTAS!$F$5:$G$1004,2,0)),"0")</f>
        <v/>
      </c>
      <c r="D175" s="267"/>
      <c r="E175" s="105"/>
      <c r="F175" s="101"/>
      <c r="G175" s="190"/>
      <c r="H175" s="101"/>
      <c r="I175" s="138"/>
      <c r="J175" s="101"/>
      <c r="K175" s="190"/>
      <c r="L175" s="101"/>
      <c r="M175" s="138"/>
      <c r="N175" s="101"/>
      <c r="O175" s="190"/>
      <c r="P175" s="101"/>
      <c r="Q175" s="100"/>
      <c r="R175" s="197"/>
      <c r="S175" s="37"/>
      <c r="T175" s="37"/>
      <c r="U175" s="37"/>
      <c r="V175" s="198"/>
      <c r="W175" s="37"/>
      <c r="X175" s="86"/>
      <c r="Y175" s="198"/>
      <c r="Z175" s="37"/>
      <c r="AA175" s="89"/>
      <c r="AB175" s="29"/>
      <c r="AC175" s="198"/>
      <c r="AD175" s="146"/>
      <c r="AE175" s="100"/>
      <c r="AF175" s="100"/>
      <c r="AG175" s="197"/>
      <c r="AH175" s="100"/>
      <c r="AI175" s="143"/>
      <c r="AJ175" s="267"/>
      <c r="AK175" s="172" t="str">
        <f>IFERROR(IF(AK174="","",VLOOKUP(AK174,LISTAS!$F$5:$G$1004,2,0)),"0")</f>
        <v>ESCOLA INTERAÇÃO</v>
      </c>
      <c r="AL175" s="29"/>
    </row>
    <row r="176" spans="2:47" ht="18" customHeight="1" x14ac:dyDescent="0.25">
      <c r="B176" s="133">
        <v>21</v>
      </c>
      <c r="C176" s="171" t="str">
        <f>IF('15M GRP'!G5&gt;=3,'15M GRP'!J283,IF('15M GRP'!G5=2,"",IF('15M GRP'!G5=1,"","")))</f>
        <v/>
      </c>
      <c r="D176" s="266">
        <v>0</v>
      </c>
      <c r="E176" s="106">
        <f>IF(D176&lt;&gt;"",D176,"")</f>
        <v>0</v>
      </c>
      <c r="F176" s="101" t="str">
        <f>IF(D176&lt;&gt;"",IF(C176="","",C176),"")</f>
        <v/>
      </c>
      <c r="G176" s="190" t="str">
        <f>VLOOKUP(G174,E174:F176,2,0)</f>
        <v/>
      </c>
      <c r="H176" s="101"/>
      <c r="I176" s="138"/>
      <c r="J176" s="101"/>
      <c r="K176" s="190"/>
      <c r="L176" s="101"/>
      <c r="M176" s="138"/>
      <c r="N176" s="101"/>
      <c r="O176" s="190"/>
      <c r="P176" s="101"/>
      <c r="Q176" s="100"/>
      <c r="R176" s="197"/>
      <c r="S176" s="37"/>
      <c r="T176" s="37"/>
      <c r="U176" s="37"/>
      <c r="V176" s="198"/>
      <c r="W176" s="37"/>
      <c r="X176" s="86"/>
      <c r="Y176" s="198"/>
      <c r="Z176" s="37"/>
      <c r="AA176" s="89"/>
      <c r="AB176" s="29"/>
      <c r="AC176" s="198"/>
      <c r="AD176" s="146"/>
      <c r="AE176" s="100"/>
      <c r="AF176" s="100"/>
      <c r="AG176" s="197">
        <f>IF(AJ176&lt;&gt;"",AJ176,"")</f>
        <v>0</v>
      </c>
      <c r="AH176" s="100" t="str">
        <f>IF(AJ176&lt;&gt;"",IF(AK176="","",AK176),"")</f>
        <v/>
      </c>
      <c r="AI176" s="145" t="str">
        <f>VLOOKUP(AI174,AG174:AH176,2,0)</f>
        <v/>
      </c>
      <c r="AJ176" s="266">
        <v>0</v>
      </c>
      <c r="AK176" s="171" t="str">
        <f>IF('15M GRP'!G5&gt;=3,'15M GRP'!J309,IF('15M GRP'!G5=2,"",IF('15M GRP'!G5=1,"","")))</f>
        <v/>
      </c>
      <c r="AL176" s="29">
        <v>23</v>
      </c>
    </row>
    <row r="177" spans="2:38" ht="18" customHeight="1" thickBot="1" x14ac:dyDescent="0.3">
      <c r="B177" s="133"/>
      <c r="C177" s="172" t="str">
        <f>IFERROR(IF(C176="","",VLOOKUP(C176,LISTAS!$F$5:$G$1004,2,0)),"0")</f>
        <v/>
      </c>
      <c r="D177" s="267"/>
      <c r="E177" s="101"/>
      <c r="F177" s="101"/>
      <c r="G177" s="190"/>
      <c r="H177" s="101"/>
      <c r="I177" s="138"/>
      <c r="J177" s="101"/>
      <c r="K177" s="190"/>
      <c r="L177" s="101"/>
      <c r="M177" s="138"/>
      <c r="N177" s="101"/>
      <c r="O177" s="190"/>
      <c r="P177" s="101"/>
      <c r="Q177" s="100"/>
      <c r="R177" s="197"/>
      <c r="S177" s="37"/>
      <c r="T177" s="37"/>
      <c r="U177" s="37"/>
      <c r="V177" s="198"/>
      <c r="W177" s="37"/>
      <c r="X177" s="86"/>
      <c r="Y177" s="198"/>
      <c r="Z177" s="37"/>
      <c r="AA177" s="89"/>
      <c r="AB177" s="29"/>
      <c r="AC177" s="198"/>
      <c r="AD177" s="146"/>
      <c r="AE177" s="100"/>
      <c r="AF177" s="100"/>
      <c r="AG177" s="197"/>
      <c r="AH177" s="100"/>
      <c r="AI177" s="101"/>
      <c r="AJ177" s="267"/>
      <c r="AK177" s="172" t="str">
        <f>IFERROR(IF(AK176="","",VLOOKUP(AK176,LISTAS!$F$5:$G$1004,2,0)),"0")</f>
        <v/>
      </c>
      <c r="AL177" s="29"/>
    </row>
    <row r="178" spans="2:38" ht="18" customHeight="1" x14ac:dyDescent="0.25">
      <c r="B178" s="133"/>
      <c r="C178" s="188"/>
      <c r="D178" s="29"/>
      <c r="E178" s="29"/>
      <c r="F178" s="29"/>
      <c r="G178" s="188"/>
      <c r="H178" s="29"/>
      <c r="I178" s="35"/>
      <c r="J178" s="29"/>
      <c r="K178" s="171" t="str">
        <f>IF(H170&lt;&gt;"",IF(H172&lt;&gt;"",IF(H170=H172,"",IF(H170&gt;H172,G170,G172)),""),"")</f>
        <v>MATHEUS MOREIRA CHAGAS</v>
      </c>
      <c r="L178" s="266">
        <v>0</v>
      </c>
      <c r="M178" s="148">
        <f>IF(L178&lt;&gt;"",L178,"")</f>
        <v>0</v>
      </c>
      <c r="N178" s="101" t="str">
        <f>IF(L178&lt;&gt;"",IF(K178="","",K178),"")</f>
        <v>MATHEUS MOREIRA CHAGAS</v>
      </c>
      <c r="O178" s="190">
        <f>IF(M178&lt;&gt;"",IF(M180&lt;&gt;"",SMALL(M178:N180,1),""),"")</f>
        <v>0</v>
      </c>
      <c r="P178" s="101"/>
      <c r="Q178" s="100"/>
      <c r="R178" s="197"/>
      <c r="S178" s="37"/>
      <c r="T178" s="37"/>
      <c r="U178" s="37"/>
      <c r="V178" s="198"/>
      <c r="W178" s="37"/>
      <c r="X178" s="86"/>
      <c r="Y178" s="198"/>
      <c r="Z178" s="37"/>
      <c r="AA178" s="89"/>
      <c r="AB178" s="266">
        <v>0</v>
      </c>
      <c r="AC178" s="171" t="str">
        <f>IF(AF170&lt;&gt;"",IF(AF172&lt;&gt;"",IF(AF170=AF172,"",IF(AF170&gt;AF172,AG170,AG172)),""),"")</f>
        <v>Vitor Moretto Gifu</v>
      </c>
      <c r="AD178" s="147"/>
      <c r="AE178" s="100"/>
      <c r="AF178" s="100"/>
      <c r="AG178" s="197"/>
      <c r="AH178" s="100"/>
      <c r="AI178" s="100"/>
      <c r="AJ178" s="29"/>
      <c r="AK178" s="188"/>
      <c r="AL178" s="29"/>
    </row>
    <row r="179" spans="2:38" ht="18" customHeight="1" thickBot="1" x14ac:dyDescent="0.3">
      <c r="B179" s="133"/>
      <c r="C179" s="188"/>
      <c r="D179" s="29"/>
      <c r="E179" s="29"/>
      <c r="F179" s="29"/>
      <c r="G179" s="188"/>
      <c r="H179" s="29"/>
      <c r="I179" s="35"/>
      <c r="J179" s="29"/>
      <c r="K179" s="172" t="str">
        <f>IFERROR(IF(K178="","",VLOOKUP(K178,LISTAS!$F$5:$G$1004,2,0)),"0")</f>
        <v>ESCOLA STAGIUM</v>
      </c>
      <c r="L179" s="267"/>
      <c r="M179" s="105"/>
      <c r="N179" s="101"/>
      <c r="O179" s="190"/>
      <c r="P179" s="101"/>
      <c r="Q179" s="100"/>
      <c r="R179" s="197"/>
      <c r="S179" s="37"/>
      <c r="T179" s="37"/>
      <c r="U179" s="37"/>
      <c r="V179" s="198"/>
      <c r="W179" s="37"/>
      <c r="X179" s="86"/>
      <c r="Y179" s="198"/>
      <c r="Z179" s="37"/>
      <c r="AA179" s="139"/>
      <c r="AB179" s="267"/>
      <c r="AC179" s="172" t="str">
        <f>IFERROR(IF(AC178="","",VLOOKUP(AC178,LISTAS!$F$5:$G$1004,2,0)),"0")</f>
        <v>ESCOLA INTERAÇÃO</v>
      </c>
      <c r="AD179" s="37"/>
      <c r="AE179" s="89"/>
      <c r="AF179" s="37"/>
      <c r="AG179" s="198"/>
      <c r="AH179" s="37"/>
      <c r="AI179" s="37"/>
      <c r="AJ179" s="29"/>
      <c r="AK179" s="188"/>
      <c r="AL179" s="29"/>
    </row>
    <row r="180" spans="2:38" ht="18" customHeight="1" x14ac:dyDescent="0.25">
      <c r="B180" s="133"/>
      <c r="C180" s="188"/>
      <c r="D180" s="29"/>
      <c r="E180" s="29"/>
      <c r="F180" s="29"/>
      <c r="G180" s="188"/>
      <c r="H180" s="29"/>
      <c r="I180" s="35"/>
      <c r="J180" s="36"/>
      <c r="K180" s="39" t="s">
        <v>494</v>
      </c>
      <c r="L180" s="266">
        <v>1</v>
      </c>
      <c r="M180" s="106">
        <f>IF(L180&lt;&gt;"",L180,"")</f>
        <v>1</v>
      </c>
      <c r="N180" s="101" t="str">
        <f>IF(L180&lt;&gt;"",IF(K180="","",K180),"")</f>
        <v>GABRIEL EDUARDO MARINELLI PEGO</v>
      </c>
      <c r="O180" s="190" t="str">
        <f>VLOOKUP(O178,M178:N180,2,0)</f>
        <v>MATHEUS MOREIRA CHAGAS</v>
      </c>
      <c r="P180" s="101"/>
      <c r="Q180" s="100"/>
      <c r="R180" s="197"/>
      <c r="S180" s="37"/>
      <c r="T180" s="37"/>
      <c r="U180" s="37"/>
      <c r="V180" s="198"/>
      <c r="W180" s="37"/>
      <c r="X180" s="86"/>
      <c r="Y180" s="198"/>
      <c r="Z180" s="37"/>
      <c r="AA180" s="37"/>
      <c r="AB180" s="266">
        <v>1</v>
      </c>
      <c r="AC180" s="171" t="str">
        <f>IF(AF186&lt;&gt;"",IF(AF188&lt;&gt;"",IF(AF186=AF188,"",IF(AF186&gt;AF188,AG186,AG188)),""),"")</f>
        <v>LEONARDO GUIRELLI DE ABREU</v>
      </c>
      <c r="AD180" s="37"/>
      <c r="AE180" s="89"/>
      <c r="AF180" s="37"/>
      <c r="AG180" s="198"/>
      <c r="AH180" s="37"/>
      <c r="AI180" s="37"/>
      <c r="AJ180" s="29"/>
      <c r="AK180" s="188"/>
      <c r="AL180" s="29"/>
    </row>
    <row r="181" spans="2:38" ht="18" customHeight="1" thickBot="1" x14ac:dyDescent="0.3">
      <c r="B181" s="133"/>
      <c r="C181" s="188"/>
      <c r="D181" s="29"/>
      <c r="E181" s="29"/>
      <c r="F181" s="29"/>
      <c r="G181" s="188"/>
      <c r="H181" s="29"/>
      <c r="I181" s="35"/>
      <c r="J181" s="29"/>
      <c r="K181" s="172" t="str">
        <f>IFERROR(IF(K180="","",VLOOKUP(K180,LISTAS!$F$5:$G$1004,2,0)),"0")</f>
        <v>COLÉGIO SÃO MAURO</v>
      </c>
      <c r="L181" s="267"/>
      <c r="M181" s="101"/>
      <c r="N181" s="101"/>
      <c r="O181" s="190"/>
      <c r="P181" s="101"/>
      <c r="Q181" s="100"/>
      <c r="R181" s="197"/>
      <c r="S181" s="37"/>
      <c r="T181" s="37"/>
      <c r="U181" s="37"/>
      <c r="V181" s="198"/>
      <c r="W181" s="37"/>
      <c r="X181" s="86"/>
      <c r="Y181" s="198"/>
      <c r="Z181" s="37"/>
      <c r="AA181" s="37"/>
      <c r="AB181" s="267"/>
      <c r="AC181" s="172" t="str">
        <f>IFERROR(IF(AC180="","",VLOOKUP(AC180,LISTAS!$F$5:$G$1004,2,0)),"0")</f>
        <v>COLEGIO PETROPOLIS</v>
      </c>
      <c r="AD181" s="100"/>
      <c r="AE181" s="144"/>
      <c r="AF181" s="100"/>
      <c r="AG181" s="197"/>
      <c r="AH181" s="100"/>
      <c r="AI181" s="100"/>
      <c r="AJ181" s="29"/>
      <c r="AK181" s="188"/>
      <c r="AL181" s="29"/>
    </row>
    <row r="182" spans="2:38" ht="18" customHeight="1" x14ac:dyDescent="0.25">
      <c r="B182" s="133">
        <v>20</v>
      </c>
      <c r="C182" s="171" t="str">
        <f>IF('15M GRP'!G5&gt;=3,'15M GRP'!J270,IF('15M GRP'!G5=2,"",IF('15M GRP'!G5=1,"","")))</f>
        <v/>
      </c>
      <c r="D182" s="266">
        <v>0</v>
      </c>
      <c r="E182" s="101">
        <f>IF(D182&lt;&gt;"",D182,"")</f>
        <v>0</v>
      </c>
      <c r="F182" s="101" t="str">
        <f>IF(D182&lt;&gt;"",IF(C182="","",C182),"")</f>
        <v/>
      </c>
      <c r="G182" s="190">
        <f>IF(E182&lt;&gt;"",IF(E184&lt;&gt;"",SMALL(E182:E184,1),""),"")</f>
        <v>0</v>
      </c>
      <c r="H182" s="101"/>
      <c r="I182" s="35"/>
      <c r="J182" s="29"/>
      <c r="K182" s="188"/>
      <c r="L182" s="29"/>
      <c r="M182" s="101"/>
      <c r="N182" s="101"/>
      <c r="O182" s="190"/>
      <c r="P182" s="101"/>
      <c r="Q182" s="100"/>
      <c r="R182" s="197"/>
      <c r="S182" s="37"/>
      <c r="T182" s="37"/>
      <c r="U182" s="37"/>
      <c r="V182" s="198"/>
      <c r="W182" s="37"/>
      <c r="X182" s="86"/>
      <c r="Y182" s="198"/>
      <c r="Z182" s="37"/>
      <c r="AA182" s="37"/>
      <c r="AB182" s="29"/>
      <c r="AC182" s="198"/>
      <c r="AD182" s="100"/>
      <c r="AE182" s="144"/>
      <c r="AF182" s="100"/>
      <c r="AG182" s="197">
        <f>IF(AJ182&lt;&gt;"",AJ182,"")</f>
        <v>1</v>
      </c>
      <c r="AH182" s="100" t="str">
        <f>IF(AJ182&lt;&gt;"",IF(AK182="","",AK182),"")</f>
        <v>LEONARDO GUIRELLI DE ABREU</v>
      </c>
      <c r="AI182" s="101">
        <f>IF(AG182&lt;&gt;"",IF(AG184&lt;&gt;"",SMALL(AG182:AG184,1),""),"")</f>
        <v>0</v>
      </c>
      <c r="AJ182" s="266">
        <v>1</v>
      </c>
      <c r="AK182" s="171" t="str">
        <f>IF('15M GRP'!G5&gt;=3,'15M GRP'!J205,IF('15M GRP'!G5=2,"",IF('15M GRP'!G5=1,"","")))</f>
        <v>LEONARDO GUIRELLI DE ABREU</v>
      </c>
      <c r="AL182" s="29">
        <v>15</v>
      </c>
    </row>
    <row r="183" spans="2:38" ht="18" customHeight="1" thickBot="1" x14ac:dyDescent="0.3">
      <c r="B183" s="133"/>
      <c r="C183" s="172" t="str">
        <f>IFERROR(IF(C182="","",VLOOKUP(C182,LISTAS!$F$5:$G$1004,2,0)),"0")</f>
        <v/>
      </c>
      <c r="D183" s="267"/>
      <c r="E183" s="101"/>
      <c r="F183" s="101"/>
      <c r="G183" s="190"/>
      <c r="H183" s="101"/>
      <c r="I183" s="35"/>
      <c r="J183" s="29"/>
      <c r="K183" s="188"/>
      <c r="L183" s="29"/>
      <c r="M183" s="101"/>
      <c r="N183" s="101"/>
      <c r="O183" s="190"/>
      <c r="P183" s="101"/>
      <c r="Q183" s="100"/>
      <c r="R183" s="197"/>
      <c r="S183" s="37"/>
      <c r="T183" s="37"/>
      <c r="U183" s="37"/>
      <c r="V183" s="198"/>
      <c r="W183" s="37"/>
      <c r="X183" s="86"/>
      <c r="Y183" s="198"/>
      <c r="Z183" s="37"/>
      <c r="AA183" s="37"/>
      <c r="AB183" s="29"/>
      <c r="AC183" s="198"/>
      <c r="AD183" s="100"/>
      <c r="AE183" s="144"/>
      <c r="AF183" s="100"/>
      <c r="AG183" s="197"/>
      <c r="AH183" s="100"/>
      <c r="AI183" s="101"/>
      <c r="AJ183" s="267"/>
      <c r="AK183" s="172" t="str">
        <f>IFERROR(IF(AK182="","",VLOOKUP(AK182,LISTAS!$F$5:$G$1004,2,0)),"0")</f>
        <v>COLEGIO PETROPOLIS</v>
      </c>
      <c r="AL183" s="29"/>
    </row>
    <row r="184" spans="2:38" ht="18" customHeight="1" x14ac:dyDescent="0.25">
      <c r="B184" s="133">
        <v>13</v>
      </c>
      <c r="C184" s="171" t="str">
        <f>IF('15M GRP'!G5&gt;=3,'15M GRP'!J179,IF('15M GRP'!G5=2,"",IF('15M GRP'!G5=1,"","")))</f>
        <v>GABRIEL EDUARDO MARINELLI PEGO</v>
      </c>
      <c r="D184" s="266">
        <v>1</v>
      </c>
      <c r="E184" s="107">
        <f>IF(D184&lt;&gt;"",D184,"")</f>
        <v>1</v>
      </c>
      <c r="F184" s="101" t="str">
        <f>IF(D184&lt;&gt;"",IF(C184="","",C184),"")</f>
        <v>GABRIEL EDUARDO MARINELLI PEGO</v>
      </c>
      <c r="G184" s="190" t="str">
        <f>VLOOKUP(G182,E182:F184,2,0)</f>
        <v/>
      </c>
      <c r="H184" s="101"/>
      <c r="I184" s="35"/>
      <c r="J184" s="29"/>
      <c r="K184" s="188"/>
      <c r="L184" s="29"/>
      <c r="M184" s="101"/>
      <c r="N184" s="101"/>
      <c r="O184" s="190"/>
      <c r="P184" s="101"/>
      <c r="Q184" s="100"/>
      <c r="R184" s="197"/>
      <c r="S184" s="37"/>
      <c r="T184" s="37"/>
      <c r="U184" s="37"/>
      <c r="V184" s="198"/>
      <c r="W184" s="37"/>
      <c r="X184" s="86"/>
      <c r="Y184" s="198"/>
      <c r="Z184" s="37"/>
      <c r="AA184" s="37"/>
      <c r="AB184" s="29"/>
      <c r="AC184" s="198"/>
      <c r="AD184" s="100"/>
      <c r="AE184" s="144"/>
      <c r="AF184" s="100"/>
      <c r="AG184" s="197">
        <f>IF(AJ184&lt;&gt;"",AJ184,"")</f>
        <v>0</v>
      </c>
      <c r="AH184" s="100" t="str">
        <f>IF(AJ184&lt;&gt;"",IF(AK184="","",AK184),"")</f>
        <v/>
      </c>
      <c r="AI184" s="102" t="str">
        <f>VLOOKUP(AI182,AG182:AH184,2,0)</f>
        <v/>
      </c>
      <c r="AJ184" s="266">
        <v>0</v>
      </c>
      <c r="AK184" s="171"/>
      <c r="AL184" s="29">
        <v>18</v>
      </c>
    </row>
    <row r="185" spans="2:38" ht="18" customHeight="1" thickBot="1" x14ac:dyDescent="0.3">
      <c r="B185" s="133"/>
      <c r="C185" s="172" t="str">
        <f>IFERROR(IF(C184="","",VLOOKUP(C184,LISTAS!$F$5:$G$1004,2,0)),"0")</f>
        <v>COLÉGIO SÃO MAURO</v>
      </c>
      <c r="D185" s="267"/>
      <c r="E185" s="148"/>
      <c r="F185" s="101"/>
      <c r="G185" s="190"/>
      <c r="H185" s="101"/>
      <c r="I185" s="35"/>
      <c r="J185" s="29"/>
      <c r="K185" s="188"/>
      <c r="L185" s="29"/>
      <c r="M185" s="29"/>
      <c r="N185" s="29"/>
      <c r="O185" s="188"/>
      <c r="P185" s="29"/>
      <c r="Q185" s="37"/>
      <c r="R185" s="198"/>
      <c r="S185" s="37"/>
      <c r="T185" s="37"/>
      <c r="U185" s="37"/>
      <c r="V185" s="198"/>
      <c r="W185" s="37"/>
      <c r="X185" s="86"/>
      <c r="Y185" s="198"/>
      <c r="Z185" s="37"/>
      <c r="AA185" s="37"/>
      <c r="AB185" s="29"/>
      <c r="AC185" s="198"/>
      <c r="AD185" s="100"/>
      <c r="AE185" s="144"/>
      <c r="AF185" s="100"/>
      <c r="AG185" s="197"/>
      <c r="AH185" s="146"/>
      <c r="AI185" s="101"/>
      <c r="AJ185" s="267"/>
      <c r="AK185" s="172" t="str">
        <f>IFERROR(IF(AK184="","",VLOOKUP(AK184,LISTAS!$F$5:$G$1004,2,0)),"0")</f>
        <v/>
      </c>
      <c r="AL185" s="29"/>
    </row>
    <row r="186" spans="2:38" ht="18" customHeight="1" x14ac:dyDescent="0.25">
      <c r="B186" s="133"/>
      <c r="C186" s="188"/>
      <c r="D186" s="29"/>
      <c r="E186" s="29"/>
      <c r="F186" s="34"/>
      <c r="G186" s="171" t="str">
        <f>IF(D182&lt;&gt;"",IF(D184&lt;&gt;"",IF(D182=D184,"",IF(D182&gt;D184,C182,C184)),""),"")</f>
        <v>GABRIEL EDUARDO MARINELLI PEGO</v>
      </c>
      <c r="H186" s="266">
        <v>1</v>
      </c>
      <c r="I186" s="148">
        <f>IF(H186&lt;&gt;"",H186,"")</f>
        <v>1</v>
      </c>
      <c r="J186" s="101" t="str">
        <f>IF(H186&lt;&gt;"",IF(G186="","",G186),"")</f>
        <v>GABRIEL EDUARDO MARINELLI PEGO</v>
      </c>
      <c r="K186" s="190">
        <f>IF(I186&lt;&gt;"",IF(I188&lt;&gt;"",SMALL(I186:J188,1),""),"")</f>
        <v>0</v>
      </c>
      <c r="L186" s="101"/>
      <c r="M186" s="29"/>
      <c r="N186" s="29"/>
      <c r="O186" s="188"/>
      <c r="P186" s="29"/>
      <c r="Q186" s="37"/>
      <c r="R186" s="198"/>
      <c r="S186" s="37"/>
      <c r="T186" s="37"/>
      <c r="U186" s="37"/>
      <c r="V186" s="198"/>
      <c r="W186" s="37"/>
      <c r="X186" s="86"/>
      <c r="Y186" s="198"/>
      <c r="Z186" s="37"/>
      <c r="AA186" s="37"/>
      <c r="AB186" s="29"/>
      <c r="AC186" s="198"/>
      <c r="AD186" s="37"/>
      <c r="AE186" s="89"/>
      <c r="AF186" s="266">
        <v>1</v>
      </c>
      <c r="AG186" s="171" t="str">
        <f>IF(AJ182&lt;&gt;"",IF(AJ184&lt;&gt;"",IF(AJ182=AJ184,"",IF(AJ182&gt;AJ184,AK182,AK184)),""),"")</f>
        <v>LEONARDO GUIRELLI DE ABREU</v>
      </c>
      <c r="AH186" s="94"/>
      <c r="AI186" s="37"/>
      <c r="AJ186" s="29"/>
      <c r="AK186" s="188"/>
      <c r="AL186" s="29"/>
    </row>
    <row r="187" spans="2:38" ht="18" customHeight="1" thickBot="1" x14ac:dyDescent="0.3">
      <c r="B187" s="133"/>
      <c r="C187" s="188"/>
      <c r="D187" s="29"/>
      <c r="E187" s="29"/>
      <c r="F187" s="34"/>
      <c r="G187" s="172" t="str">
        <f>IFERROR(IF(G186="","",VLOOKUP(G186,LISTAS!$F$5:$G$1004,2,0)),"0")</f>
        <v>COLÉGIO SÃO MAURO</v>
      </c>
      <c r="H187" s="267"/>
      <c r="I187" s="105"/>
      <c r="J187" s="101"/>
      <c r="K187" s="190"/>
      <c r="L187" s="101"/>
      <c r="M187" s="29"/>
      <c r="N187" s="29"/>
      <c r="O187" s="188"/>
      <c r="P187" s="29"/>
      <c r="Q187" s="37"/>
      <c r="R187" s="198"/>
      <c r="S187" s="37"/>
      <c r="T187" s="37"/>
      <c r="U187" s="37"/>
      <c r="V187" s="198"/>
      <c r="W187" s="37"/>
      <c r="X187" s="86"/>
      <c r="Y187" s="198"/>
      <c r="Z187" s="37"/>
      <c r="AA187" s="37"/>
      <c r="AB187" s="29"/>
      <c r="AC187" s="198"/>
      <c r="AD187" s="37"/>
      <c r="AE187" s="90"/>
      <c r="AF187" s="267"/>
      <c r="AG187" s="172" t="str">
        <f>IFERROR(IF(AG186="","",VLOOKUP(AG186,LISTAS!$F$5:$G$1004,2,0)),"0")</f>
        <v>COLEGIO PETROPOLIS</v>
      </c>
      <c r="AH187" s="94"/>
      <c r="AI187" s="37"/>
      <c r="AJ187" s="29"/>
      <c r="AK187" s="188"/>
      <c r="AL187" s="29"/>
    </row>
    <row r="188" spans="2:38" ht="18" customHeight="1" x14ac:dyDescent="0.25">
      <c r="B188" s="133"/>
      <c r="C188" s="188"/>
      <c r="D188" s="29"/>
      <c r="E188" s="35"/>
      <c r="F188" s="36"/>
      <c r="G188" s="171" t="str">
        <f>IF(D190&lt;&gt;"",IF(D192&lt;&gt;"",IF(D190=D192,"",IF(D190&gt;D192,C190,C192)),""),"")</f>
        <v>CAIQUE ACAIABA DE SOUSA MARTIS</v>
      </c>
      <c r="H188" s="266">
        <v>0</v>
      </c>
      <c r="I188" s="106">
        <f>IF(H188&lt;&gt;"",H188,"")</f>
        <v>0</v>
      </c>
      <c r="J188" s="101" t="str">
        <f>IF(H188&lt;&gt;"",IF(G188="","",G188),"")</f>
        <v>CAIQUE ACAIABA DE SOUSA MARTIS</v>
      </c>
      <c r="K188" s="190" t="str">
        <f>VLOOKUP(K186,I186:J188,2,0)</f>
        <v>CAIQUE ACAIABA DE SOUSA MARTIS</v>
      </c>
      <c r="L188" s="101"/>
      <c r="M188" s="29"/>
      <c r="N188" s="29"/>
      <c r="O188" s="188"/>
      <c r="P188" s="29"/>
      <c r="Q188" s="37"/>
      <c r="R188" s="198">
        <v>0</v>
      </c>
      <c r="S188" s="37"/>
      <c r="T188" s="37"/>
      <c r="U188" s="37"/>
      <c r="V188" s="198"/>
      <c r="W188" s="37"/>
      <c r="X188" s="86"/>
      <c r="Y188" s="198"/>
      <c r="Z188" s="37"/>
      <c r="AA188" s="37"/>
      <c r="AB188" s="29"/>
      <c r="AC188" s="198"/>
      <c r="AD188" s="37"/>
      <c r="AE188" s="91"/>
      <c r="AF188" s="266">
        <v>0</v>
      </c>
      <c r="AG188" s="171" t="str">
        <f>IF(AJ190&lt;&gt;"",IF(AJ192&lt;&gt;"",IF(AJ190=AJ192,"",IF(AJ190&gt;AJ192,AK190,AK192)),""),"")</f>
        <v>ARTHUR REIS DE ARAUJO</v>
      </c>
      <c r="AH188" s="98"/>
      <c r="AI188" s="37"/>
      <c r="AJ188" s="29"/>
      <c r="AK188" s="188"/>
      <c r="AL188" s="29"/>
    </row>
    <row r="189" spans="2:38" ht="18" customHeight="1" thickBot="1" x14ac:dyDescent="0.3">
      <c r="B189" s="133"/>
      <c r="C189" s="188"/>
      <c r="D189" s="29"/>
      <c r="E189" s="35"/>
      <c r="F189" s="29"/>
      <c r="G189" s="172" t="str">
        <f>IFERROR(IF(G188="","",VLOOKUP(G188,LISTAS!$F$5:$G$1004,2,0)),"0")</f>
        <v>ESCOLA STAGIUM</v>
      </c>
      <c r="H189" s="267"/>
      <c r="I189" s="101"/>
      <c r="J189" s="101"/>
      <c r="K189" s="190"/>
      <c r="L189" s="101"/>
      <c r="M189" s="29"/>
      <c r="N189" s="29"/>
      <c r="O189" s="188"/>
      <c r="P189" s="29"/>
      <c r="Q189" s="37"/>
      <c r="R189" s="198"/>
      <c r="S189" s="37"/>
      <c r="T189" s="37"/>
      <c r="U189" s="37"/>
      <c r="V189" s="198"/>
      <c r="W189" s="37"/>
      <c r="X189" s="86"/>
      <c r="Y189" s="198"/>
      <c r="Z189" s="37"/>
      <c r="AA189" s="37"/>
      <c r="AB189" s="29"/>
      <c r="AC189" s="198"/>
      <c r="AD189" s="37"/>
      <c r="AE189" s="37"/>
      <c r="AF189" s="267"/>
      <c r="AG189" s="172" t="str">
        <f>IFERROR(IF(AG188="","",VLOOKUP(AG188,LISTAS!$F$5:$G$1004,2,0)),"0")</f>
        <v>ESCOLA STAGIUM</v>
      </c>
      <c r="AH189" s="37"/>
      <c r="AI189" s="89"/>
      <c r="AJ189" s="29"/>
      <c r="AK189" s="188"/>
      <c r="AL189" s="29"/>
    </row>
    <row r="190" spans="2:38" ht="18" customHeight="1" x14ac:dyDescent="0.25">
      <c r="B190" s="133">
        <v>29</v>
      </c>
      <c r="C190" s="171" t="str">
        <f>IF('15M GRP'!G5&gt;=3,'15M GRP'!J387,IF('15M GRP'!G5=2,"",IF('15M GRP'!G5=1,"","")))</f>
        <v/>
      </c>
      <c r="D190" s="266">
        <v>0</v>
      </c>
      <c r="E190" s="148">
        <f>IF(D190&lt;&gt;"",D190,"")</f>
        <v>0</v>
      </c>
      <c r="F190" s="101" t="str">
        <f>IF(D190&lt;&gt;"",IF(C190="","",C190),"")</f>
        <v/>
      </c>
      <c r="G190" s="190">
        <f>IF(E190&lt;&gt;"",IF(E192&lt;&gt;"",SMALL(E190:E192,1),""),"")</f>
        <v>0</v>
      </c>
      <c r="H190" s="101"/>
      <c r="I190" s="101"/>
      <c r="J190" s="101"/>
      <c r="K190" s="190"/>
      <c r="L190" s="101"/>
      <c r="M190" s="29"/>
      <c r="N190" s="29"/>
      <c r="O190" s="188"/>
      <c r="P190" s="29"/>
      <c r="Q190" s="37"/>
      <c r="R190" s="198"/>
      <c r="S190" s="37"/>
      <c r="T190" s="37"/>
      <c r="U190" s="37"/>
      <c r="V190" s="198"/>
      <c r="W190" s="37"/>
      <c r="X190" s="86"/>
      <c r="Y190" s="198"/>
      <c r="Z190" s="37"/>
      <c r="AA190" s="37"/>
      <c r="AB190" s="29"/>
      <c r="AC190" s="198"/>
      <c r="AD190" s="100"/>
      <c r="AE190" s="100"/>
      <c r="AF190" s="100"/>
      <c r="AG190" s="197">
        <f>IF(AJ190&lt;&gt;"",AJ190,"")</f>
        <v>0</v>
      </c>
      <c r="AH190" s="100" t="str">
        <f>IF(AJ190&lt;&gt;"",IF(AK190="","",AK190),"")</f>
        <v/>
      </c>
      <c r="AI190" s="137">
        <f>IF(AG190&lt;&gt;"",IF(AG192&lt;&gt;"",SMALL(AG190:AG192,1),""),"")</f>
        <v>0</v>
      </c>
      <c r="AJ190" s="266">
        <v>0</v>
      </c>
      <c r="AK190" s="171" t="str">
        <f>IF('15M GRP'!G5&gt;=3,'15M GRP'!J413,IF('15M GRP'!G5=2,"",IF('15M GRP'!G5=1,"","")))</f>
        <v/>
      </c>
      <c r="AL190" s="29">
        <v>31</v>
      </c>
    </row>
    <row r="191" spans="2:38" ht="18" customHeight="1" thickBot="1" x14ac:dyDescent="0.3">
      <c r="B191" s="133"/>
      <c r="C191" s="172" t="str">
        <f>IFERROR(IF(C190="","",VLOOKUP(C190,LISTAS!$F$5:$G$1004,2,0)),"0")</f>
        <v/>
      </c>
      <c r="D191" s="267"/>
      <c r="E191" s="105"/>
      <c r="F191" s="101"/>
      <c r="G191" s="190"/>
      <c r="H191" s="101"/>
      <c r="I191" s="101"/>
      <c r="J191" s="101"/>
      <c r="K191" s="190"/>
      <c r="L191" s="101"/>
      <c r="M191" s="29"/>
      <c r="N191" s="29"/>
      <c r="O191" s="188"/>
      <c r="P191" s="29"/>
      <c r="Q191" s="37"/>
      <c r="R191" s="198"/>
      <c r="S191" s="37"/>
      <c r="T191" s="37"/>
      <c r="U191" s="37"/>
      <c r="V191" s="198"/>
      <c r="W191" s="37"/>
      <c r="X191" s="86"/>
      <c r="Y191" s="198"/>
      <c r="Z191" s="37"/>
      <c r="AA191" s="37"/>
      <c r="AB191" s="29"/>
      <c r="AC191" s="198"/>
      <c r="AD191" s="100"/>
      <c r="AE191" s="100"/>
      <c r="AF191" s="100"/>
      <c r="AG191" s="197"/>
      <c r="AH191" s="100"/>
      <c r="AI191" s="103"/>
      <c r="AJ191" s="267"/>
      <c r="AK191" s="172" t="str">
        <f>IFERROR(IF(AK190="","",VLOOKUP(AK190,LISTAS!$F$5:$G$1004,2,0)),"0")</f>
        <v/>
      </c>
      <c r="AL191" s="29"/>
    </row>
    <row r="192" spans="2:38" x14ac:dyDescent="0.25">
      <c r="B192" s="133">
        <v>4</v>
      </c>
      <c r="C192" s="171" t="str">
        <f>IF('15M GRP'!G5&gt;=3,'15M GRP'!J62,IF('15M GRP'!G5=2,"",IF('15M GRP'!G5=1,"","")))</f>
        <v>CAIQUE ACAIABA DE SOUSA MARTIS</v>
      </c>
      <c r="D192" s="266">
        <v>1</v>
      </c>
      <c r="E192" s="106">
        <f>IF(D192&lt;&gt;"",D192,"")</f>
        <v>1</v>
      </c>
      <c r="F192" s="101" t="str">
        <f>IF(D192&lt;&gt;"",IF(C192="","",C192),"")</f>
        <v>CAIQUE ACAIABA DE SOUSA MARTIS</v>
      </c>
      <c r="G192" s="190" t="str">
        <f>VLOOKUP(G190,E190:F192,2,0)</f>
        <v/>
      </c>
      <c r="H192" s="101"/>
      <c r="I192" s="101"/>
      <c r="J192" s="101"/>
      <c r="K192" s="190"/>
      <c r="L192" s="101"/>
      <c r="M192" s="29"/>
      <c r="N192" s="29"/>
      <c r="O192" s="188"/>
      <c r="P192" s="29"/>
      <c r="Q192" s="37"/>
      <c r="R192" s="198"/>
      <c r="S192" s="37"/>
      <c r="T192" s="37"/>
      <c r="U192" s="37"/>
      <c r="V192" s="198"/>
      <c r="W192" s="37"/>
      <c r="X192" s="86"/>
      <c r="Y192" s="198"/>
      <c r="Z192" s="37"/>
      <c r="AA192" s="37"/>
      <c r="AB192" s="29"/>
      <c r="AC192" s="198"/>
      <c r="AD192" s="100"/>
      <c r="AE192" s="100"/>
      <c r="AF192" s="100"/>
      <c r="AG192" s="197">
        <f>IF(AJ192&lt;&gt;"",AJ192,"")</f>
        <v>1</v>
      </c>
      <c r="AH192" s="100" t="str">
        <f>IF(AJ192&lt;&gt;"",IF(AK192="","",AK192),"")</f>
        <v>ARTHUR REIS DE ARAUJO</v>
      </c>
      <c r="AI192" s="104" t="str">
        <f>VLOOKUP(AI190,AG190:AH192,2,0)</f>
        <v/>
      </c>
      <c r="AJ192" s="266">
        <v>1</v>
      </c>
      <c r="AK192" s="171" t="str">
        <f>IF('15M GRP'!G5&gt;=3,'15M GRP'!J32,IF('15M GRP'!G5=2,IF('15M GRP'!H8=3,'15M GRP'!J32,""),IF('15M GRP'!G5=1,"","")))</f>
        <v>ARTHUR REIS DE ARAUJO</v>
      </c>
      <c r="AL192" s="29">
        <v>2</v>
      </c>
    </row>
    <row r="193" spans="2:38" ht="20.25" customHeight="1" thickBot="1" x14ac:dyDescent="0.3">
      <c r="B193" s="133"/>
      <c r="C193" s="172" t="str">
        <f>IFERROR(IF(C192="","",VLOOKUP(C192,LISTAS!$F$5:$G$1004,2,0)),"0")</f>
        <v>ESCOLA STAGIUM</v>
      </c>
      <c r="D193" s="267"/>
      <c r="E193" s="101"/>
      <c r="F193" s="101"/>
      <c r="G193" s="190"/>
      <c r="H193" s="101"/>
      <c r="I193" s="101"/>
      <c r="J193" s="101"/>
      <c r="K193" s="190"/>
      <c r="L193" s="101"/>
      <c r="M193" s="29"/>
      <c r="N193" s="29"/>
      <c r="O193" s="188"/>
      <c r="P193" s="29"/>
      <c r="Q193" s="37"/>
      <c r="R193" s="198"/>
      <c r="S193" s="37"/>
      <c r="T193" s="37"/>
      <c r="U193" s="37"/>
      <c r="V193" s="198"/>
      <c r="W193" s="37"/>
      <c r="X193" s="86"/>
      <c r="Y193" s="198"/>
      <c r="Z193" s="37"/>
      <c r="AA193" s="37"/>
      <c r="AB193" s="29"/>
      <c r="AC193" s="198"/>
      <c r="AD193" s="100"/>
      <c r="AE193" s="100"/>
      <c r="AF193" s="100"/>
      <c r="AG193" s="197"/>
      <c r="AH193" s="100"/>
      <c r="AI193" s="101"/>
      <c r="AJ193" s="267"/>
      <c r="AK193" s="172" t="str">
        <f>IFERROR(IF(AK192="","",VLOOKUP(AK192,LISTAS!$F$5:$G$1004,2,0)),"0")</f>
        <v>ESCOLA STAGIUM</v>
      </c>
      <c r="AL193" s="29"/>
    </row>
    <row r="194" spans="2:38" x14ac:dyDescent="0.25">
      <c r="B194" s="133"/>
      <c r="C194" s="189"/>
      <c r="D194" s="84"/>
      <c r="E194" s="149"/>
      <c r="F194" s="149"/>
      <c r="G194" s="194"/>
      <c r="H194" s="149"/>
      <c r="I194" s="149"/>
      <c r="J194" s="149"/>
      <c r="K194" s="194"/>
      <c r="L194" s="149"/>
      <c r="M194" s="84"/>
      <c r="N194" s="84"/>
      <c r="O194" s="189"/>
      <c r="P194" s="84"/>
      <c r="Q194" s="37"/>
      <c r="R194" s="198"/>
      <c r="S194" s="37"/>
      <c r="T194" s="37"/>
      <c r="U194" s="37"/>
      <c r="V194" s="198"/>
      <c r="W194" s="37"/>
      <c r="X194" s="86"/>
      <c r="Y194" s="198"/>
      <c r="Z194" s="37"/>
      <c r="AA194" s="37"/>
      <c r="AB194" s="29"/>
      <c r="AC194" s="198"/>
      <c r="AD194" s="100"/>
      <c r="AE194" s="100"/>
      <c r="AF194" s="100"/>
      <c r="AG194" s="197"/>
      <c r="AH194" s="100"/>
      <c r="AI194" s="100"/>
      <c r="AJ194" s="84"/>
      <c r="AK194" s="189"/>
      <c r="AL194" s="29"/>
    </row>
    <row r="195" spans="2:38" x14ac:dyDescent="0.25">
      <c r="B195" s="29"/>
      <c r="C195" s="189"/>
      <c r="D195" s="84"/>
      <c r="E195" s="84"/>
      <c r="F195" s="84"/>
      <c r="G195" s="189"/>
      <c r="H195" s="84"/>
      <c r="I195" s="84"/>
      <c r="J195" s="84"/>
      <c r="K195" s="189"/>
      <c r="L195" s="84"/>
      <c r="M195" s="84"/>
      <c r="N195" s="84"/>
      <c r="O195" s="189"/>
      <c r="P195" s="84"/>
      <c r="Q195" s="37"/>
      <c r="R195" s="198"/>
      <c r="S195" s="37"/>
      <c r="T195" s="37"/>
      <c r="U195" s="37"/>
      <c r="V195" s="198"/>
      <c r="W195" s="37"/>
      <c r="X195" s="86"/>
      <c r="Y195" s="198"/>
      <c r="Z195" s="37"/>
      <c r="AA195" s="37"/>
      <c r="AB195" s="29"/>
      <c r="AC195" s="198"/>
      <c r="AD195" s="37"/>
      <c r="AE195" s="37"/>
      <c r="AF195" s="37"/>
      <c r="AG195" s="198"/>
      <c r="AH195" s="37"/>
      <c r="AI195" s="37"/>
      <c r="AJ195" s="84"/>
      <c r="AK195" s="189"/>
      <c r="AL195" s="29"/>
    </row>
    <row r="196" spans="2:38" x14ac:dyDescent="0.25">
      <c r="B196" s="2"/>
      <c r="D196" s="2"/>
      <c r="E196" s="2"/>
      <c r="F196" s="2"/>
      <c r="G196" s="163"/>
      <c r="H196" s="2"/>
      <c r="I196" s="2"/>
      <c r="J196" s="2"/>
      <c r="K196" s="163"/>
      <c r="L196" s="2"/>
      <c r="M196" s="2"/>
      <c r="N196" s="2"/>
      <c r="O196" s="163"/>
      <c r="P196" s="2"/>
      <c r="W196" s="2"/>
      <c r="Y196" s="163"/>
      <c r="Z196" s="2"/>
      <c r="AA196" s="2"/>
      <c r="AB196" s="2"/>
      <c r="AC196" s="163"/>
      <c r="AD196" s="2"/>
      <c r="AE196" s="2"/>
      <c r="AF196" s="2"/>
      <c r="AG196" s="163"/>
      <c r="AH196" s="2"/>
      <c r="AI196" s="2"/>
      <c r="AJ196" s="2"/>
      <c r="AK196" s="163"/>
    </row>
    <row r="197" spans="2:38" x14ac:dyDescent="0.25">
      <c r="B197" s="2"/>
      <c r="D197" s="2"/>
      <c r="E197" s="2"/>
      <c r="F197" s="2"/>
      <c r="G197" s="163"/>
      <c r="H197" s="2"/>
      <c r="I197" s="2"/>
      <c r="J197" s="2"/>
      <c r="K197" s="163"/>
      <c r="L197" s="2"/>
      <c r="M197" s="2"/>
      <c r="N197" s="2"/>
      <c r="O197" s="163"/>
      <c r="P197" s="2"/>
      <c r="W197" s="2"/>
      <c r="Y197" s="163"/>
      <c r="Z197" s="2"/>
      <c r="AA197" s="2"/>
      <c r="AB197" s="2"/>
      <c r="AC197" s="163"/>
      <c r="AD197" s="2"/>
      <c r="AE197" s="2"/>
      <c r="AF197" s="2"/>
      <c r="AG197" s="163"/>
      <c r="AH197" s="2"/>
      <c r="AI197" s="2"/>
      <c r="AJ197" s="2"/>
      <c r="AK197" s="163"/>
    </row>
    <row r="198" spans="2:38" x14ac:dyDescent="0.25">
      <c r="B198" s="2"/>
      <c r="D198" s="2"/>
      <c r="E198" s="2"/>
      <c r="F198" s="2"/>
      <c r="G198" s="163"/>
      <c r="H198" s="2"/>
      <c r="I198" s="2"/>
      <c r="J198" s="2"/>
      <c r="K198" s="163"/>
      <c r="L198" s="2"/>
      <c r="M198" s="2"/>
      <c r="N198" s="2"/>
      <c r="O198" s="163"/>
      <c r="P198" s="2"/>
      <c r="W198" s="2"/>
      <c r="Y198" s="163"/>
      <c r="Z198" s="2"/>
      <c r="AA198" s="2"/>
      <c r="AB198" s="2"/>
      <c r="AC198" s="163"/>
      <c r="AD198" s="2"/>
      <c r="AE198" s="2"/>
      <c r="AF198" s="2"/>
      <c r="AG198" s="163"/>
      <c r="AH198" s="2"/>
      <c r="AI198" s="2"/>
      <c r="AJ198" s="2"/>
      <c r="AK198" s="163"/>
    </row>
    <row r="199" spans="2:38" x14ac:dyDescent="0.25">
      <c r="B199" s="2"/>
      <c r="D199" s="2"/>
      <c r="E199" s="2"/>
      <c r="F199" s="2"/>
      <c r="G199" s="163"/>
      <c r="H199" s="2"/>
      <c r="I199" s="2"/>
      <c r="J199" s="2"/>
      <c r="K199" s="163"/>
      <c r="L199" s="2"/>
      <c r="M199" s="2"/>
      <c r="N199" s="2"/>
      <c r="O199" s="163"/>
      <c r="P199" s="2"/>
      <c r="W199" s="2"/>
      <c r="Y199" s="163"/>
      <c r="Z199" s="2"/>
      <c r="AA199" s="2"/>
      <c r="AB199" s="2"/>
      <c r="AC199" s="163"/>
      <c r="AD199" s="2"/>
      <c r="AE199" s="2"/>
      <c r="AF199" s="2"/>
      <c r="AG199" s="163"/>
      <c r="AH199" s="2"/>
      <c r="AI199" s="2"/>
      <c r="AJ199" s="2"/>
      <c r="AK199" s="163"/>
    </row>
    <row r="200" spans="2:38" x14ac:dyDescent="0.25">
      <c r="B200" s="2"/>
      <c r="D200" s="2"/>
      <c r="E200" s="2"/>
      <c r="F200" s="2"/>
      <c r="G200" s="163"/>
      <c r="H200" s="2"/>
      <c r="I200" s="2"/>
      <c r="J200" s="2"/>
      <c r="K200" s="163"/>
      <c r="L200" s="2"/>
      <c r="M200" s="2"/>
      <c r="N200" s="2"/>
      <c r="O200" s="163"/>
      <c r="P200" s="2"/>
      <c r="W200" s="2"/>
      <c r="Y200" s="163"/>
      <c r="Z200" s="2"/>
      <c r="AA200" s="2"/>
      <c r="AB200" s="2"/>
      <c r="AC200" s="163"/>
      <c r="AD200" s="2"/>
      <c r="AE200" s="2"/>
      <c r="AF200" s="2"/>
      <c r="AG200" s="163"/>
      <c r="AH200" s="2"/>
      <c r="AI200" s="2"/>
      <c r="AJ200" s="2"/>
      <c r="AK200" s="163"/>
    </row>
  </sheetData>
  <mergeCells count="211">
    <mergeCell ref="B2:AL4"/>
    <mergeCell ref="B5:D5"/>
    <mergeCell ref="AP5:AQ5"/>
    <mergeCell ref="B6:AL6"/>
    <mergeCell ref="H14:H15"/>
    <mergeCell ref="AF14:AF15"/>
    <mergeCell ref="D16:D17"/>
    <mergeCell ref="AJ16:AJ17"/>
    <mergeCell ref="AP2:AU3"/>
    <mergeCell ref="AP6:AU6"/>
    <mergeCell ref="D18:D19"/>
    <mergeCell ref="AJ18:AJ19"/>
    <mergeCell ref="AP7:AQ7"/>
    <mergeCell ref="D8:D9"/>
    <mergeCell ref="AJ8:AJ9"/>
    <mergeCell ref="D10:D11"/>
    <mergeCell ref="AJ10:AJ11"/>
    <mergeCell ref="H12:H13"/>
    <mergeCell ref="AF12:AF13"/>
    <mergeCell ref="D26:D27"/>
    <mergeCell ref="AJ26:AJ27"/>
    <mergeCell ref="H28:H29"/>
    <mergeCell ref="AF28:AF29"/>
    <mergeCell ref="H30:H31"/>
    <mergeCell ref="AF30:AF31"/>
    <mergeCell ref="L20:L21"/>
    <mergeCell ref="AB20:AB21"/>
    <mergeCell ref="L22:L23"/>
    <mergeCell ref="AB22:AB23"/>
    <mergeCell ref="D24:D25"/>
    <mergeCell ref="AJ24:AJ25"/>
    <mergeCell ref="R20:V20"/>
    <mergeCell ref="R21:V21"/>
    <mergeCell ref="P37:P38"/>
    <mergeCell ref="X37:X38"/>
    <mergeCell ref="D38:D39"/>
    <mergeCell ref="AJ38:AJ39"/>
    <mergeCell ref="D40:D41"/>
    <mergeCell ref="AJ40:AJ41"/>
    <mergeCell ref="D32:D33"/>
    <mergeCell ref="AJ32:AJ33"/>
    <mergeCell ref="D34:D35"/>
    <mergeCell ref="R34:V34"/>
    <mergeCell ref="AJ34:AJ35"/>
    <mergeCell ref="P35:P36"/>
    <mergeCell ref="X35:X36"/>
    <mergeCell ref="S36:S37"/>
    <mergeCell ref="T36:T37"/>
    <mergeCell ref="U36:U37"/>
    <mergeCell ref="D48:D49"/>
    <mergeCell ref="AJ48:AJ49"/>
    <mergeCell ref="L50:L51"/>
    <mergeCell ref="AB50:AB51"/>
    <mergeCell ref="L52:L53"/>
    <mergeCell ref="AB52:AB53"/>
    <mergeCell ref="H42:H43"/>
    <mergeCell ref="AF42:AF43"/>
    <mergeCell ref="H44:H45"/>
    <mergeCell ref="AF44:AF45"/>
    <mergeCell ref="D46:D47"/>
    <mergeCell ref="AJ46:AJ47"/>
    <mergeCell ref="H60:H61"/>
    <mergeCell ref="AF60:AF61"/>
    <mergeCell ref="D62:D63"/>
    <mergeCell ref="AJ62:AJ63"/>
    <mergeCell ref="D64:D65"/>
    <mergeCell ref="AJ64:AJ65"/>
    <mergeCell ref="D54:D55"/>
    <mergeCell ref="AJ54:AJ55"/>
    <mergeCell ref="D56:D57"/>
    <mergeCell ref="AJ56:AJ57"/>
    <mergeCell ref="H58:H59"/>
    <mergeCell ref="AF58:AF59"/>
    <mergeCell ref="H76:H77"/>
    <mergeCell ref="AF76:AF77"/>
    <mergeCell ref="H78:H79"/>
    <mergeCell ref="AF78:AF79"/>
    <mergeCell ref="D80:D81"/>
    <mergeCell ref="AJ80:AJ81"/>
    <mergeCell ref="B70:AL70"/>
    <mergeCell ref="AP71:AQ71"/>
    <mergeCell ref="D72:D73"/>
    <mergeCell ref="AJ72:AJ73"/>
    <mergeCell ref="D74:D75"/>
    <mergeCell ref="AJ74:AJ75"/>
    <mergeCell ref="AP70:AU70"/>
    <mergeCell ref="D88:D89"/>
    <mergeCell ref="AJ88:AJ89"/>
    <mergeCell ref="D90:D91"/>
    <mergeCell ref="AJ90:AJ91"/>
    <mergeCell ref="H92:H93"/>
    <mergeCell ref="AF92:AF93"/>
    <mergeCell ref="D82:D83"/>
    <mergeCell ref="AJ82:AJ83"/>
    <mergeCell ref="L84:L85"/>
    <mergeCell ref="AB84:AB85"/>
    <mergeCell ref="L86:L87"/>
    <mergeCell ref="AB86:AB87"/>
    <mergeCell ref="R84:V84"/>
    <mergeCell ref="R85:V85"/>
    <mergeCell ref="H94:H95"/>
    <mergeCell ref="AF94:AF95"/>
    <mergeCell ref="D96:D97"/>
    <mergeCell ref="AJ96:AJ97"/>
    <mergeCell ref="D98:D99"/>
    <mergeCell ref="R98:V98"/>
    <mergeCell ref="AJ98:AJ99"/>
    <mergeCell ref="P99:P100"/>
    <mergeCell ref="X99:X100"/>
    <mergeCell ref="S100:S101"/>
    <mergeCell ref="D104:D105"/>
    <mergeCell ref="AJ104:AJ105"/>
    <mergeCell ref="H106:H107"/>
    <mergeCell ref="AF106:AF107"/>
    <mergeCell ref="H108:H109"/>
    <mergeCell ref="AF108:AF109"/>
    <mergeCell ref="T100:T101"/>
    <mergeCell ref="U100:U101"/>
    <mergeCell ref="P101:P102"/>
    <mergeCell ref="X101:X102"/>
    <mergeCell ref="D102:D103"/>
    <mergeCell ref="AJ102:AJ103"/>
    <mergeCell ref="L116:L117"/>
    <mergeCell ref="AB116:AB117"/>
    <mergeCell ref="D118:D119"/>
    <mergeCell ref="AJ118:AJ119"/>
    <mergeCell ref="D120:D121"/>
    <mergeCell ref="AJ120:AJ121"/>
    <mergeCell ref="D110:D111"/>
    <mergeCell ref="AJ110:AJ111"/>
    <mergeCell ref="D112:D113"/>
    <mergeCell ref="AJ112:AJ113"/>
    <mergeCell ref="L114:L115"/>
    <mergeCell ref="AB114:AB115"/>
    <mergeCell ref="D128:D129"/>
    <mergeCell ref="AJ128:AJ129"/>
    <mergeCell ref="B134:AL134"/>
    <mergeCell ref="AP135:AQ135"/>
    <mergeCell ref="D136:D137"/>
    <mergeCell ref="AJ136:AJ137"/>
    <mergeCell ref="H122:H123"/>
    <mergeCell ref="AF122:AF123"/>
    <mergeCell ref="H124:H125"/>
    <mergeCell ref="AF124:AF125"/>
    <mergeCell ref="D126:D127"/>
    <mergeCell ref="AJ126:AJ127"/>
    <mergeCell ref="AP134:AU134"/>
    <mergeCell ref="D144:D145"/>
    <mergeCell ref="AJ144:AJ145"/>
    <mergeCell ref="D146:D147"/>
    <mergeCell ref="AJ146:AJ147"/>
    <mergeCell ref="L148:L149"/>
    <mergeCell ref="AB148:AB149"/>
    <mergeCell ref="D138:D139"/>
    <mergeCell ref="AJ138:AJ139"/>
    <mergeCell ref="H140:H141"/>
    <mergeCell ref="AF140:AF141"/>
    <mergeCell ref="H142:H143"/>
    <mergeCell ref="AF142:AF143"/>
    <mergeCell ref="R149:V149"/>
    <mergeCell ref="H156:H157"/>
    <mergeCell ref="AF156:AF157"/>
    <mergeCell ref="H158:H159"/>
    <mergeCell ref="AF158:AF159"/>
    <mergeCell ref="D160:D161"/>
    <mergeCell ref="AJ160:AJ161"/>
    <mergeCell ref="L150:L151"/>
    <mergeCell ref="AB150:AB151"/>
    <mergeCell ref="D152:D153"/>
    <mergeCell ref="AJ152:AJ153"/>
    <mergeCell ref="D154:D155"/>
    <mergeCell ref="AJ154:AJ155"/>
    <mergeCell ref="R150:V150"/>
    <mergeCell ref="D166:D167"/>
    <mergeCell ref="AJ166:AJ167"/>
    <mergeCell ref="D168:D169"/>
    <mergeCell ref="AJ168:AJ169"/>
    <mergeCell ref="H170:H171"/>
    <mergeCell ref="AF170:AF171"/>
    <mergeCell ref="D162:D163"/>
    <mergeCell ref="R162:V162"/>
    <mergeCell ref="AJ162:AJ163"/>
    <mergeCell ref="P163:P164"/>
    <mergeCell ref="X163:X164"/>
    <mergeCell ref="S164:S165"/>
    <mergeCell ref="T164:T165"/>
    <mergeCell ref="U164:U165"/>
    <mergeCell ref="P165:P166"/>
    <mergeCell ref="X165:X166"/>
    <mergeCell ref="L178:L179"/>
    <mergeCell ref="AB178:AB179"/>
    <mergeCell ref="L180:L181"/>
    <mergeCell ref="AB180:AB181"/>
    <mergeCell ref="D182:D183"/>
    <mergeCell ref="AJ182:AJ183"/>
    <mergeCell ref="H172:H173"/>
    <mergeCell ref="AF172:AF173"/>
    <mergeCell ref="D174:D175"/>
    <mergeCell ref="AJ174:AJ175"/>
    <mergeCell ref="D176:D177"/>
    <mergeCell ref="AJ176:AJ177"/>
    <mergeCell ref="D190:D191"/>
    <mergeCell ref="AJ190:AJ191"/>
    <mergeCell ref="D192:D193"/>
    <mergeCell ref="AJ192:AJ193"/>
    <mergeCell ref="D184:D185"/>
    <mergeCell ref="AJ184:AJ185"/>
    <mergeCell ref="H186:H187"/>
    <mergeCell ref="AF186:AF187"/>
    <mergeCell ref="H188:H189"/>
    <mergeCell ref="AF188:AF189"/>
  </mergeCells>
  <printOptions horizontalCentered="1"/>
  <pageMargins left="0.23622047244094491" right="0.23622047244094491" top="0.74803149606299213" bottom="0.74803149606299213" header="0.31496062992125984" footer="0.31496062992125984"/>
  <pageSetup paperSize="9" scale="13"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LISTAS!$D$5:$D$6</xm:f>
          </x14:formula1>
          <xm:sqref>AS5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27">
    <tabColor rgb="FFFF66FF"/>
  </sheetPr>
  <dimension ref="B1:Q432"/>
  <sheetViews>
    <sheetView showGridLines="0" topLeftCell="A73" zoomScale="85" zoomScaleNormal="85" workbookViewId="0">
      <selection activeCell="H82" sqref="H82"/>
    </sheetView>
  </sheetViews>
  <sheetFormatPr defaultColWidth="25.28515625" defaultRowHeight="16.5" x14ac:dyDescent="0.25"/>
  <cols>
    <col min="1" max="1" width="1.140625" style="1" customWidth="1"/>
    <col min="2" max="2" width="49.7109375" style="1" customWidth="1"/>
    <col min="3" max="3" width="40.7109375" style="2" bestFit="1" customWidth="1"/>
    <col min="4" max="8" width="8" style="1" customWidth="1"/>
    <col min="9" max="9" width="8.140625" style="1" customWidth="1"/>
    <col min="10" max="10" width="49.85546875" style="1" customWidth="1"/>
    <col min="11" max="11" width="21.42578125" style="1" customWidth="1"/>
    <col min="12" max="12" width="14.42578125" style="1" customWidth="1"/>
    <col min="13" max="13" width="7" style="20" bestFit="1" customWidth="1"/>
    <col min="14" max="14" width="10.42578125" style="20" bestFit="1" customWidth="1"/>
    <col min="15" max="15" width="8.42578125" style="20" bestFit="1" customWidth="1"/>
    <col min="16" max="16" width="10.42578125" style="20" bestFit="1" customWidth="1"/>
    <col min="17" max="17" width="25.28515625" style="20"/>
    <col min="18" max="16384" width="25.28515625" style="1"/>
  </cols>
  <sheetData>
    <row r="1" spans="2:17" ht="6" customHeight="1" x14ac:dyDescent="0.25"/>
    <row r="2" spans="2:17" s="3" customFormat="1" ht="60.75" customHeight="1" x14ac:dyDescent="0.25">
      <c r="B2" s="233"/>
      <c r="C2" s="233"/>
      <c r="D2" s="233"/>
      <c r="E2" s="233"/>
      <c r="F2" s="233"/>
      <c r="G2" s="233"/>
      <c r="H2" s="233"/>
      <c r="I2" s="233"/>
      <c r="J2" s="233"/>
      <c r="K2" s="233"/>
      <c r="L2" s="233"/>
      <c r="M2" s="25"/>
      <c r="N2" s="25"/>
      <c r="O2" s="25"/>
      <c r="P2" s="25"/>
      <c r="Q2" s="25"/>
    </row>
    <row r="3" spans="2:17" s="3" customFormat="1" ht="60.75" customHeight="1" x14ac:dyDescent="0.25">
      <c r="B3" s="233"/>
      <c r="C3" s="233"/>
      <c r="D3" s="233"/>
      <c r="E3" s="233"/>
      <c r="F3" s="233"/>
      <c r="G3" s="233"/>
      <c r="H3" s="233"/>
      <c r="I3" s="233"/>
      <c r="J3" s="233"/>
      <c r="K3" s="233"/>
      <c r="L3" s="233"/>
      <c r="M3" s="25"/>
      <c r="N3" s="25"/>
      <c r="O3" s="25"/>
      <c r="P3" s="25"/>
      <c r="Q3" s="25"/>
    </row>
    <row r="4" spans="2:17" s="3" customFormat="1" ht="13.5" customHeight="1" x14ac:dyDescent="0.25">
      <c r="B4" s="233"/>
      <c r="C4" s="233"/>
      <c r="D4" s="233"/>
      <c r="E4" s="233"/>
      <c r="F4" s="233"/>
      <c r="G4" s="233"/>
      <c r="H4" s="233"/>
      <c r="I4" s="233"/>
      <c r="J4" s="233"/>
      <c r="K4" s="233"/>
      <c r="L4" s="233"/>
      <c r="M4" s="25"/>
      <c r="N4" s="25"/>
      <c r="O4" s="25"/>
      <c r="P4" s="25"/>
      <c r="Q4" s="25"/>
    </row>
    <row r="5" spans="2:17" s="3" customFormat="1" ht="30" customHeight="1" x14ac:dyDescent="0.25">
      <c r="B5" s="58" t="s">
        <v>33</v>
      </c>
      <c r="C5" s="221" t="s">
        <v>82</v>
      </c>
      <c r="D5" s="222"/>
      <c r="E5" s="222"/>
      <c r="F5" s="222"/>
      <c r="G5" s="120">
        <v>5</v>
      </c>
      <c r="H5" s="153"/>
      <c r="I5" s="4"/>
      <c r="J5" s="4"/>
      <c r="M5" s="25"/>
      <c r="N5" s="25"/>
      <c r="O5" s="25"/>
      <c r="P5" s="25"/>
      <c r="Q5" s="25"/>
    </row>
    <row r="6" spans="2:17" ht="30" customHeight="1" x14ac:dyDescent="0.25">
      <c r="B6" s="161" t="s">
        <v>39</v>
      </c>
      <c r="C6" s="79"/>
      <c r="D6" s="225" t="s">
        <v>42</v>
      </c>
      <c r="E6" s="226"/>
      <c r="F6" s="226"/>
      <c r="G6" s="227"/>
      <c r="H6" s="113"/>
      <c r="I6" s="225" t="s">
        <v>3</v>
      </c>
      <c r="J6" s="226"/>
      <c r="K6" s="226"/>
      <c r="L6" s="226"/>
    </row>
    <row r="7" spans="2:17" ht="18" customHeight="1" x14ac:dyDescent="0.25">
      <c r="B7" s="9" t="s">
        <v>15</v>
      </c>
      <c r="C7" s="9" t="s">
        <v>0</v>
      </c>
      <c r="D7" s="9" t="s">
        <v>43</v>
      </c>
      <c r="E7" s="9" t="s">
        <v>44</v>
      </c>
      <c r="F7" s="9" t="s">
        <v>77</v>
      </c>
      <c r="G7" s="9" t="s">
        <v>78</v>
      </c>
      <c r="H7" s="114"/>
      <c r="I7" s="9" t="s">
        <v>18</v>
      </c>
      <c r="J7" s="9" t="s">
        <v>15</v>
      </c>
      <c r="K7" s="9" t="s">
        <v>0</v>
      </c>
      <c r="L7" s="9" t="s">
        <v>45</v>
      </c>
    </row>
    <row r="8" spans="2:17" ht="18" customHeight="1" x14ac:dyDescent="0.25">
      <c r="B8" s="15" t="s">
        <v>549</v>
      </c>
      <c r="C8" s="15" t="str">
        <f>IFERROR(IF(B8="","",VLOOKUP(B8,LISTAS!$F$5:$G$1004,2,0)),"0")</f>
        <v>COLÉGIO ENGENHEIRO SALVADOR ARENA</v>
      </c>
      <c r="D8" s="15" t="str">
        <f>IF(H8&lt;3,"",IF(H8=3,IF(D16&lt;&gt;"",IF(H16&lt;&gt;"",IF(D16&lt;&gt;H16,IF(D16&gt;H16,"V","D"),""),""),""),IF(H8=4,IF(D16&lt;&gt;"",IF(H16&lt;&gt;"",IF(D16&lt;&gt;H16,IF(D16&gt;H16,"V","D"),""),""),""),IF(H8=5,IF(D16&lt;&gt;"",IF(H16&lt;&gt;"",IF(D16&lt;&gt;H16,IF(D16&gt;H16,"V","D"),""),""),"")))))</f>
        <v>V</v>
      </c>
      <c r="E8" s="15" t="str">
        <f>IF(H8&lt;3,"",IF(H8=3,IF(D18&lt;&gt;"",IF(H18&lt;&gt;"",IF(D18&lt;&gt;H18,IF(D18&gt;H18,"V","D"),""),""),""),IF(H8=4,IF(D18&lt;&gt;"",IF(H18&lt;&gt;"",IF(D18&lt;&gt;H18,IF(D18&gt;H18,"V","D"),""),""),""),IF(H8=5,IF(D20&lt;&gt;"",IF(H20&lt;&gt;"",IF(D20&lt;&gt;H20,IF(D18&gt;H18,"D","V"),""),""),"")))))</f>
        <v>V</v>
      </c>
      <c r="F8" s="15" t="str">
        <f>IF(H8&lt;4,"-",IF(H8=3,"",IF(H8=4,IF(D21&lt;&gt;"",IF(H21&lt;&gt;"",IF(D21&lt;&gt;H21,IF(D21&gt;H21,"V","D"),""),""),""),IF(H8=5,IF(D23&lt;&gt;"",IF(H23&lt;&gt;"",IF(D23&lt;&gt;H23,IF(D23&gt;H23,"D","V"),""),""),"")))))</f>
        <v>-</v>
      </c>
      <c r="G8" s="15" t="str">
        <f>IF(H8&lt;5,"-",IF(H8=3,"",IF(H8=4,"",IF(H8=5,IF(D25&lt;&gt;"",IF(H25&lt;&gt;"",IF(D25&lt;&gt;H25,IF(D25&gt;H25,"D","V"),""),""),"")))))</f>
        <v>-</v>
      </c>
      <c r="H8" s="117">
        <f>COUNTA(B8:B12)</f>
        <v>3</v>
      </c>
      <c r="I8" s="15">
        <f>IF(B8&lt;&gt;"",1,"")</f>
        <v>1</v>
      </c>
      <c r="J8" s="15" t="str">
        <f>IF(I8&lt;&gt;"",P8,"")</f>
        <v>AMANDA DE ALBUQUERQUE RIBEIRO</v>
      </c>
      <c r="K8" s="15" t="str">
        <f>IFERROR(IF(J8="","",VLOOKUP(J8,LISTAS!$F$5:$G$1004,2,0)),"0")</f>
        <v>COLÉGIO ENGENHEIRO SALVADOR ARENA</v>
      </c>
      <c r="L8" s="119" t="str">
        <f>IF(B8&lt;&gt;"",IF(G5=1,"OURO",IF(G5=2,IF(H8&lt;3,"",IF(H8&gt;4,"",IF(H8=3,"OURO",IF(H8=4,"OURO")))),IF(G5&gt;=3,"OURO",""))),"")</f>
        <v>OURO</v>
      </c>
      <c r="M8" s="20">
        <f>IF(B8&lt;&gt;"",COUNTIF(D8:G8,"V")+(SUMIF(B16:B25,B8,D16:E25)/1000)+(SUMIF(J16:J25,B8,H16:I25)/1000)-(SUMIF(B16:B25,B8,H16:I25)/1000)-(SUMIF(J16:J25,B8,D16:E25)/1000)+0.005,"")</f>
        <v>2.008</v>
      </c>
      <c r="N8" s="20" t="str">
        <f>IF(B8="","",B8)</f>
        <v>AMANDA DE ALBUQUERQUE RIBEIRO</v>
      </c>
      <c r="O8" s="20">
        <f>IF(B8&lt;&gt;"",LARGE(M8:M12,1),"")</f>
        <v>2.008</v>
      </c>
      <c r="P8" s="20" t="str">
        <f>VLOOKUP(O8,M8:N12,2,0)</f>
        <v>AMANDA DE ALBUQUERQUE RIBEIRO</v>
      </c>
    </row>
    <row r="9" spans="2:17" ht="18" customHeight="1" x14ac:dyDescent="0.25">
      <c r="B9" s="15" t="s">
        <v>552</v>
      </c>
      <c r="C9" s="15" t="str">
        <f>IFERROR(IF(B9="","",VLOOKUP(B9,LISTAS!$F$5:$G$1004,2,0)),"0")</f>
        <v>COLÉGIO ENGENHEIRO SALVADOR ARENA</v>
      </c>
      <c r="D9" s="15" t="str">
        <f>IF(H8&lt;3,"",IF(H8=3,IF(D17&lt;&gt;"",IF(H17&lt;&gt;"",IF(D17&lt;&gt;H17,IF(D17&gt;H17,"V","D"),""),""),""),IF(H8=4,IF(D17&lt;&gt;"",IF(H17&lt;&gt;"",IF(D17&lt;&gt;H17,IF(D17&gt;H17,"V","D"),""),""),""),IF(H8=5,IF(D17&lt;&gt;"",IF(H17&lt;&gt;"",IF(D17&lt;&gt;H17,IF(D17&gt;H17,"V","D"),""),""),"")))))</f>
        <v>V</v>
      </c>
      <c r="E9" s="15" t="str">
        <f>IF(H8&lt;3,"",IF(H8=3,IF(D18&lt;&gt;"",IF(H18&lt;&gt;"",IF(D18&lt;&gt;H18,IF(D18&gt;H18,"D","V"),""),""),""),IF(H8=4,IF(D19&lt;&gt;"",IF(H19&lt;&gt;"",IF(D19&lt;&gt;H19,IF(D19&gt;H19,"V","D"),""),""),""),IF(H8=5,IF(D18&lt;&gt;"",IF(H18&lt;&gt;"",IF(D18&lt;&gt;H18,IF(D18&gt;H18,"V","D"),""),""),"")))))</f>
        <v>D</v>
      </c>
      <c r="F9" s="15" t="str">
        <f>IF(H8&lt;4,"-",IF(H8=3,"",IF(H8=4,IF(D21&lt;&gt;"",IF(H21&lt;&gt;"",IF(D21&lt;&gt;H21,IF(D21&gt;H21,"D","V"),""),""),""),IF(H8=5,IF(D22&lt;&gt;"",IF(H22&lt;&gt;"",IF(D22&lt;&gt;H22,IF(D22&gt;H22,"D","V"),""),""),"")))))</f>
        <v>-</v>
      </c>
      <c r="G9" s="15" t="str">
        <f>IF(H8&lt;5,"-",IF(H8=3,"",IF(H8=4,"",IF(H8=5,IF(D25&lt;&gt;"",IF(H25&lt;&gt;"",IF(D25&lt;&gt;H25,IF(D25&gt;H25,"V","D"),""),""),"")))))</f>
        <v>-</v>
      </c>
      <c r="H9" s="159"/>
      <c r="I9" s="15">
        <f>IF(B9&lt;&gt;"",2,"")</f>
        <v>2</v>
      </c>
      <c r="J9" s="15" t="str">
        <f>IF(I9&lt;&gt;"",P9,"")</f>
        <v>ASHLEY DIAS OLIVEIRA</v>
      </c>
      <c r="K9" s="15" t="str">
        <f>IFERROR(IF(J9="","",VLOOKUP(J9,LISTAS!$F$5:$G$1004,2,0)),"0")</f>
        <v>COLÉGIO ENGENHEIRO SALVADOR ARENA</v>
      </c>
      <c r="L9" s="119" t="str">
        <f>IF(B9&lt;&gt;"",IF(G5=1,"OURO",IF(G5=2,IF(H8&lt;3,"",IF(H8&gt;4,"",IF(H8=3,"PRATA",IF(H8=4,"OURO")))),IF(G5&gt;=3,"PRATA",""))),"")</f>
        <v>PRATA</v>
      </c>
      <c r="M9" s="118">
        <f>IF(B9&lt;&gt;"",COUNTIF(D9:G9,"V")+(SUMIF(B16:B25,B9,D16:E25)/1000)+(SUMIF(J16:J25,B9,H16:I25)/1000)-(SUMIF(B16:B25,B9,H16:I25)/1000)-(SUMIF(J16:J25,B9,D16:E25)/1000)+0.004,"")</f>
        <v>1.0049999999999999</v>
      </c>
      <c r="N9" s="20" t="str">
        <f t="shared" ref="N9" si="0">IF(B9="","",B9)</f>
        <v>ASHLEY DIAS OLIVEIRA</v>
      </c>
      <c r="O9" s="20">
        <f>IF(B9&lt;&gt;"",LARGE(M8:M12,2),"")</f>
        <v>1.0049999999999999</v>
      </c>
      <c r="P9" s="20" t="str">
        <f>VLOOKUP(O9,M8:N12,2,0)</f>
        <v>ASHLEY DIAS OLIVEIRA</v>
      </c>
    </row>
    <row r="10" spans="2:17" ht="18" customHeight="1" x14ac:dyDescent="0.25">
      <c r="B10" s="39" t="s">
        <v>665</v>
      </c>
      <c r="C10" s="15" t="str">
        <f>IFERROR(IF(B10="","",VLOOKUP(B10,LISTAS!$F$5:$G$1004,2,0)),"0")</f>
        <v>COLÉGIO ARBOS SÃO CAETANO DO SUL</v>
      </c>
      <c r="D10" s="15" t="str">
        <f>IF(H8&lt;3,"",IF(H8=3,IF(D16&lt;&gt;"",IF(H16&lt;&gt;"",IF(D16&lt;&gt;H16,IF(D16&gt;H16,"D","V"),""),""),""),IF(H8=4,IF(D17&lt;&gt;"",IF(H17&lt;&gt;"",IF(D17&lt;&gt;H17,IF(D17&gt;H17,"D","V"),""),""),""),IF(H8=5,IF(D18&lt;&gt;"",IF(H18&lt;&gt;"",IF(D18&lt;&gt;H18,IF(D18&gt;H18,"D","V"),""),""),"")))))</f>
        <v>D</v>
      </c>
      <c r="E10" s="15" t="str">
        <f>IF(H8&lt;3,"",IF(H8=3,IF(D17&lt;&gt;"",IF(H17&lt;&gt;"",IF(D17&lt;&gt;H17,IF(D17&gt;H17,"D","V"),""),""),""),IF(H8=4,IF(D18&lt;&gt;"",IF(H18&lt;&gt;"",IF(D18&lt;&gt;H18,IF(D18&gt;H18,"D","V"),""),""),""),IF(H8=5,IF(D21&lt;&gt;"",IF(H21&lt;&gt;"",IF(D21&lt;&gt;H21,IF(D21&gt;H21,"D","V"),""),""),"")))))</f>
        <v>D</v>
      </c>
      <c r="F10" s="15" t="str">
        <f>IF(H8&lt;4,"-",IF(H8=3,"",IF(H8=4,IF(D20&lt;&gt;"",IF(H20&lt;&gt;"",IF(D20&lt;&gt;H20,IF(D20&gt;H20,"V","D"),""),""),""),IF(H8=5,IF(D23&lt;&gt;"",IF(H23&lt;&gt;"",IF(D23&lt;&gt;H23,IF(D23&gt;H23,"V","D"),""),""),"")))))</f>
        <v>-</v>
      </c>
      <c r="G10" s="15" t="str">
        <f>IF(H8&lt;5,"-",IF(H8=3,"",IF(H8=4,"",IF(H8=5,IF(D24&lt;&gt;"",IF(H24&lt;&gt;"",IF(D24&lt;&gt;H24,IF(D24&gt;H24,"V","D"),""),""),"")))))</f>
        <v>-</v>
      </c>
      <c r="H10" s="159"/>
      <c r="I10" s="15">
        <f>IF(B10&lt;&gt;"",3,"")</f>
        <v>3</v>
      </c>
      <c r="J10" s="15" t="str">
        <f>IF(I10&lt;&gt;"",P10,"")</f>
        <v>LETICIA TADOKORO</v>
      </c>
      <c r="K10" s="15" t="str">
        <f>IFERROR(IF(J10="","",VLOOKUP(J10,LISTAS!$F$5:$G$1004,2,0)),"0")</f>
        <v>COLÉGIO ARBOS SÃO CAETANO DO SUL</v>
      </c>
      <c r="L10" s="119" t="str">
        <f>IF(B10&lt;&gt;"",IF(G5=1,"OURO",IF(G5=2,IF(H8&lt;3,"",IF(H8&gt;4,"",IF(H8=3,"BRONZE",IF(H8=4,"PRATA")))),IF(G5&gt;=3,"BRONZE",""))),"")</f>
        <v>BRONZE</v>
      </c>
      <c r="M10" s="118">
        <f>IF(B10&lt;&gt;"",COUNTIF(D10:G10,"V")+(SUMIF(B16:B25,B10,D16:E25)/1000)+(SUMIF(J16:J25,B10,H16:I25)/1000)-(SUMIF(B16:B25,B10,H16:I25)/1000)-(SUMIF(J16:J25,B10,D16:E25)/1000)+0.003,"")</f>
        <v>-1E-3</v>
      </c>
      <c r="N10" s="20" t="str">
        <f>IF(B10="","",B10)</f>
        <v>LETICIA TADOKORO</v>
      </c>
      <c r="O10" s="20">
        <f>IF(B10&lt;&gt;"",LARGE(M8:M12,3),"")</f>
        <v>-1E-3</v>
      </c>
      <c r="P10" s="20" t="str">
        <f>VLOOKUP(O10,M8:N12,2,0)</f>
        <v>LETICIA TADOKORO</v>
      </c>
    </row>
    <row r="11" spans="2:17" ht="18" customHeight="1" x14ac:dyDescent="0.25">
      <c r="B11" s="83"/>
      <c r="C11" s="15" t="str">
        <f>IFERROR(IF(B11="","",VLOOKUP(B11,LISTAS!$F$5:$G$1004,2,0)),"0")</f>
        <v/>
      </c>
      <c r="D11" s="15" t="str">
        <f>IF(H8&lt;3,"",IF(H8=3,"",IF(H8=4,IF(D16&lt;&gt;"",IF(H16&lt;&gt;"",IF(D16&lt;&gt;H16,IF(D16&gt;H16,"D","V"),""),""),""),IF(H8=5,IF(D17&lt;&gt;"",IF(H17&lt;&gt;"",IF(D17&lt;&gt;H17,IF(D17&gt;H17,"D","V"),""),""),"")))))</f>
        <v/>
      </c>
      <c r="E11" s="15" t="str">
        <f>IF(H8&lt;3,"",IF(H8=3,"",IF(H8=4,IF(D19&lt;&gt;"",IF(H19&lt;&gt;"",IF(D19&lt;&gt;H19,IF(D19&gt;H19,"D","V"),""),""),""),IF(H8=5,IF(D19&lt;&gt;"",IF(H19&lt;&gt;"",IF(D19&lt;&gt;H19,IF(D19&gt;H19,"V","D"),""),""),"")))))</f>
        <v/>
      </c>
      <c r="F11" s="15" t="str">
        <f>IF(H8&lt;4,"-",IF(H8=3,"",IF(H8=4,IF(D20&lt;&gt;"",IF(H20&lt;&gt;"",IF(D20&lt;&gt;H20,IF(D20&gt;H20,"D","V"),""),""),""),IF(H8=5,IF(D20&lt;&gt;"",IF(H20&lt;&gt;"",IF(D20&lt;&gt;H20,IF(D20&gt;H20,"V","D"),""),""),"")))))</f>
        <v>-</v>
      </c>
      <c r="G11" s="15" t="str">
        <f>IF(H8&lt;5,"-",IF(H8=3,"",IF(H8=4,"",IF(H8=5,IF(D24&lt;&gt;"",IF(H24&lt;&gt;"",IF(D24&lt;&gt;H24,IF(D24&gt;H24,"D","V"),""),""),"")))))</f>
        <v>-</v>
      </c>
      <c r="H11" s="159"/>
      <c r="I11" s="15" t="str">
        <f>IF(B11&lt;&gt;"",4,"")</f>
        <v/>
      </c>
      <c r="J11" s="15" t="str">
        <f>IF(I11&lt;&gt;"",P11,"")</f>
        <v/>
      </c>
      <c r="K11" s="15" t="str">
        <f>IFERROR(IF(J11="","",VLOOKUP(J11,LISTAS!$F$5:$G$1004,2,0)),"0")</f>
        <v/>
      </c>
      <c r="L11" s="119" t="str">
        <f>IF(B11&lt;&gt;"",IF(G5=1,"OURO",IF(G5=2,IF(H8&lt;3,"",IF(H8&gt;4,"",IF(H8=3,"",IF(H8=4,"PRATA")))),IF(G5&gt;=3,"",""))),"")</f>
        <v/>
      </c>
      <c r="M11" s="20" t="str">
        <f>IF(B11&lt;&gt;"",COUNTIF(D11:G11,"V")+(SUMIF(B16:B25,B11,D16:E25)/1000)+(SUMIF(J16:J25,B11,H16:I25)/1000)-(SUMIF(B16:B25,B11,H16:I25)/1000)-(SUMIF(J16:J25,B11,D16:E25)/1000)+0.002,"")</f>
        <v/>
      </c>
      <c r="N11" s="20" t="str">
        <f>IF(B11="","",B11)</f>
        <v/>
      </c>
      <c r="O11" s="20" t="str">
        <f>IF(B11&lt;&gt;"",LARGE(M8:M12,4),"")</f>
        <v/>
      </c>
      <c r="P11" s="20" t="str">
        <f>VLOOKUP(O11,M8:N12,2,0)</f>
        <v/>
      </c>
    </row>
    <row r="12" spans="2:17" ht="18" customHeight="1" x14ac:dyDescent="0.25">
      <c r="B12" s="83"/>
      <c r="C12" s="15" t="str">
        <f>IFERROR(IF(B12="","",VLOOKUP(B12,LISTAS!$F$5:$G$1004,2,0)),"0")</f>
        <v/>
      </c>
      <c r="D12" s="15" t="str">
        <f>IF(H8&lt;3,"",IF(H8=3,"",IF(H8=4,"",IF(H8=5,IF(D16&lt;&gt;"",IF(H16&lt;&gt;"",IF(D16&lt;&gt;H16,IF(D16&gt;H16,"D","V"),""),""),"")))))</f>
        <v/>
      </c>
      <c r="E12" s="15" t="str">
        <f>IF(H8&lt;3,"",IF(H8=3,"",IF(H8=4,"",IF(H8=5,IF(D19&lt;&gt;"",IF(H19&lt;&gt;"",IF(D19&lt;&gt;H19,IF(D19&gt;H19,"D","V"),""),""),"")))))</f>
        <v/>
      </c>
      <c r="F12" s="15" t="str">
        <f>IF(H8&lt;4,"-",IF(H8=3,"",IF(H8=4,"",IF(H8=5,IF(D21&lt;&gt;"",IF(H21&lt;&gt;"",IF(D21&lt;&gt;H21,IF(D21&gt;H21,"V","D"),""),""),"")))))</f>
        <v>-</v>
      </c>
      <c r="G12" s="15" t="str">
        <f>IF(H8&lt;5,"-",IF(H8=3,"",IF(H8=4,"",IF(H8=5,IF(D22&lt;&gt;"",IF(H22&lt;&gt;"",IF(D22&lt;&gt;H22,IF(D22&gt;H22,"V","D"),""),""),"")))))</f>
        <v>-</v>
      </c>
      <c r="H12" s="160"/>
      <c r="I12" s="15" t="str">
        <f>IF(B12&lt;&gt;"",5,"")</f>
        <v/>
      </c>
      <c r="J12" s="15" t="str">
        <f>IF(I12&lt;&gt;"",P12,"")</f>
        <v/>
      </c>
      <c r="K12" s="15" t="str">
        <f>IFERROR(IF(J12="","",VLOOKUP(J12,LISTAS!$F$5:$G$1004,2,0)),"0")</f>
        <v/>
      </c>
      <c r="L12" s="119" t="str">
        <f>IF(B12&lt;&gt;"",IF(G5=1,"OURO",IF(G5=2,IF(H8&lt;3,"",IF(H8&gt;4,"",IF(H8=3,"",IF(H8=4,"")))),IF(G5&gt;=3,"",""))),"")</f>
        <v/>
      </c>
      <c r="M12" s="20" t="str">
        <f>IF(B12&lt;&gt;"",COUNTIF(D12:G12,"V")+(SUMIF(B16:B25,B12,D16:E25)/1000)+(SUMIF(J16:J25,B12,H16:I25)/1000)-(SUMIF(B16:B25,B12,H16:I25)/1000)-(SUMIF(J16:J25,B12,D16:E25)/1000)+0.001,"")</f>
        <v/>
      </c>
      <c r="N12" s="20" t="str">
        <f>IF(B12="","",B12)</f>
        <v/>
      </c>
      <c r="O12" s="20" t="str">
        <f>IF(B12&lt;&gt;"",LARGE(M8:M12,5),"")</f>
        <v/>
      </c>
      <c r="P12" s="20" t="str">
        <f>VLOOKUP(O12,M8:N12,2,0)</f>
        <v/>
      </c>
    </row>
    <row r="13" spans="2:17" ht="18" customHeight="1" x14ac:dyDescent="0.25">
      <c r="B13" s="79"/>
      <c r="C13" s="79"/>
      <c r="D13" s="79"/>
      <c r="E13" s="79"/>
      <c r="F13" s="79"/>
      <c r="G13" s="79"/>
      <c r="H13" s="158"/>
      <c r="I13" s="80"/>
      <c r="J13" s="79"/>
      <c r="K13" s="81"/>
      <c r="L13" s="81"/>
    </row>
    <row r="14" spans="2:17" ht="23.25" customHeight="1" x14ac:dyDescent="0.25">
      <c r="B14" s="82" t="s">
        <v>40</v>
      </c>
      <c r="C14" s="79"/>
      <c r="D14" s="79"/>
      <c r="E14" s="79"/>
      <c r="F14" s="79"/>
      <c r="G14" s="79"/>
      <c r="H14" s="79"/>
      <c r="I14" s="79"/>
      <c r="J14" s="79"/>
      <c r="K14" s="79"/>
      <c r="L14" s="79"/>
    </row>
    <row r="15" spans="2:17" ht="18" customHeight="1" x14ac:dyDescent="0.25">
      <c r="B15" s="9" t="s">
        <v>15</v>
      </c>
      <c r="C15" s="9" t="s">
        <v>0</v>
      </c>
      <c r="D15" s="228" t="s">
        <v>41</v>
      </c>
      <c r="E15" s="229"/>
      <c r="F15" s="229"/>
      <c r="G15" s="229"/>
      <c r="H15" s="229"/>
      <c r="I15" s="230"/>
      <c r="J15" s="9" t="s">
        <v>15</v>
      </c>
      <c r="K15" s="9" t="s">
        <v>0</v>
      </c>
      <c r="L15" s="79"/>
    </row>
    <row r="16" spans="2:17" ht="18" customHeight="1" x14ac:dyDescent="0.25">
      <c r="B16" s="15" t="str">
        <f>IF(H8=3,B8,IF(H8=4,B8,IF(H8=5,B8,"")))</f>
        <v>AMANDA DE ALBUQUERQUE RIBEIRO</v>
      </c>
      <c r="C16" s="15" t="str">
        <f>IFERROR(IF(B16="","",VLOOKUP(B16,LISTAS!$F$5:$G$1004,2,0)),"0")</f>
        <v>COLÉGIO ENGENHEIRO SALVADOR ARENA</v>
      </c>
      <c r="D16" s="223">
        <v>2</v>
      </c>
      <c r="E16" s="224"/>
      <c r="F16" s="223" t="s">
        <v>38</v>
      </c>
      <c r="G16" s="224"/>
      <c r="H16" s="223">
        <v>0</v>
      </c>
      <c r="I16" s="224"/>
      <c r="J16" s="21" t="str">
        <f>IF(H8=3,B10,IF(H8=4,B11,IF(H8=5,B12,"")))</f>
        <v>LETICIA TADOKORO</v>
      </c>
      <c r="K16" s="15" t="str">
        <f>IFERROR(IF(J16="","",VLOOKUP(J16,LISTAS!$F$5:$G$1004,2,0)),"0")</f>
        <v>COLÉGIO ARBOS SÃO CAETANO DO SUL</v>
      </c>
      <c r="L16" s="81"/>
    </row>
    <row r="17" spans="2:16" ht="18" customHeight="1" x14ac:dyDescent="0.25">
      <c r="B17" s="15" t="str">
        <f>IF(H8=3,B9,IF(H8=4,B9,IF(H8=5,B9,"")))</f>
        <v>ASHLEY DIAS OLIVEIRA</v>
      </c>
      <c r="C17" s="15" t="str">
        <f>IFERROR(IF(B17="","",VLOOKUP(B17,LISTAS!$F$5:$G$1004,2,0)),"0")</f>
        <v>COLÉGIO ENGENHEIRO SALVADOR ARENA</v>
      </c>
      <c r="D17" s="223">
        <v>2</v>
      </c>
      <c r="E17" s="224"/>
      <c r="F17" s="223" t="s">
        <v>38</v>
      </c>
      <c r="G17" s="224"/>
      <c r="H17" s="223">
        <v>0</v>
      </c>
      <c r="I17" s="224"/>
      <c r="J17" s="21" t="str">
        <f>IF(H8=3,B10,IF(H8=4,B10,IF(H8=5,B11,"")))</f>
        <v>LETICIA TADOKORO</v>
      </c>
      <c r="K17" s="15" t="str">
        <f>IFERROR(IF(J17="","",VLOOKUP(J17,LISTAS!$F$5:$G$1004,2,0)),"0")</f>
        <v>COLÉGIO ARBOS SÃO CAETANO DO SUL</v>
      </c>
      <c r="L17" s="79"/>
    </row>
    <row r="18" spans="2:16" ht="18" customHeight="1" x14ac:dyDescent="0.25">
      <c r="B18" s="15" t="str">
        <f>IF(H8=3,B8,IF(H8=4,B8,IF(H8=5,B9,"")))</f>
        <v>AMANDA DE ALBUQUERQUE RIBEIRO</v>
      </c>
      <c r="C18" s="15" t="str">
        <f>IFERROR(IF(B18="","",VLOOKUP(B18,LISTAS!$F$5:$G$1004,2,0)),"0")</f>
        <v>COLÉGIO ENGENHEIRO SALVADOR ARENA</v>
      </c>
      <c r="D18" s="223">
        <v>2</v>
      </c>
      <c r="E18" s="224"/>
      <c r="F18" s="223" t="s">
        <v>38</v>
      </c>
      <c r="G18" s="224"/>
      <c r="H18" s="223">
        <v>1</v>
      </c>
      <c r="I18" s="224"/>
      <c r="J18" s="21" t="str">
        <f>IF(H8=3,B9,IF(H8=4,B10,IF(H8=5,B10,"")))</f>
        <v>ASHLEY DIAS OLIVEIRA</v>
      </c>
      <c r="K18" s="15" t="str">
        <f>IFERROR(IF(J18="","",VLOOKUP(J18,LISTAS!$F$5:$G$1004,2,0)),"0")</f>
        <v>COLÉGIO ENGENHEIRO SALVADOR ARENA</v>
      </c>
      <c r="L18" s="81"/>
    </row>
    <row r="19" spans="2:16" ht="18" customHeight="1" x14ac:dyDescent="0.25">
      <c r="B19" s="15" t="str">
        <f>IF(H8=3,"",IF(H8=4,B9,IF(H8=5,B11,"")))</f>
        <v/>
      </c>
      <c r="C19" s="15" t="str">
        <f>IFERROR(IF(B19="","",VLOOKUP(B19,LISTAS!$F$5:$G$1004,2,0)),"0")</f>
        <v/>
      </c>
      <c r="D19" s="223"/>
      <c r="E19" s="224"/>
      <c r="F19" s="223" t="s">
        <v>38</v>
      </c>
      <c r="G19" s="224"/>
      <c r="H19" s="223"/>
      <c r="I19" s="224"/>
      <c r="J19" s="21" t="str">
        <f>IF(H8=3,"",IF(H8=4,B11,IF(H8=5,B12,"")))</f>
        <v/>
      </c>
      <c r="K19" s="15" t="str">
        <f>IFERROR(IF(J19="","",VLOOKUP(J19,LISTAS!$F$5:$G$1004,2,0)),"0")</f>
        <v/>
      </c>
      <c r="L19" s="81"/>
    </row>
    <row r="20" spans="2:16" ht="18" customHeight="1" x14ac:dyDescent="0.25">
      <c r="B20" s="15" t="str">
        <f>IF(H8=3,"",IF(H8=4,B10,IF(H8=5,B11,"")))</f>
        <v/>
      </c>
      <c r="C20" s="15" t="str">
        <f>IFERROR(IF(B20="","",VLOOKUP(B20,LISTAS!$F$5:$G$1004,2,0)),"0")</f>
        <v/>
      </c>
      <c r="D20" s="223"/>
      <c r="E20" s="224"/>
      <c r="F20" s="223" t="s">
        <v>38</v>
      </c>
      <c r="G20" s="224"/>
      <c r="H20" s="223"/>
      <c r="I20" s="224"/>
      <c r="J20" s="21" t="str">
        <f>IF(H8=3,"",IF(H8=4,B11,IF(H8=5,B8,"")))</f>
        <v/>
      </c>
      <c r="K20" s="15" t="str">
        <f>IFERROR(IF(J20="","",VLOOKUP(J20,LISTAS!$F$5:$G$1004,2,0)),"0")</f>
        <v/>
      </c>
      <c r="L20" s="81"/>
    </row>
    <row r="21" spans="2:16" ht="18" customHeight="1" x14ac:dyDescent="0.25">
      <c r="B21" s="15" t="str">
        <f>IF(H8=3,"",IF(H8=4,B8,IF(H8=5,B12,"")))</f>
        <v/>
      </c>
      <c r="C21" s="15" t="str">
        <f>IFERROR(IF(B21="","",VLOOKUP(B21,LISTAS!$F$5:$G$1004,2,0)),"0")</f>
        <v/>
      </c>
      <c r="D21" s="223"/>
      <c r="E21" s="224"/>
      <c r="F21" s="223" t="s">
        <v>38</v>
      </c>
      <c r="G21" s="224"/>
      <c r="H21" s="223"/>
      <c r="I21" s="224"/>
      <c r="J21" s="21" t="str">
        <f>IF(H8=3,"",IF(H8=4,B9,IF(H8=5,B10,"")))</f>
        <v/>
      </c>
      <c r="K21" s="15" t="str">
        <f>IFERROR(IF(J21="","",VLOOKUP(J21,LISTAS!$F$5:$G$1004,2,0)),"0")</f>
        <v/>
      </c>
      <c r="L21" s="81"/>
    </row>
    <row r="22" spans="2:16" ht="18" customHeight="1" x14ac:dyDescent="0.25">
      <c r="B22" s="15" t="str">
        <f>IF(H8=3,"",IF(H8=4,"",IF(H8=5,B12,"")))</f>
        <v/>
      </c>
      <c r="C22" s="15" t="str">
        <f>IFERROR(IF(B22="","",VLOOKUP(B22,LISTAS!$F$5:$G$1004,2,0)),"0")</f>
        <v/>
      </c>
      <c r="D22" s="223"/>
      <c r="E22" s="224"/>
      <c r="F22" s="223" t="s">
        <v>38</v>
      </c>
      <c r="G22" s="224"/>
      <c r="H22" s="223"/>
      <c r="I22" s="224"/>
      <c r="J22" s="21" t="str">
        <f>IF(H8=3,"",IF(H8=4,"",IF(H8=5,B9,"")))</f>
        <v/>
      </c>
      <c r="K22" s="15" t="str">
        <f>IFERROR(IF(J22="","",VLOOKUP(J22,LISTAS!$F$5:$G$1004,2,0)),"0")</f>
        <v/>
      </c>
      <c r="L22" s="81"/>
    </row>
    <row r="23" spans="2:16" ht="18" customHeight="1" x14ac:dyDescent="0.25">
      <c r="B23" s="63" t="str">
        <f>IF(H8=3,"",IF(H8=4,"",IF(H8=5,B10,"")))</f>
        <v/>
      </c>
      <c r="C23" s="15" t="str">
        <f>IFERROR(IF(B23="","",VLOOKUP(B23,LISTAS!$F$5:$G$1004,2,0)),"0")</f>
        <v/>
      </c>
      <c r="D23" s="223"/>
      <c r="E23" s="224"/>
      <c r="F23" s="223" t="s">
        <v>38</v>
      </c>
      <c r="G23" s="224"/>
      <c r="H23" s="223"/>
      <c r="I23" s="224"/>
      <c r="J23" s="21" t="str">
        <f>IF(H8=3,"",IF(H8=4,"",IF(H8=5,B8,"")))</f>
        <v/>
      </c>
      <c r="K23" s="15" t="str">
        <f>IFERROR(IF(J23="","",VLOOKUP(J23,LISTAS!$F$5:$G$1004,2,0)),"0")</f>
        <v/>
      </c>
      <c r="L23" s="81"/>
    </row>
    <row r="24" spans="2:16" ht="18" customHeight="1" x14ac:dyDescent="0.25">
      <c r="B24" s="15" t="str">
        <f>IF(H8=3,"",IF(H8=4,"",IF(H8=5,B10,"")))</f>
        <v/>
      </c>
      <c r="C24" s="15" t="str">
        <f>IFERROR(IF(B24="","",VLOOKUP(B24,LISTAS!$F$5:$G$1004,2,0)),"0")</f>
        <v/>
      </c>
      <c r="D24" s="223"/>
      <c r="E24" s="224"/>
      <c r="F24" s="223" t="s">
        <v>38</v>
      </c>
      <c r="G24" s="224"/>
      <c r="H24" s="223"/>
      <c r="I24" s="224"/>
      <c r="J24" s="21" t="str">
        <f>IF(H8=3,"",IF(H8=4,"",IF(H8=5,B11,"")))</f>
        <v/>
      </c>
      <c r="K24" s="15" t="str">
        <f>IFERROR(IF(J24="","",VLOOKUP(J24,LISTAS!$F$5:$G$1004,2,0)),"0")</f>
        <v/>
      </c>
      <c r="L24" s="81"/>
    </row>
    <row r="25" spans="2:16" ht="18" customHeight="1" x14ac:dyDescent="0.25">
      <c r="B25" s="63" t="str">
        <f>IF(H8=3,"",IF(H8=4,"",IF(H8=5,B9,"")))</f>
        <v/>
      </c>
      <c r="C25" s="15" t="str">
        <f>IFERROR(IF(B25="","",VLOOKUP(B25,LISTAS!$F$5:$G$1004,2,0)),"0")</f>
        <v/>
      </c>
      <c r="D25" s="223"/>
      <c r="E25" s="224"/>
      <c r="F25" s="231" t="s">
        <v>38</v>
      </c>
      <c r="G25" s="232"/>
      <c r="H25" s="223"/>
      <c r="I25" s="224"/>
      <c r="J25" s="21" t="str">
        <f>IF(H8=3,"",IF(H8=4,"",IF(H8=5,B8,"")))</f>
        <v/>
      </c>
      <c r="K25" s="15" t="str">
        <f>IFERROR(IF(J25="","",VLOOKUP(J25,LISTAS!$F$5:$G$1004,2,0)),"0")</f>
        <v/>
      </c>
      <c r="L25" s="81"/>
    </row>
    <row r="28" spans="2:16" ht="30" customHeight="1" x14ac:dyDescent="0.25">
      <c r="B28" s="161" t="s">
        <v>46</v>
      </c>
      <c r="C28" s="79"/>
      <c r="D28" s="225" t="s">
        <v>42</v>
      </c>
      <c r="E28" s="226"/>
      <c r="F28" s="226"/>
      <c r="G28" s="227"/>
      <c r="H28" s="113"/>
      <c r="I28" s="225" t="s">
        <v>3</v>
      </c>
      <c r="J28" s="226"/>
      <c r="K28" s="226"/>
      <c r="L28" s="226"/>
    </row>
    <row r="29" spans="2:16" ht="18" customHeight="1" x14ac:dyDescent="0.25">
      <c r="B29" s="9" t="s">
        <v>15</v>
      </c>
      <c r="C29" s="9" t="s">
        <v>0</v>
      </c>
      <c r="D29" s="9" t="s">
        <v>43</v>
      </c>
      <c r="E29" s="9" t="s">
        <v>44</v>
      </c>
      <c r="F29" s="9" t="s">
        <v>77</v>
      </c>
      <c r="G29" s="9" t="s">
        <v>78</v>
      </c>
      <c r="H29" s="114"/>
      <c r="I29" s="9" t="s">
        <v>18</v>
      </c>
      <c r="J29" s="9" t="s">
        <v>15</v>
      </c>
      <c r="K29" s="9" t="s">
        <v>0</v>
      </c>
      <c r="L29" s="9" t="s">
        <v>45</v>
      </c>
    </row>
    <row r="30" spans="2:16" ht="18" customHeight="1" x14ac:dyDescent="0.25">
      <c r="B30" s="15" t="s">
        <v>565</v>
      </c>
      <c r="C30" s="15" t="str">
        <f>IFERROR(IF(B30="","",VLOOKUP(B30,LISTAS!$F$5:$G$1004,2,0)),"0")</f>
        <v>COLÉGIO ENGENHEIRO SALVADOR ARENA</v>
      </c>
      <c r="D30" s="15" t="str">
        <f>IF(H30&lt;3,"",IF(H30=3,IF(D37&lt;&gt;"",IF(H37&lt;&gt;"",IF(D37&lt;&gt;H37,IF(D37&gt;H37,"V","D"),""),""),""),IF(H30=4,IF(D37&lt;&gt;"",IF(H37&lt;&gt;"",IF(D37&lt;&gt;H37,IF(D37&gt;H37,"V","D"),""),""),""))))</f>
        <v>D</v>
      </c>
      <c r="E30" s="15" t="str">
        <f>IF(H30&lt;3,"",IF(H30=3,IF(D39&lt;&gt;"",IF(H39&lt;&gt;"",IF(D39&lt;&gt;H39,IF(D39&gt;H39,"V","D"),""),""),""),IF(H30=4,IF(D39&lt;&gt;"",IF(H39&lt;&gt;"",IF(D39&lt;&gt;H39,IF(D39&gt;H39,"V","D"),""),""),""))))</f>
        <v>D</v>
      </c>
      <c r="F30" s="15" t="str">
        <f>IF(H30&lt;4,"-",IF(H30=3,"",IF(H30=4,IF(D42&lt;&gt;"",IF(H42&lt;&gt;"",IF(D42&lt;&gt;H42,IF(D42&gt;H42,"V","D"),""),""),""))))</f>
        <v>-</v>
      </c>
      <c r="G30" s="15" t="s">
        <v>81</v>
      </c>
      <c r="H30" s="117">
        <f>COUNTA(B30:B33)</f>
        <v>3</v>
      </c>
      <c r="I30" s="15">
        <f>IF(B30&lt;&gt;"",1,"")</f>
        <v>1</v>
      </c>
      <c r="J30" s="15" t="str">
        <f>IF(I30&lt;&gt;"",P30,"")</f>
        <v>LARISSA REGINI GRIZANTE</v>
      </c>
      <c r="K30" s="15" t="str">
        <f>IFERROR(IF(J30="","",VLOOKUP(J30,LISTAS!$F$5:$G$1004,2,0)),"0")</f>
        <v>COLÉGIO ARBOS SÃO CAETANO DO SUL</v>
      </c>
      <c r="L30" s="119" t="str">
        <f>IF(B30&lt;&gt;"",IF(G5=1,"OURO",IF(G5=2,IF(H8&lt;3,"",IF(H8=3,"OURO",IF(H8=4,"OURO"))),IF(G5&gt;=3,"OURO",""))),"")</f>
        <v>OURO</v>
      </c>
      <c r="M30" s="20">
        <f>IF(B30&lt;&gt;"",COUNTIF(D30:G30,"V")+(SUMIF(B37:B42,B30,D37:E42)/1000)+(SUMIF(J37:J42,B30,H37:I42)/1000)-(SUMIF(B37:B42,B30,H37:I42)/1000)-(SUMIF(J37:J42,B30,D37:E42)/1000)+0.005,"")</f>
        <v>2E-3</v>
      </c>
      <c r="N30" s="20" t="str">
        <f>IF(B30="","",B30)</f>
        <v>HELOÍSA APARECIDA OLIVEIRA RIBEIRO</v>
      </c>
      <c r="O30" s="20">
        <f>IF(B30&lt;&gt;"",LARGE(M30:M33,1),"")</f>
        <v>2.0070000000000001</v>
      </c>
      <c r="P30" s="20" t="str">
        <f>VLOOKUP(O30,M30:N33,2,0)</f>
        <v>LARISSA REGINI GRIZANTE</v>
      </c>
    </row>
    <row r="31" spans="2:16" ht="18" customHeight="1" x14ac:dyDescent="0.25">
      <c r="B31" s="15" t="s">
        <v>567</v>
      </c>
      <c r="C31" s="15" t="str">
        <f>IFERROR(IF(B31="","",VLOOKUP(B31,LISTAS!$F$5:$G$1004,2,0)),"0")</f>
        <v>COLÉGIO ENGENHEIRO SALVADOR ARENA</v>
      </c>
      <c r="D31" s="15" t="str">
        <f>IF(H30&lt;3,"",IF(H30=3,IF(D38&lt;&gt;"",IF(H38&lt;&gt;"",IF(D38&lt;&gt;H38,IF(D38&gt;H38,"V","D"),""),""),""),IF(H30=4,IF(D38&lt;&gt;"",IF(H38&lt;&gt;"",IF(D38&lt;&gt;H38,IF(D38&gt;H38,"V","D"),""),""),""))))</f>
        <v>D</v>
      </c>
      <c r="E31" s="15" t="str">
        <f>IF(H30&lt;3,"",IF(H30=3,IF(D39&lt;&gt;"",IF(H39&lt;&gt;"",IF(D39&lt;&gt;H39,IF(D39&gt;H39,"D","V"),""),""),""),IF(H30=4,IF(D40&lt;&gt;"",IF(H40&lt;&gt;"",IF(D40&lt;&gt;H40,IF(D40&gt;H40,"V","D"),""),""),""))))</f>
        <v>V</v>
      </c>
      <c r="F31" s="15" t="str">
        <f>IF(H30&lt;4,"-",IF(H30=3,"",IF(H30=4,IF(D42&lt;&gt;"",IF(H42&lt;&gt;"",IF(D42&lt;&gt;H42,IF(D42&gt;H42,"D","V"),""),""),""))))</f>
        <v>-</v>
      </c>
      <c r="G31" s="15" t="s">
        <v>81</v>
      </c>
      <c r="H31" s="159"/>
      <c r="I31" s="15">
        <f>IF(B31&lt;&gt;"",2,"")</f>
        <v>2</v>
      </c>
      <c r="J31" s="15" t="str">
        <f>IF(I31&lt;&gt;"",P31,"")</f>
        <v>IZABELLY VIEIRA SCHLOZ</v>
      </c>
      <c r="K31" s="15" t="str">
        <f>IFERROR(IF(J31="","",VLOOKUP(J31,LISTAS!$F$5:$G$1004,2,0)),"0")</f>
        <v>COLÉGIO ENGENHEIRO SALVADOR ARENA</v>
      </c>
      <c r="L31" s="119" t="str">
        <f>IF(B31&lt;&gt;"",IF(G5=1,"OURO",IF(G5=2,IF(H8&lt;3,"",IF(H8=3,"PRATA",IF(H8=4,"OURO"))),IF(G5&gt;=3,"PRATA",""))),"")</f>
        <v>PRATA</v>
      </c>
      <c r="M31" s="118">
        <f>IF(B31&lt;&gt;"",COUNTIF(D31:G31,"V")+(SUMIF(B37:B42,B31,D37:E42)/1000)+(SUMIF(J37:J42,B31,H37:I42)/1000)-(SUMIF(B37:B42,B31,H37:I42)/1000)-(SUMIF(J37:J42,B31,D37:E42)/1000)+0.004,"")</f>
        <v>1.0029999999999999</v>
      </c>
      <c r="N31" s="20" t="str">
        <f t="shared" ref="N31" si="1">IF(B31="","",B31)</f>
        <v>IZABELLY VIEIRA SCHLOZ</v>
      </c>
      <c r="O31" s="20">
        <f>IF(B31&lt;&gt;"",LARGE(M30:M33,2),"")</f>
        <v>1.0029999999999999</v>
      </c>
      <c r="P31" s="20" t="str">
        <f>VLOOKUP(O31,M30:N33,2,0)</f>
        <v>IZABELLY VIEIRA SCHLOZ</v>
      </c>
    </row>
    <row r="32" spans="2:16" ht="18" customHeight="1" x14ac:dyDescent="0.25">
      <c r="B32" s="15" t="s">
        <v>573</v>
      </c>
      <c r="C32" s="15" t="str">
        <f>IFERROR(IF(B32="","",VLOOKUP(B32,LISTAS!$F$5:$G$1004,2,0)),"0")</f>
        <v>COLÉGIO ARBOS SÃO CAETANO DO SUL</v>
      </c>
      <c r="D32" s="15" t="str">
        <f>IF(H30&lt;3,"",IF(H30=3,IF(D37&lt;&gt;"",IF(H37&lt;&gt;"",IF(D37&lt;&gt;H37,IF(D37&gt;H37,"D","V"),""),""),""),IF(H30=4,IF(D38&lt;&gt;"",IF(H38&lt;&gt;"",IF(D38&lt;&gt;H38,IF(D38&gt;H38,"D","V"),""),""),""))))</f>
        <v>V</v>
      </c>
      <c r="E32" s="15" t="str">
        <f>IF(H30&lt;3,"",IF(H30=3,IF(D38&lt;&gt;"",IF(H38&lt;&gt;"",IF(D38&lt;&gt;H38,IF(D38&gt;H38,"D","V"),""),""),""),IF(H30=4,IF(D39&lt;&gt;"",IF(H39&lt;&gt;"",IF(D39&lt;&gt;H39,IF(D39&gt;H39,"D","V"),""),""),""))))</f>
        <v>V</v>
      </c>
      <c r="F32" s="15" t="str">
        <f>IF(H30&lt;4,"-",IF(H30=3,"-",IF(H30=4,IF(D41&lt;&gt;"",IF(H41&lt;&gt;"",IF(D41&lt;&gt;H41,IF(D41&gt;H41,"V","D"),""),""),""))))</f>
        <v>-</v>
      </c>
      <c r="G32" s="15" t="s">
        <v>81</v>
      </c>
      <c r="H32" s="159"/>
      <c r="I32" s="15">
        <f>IF(B32&lt;&gt;"",3,"")</f>
        <v>3</v>
      </c>
      <c r="J32" s="15" t="str">
        <f>IF(I32&lt;&gt;"",P32,"")</f>
        <v>HELOÍSA APARECIDA OLIVEIRA RIBEIRO</v>
      </c>
      <c r="K32" s="15" t="str">
        <f>IFERROR(IF(J32="","",VLOOKUP(J32,LISTAS!$F$5:$G$1004,2,0)),"0")</f>
        <v>COLÉGIO ENGENHEIRO SALVADOR ARENA</v>
      </c>
      <c r="L32" s="119" t="str">
        <f>IF(B32&lt;&gt;"",IF(G5=1,"OURO",IF(G5=2,IF(H8&lt;3,"",IF(H8=3,"BRONZE",IF(H8=4,"PRATA"))),IF(G5&gt;=3,"BRONZE",""))),"")</f>
        <v>BRONZE</v>
      </c>
      <c r="M32" s="118">
        <f>IF(B32&lt;&gt;"",COUNTIF(D32:G32,"V")+(SUMIF(B37:B42,B32,D37:E42)/1000)+(SUMIF(J37:J42,B32,H37:I42)/1000)-(SUMIF(B37:B42,B32,H37:I42)/1000)-(SUMIF(J37:J42,B32,D37:E42)/1000)+0.003,"")</f>
        <v>2.0070000000000001</v>
      </c>
      <c r="N32" s="20" t="str">
        <f>IF(B32="","",B32)</f>
        <v>LARISSA REGINI GRIZANTE</v>
      </c>
      <c r="O32" s="20">
        <f>IF(B32&lt;&gt;"",LARGE(M30:M33,3),"")</f>
        <v>2E-3</v>
      </c>
      <c r="P32" s="20" t="str">
        <f>VLOOKUP(O32,M30:N33,2,0)</f>
        <v>HELOÍSA APARECIDA OLIVEIRA RIBEIRO</v>
      </c>
    </row>
    <row r="33" spans="2:16" ht="18" customHeight="1" x14ac:dyDescent="0.25">
      <c r="B33" s="83"/>
      <c r="C33" s="15" t="str">
        <f>IFERROR(IF(B33="","",VLOOKUP(B33,LISTAS!$F$5:$G$1004,2,0)),"0")</f>
        <v/>
      </c>
      <c r="D33" s="15" t="str">
        <f>IF(H30&lt;3,"",IF(H30=3,"",IF(H30=4,IF(D37&lt;&gt;"",IF(H37&lt;&gt;"",IF(D37&lt;&gt;H37,IF(D37&gt;H37,"D","V"),""),""),""))))</f>
        <v/>
      </c>
      <c r="E33" s="15" t="str">
        <f>IF(H30&lt;3,"",IF(H30=3,"",IF(H30=4,IF(D40&lt;&gt;"",IF(H40&lt;&gt;"",IF(D40&lt;&gt;H40,IF(D40&gt;H40,"D","V"),""),""),""))))</f>
        <v/>
      </c>
      <c r="F33" s="15" t="str">
        <f>IF(H30&lt;4,"-",IF(H30=3,"",IF(H30=4,IF(D41&lt;&gt;"",IF(H41&lt;&gt;"",IF(D41&lt;&gt;H41,IF(D41&gt;H41,"D","V"),""),""),""))))</f>
        <v>-</v>
      </c>
      <c r="G33" s="15" t="s">
        <v>81</v>
      </c>
      <c r="H33" s="159"/>
      <c r="I33" s="15" t="str">
        <f>IF(B33&lt;&gt;"",4,"")</f>
        <v/>
      </c>
      <c r="J33" s="15" t="str">
        <f>IF(I33&lt;&gt;"",P33,"")</f>
        <v/>
      </c>
      <c r="K33" s="15" t="str">
        <f>IFERROR(IF(J33="","",VLOOKUP(J33,LISTAS!$F$5:$G$1004,2,0)),"0")</f>
        <v/>
      </c>
      <c r="L33" s="119" t="str">
        <f>IF(B33&lt;&gt;"",IF(G5=1,"OURO",IF(G5=2,IF(H8&lt;3,"",IF(H8=3,"",IF(H8=4,"PRATA"))),IF(G5&gt;=3,"",""))),"")</f>
        <v/>
      </c>
      <c r="M33" s="20" t="str">
        <f>IF(B33&lt;&gt;"",COUNTIF(D33:G33,"V")+(SUMIF(B37:B42,B33,D37:E42)/1000)+(SUMIF(J37:J42,B33,H37:I42)/1000)-(SUMIF(B37:B42,B33,H37:I42)/1000)-(SUMIF(J37:J42,B33,D37:E42)/1000)+0.002,"")</f>
        <v/>
      </c>
      <c r="N33" s="20" t="str">
        <f>IF(B33="","",B33)</f>
        <v/>
      </c>
      <c r="O33" s="20" t="str">
        <f>IF(B33&lt;&gt;"",LARGE(M30:M33,4),"")</f>
        <v/>
      </c>
      <c r="P33" s="20" t="str">
        <f>VLOOKUP(O33,M30:N33,2,0)</f>
        <v/>
      </c>
    </row>
    <row r="34" spans="2:16" ht="18" customHeight="1" x14ac:dyDescent="0.25">
      <c r="B34" s="79"/>
      <c r="C34" s="79"/>
      <c r="D34" s="79"/>
      <c r="E34" s="79"/>
      <c r="F34" s="79"/>
      <c r="G34" s="79"/>
      <c r="I34" s="80"/>
      <c r="J34" s="79"/>
      <c r="K34" s="81"/>
      <c r="L34" s="81"/>
    </row>
    <row r="35" spans="2:16" ht="23.25" customHeight="1" x14ac:dyDescent="0.25">
      <c r="B35" s="82" t="s">
        <v>40</v>
      </c>
      <c r="C35" s="79"/>
      <c r="D35" s="79"/>
      <c r="E35" s="79"/>
      <c r="F35" s="79"/>
      <c r="G35" s="79"/>
      <c r="H35" s="79"/>
      <c r="I35" s="79"/>
      <c r="J35" s="79"/>
      <c r="K35" s="79"/>
      <c r="L35" s="79"/>
    </row>
    <row r="36" spans="2:16" ht="18" customHeight="1" x14ac:dyDescent="0.25">
      <c r="B36" s="9" t="s">
        <v>15</v>
      </c>
      <c r="C36" s="9" t="s">
        <v>0</v>
      </c>
      <c r="D36" s="228" t="s">
        <v>41</v>
      </c>
      <c r="E36" s="229"/>
      <c r="F36" s="229"/>
      <c r="G36" s="229"/>
      <c r="H36" s="229"/>
      <c r="I36" s="230"/>
      <c r="J36" s="9" t="s">
        <v>15</v>
      </c>
      <c r="K36" s="9" t="s">
        <v>0</v>
      </c>
      <c r="L36" s="79"/>
    </row>
    <row r="37" spans="2:16" ht="18" customHeight="1" x14ac:dyDescent="0.25">
      <c r="B37" s="15" t="str">
        <f>IF(H30=3,B30,IF(H30=4,B30,""))</f>
        <v>HELOÍSA APARECIDA OLIVEIRA RIBEIRO</v>
      </c>
      <c r="C37" s="15" t="str">
        <f>IFERROR(IF(B37="","",VLOOKUP(B37,LISTAS!$F$5:$G$1004,2,0)),"0")</f>
        <v>COLÉGIO ENGENHEIRO SALVADOR ARENA</v>
      </c>
      <c r="D37" s="223">
        <v>0</v>
      </c>
      <c r="E37" s="224"/>
      <c r="F37" s="223" t="s">
        <v>38</v>
      </c>
      <c r="G37" s="224"/>
      <c r="H37" s="223">
        <v>2</v>
      </c>
      <c r="I37" s="224"/>
      <c r="J37" s="21" t="str">
        <f>IF(H30=3,B32,IF(H30=4,B33,""))</f>
        <v>LARISSA REGINI GRIZANTE</v>
      </c>
      <c r="K37" s="15" t="str">
        <f>IFERROR(IF(J37="","",VLOOKUP(J37,LISTAS!$F$5:$G$1004,2,0)),"0")</f>
        <v>COLÉGIO ARBOS SÃO CAETANO DO SUL</v>
      </c>
      <c r="L37" s="81"/>
    </row>
    <row r="38" spans="2:16" ht="18" customHeight="1" x14ac:dyDescent="0.25">
      <c r="B38" s="15" t="str">
        <f>IF(H30=3,B31,IF(H30=4,B31,""))</f>
        <v>IZABELLY VIEIRA SCHLOZ</v>
      </c>
      <c r="C38" s="15" t="str">
        <f>IFERROR(IF(B38="","",VLOOKUP(B38,LISTAS!$F$5:$G$1004,2,0)),"0")</f>
        <v>COLÉGIO ENGENHEIRO SALVADOR ARENA</v>
      </c>
      <c r="D38" s="223">
        <v>0</v>
      </c>
      <c r="E38" s="224"/>
      <c r="F38" s="223" t="s">
        <v>38</v>
      </c>
      <c r="G38" s="224"/>
      <c r="H38" s="223">
        <v>2</v>
      </c>
      <c r="I38" s="224"/>
      <c r="J38" s="21" t="str">
        <f>IF(H30=3,B32,IF(H30=4,B32,""))</f>
        <v>LARISSA REGINI GRIZANTE</v>
      </c>
      <c r="K38" s="15" t="str">
        <f>IFERROR(IF(J38="","",VLOOKUP(J38,LISTAS!$F$5:$G$1004,2,0)),"0")</f>
        <v>COLÉGIO ARBOS SÃO CAETANO DO SUL</v>
      </c>
      <c r="L38" s="79"/>
    </row>
    <row r="39" spans="2:16" ht="18" customHeight="1" x14ac:dyDescent="0.25">
      <c r="B39" s="15" t="str">
        <f>IF(H30=3,B30,IF(H30=4,B30,""))</f>
        <v>HELOÍSA APARECIDA OLIVEIRA RIBEIRO</v>
      </c>
      <c r="C39" s="15" t="str">
        <f>IFERROR(IF(B39="","",VLOOKUP(B39,LISTAS!$F$5:$G$1004,2,0)),"0")</f>
        <v>COLÉGIO ENGENHEIRO SALVADOR ARENA</v>
      </c>
      <c r="D39" s="223">
        <v>1</v>
      </c>
      <c r="E39" s="224"/>
      <c r="F39" s="223" t="s">
        <v>38</v>
      </c>
      <c r="G39" s="224"/>
      <c r="H39" s="223">
        <v>2</v>
      </c>
      <c r="I39" s="224"/>
      <c r="J39" s="21" t="str">
        <f>IF(H30=3,B31,IF(H30=4,B32,""))</f>
        <v>IZABELLY VIEIRA SCHLOZ</v>
      </c>
      <c r="K39" s="15" t="str">
        <f>IFERROR(IF(J39="","",VLOOKUP(J39,LISTAS!$F$5:$G$1004,2,0)),"0")</f>
        <v>COLÉGIO ENGENHEIRO SALVADOR ARENA</v>
      </c>
      <c r="L39" s="81"/>
    </row>
    <row r="40" spans="2:16" ht="18" customHeight="1" x14ac:dyDescent="0.25">
      <c r="B40" s="15" t="str">
        <f>IF(H30=3,"",IF(H30=4,B31,""))</f>
        <v/>
      </c>
      <c r="C40" s="15" t="str">
        <f>IFERROR(IF(B40="","",VLOOKUP(B40,LISTAS!$F$5:$G$1004,2,0)),"0")</f>
        <v/>
      </c>
      <c r="D40" s="223"/>
      <c r="E40" s="224"/>
      <c r="F40" s="223" t="s">
        <v>38</v>
      </c>
      <c r="G40" s="224"/>
      <c r="H40" s="223"/>
      <c r="I40" s="224"/>
      <c r="J40" s="21" t="str">
        <f>IF(H30=3,"",IF(H30=4,B33,""))</f>
        <v/>
      </c>
      <c r="K40" s="15" t="str">
        <f>IFERROR(IF(J40="","",VLOOKUP(J40,LISTAS!$F$5:$G$1004,2,0)),"0")</f>
        <v/>
      </c>
      <c r="L40" s="81"/>
    </row>
    <row r="41" spans="2:16" ht="18" customHeight="1" x14ac:dyDescent="0.25">
      <c r="B41" s="15" t="str">
        <f>IF(H30=3,"",IF(H30=4,B32,""))</f>
        <v/>
      </c>
      <c r="C41" s="15" t="str">
        <f>IFERROR(IF(B41="","",VLOOKUP(B41,LISTAS!$F$5:$G$1004,2,0)),"0")</f>
        <v/>
      </c>
      <c r="D41" s="223"/>
      <c r="E41" s="224"/>
      <c r="F41" s="223" t="s">
        <v>38</v>
      </c>
      <c r="G41" s="224"/>
      <c r="H41" s="223"/>
      <c r="I41" s="224"/>
      <c r="J41" s="21" t="str">
        <f>IF(H30=3,"",IF(H30=4,B33,""))</f>
        <v/>
      </c>
      <c r="K41" s="15" t="str">
        <f>IFERROR(IF(J41="","",VLOOKUP(J41,LISTAS!$F$5:$G$1004,2,0)),"0")</f>
        <v/>
      </c>
      <c r="L41" s="81"/>
    </row>
    <row r="42" spans="2:16" ht="18" customHeight="1" x14ac:dyDescent="0.25">
      <c r="B42" s="15" t="str">
        <f>IF(H30=3,"",IF(H30=4,B30,""))</f>
        <v/>
      </c>
      <c r="C42" s="15" t="str">
        <f>IFERROR(IF(B42="","",VLOOKUP(B42,LISTAS!$F$5:$G$1004,2,0)),"0")</f>
        <v/>
      </c>
      <c r="D42" s="223"/>
      <c r="E42" s="224"/>
      <c r="F42" s="223" t="s">
        <v>38</v>
      </c>
      <c r="G42" s="224"/>
      <c r="H42" s="223"/>
      <c r="I42" s="224"/>
      <c r="J42" s="21" t="str">
        <f>IF(H30=3,"",IF(H30=4,B31,""))</f>
        <v/>
      </c>
      <c r="K42" s="15" t="str">
        <f>IFERROR(IF(J42="","",VLOOKUP(J42,LISTAS!$F$5:$G$1004,2,0)),"0")</f>
        <v/>
      </c>
      <c r="L42" s="81"/>
    </row>
    <row r="45" spans="2:16" ht="30" customHeight="1" x14ac:dyDescent="0.25">
      <c r="B45" s="161" t="s">
        <v>47</v>
      </c>
      <c r="C45" s="79"/>
      <c r="D45" s="225" t="s">
        <v>42</v>
      </c>
      <c r="E45" s="226"/>
      <c r="F45" s="226"/>
      <c r="G45" s="227"/>
      <c r="H45" s="113"/>
      <c r="I45" s="225" t="s">
        <v>3</v>
      </c>
      <c r="J45" s="226"/>
      <c r="K45" s="226"/>
      <c r="L45" s="226"/>
    </row>
    <row r="46" spans="2:16" ht="18" customHeight="1" x14ac:dyDescent="0.25">
      <c r="B46" s="9" t="s">
        <v>15</v>
      </c>
      <c r="C46" s="9" t="s">
        <v>0</v>
      </c>
      <c r="D46" s="9" t="s">
        <v>43</v>
      </c>
      <c r="E46" s="9" t="s">
        <v>44</v>
      </c>
      <c r="F46" s="9" t="s">
        <v>77</v>
      </c>
      <c r="G46" s="9" t="s">
        <v>78</v>
      </c>
      <c r="H46" s="114"/>
      <c r="I46" s="9" t="s">
        <v>18</v>
      </c>
      <c r="J46" s="9" t="s">
        <v>15</v>
      </c>
      <c r="K46" s="9" t="s">
        <v>0</v>
      </c>
      <c r="L46" s="9" t="s">
        <v>45</v>
      </c>
    </row>
    <row r="47" spans="2:16" ht="18" customHeight="1" x14ac:dyDescent="0.25">
      <c r="B47" s="15" t="s">
        <v>553</v>
      </c>
      <c r="C47" s="15" t="str">
        <f>IFERROR(IF(B47="","",VLOOKUP(B47,LISTAS!$F$5:$G$1004,2,0)),"0")</f>
        <v>COLÉGIO ARBOS SÃO CAETANO DO SUL</v>
      </c>
      <c r="D47" s="15" t="str">
        <f>IF(H47&lt;3,"",IF(H47=3,IF(D53&lt;&gt;"",IF(H53&lt;&gt;"",IF(D53&lt;&gt;H53,IF(D53&gt;H53,"V","D"),""),""),"")))</f>
        <v>V</v>
      </c>
      <c r="E47" s="15" t="str">
        <f>IF(H47&lt;3,"",IF(H47=3,IF(D55&lt;&gt;"",IF(H55&lt;&gt;"",IF(D55&lt;&gt;H55,IF(D55&gt;H55,"V","D"),""),""),"")))</f>
        <v>D</v>
      </c>
      <c r="F47" s="15" t="s">
        <v>81</v>
      </c>
      <c r="G47" s="15" t="s">
        <v>81</v>
      </c>
      <c r="H47" s="117">
        <f>COUNTA(B47:B49)</f>
        <v>3</v>
      </c>
      <c r="I47" s="15">
        <f>IF(B47&lt;&gt;"",1,"")</f>
        <v>1</v>
      </c>
      <c r="J47" s="15" t="str">
        <f>IF(I47&lt;&gt;"",P47,"")</f>
        <v>JULIA MIKI OTIAI</v>
      </c>
      <c r="K47" s="15" t="str">
        <f>IFERROR(IF(J47="","",VLOOKUP(J47,LISTAS!$F$5:$G$1004,2,0)),"0")</f>
        <v>COLÉGIO ENGENHEIRO SALVADOR ARENA</v>
      </c>
      <c r="L47" s="119" t="str">
        <f>IF(H47=3,"OURO",IF(H47=4,"OURO",IF(H47=5,"OURO","")))</f>
        <v>OURO</v>
      </c>
      <c r="M47" s="20">
        <f>IF(B47&lt;&gt;"",COUNTIF(D47:G47,"V")+(SUMIF(B53:B55,B47,D53:E55)/1000)+(SUMIF(J53:J55,B47,H53:I55)/1000)-(SUMIF(B53:B55,B47,H53:I55)/1000)-(SUMIF(J53:J55,B47,D53:E55)/1000)+0.003,"")</f>
        <v>1.0029999999999999</v>
      </c>
      <c r="N47" s="20" t="str">
        <f>IF(B47="","",B47)</f>
        <v>ASHLEY NATSUMI KUMANO MAEGAWA</v>
      </c>
      <c r="O47" s="20">
        <f>IF(B47&lt;&gt;"",LARGE(M47:M49,1),"")</f>
        <v>2.0059999999999993</v>
      </c>
      <c r="P47" s="20" t="str">
        <f>VLOOKUP(O47,M47:N49,2,0)</f>
        <v>JULIA MIKI OTIAI</v>
      </c>
    </row>
    <row r="48" spans="2:16" ht="18" customHeight="1" x14ac:dyDescent="0.25">
      <c r="B48" s="15" t="s">
        <v>570</v>
      </c>
      <c r="C48" s="15" t="str">
        <f>IFERROR(IF(B48="","",VLOOKUP(B48,LISTAS!$F$5:$G$1004,2,0)),"0")</f>
        <v>COLÉGIO ENGENHEIRO SALVADOR ARENA</v>
      </c>
      <c r="D48" s="15" t="str">
        <f>IF(H47&lt;3,"",IF(H47=3,IF(D54&lt;&gt;"",IF(H54&lt;&gt;"",IF(D54&lt;&gt;H54,IF(D54&gt;H54,"V","D"),""),""),"")))</f>
        <v>V</v>
      </c>
      <c r="E48" s="15" t="str">
        <f>IF(H47&lt;3,"",IF(H47=3,IF(D55&lt;&gt;"",IF(H55&lt;&gt;"",IF(D55&lt;&gt;H55,IF(D55&gt;H55,"D","V"),""),""),"")))</f>
        <v>V</v>
      </c>
      <c r="F48" s="15" t="s">
        <v>81</v>
      </c>
      <c r="G48" s="15" t="s">
        <v>81</v>
      </c>
      <c r="H48" s="115"/>
      <c r="I48" s="15">
        <f>IF(B48&lt;&gt;"",2,"")</f>
        <v>2</v>
      </c>
      <c r="J48" s="15" t="str">
        <f>IF(I48&lt;&gt;"",P48,"")</f>
        <v>ASHLEY NATSUMI KUMANO MAEGAWA</v>
      </c>
      <c r="K48" s="15" t="str">
        <f>IFERROR(IF(J48="","",VLOOKUP(J48,LISTAS!$F$5:$G$1004,2,0)),"0")</f>
        <v>COLÉGIO ARBOS SÃO CAETANO DO SUL</v>
      </c>
      <c r="L48" s="119" t="str">
        <f>IF(H47=3,"PRATA",IF(H47=4,"OURO",IF(H47=5,"OURO","")))</f>
        <v>PRATA</v>
      </c>
      <c r="M48" s="20">
        <f>IF(B48&lt;&gt;"",COUNTIF(D48:G48,"V")+(SUMIF(B53:B55,B48,D53:E55)/1000)+(SUMIF(J53:J55,B48,H53:I55)/1000)-(SUMIF(B53:B55,B48,H53:I55)/1000)-(SUMIF(J53:J55,B48,D53:E55)/1000)+0.002,"")</f>
        <v>2.0059999999999993</v>
      </c>
      <c r="N48" s="20" t="str">
        <f t="shared" ref="N48" si="2">IF(B48="","",B48)</f>
        <v>JULIA MIKI OTIAI</v>
      </c>
      <c r="O48" s="20">
        <f>IF(B48&lt;&gt;"",LARGE(M47:M49,2),"")</f>
        <v>1.0029999999999999</v>
      </c>
      <c r="P48" s="20" t="str">
        <f>VLOOKUP(O48,M47:N49,2,0)</f>
        <v>ASHLEY NATSUMI KUMANO MAEGAWA</v>
      </c>
    </row>
    <row r="49" spans="2:16" ht="18" customHeight="1" x14ac:dyDescent="0.25">
      <c r="B49" s="15" t="s">
        <v>583</v>
      </c>
      <c r="C49" s="15" t="str">
        <f>IFERROR(IF(B49="","",VLOOKUP(B49,LISTAS!$F$5:$G$1004,2,0)),"0")</f>
        <v>COLÉGIO ENGENHEIRO SALVADOR ARENA</v>
      </c>
      <c r="D49" s="15" t="str">
        <f>IF(H47&lt;3,"",IF(H47=3,IF(D53&lt;&gt;"",IF(H53&lt;&gt;"",IF(D53&lt;&gt;H53,IF(D53&gt;H53,"D","V"),""),""),"")))</f>
        <v>D</v>
      </c>
      <c r="E49" s="15" t="str">
        <f>IF(H47&lt;3,"",IF(H47=3,IF(D54&lt;&gt;"",IF(H54&lt;&gt;"",IF(D54&lt;&gt;H54,IF(D54&gt;H54,"D","V"),""),""),"")))</f>
        <v>D</v>
      </c>
      <c r="F49" s="15" t="s">
        <v>81</v>
      </c>
      <c r="G49" s="15" t="s">
        <v>81</v>
      </c>
      <c r="H49" s="115"/>
      <c r="I49" s="15">
        <f>IF(B49&lt;&gt;"",3,"")</f>
        <v>3</v>
      </c>
      <c r="J49" s="15" t="str">
        <f>IF(I49&lt;&gt;"",P49,"")</f>
        <v>LUÍSA COSTA RAMOS</v>
      </c>
      <c r="K49" s="15" t="str">
        <f>IFERROR(IF(J49="","",VLOOKUP(J49,LISTAS!$F$5:$G$1004,2,0)),"0")</f>
        <v>COLÉGIO ENGENHEIRO SALVADOR ARENA</v>
      </c>
      <c r="L49" s="119" t="str">
        <f>IF(H47=3,"BRONZE",IF(H47=4,"PRATA",IF(H47=5,"OURO","")))</f>
        <v>BRONZE</v>
      </c>
      <c r="M49" s="20">
        <f>IF(B49&lt;&gt;"",COUNTIF(D49:G49,"V")+(SUMIF(B53:B55,B49,D53:E55)/1000)+(SUMIF(J53:J55,B49,H53:I55)/1000)-(SUMIF(B53:B55,B49,H53:I55)/1000)-(SUMIF(J53:J55,B49,D53:E55)/1000)+0.001,"")</f>
        <v>-3.0000000000000001E-3</v>
      </c>
      <c r="N49" s="20" t="str">
        <f>IF(B49="","",B49)</f>
        <v>LUÍSA COSTA RAMOS</v>
      </c>
      <c r="O49" s="20">
        <f>IF(B49&lt;&gt;"",LARGE(M47:M49,3),"")</f>
        <v>-3.0000000000000001E-3</v>
      </c>
      <c r="P49" s="20" t="str">
        <f>VLOOKUP(O49,M47:N49,2,0)</f>
        <v>LUÍSA COSTA RAMOS</v>
      </c>
    </row>
    <row r="50" spans="2:16" ht="18" customHeight="1" x14ac:dyDescent="0.25">
      <c r="B50" s="79"/>
      <c r="C50" s="79"/>
      <c r="D50" s="79"/>
      <c r="E50" s="79"/>
      <c r="F50" s="79"/>
      <c r="G50" s="79"/>
      <c r="I50" s="80"/>
      <c r="J50" s="79"/>
      <c r="K50" s="81"/>
      <c r="L50" s="81"/>
    </row>
    <row r="51" spans="2:16" ht="23.25" customHeight="1" x14ac:dyDescent="0.25">
      <c r="B51" s="82" t="s">
        <v>40</v>
      </c>
      <c r="C51" s="79"/>
      <c r="D51" s="79"/>
      <c r="E51" s="79"/>
      <c r="F51" s="79"/>
      <c r="G51" s="79"/>
      <c r="H51" s="79"/>
      <c r="I51" s="79"/>
      <c r="J51" s="79"/>
      <c r="K51" s="79"/>
      <c r="L51" s="79"/>
    </row>
    <row r="52" spans="2:16" ht="18" customHeight="1" x14ac:dyDescent="0.25">
      <c r="B52" s="9" t="s">
        <v>15</v>
      </c>
      <c r="C52" s="9" t="s">
        <v>0</v>
      </c>
      <c r="D52" s="228" t="s">
        <v>41</v>
      </c>
      <c r="E52" s="229"/>
      <c r="F52" s="229"/>
      <c r="G52" s="229"/>
      <c r="H52" s="229"/>
      <c r="I52" s="230"/>
      <c r="J52" s="9" t="s">
        <v>15</v>
      </c>
      <c r="K52" s="9" t="s">
        <v>0</v>
      </c>
      <c r="L52" s="79"/>
    </row>
    <row r="53" spans="2:16" ht="18" customHeight="1" x14ac:dyDescent="0.25">
      <c r="B53" s="15" t="str">
        <f>IF(H47=3,B47,"")</f>
        <v>ASHLEY NATSUMI KUMANO MAEGAWA</v>
      </c>
      <c r="C53" s="15" t="str">
        <f>IFERROR(IF(B53="","",VLOOKUP(B53,LISTAS!$F$5:$G$1004,2,0)),"0")</f>
        <v>COLÉGIO ARBOS SÃO CAETANO DO SUL</v>
      </c>
      <c r="D53" s="223">
        <v>2</v>
      </c>
      <c r="E53" s="224"/>
      <c r="F53" s="223" t="s">
        <v>38</v>
      </c>
      <c r="G53" s="224"/>
      <c r="H53" s="223">
        <v>0</v>
      </c>
      <c r="I53" s="224"/>
      <c r="J53" s="21" t="str">
        <f>IF(H47=3,B49,"")</f>
        <v>LUÍSA COSTA RAMOS</v>
      </c>
      <c r="K53" s="15" t="str">
        <f>IFERROR(IF(J53="","",VLOOKUP(J53,LISTAS!$F$5:$G$1004,2,0)),"0")</f>
        <v>COLÉGIO ENGENHEIRO SALVADOR ARENA</v>
      </c>
      <c r="L53" s="81"/>
    </row>
    <row r="54" spans="2:16" ht="18" customHeight="1" x14ac:dyDescent="0.25">
      <c r="B54" s="15" t="str">
        <f>IF(H47=3,B48,"")</f>
        <v>JULIA MIKI OTIAI</v>
      </c>
      <c r="C54" s="15" t="str">
        <f>IFERROR(IF(B54="","",VLOOKUP(B54,LISTAS!$F$5:$G$1004,2,0)),"0")</f>
        <v>COLÉGIO ENGENHEIRO SALVADOR ARENA</v>
      </c>
      <c r="D54" s="223">
        <v>2</v>
      </c>
      <c r="E54" s="224"/>
      <c r="F54" s="223" t="s">
        <v>38</v>
      </c>
      <c r="G54" s="224"/>
      <c r="H54" s="223">
        <v>0</v>
      </c>
      <c r="I54" s="224"/>
      <c r="J54" s="21" t="str">
        <f>IF(H47=3,B49,"")</f>
        <v>LUÍSA COSTA RAMOS</v>
      </c>
      <c r="K54" s="15" t="str">
        <f>IFERROR(IF(J54="","",VLOOKUP(J54,LISTAS!$F$5:$G$1004,2,0)),"0")</f>
        <v>COLÉGIO ENGENHEIRO SALVADOR ARENA</v>
      </c>
      <c r="L54" s="79"/>
    </row>
    <row r="55" spans="2:16" ht="18" customHeight="1" x14ac:dyDescent="0.25">
      <c r="B55" s="15" t="str">
        <f>IF(H47=3,B47,"")</f>
        <v>ASHLEY NATSUMI KUMANO MAEGAWA</v>
      </c>
      <c r="C55" s="15" t="str">
        <f>IFERROR(IF(B55="","",VLOOKUP(B55,LISTAS!$F$5:$G$1004,2,0)),"0")</f>
        <v>COLÉGIO ARBOS SÃO CAETANO DO SUL</v>
      </c>
      <c r="D55" s="223">
        <v>0</v>
      </c>
      <c r="E55" s="224"/>
      <c r="F55" s="223" t="s">
        <v>38</v>
      </c>
      <c r="G55" s="224"/>
      <c r="H55" s="223">
        <v>2</v>
      </c>
      <c r="I55" s="224"/>
      <c r="J55" s="21" t="str">
        <f>IF(H47=3,B48,"")</f>
        <v>JULIA MIKI OTIAI</v>
      </c>
      <c r="K55" s="15" t="str">
        <f>IFERROR(IF(J55="","",VLOOKUP(J55,LISTAS!$F$5:$G$1004,2,0)),"0")</f>
        <v>COLÉGIO ENGENHEIRO SALVADOR ARENA</v>
      </c>
      <c r="L55" s="81"/>
    </row>
    <row r="58" spans="2:16" ht="30" customHeight="1" x14ac:dyDescent="0.25">
      <c r="B58" s="161" t="s">
        <v>48</v>
      </c>
      <c r="C58" s="79"/>
      <c r="D58" s="225" t="s">
        <v>42</v>
      </c>
      <c r="E58" s="226"/>
      <c r="F58" s="226"/>
      <c r="G58" s="227"/>
      <c r="H58" s="113"/>
      <c r="I58" s="225" t="s">
        <v>3</v>
      </c>
      <c r="J58" s="226"/>
      <c r="K58" s="226"/>
      <c r="L58" s="226"/>
    </row>
    <row r="59" spans="2:16" ht="18" customHeight="1" x14ac:dyDescent="0.25">
      <c r="B59" s="9" t="s">
        <v>15</v>
      </c>
      <c r="C59" s="9" t="s">
        <v>0</v>
      </c>
      <c r="D59" s="9" t="s">
        <v>43</v>
      </c>
      <c r="E59" s="9" t="s">
        <v>44</v>
      </c>
      <c r="F59" s="9" t="s">
        <v>77</v>
      </c>
      <c r="G59" s="9" t="s">
        <v>78</v>
      </c>
      <c r="H59" s="114"/>
      <c r="I59" s="9" t="s">
        <v>18</v>
      </c>
      <c r="J59" s="9" t="s">
        <v>15</v>
      </c>
      <c r="K59" s="9" t="s">
        <v>0</v>
      </c>
      <c r="L59" s="9" t="s">
        <v>45</v>
      </c>
    </row>
    <row r="60" spans="2:16" ht="18" customHeight="1" x14ac:dyDescent="0.25">
      <c r="B60" s="15" t="s">
        <v>585</v>
      </c>
      <c r="C60" s="15" t="str">
        <f>IFERROR(IF(B60="","",VLOOKUP(B60,LISTAS!$F$5:$G$1004,2,0)),"0")</f>
        <v>COLÉGIO ARBOS SÃO CAETANO DO SUL</v>
      </c>
      <c r="D60" s="15" t="str">
        <f>IF(H60&lt;3,"",IF(H60=3,IF(D66&lt;&gt;"",IF(H66&lt;&gt;"",IF(D66&lt;&gt;H66,IF(D66&gt;H66,"V","D"),""),""),"")))</f>
        <v>V</v>
      </c>
      <c r="E60" s="15" t="str">
        <f>IF(H60&lt;3,"",IF(H60=3,IF(D68&lt;&gt;"",IF(H68&lt;&gt;"",IF(D68&lt;&gt;H68,IF(D68&gt;H68,"V","D"),""),""),"")))</f>
        <v>V</v>
      </c>
      <c r="F60" s="15" t="s">
        <v>81</v>
      </c>
      <c r="G60" s="15" t="s">
        <v>81</v>
      </c>
      <c r="H60" s="117">
        <f>COUNTA(B60:B62)</f>
        <v>3</v>
      </c>
      <c r="I60" s="15">
        <f>IF(B60&lt;&gt;"",1,"")</f>
        <v>1</v>
      </c>
      <c r="J60" s="15" t="str">
        <f>IF(I60&lt;&gt;"",P60,"")</f>
        <v>LUIZA CRISTINA URTADO BRAZ</v>
      </c>
      <c r="K60" s="15" t="str">
        <f>IFERROR(IF(J60="","",VLOOKUP(J60,LISTAS!$F$5:$G$1004,2,0)),"0")</f>
        <v>COLÉGIO ARBOS SÃO CAETANO DO SUL</v>
      </c>
      <c r="L60" s="119" t="str">
        <f>IF(H60=3,"OURO",IF(H60=4,"OURO",IF(H60=5,"OURO","")))</f>
        <v>OURO</v>
      </c>
      <c r="M60" s="20">
        <f>IF(B60&lt;&gt;"",COUNTIF(D60:G60,"V")+(SUMIF(B66:B68,B60,D66:E68)/1000)+(SUMIF(J66:J68,B60,H66:I68)/1000)-(SUMIF(B66:B68,B60,H66:I68)/1000)-(SUMIF(J66:J68,B60,D66:E68)/1000)+0.003,"")</f>
        <v>2.0070000000000001</v>
      </c>
      <c r="N60" s="20" t="str">
        <f>IF(B60="","",B60)</f>
        <v>LUIZA CRISTINA URTADO BRAZ</v>
      </c>
      <c r="O60" s="20">
        <f>IF(B60&lt;&gt;"",LARGE(M60:M62,1),"")</f>
        <v>2.0070000000000001</v>
      </c>
      <c r="P60" s="20" t="str">
        <f>VLOOKUP(O60,M60:N62,2,0)</f>
        <v>LUIZA CRISTINA URTADO BRAZ</v>
      </c>
    </row>
    <row r="61" spans="2:16" ht="18" customHeight="1" x14ac:dyDescent="0.25">
      <c r="B61" s="15" t="s">
        <v>589</v>
      </c>
      <c r="C61" s="15" t="str">
        <f>IFERROR(IF(B61="","",VLOOKUP(B61,LISTAS!$F$5:$G$1004,2,0)),"0")</f>
        <v>COLÉGIO ENGENHEIRO SALVADOR ARENA</v>
      </c>
      <c r="D61" s="15" t="str">
        <f>IF(H60&lt;3,"",IF(H60=3,IF(D67&lt;&gt;"",IF(H67&lt;&gt;"",IF(D67&lt;&gt;H67,IF(D67&gt;H67,"V","D"),""),""),"")))</f>
        <v>D</v>
      </c>
      <c r="E61" s="15" t="str">
        <f>IF(H60&lt;3,"",IF(H60=3,IF(D68&lt;&gt;"",IF(H68&lt;&gt;"",IF(D68&lt;&gt;H68,IF(D68&gt;H68,"D","V"),""),""),"")))</f>
        <v>D</v>
      </c>
      <c r="F61" s="15" t="s">
        <v>81</v>
      </c>
      <c r="G61" s="15" t="s">
        <v>81</v>
      </c>
      <c r="H61" s="115"/>
      <c r="I61" s="15">
        <f>IF(B61&lt;&gt;"",2,"")</f>
        <v>2</v>
      </c>
      <c r="J61" s="15" t="str">
        <f>IF(I61&lt;&gt;"",P61,"")</f>
        <v>SARA DE MELO ZANUNI</v>
      </c>
      <c r="K61" s="15" t="str">
        <f>IFERROR(IF(J61="","",VLOOKUP(J61,LISTAS!$F$5:$G$1004,2,0)),"0")</f>
        <v>COLÉGIO ENGENHEIRO SALVADOR ARENA</v>
      </c>
      <c r="L61" s="119" t="str">
        <f>IF(H60=3,"PRATA",IF(H60=4,"OURO",IF(H60=5,"OURO","")))</f>
        <v>PRATA</v>
      </c>
      <c r="M61" s="20">
        <f>IF(B61&lt;&gt;"",COUNTIF(D61:G61,"V")+(SUMIF(B66:B68,B61,D66:E68)/1000)+(SUMIF(J66:J68,B61,H66:I68)/1000)-(SUMIF(B66:B68,B61,H66:I68)/1000)-(SUMIF(J66:J68,B61,D66:E68)/1000)+0.002,"")</f>
        <v>-2E-3</v>
      </c>
      <c r="N61" s="20" t="str">
        <f t="shared" ref="N61" si="3">IF(B61="","",B61)</f>
        <v>MARÍLIA MIRANDA BRITO</v>
      </c>
      <c r="O61" s="20">
        <f>IF(B61&lt;&gt;"",LARGE(M60:M62,2),"")</f>
        <v>1.0009999999999999</v>
      </c>
      <c r="P61" s="20" t="str">
        <f>VLOOKUP(O61,M60:N62,2,0)</f>
        <v>SARA DE MELO ZANUNI</v>
      </c>
    </row>
    <row r="62" spans="2:16" ht="18" customHeight="1" x14ac:dyDescent="0.25">
      <c r="B62" s="15" t="s">
        <v>596</v>
      </c>
      <c r="C62" s="15" t="str">
        <f>IFERROR(IF(B62="","",VLOOKUP(B62,LISTAS!$F$5:$G$1004,2,0)),"0")</f>
        <v>COLÉGIO ENGENHEIRO SALVADOR ARENA</v>
      </c>
      <c r="D62" s="15" t="str">
        <f>IF(H60&lt;3,"",IF(H60=3,IF(D66&lt;&gt;"",IF(H66&lt;&gt;"",IF(D66&lt;&gt;H66,IF(D66&gt;H66,"D","V"),""),""),"")))</f>
        <v>D</v>
      </c>
      <c r="E62" s="15" t="str">
        <f>IF(H60&lt;3,"",IF(H60=3,IF(D67&lt;&gt;"",IF(H67&lt;&gt;"",IF(D67&lt;&gt;H67,IF(D67&gt;H67,"D","V"),""),""),"")))</f>
        <v>V</v>
      </c>
      <c r="F62" s="15" t="s">
        <v>81</v>
      </c>
      <c r="G62" s="15" t="s">
        <v>81</v>
      </c>
      <c r="H62" s="115"/>
      <c r="I62" s="15">
        <f>IF(B62&lt;&gt;"",3,"")</f>
        <v>3</v>
      </c>
      <c r="J62" s="15" t="str">
        <f>IF(I62&lt;&gt;"",P62,"")</f>
        <v>MARÍLIA MIRANDA BRITO</v>
      </c>
      <c r="K62" s="15" t="str">
        <f>IFERROR(IF(J62="","",VLOOKUP(J62,LISTAS!$F$5:$G$1004,2,0)),"0")</f>
        <v>COLÉGIO ENGENHEIRO SALVADOR ARENA</v>
      </c>
      <c r="L62" s="119" t="str">
        <f>IF(H60=3,"BRONZE",IF(H60=4,"PRATA",IF(H60=5,"OURO","")))</f>
        <v>BRONZE</v>
      </c>
      <c r="M62" s="20">
        <f>IF(B62&lt;&gt;"",COUNTIF(D62:G62,"V")+(SUMIF(B66:B68,B62,D66:E68)/1000)+(SUMIF(J66:J68,B62,H66:I68)/1000)-(SUMIF(B66:B68,B62,H66:I68)/1000)-(SUMIF(J66:J68,B62,D66:E68)/1000)+0.001,"")</f>
        <v>1.0009999999999999</v>
      </c>
      <c r="N62" s="20" t="str">
        <f>IF(B62="","",B62)</f>
        <v>SARA DE MELO ZANUNI</v>
      </c>
      <c r="O62" s="20">
        <f>IF(B62&lt;&gt;"",LARGE(M60:M62,3),"")</f>
        <v>-2E-3</v>
      </c>
      <c r="P62" s="20" t="str">
        <f>VLOOKUP(O62,M60:N62,2,0)</f>
        <v>MARÍLIA MIRANDA BRITO</v>
      </c>
    </row>
    <row r="63" spans="2:16" ht="18" customHeight="1" x14ac:dyDescent="0.25">
      <c r="B63" s="79"/>
      <c r="C63" s="79"/>
      <c r="D63" s="79"/>
      <c r="E63" s="79"/>
      <c r="F63" s="79"/>
      <c r="G63" s="79"/>
      <c r="I63" s="80"/>
      <c r="J63" s="79"/>
      <c r="K63" s="81"/>
      <c r="L63" s="81"/>
    </row>
    <row r="64" spans="2:16" ht="23.25" customHeight="1" x14ac:dyDescent="0.25">
      <c r="B64" s="82" t="s">
        <v>40</v>
      </c>
      <c r="C64" s="79"/>
      <c r="D64" s="79"/>
      <c r="E64" s="79"/>
      <c r="F64" s="79"/>
      <c r="G64" s="79"/>
      <c r="H64" s="79"/>
      <c r="I64" s="79"/>
      <c r="J64" s="79"/>
      <c r="K64" s="79"/>
      <c r="L64" s="79"/>
    </row>
    <row r="65" spans="2:16" ht="18" customHeight="1" x14ac:dyDescent="0.25">
      <c r="B65" s="9" t="s">
        <v>15</v>
      </c>
      <c r="C65" s="9" t="s">
        <v>0</v>
      </c>
      <c r="D65" s="228" t="s">
        <v>41</v>
      </c>
      <c r="E65" s="229"/>
      <c r="F65" s="229"/>
      <c r="G65" s="229"/>
      <c r="H65" s="229"/>
      <c r="I65" s="230"/>
      <c r="J65" s="9" t="s">
        <v>15</v>
      </c>
      <c r="K65" s="9" t="s">
        <v>0</v>
      </c>
      <c r="L65" s="79"/>
    </row>
    <row r="66" spans="2:16" ht="18" customHeight="1" x14ac:dyDescent="0.25">
      <c r="B66" s="15" t="str">
        <f>IF(H60=3,B60,"")</f>
        <v>LUIZA CRISTINA URTADO BRAZ</v>
      </c>
      <c r="C66" s="15" t="str">
        <f>IFERROR(IF(B66="","",VLOOKUP(B66,LISTAS!$F$5:$G$1004,2,0)),"0")</f>
        <v>COLÉGIO ARBOS SÃO CAETANO DO SUL</v>
      </c>
      <c r="D66" s="223">
        <v>2</v>
      </c>
      <c r="E66" s="224"/>
      <c r="F66" s="223" t="s">
        <v>38</v>
      </c>
      <c r="G66" s="224"/>
      <c r="H66" s="223">
        <v>0</v>
      </c>
      <c r="I66" s="224"/>
      <c r="J66" s="21" t="str">
        <f>IF(H60=3,B62,"")</f>
        <v>SARA DE MELO ZANUNI</v>
      </c>
      <c r="K66" s="15" t="str">
        <f>IFERROR(IF(J66="","",VLOOKUP(J66,LISTAS!$F$5:$G$1004,2,0)),"0")</f>
        <v>COLÉGIO ENGENHEIRO SALVADOR ARENA</v>
      </c>
      <c r="L66" s="81"/>
    </row>
    <row r="67" spans="2:16" ht="18" customHeight="1" x14ac:dyDescent="0.25">
      <c r="B67" s="15" t="str">
        <f>IF(H60=3,B61,"")</f>
        <v>MARÍLIA MIRANDA BRITO</v>
      </c>
      <c r="C67" s="15" t="str">
        <f>IFERROR(IF(B67="","",VLOOKUP(B67,LISTAS!$F$5:$G$1004,2,0)),"0")</f>
        <v>COLÉGIO ENGENHEIRO SALVADOR ARENA</v>
      </c>
      <c r="D67" s="223">
        <v>0</v>
      </c>
      <c r="E67" s="224"/>
      <c r="F67" s="223" t="s">
        <v>38</v>
      </c>
      <c r="G67" s="224"/>
      <c r="H67" s="223">
        <v>2</v>
      </c>
      <c r="I67" s="224"/>
      <c r="J67" s="21" t="str">
        <f>IF(H60=3,B62,"")</f>
        <v>SARA DE MELO ZANUNI</v>
      </c>
      <c r="K67" s="15" t="str">
        <f>IFERROR(IF(J67="","",VLOOKUP(J67,LISTAS!$F$5:$G$1004,2,0)),"0")</f>
        <v>COLÉGIO ENGENHEIRO SALVADOR ARENA</v>
      </c>
      <c r="L67" s="79"/>
    </row>
    <row r="68" spans="2:16" ht="18" customHeight="1" x14ac:dyDescent="0.25">
      <c r="B68" s="15" t="str">
        <f>IF(H60=3,B60,"")</f>
        <v>LUIZA CRISTINA URTADO BRAZ</v>
      </c>
      <c r="C68" s="15" t="str">
        <f>IFERROR(IF(B68="","",VLOOKUP(B68,LISTAS!$F$5:$G$1004,2,0)),"0")</f>
        <v>COLÉGIO ARBOS SÃO CAETANO DO SUL</v>
      </c>
      <c r="D68" s="223">
        <v>2</v>
      </c>
      <c r="E68" s="224"/>
      <c r="F68" s="223" t="s">
        <v>38</v>
      </c>
      <c r="G68" s="224"/>
      <c r="H68" s="223">
        <v>0</v>
      </c>
      <c r="I68" s="224"/>
      <c r="J68" s="21" t="str">
        <f>IF(H60=3,B61,"")</f>
        <v>MARÍLIA MIRANDA BRITO</v>
      </c>
      <c r="K68" s="15" t="str">
        <f>IFERROR(IF(J68="","",VLOOKUP(J68,LISTAS!$F$5:$G$1004,2,0)),"0")</f>
        <v>COLÉGIO ENGENHEIRO SALVADOR ARENA</v>
      </c>
      <c r="L68" s="81"/>
    </row>
    <row r="71" spans="2:16" ht="30" customHeight="1" x14ac:dyDescent="0.25">
      <c r="B71" s="161" t="s">
        <v>49</v>
      </c>
      <c r="C71" s="79"/>
      <c r="D71" s="225" t="s">
        <v>42</v>
      </c>
      <c r="E71" s="226"/>
      <c r="F71" s="226"/>
      <c r="G71" s="227"/>
      <c r="H71" s="113"/>
      <c r="I71" s="225" t="s">
        <v>3</v>
      </c>
      <c r="J71" s="226"/>
      <c r="K71" s="226"/>
      <c r="L71" s="226"/>
    </row>
    <row r="72" spans="2:16" ht="18" customHeight="1" x14ac:dyDescent="0.25">
      <c r="B72" s="9" t="s">
        <v>15</v>
      </c>
      <c r="C72" s="9" t="s">
        <v>0</v>
      </c>
      <c r="D72" s="9" t="s">
        <v>43</v>
      </c>
      <c r="E72" s="9" t="s">
        <v>44</v>
      </c>
      <c r="F72" s="9" t="s">
        <v>77</v>
      </c>
      <c r="G72" s="9" t="s">
        <v>78</v>
      </c>
      <c r="H72" s="114"/>
      <c r="I72" s="9" t="s">
        <v>18</v>
      </c>
      <c r="J72" s="9" t="s">
        <v>15</v>
      </c>
      <c r="K72" s="9" t="s">
        <v>0</v>
      </c>
      <c r="L72" s="9" t="s">
        <v>45</v>
      </c>
    </row>
    <row r="73" spans="2:16" ht="18" customHeight="1" x14ac:dyDescent="0.25">
      <c r="B73" s="15" t="s">
        <v>600</v>
      </c>
      <c r="C73" s="15" t="str">
        <f>IFERROR(IF(B73="","",VLOOKUP(B73,LISTAS!$F$5:$G$1004,2,0)),"0")</f>
        <v>COLÉGIO ENGENHEIRO SALVADOR ARENA</v>
      </c>
      <c r="D73" s="15" t="str">
        <f>IF(H73&lt;3,"",IF(H73=3,IF(D79&lt;&gt;"",IF(H79&lt;&gt;"",IF(D79&lt;&gt;H79,IF(D79&gt;H79,"V","D"),""),""),"")))</f>
        <v>D</v>
      </c>
      <c r="E73" s="15" t="str">
        <f>IF(H73&lt;3,"",IF(H73=3,IF(D81&lt;&gt;"",IF(H81&lt;&gt;"",IF(D81&lt;&gt;H81,IF(D81&gt;H81,"V","D"),""),""),"")))</f>
        <v>D</v>
      </c>
      <c r="F73" s="15" t="s">
        <v>81</v>
      </c>
      <c r="G73" s="15" t="s">
        <v>81</v>
      </c>
      <c r="H73" s="117">
        <f>COUNTA(B73:B75)</f>
        <v>3</v>
      </c>
      <c r="I73" s="15">
        <f>IF(B73&lt;&gt;"",1,"")</f>
        <v>1</v>
      </c>
      <c r="J73" s="15" t="str">
        <f>IF(I73&lt;&gt;"",P73,"")</f>
        <v>ERINA KIKUCHI</v>
      </c>
      <c r="K73" s="15" t="str">
        <f>IFERROR(IF(J73="","",VLOOKUP(J73,LISTAS!$F$5:$G$1004,2,0)),"0")</f>
        <v>LICEU JARDIM</v>
      </c>
      <c r="L73" s="119" t="str">
        <f>IF(H73=3,"OURO",IF(H73=4,"OURO",IF(H73=5,"OURO","")))</f>
        <v>OURO</v>
      </c>
      <c r="M73" s="20">
        <f>IF(B73&lt;&gt;"",COUNTIF(D73:G73,"V")+(SUMIF(B79:B81,B73,D79:E81)/1000)+(SUMIF(J79:J81,B73,H79:I81)/1000)-(SUMIF(B79:B81,B73,H79:I81)/1000)-(SUMIF(J79:J81,B73,D79:E81)/1000)+0.003,"")</f>
        <v>-1E-3</v>
      </c>
      <c r="N73" s="20" t="str">
        <f>IF(B73="","",B73)</f>
        <v>YASMIN DE SANTANA VERIDIANO</v>
      </c>
      <c r="O73" s="20">
        <f>IF(B73&lt;&gt;"",LARGE(M73:M75,1),"")</f>
        <v>2.0049999999999999</v>
      </c>
      <c r="P73" s="20" t="str">
        <f>VLOOKUP(O73,M73:N75,2,0)</f>
        <v>ERINA KIKUCHI</v>
      </c>
    </row>
    <row r="74" spans="2:16" ht="18" customHeight="1" x14ac:dyDescent="0.25">
      <c r="B74" s="15" t="s">
        <v>588</v>
      </c>
      <c r="C74" s="15" t="str">
        <f>IFERROR(IF(B74="","",VLOOKUP(B74,LISTAS!$F$5:$G$1004,2,0)),"0")</f>
        <v>COLÉGIO SÃO MAURO</v>
      </c>
      <c r="D74" s="15" t="str">
        <f>IF(H73&lt;3,"",IF(H73=3,IF(D80&lt;&gt;"",IF(H80&lt;&gt;"",IF(D80&lt;&gt;H80,IF(D80&gt;H80,"V","D"),""),""),"")))</f>
        <v>D</v>
      </c>
      <c r="E74" s="15" t="str">
        <f>IF(H73&lt;3,"",IF(H73=3,IF(D81&lt;&gt;"",IF(H81&lt;&gt;"",IF(D81&lt;&gt;H81,IF(D81&gt;H81,"D","V"),""),""),"")))</f>
        <v>V</v>
      </c>
      <c r="F74" s="15" t="s">
        <v>81</v>
      </c>
      <c r="G74" s="15" t="s">
        <v>81</v>
      </c>
      <c r="H74" s="115"/>
      <c r="I74" s="15">
        <f>IF(B74&lt;&gt;"",2,"")</f>
        <v>2</v>
      </c>
      <c r="J74" s="15" t="str">
        <f>IF(I74&lt;&gt;"",P74,"")</f>
        <v>MARIA ISABEL CHIRATA</v>
      </c>
      <c r="K74" s="15" t="str">
        <f>IFERROR(IF(J74="","",VLOOKUP(J74,LISTAS!$F$5:$G$1004,2,0)),"0")</f>
        <v>COLÉGIO SÃO MAURO</v>
      </c>
      <c r="L74" s="119" t="str">
        <f>IF(H73=3,"PRATA",IF(H73=4,"OURO",IF(H73=5,"OURO","")))</f>
        <v>PRATA</v>
      </c>
      <c r="M74" s="20">
        <f>IF(B74&lt;&gt;"",COUNTIF(D74:G74,"V")+(SUMIF(B79:B81,B74,D79:E81)/1000)+(SUMIF(J79:J81,B74,H79:I81)/1000)-(SUMIF(B79:B81,B74,H79:I81)/1000)-(SUMIF(J79:J81,B74,D79:E81)/1000)+0.002,"")</f>
        <v>1.002</v>
      </c>
      <c r="N74" s="20" t="str">
        <f t="shared" ref="N74" si="4">IF(B74="","",B74)</f>
        <v>MARIA ISABEL CHIRATA</v>
      </c>
      <c r="O74" s="20">
        <f>IF(B74&lt;&gt;"",LARGE(M73:M75,2),"")</f>
        <v>1.002</v>
      </c>
      <c r="P74" s="20" t="str">
        <f>VLOOKUP(O74,M73:N75,2,0)</f>
        <v>MARIA ISABEL CHIRATA</v>
      </c>
    </row>
    <row r="75" spans="2:16" ht="18" customHeight="1" x14ac:dyDescent="0.25">
      <c r="B75" s="15" t="s">
        <v>558</v>
      </c>
      <c r="C75" s="15" t="str">
        <f>IFERROR(IF(B75="","",VLOOKUP(B75,LISTAS!$F$5:$G$1004,2,0)),"0")</f>
        <v>LICEU JARDIM</v>
      </c>
      <c r="D75" s="15" t="str">
        <f>IF(H73&lt;3,"",IF(H73=3,IF(D79&lt;&gt;"",IF(H79&lt;&gt;"",IF(D79&lt;&gt;H79,IF(D79&gt;H79,"D","V"),""),""),"")))</f>
        <v>V</v>
      </c>
      <c r="E75" s="15" t="str">
        <f>IF(H73&lt;3,"",IF(H73=3,IF(D80&lt;&gt;"",IF(H80&lt;&gt;"",IF(D80&lt;&gt;H80,IF(D80&gt;H80,"D","V"),""),""),"")))</f>
        <v>V</v>
      </c>
      <c r="F75" s="15" t="s">
        <v>81</v>
      </c>
      <c r="G75" s="15" t="s">
        <v>81</v>
      </c>
      <c r="H75" s="115"/>
      <c r="I75" s="15">
        <f>IF(B75&lt;&gt;"",3,"")</f>
        <v>3</v>
      </c>
      <c r="J75" s="15" t="str">
        <f>IF(I75&lt;&gt;"",P75,"")</f>
        <v>YASMIN DE SANTANA VERIDIANO</v>
      </c>
      <c r="K75" s="15" t="str">
        <f>IFERROR(IF(J75="","",VLOOKUP(J75,LISTAS!$F$5:$G$1004,2,0)),"0")</f>
        <v>COLÉGIO ENGENHEIRO SALVADOR ARENA</v>
      </c>
      <c r="L75" s="119" t="str">
        <f>IF(H73=3,"BRONZE",IF(H73=4,"PRATA",IF(H73=5,"OURO","")))</f>
        <v>BRONZE</v>
      </c>
      <c r="M75" s="20">
        <f>IF(B75&lt;&gt;"",COUNTIF(D75:G75,"V")+(SUMIF(B79:B81,B75,D79:E81)/1000)+(SUMIF(J79:J81,B75,H79:I81)/1000)-(SUMIF(B79:B81,B75,H79:I81)/1000)-(SUMIF(J79:J81,B75,D79:E81)/1000)+0.001,"")</f>
        <v>2.0049999999999999</v>
      </c>
      <c r="N75" s="20" t="str">
        <f>IF(B75="","",B75)</f>
        <v>ERINA KIKUCHI</v>
      </c>
      <c r="O75" s="20">
        <f>IF(B75&lt;&gt;"",LARGE(M73:M75,3),"")</f>
        <v>-1E-3</v>
      </c>
      <c r="P75" s="20" t="str">
        <f>VLOOKUP(O75,M73:N75,2,0)</f>
        <v>YASMIN DE SANTANA VERIDIANO</v>
      </c>
    </row>
    <row r="76" spans="2:16" ht="18" customHeight="1" x14ac:dyDescent="0.25">
      <c r="B76" s="79"/>
      <c r="C76" s="79"/>
      <c r="D76" s="79"/>
      <c r="E76" s="79"/>
      <c r="F76" s="79"/>
      <c r="G76" s="79"/>
      <c r="I76" s="80"/>
      <c r="J76" s="79"/>
      <c r="K76" s="81"/>
      <c r="L76" s="81"/>
    </row>
    <row r="77" spans="2:16" ht="23.25" customHeight="1" x14ac:dyDescent="0.25">
      <c r="B77" s="82" t="s">
        <v>40</v>
      </c>
      <c r="C77" s="79"/>
      <c r="D77" s="79"/>
      <c r="E77" s="79"/>
      <c r="F77" s="79"/>
      <c r="G77" s="79"/>
      <c r="H77" s="79"/>
      <c r="I77" s="79"/>
      <c r="J77" s="79"/>
      <c r="K77" s="79"/>
      <c r="L77" s="79"/>
    </row>
    <row r="78" spans="2:16" ht="18" customHeight="1" x14ac:dyDescent="0.25">
      <c r="B78" s="9" t="s">
        <v>15</v>
      </c>
      <c r="C78" s="9" t="s">
        <v>0</v>
      </c>
      <c r="D78" s="228" t="s">
        <v>41</v>
      </c>
      <c r="E78" s="229"/>
      <c r="F78" s="229"/>
      <c r="G78" s="229"/>
      <c r="H78" s="229"/>
      <c r="I78" s="230"/>
      <c r="J78" s="9" t="s">
        <v>15</v>
      </c>
      <c r="K78" s="9" t="s">
        <v>0</v>
      </c>
      <c r="L78" s="79"/>
    </row>
    <row r="79" spans="2:16" ht="18" customHeight="1" x14ac:dyDescent="0.25">
      <c r="B79" s="15" t="str">
        <f>IF(H73=3,B73,"")</f>
        <v>YASMIN DE SANTANA VERIDIANO</v>
      </c>
      <c r="C79" s="15" t="str">
        <f>IFERROR(IF(B79="","",VLOOKUP(B79,LISTAS!$F$5:$G$1004,2,0)),"0")</f>
        <v>COLÉGIO ENGENHEIRO SALVADOR ARENA</v>
      </c>
      <c r="D79" s="223">
        <v>0</v>
      </c>
      <c r="E79" s="224"/>
      <c r="F79" s="223" t="s">
        <v>38</v>
      </c>
      <c r="G79" s="224"/>
      <c r="H79" s="223">
        <v>2</v>
      </c>
      <c r="I79" s="224"/>
      <c r="J79" s="21" t="str">
        <f>IF(H73=3,B75,"")</f>
        <v>ERINA KIKUCHI</v>
      </c>
      <c r="K79" s="15" t="str">
        <f>IFERROR(IF(J79="","",VLOOKUP(J79,LISTAS!$F$5:$G$1004,2,0)),"0")</f>
        <v>LICEU JARDIM</v>
      </c>
      <c r="L79" s="81"/>
    </row>
    <row r="80" spans="2:16" ht="18" customHeight="1" x14ac:dyDescent="0.25">
      <c r="B80" s="15" t="str">
        <f>IF(H73=3,B74,"")</f>
        <v>MARIA ISABEL CHIRATA</v>
      </c>
      <c r="C80" s="15" t="str">
        <f>IFERROR(IF(B80="","",VLOOKUP(B80,LISTAS!$F$5:$G$1004,2,0)),"0")</f>
        <v>COLÉGIO SÃO MAURO</v>
      </c>
      <c r="D80" s="223">
        <v>0</v>
      </c>
      <c r="E80" s="224"/>
      <c r="F80" s="223" t="s">
        <v>38</v>
      </c>
      <c r="G80" s="224"/>
      <c r="H80" s="223">
        <v>2</v>
      </c>
      <c r="I80" s="224"/>
      <c r="J80" s="21" t="str">
        <f>IF(H73=3,B75,"")</f>
        <v>ERINA KIKUCHI</v>
      </c>
      <c r="K80" s="15" t="str">
        <f>IFERROR(IF(J80="","",VLOOKUP(J80,LISTAS!$F$5:$G$1004,2,0)),"0")</f>
        <v>LICEU JARDIM</v>
      </c>
      <c r="L80" s="79"/>
    </row>
    <row r="81" spans="2:16" ht="18" customHeight="1" x14ac:dyDescent="0.25">
      <c r="B81" s="15" t="str">
        <f>IF(H73=3,B73,"")</f>
        <v>YASMIN DE SANTANA VERIDIANO</v>
      </c>
      <c r="C81" s="15" t="str">
        <f>IFERROR(IF(B81="","",VLOOKUP(B81,LISTAS!$F$5:$G$1004,2,0)),"0")</f>
        <v>COLÉGIO ENGENHEIRO SALVADOR ARENA</v>
      </c>
      <c r="D81" s="223">
        <v>0</v>
      </c>
      <c r="E81" s="224"/>
      <c r="F81" s="223" t="s">
        <v>38</v>
      </c>
      <c r="G81" s="224"/>
      <c r="H81" s="223">
        <v>2</v>
      </c>
      <c r="I81" s="224"/>
      <c r="J81" s="21" t="str">
        <f>IF(H73=3,B74,"")</f>
        <v>MARIA ISABEL CHIRATA</v>
      </c>
      <c r="K81" s="15" t="str">
        <f>IFERROR(IF(J81="","",VLOOKUP(J81,LISTAS!$F$5:$G$1004,2,0)),"0")</f>
        <v>COLÉGIO SÃO MAURO</v>
      </c>
      <c r="L81" s="81"/>
    </row>
    <row r="84" spans="2:16" ht="30" customHeight="1" x14ac:dyDescent="0.25">
      <c r="B84" s="161" t="s">
        <v>50</v>
      </c>
      <c r="C84" s="79"/>
      <c r="D84" s="225" t="s">
        <v>42</v>
      </c>
      <c r="E84" s="226"/>
      <c r="F84" s="226"/>
      <c r="G84" s="227"/>
      <c r="H84" s="113"/>
      <c r="I84" s="225" t="s">
        <v>3</v>
      </c>
      <c r="J84" s="226"/>
      <c r="K84" s="226"/>
      <c r="L84" s="226"/>
    </row>
    <row r="85" spans="2:16" ht="18" customHeight="1" x14ac:dyDescent="0.25">
      <c r="B85" s="9" t="s">
        <v>15</v>
      </c>
      <c r="C85" s="9" t="s">
        <v>0</v>
      </c>
      <c r="D85" s="9" t="s">
        <v>43</v>
      </c>
      <c r="E85" s="9" t="s">
        <v>44</v>
      </c>
      <c r="F85" s="9" t="s">
        <v>77</v>
      </c>
      <c r="G85" s="9" t="s">
        <v>78</v>
      </c>
      <c r="H85" s="114"/>
      <c r="I85" s="9" t="s">
        <v>18</v>
      </c>
      <c r="J85" s="9" t="s">
        <v>15</v>
      </c>
      <c r="K85" s="9" t="s">
        <v>0</v>
      </c>
      <c r="L85" s="9" t="s">
        <v>45</v>
      </c>
    </row>
    <row r="86" spans="2:16" ht="18" customHeight="1" x14ac:dyDescent="0.25">
      <c r="B86" s="15"/>
      <c r="C86" s="15" t="str">
        <f>IFERROR(IF(B86="","",VLOOKUP(B86,LISTAS!$F$5:$G$1004,2,0)),"0")</f>
        <v/>
      </c>
      <c r="D86" s="15" t="str">
        <f>IF(H86&lt;3,"",IF(H86=3,IF(D92&lt;&gt;"",IF(H92&lt;&gt;"",IF(D92&lt;&gt;H92,IF(D92&gt;H92,"V","D"),""),""),"")))</f>
        <v/>
      </c>
      <c r="E86" s="15" t="str">
        <f>IF(H86&lt;3,"",IF(H86=3,IF(D94&lt;&gt;"",IF(H94&lt;&gt;"",IF(D94&lt;&gt;H94,IF(D94&gt;H94,"V","D"),""),""),"")))</f>
        <v/>
      </c>
      <c r="F86" s="15" t="s">
        <v>81</v>
      </c>
      <c r="G86" s="15" t="s">
        <v>81</v>
      </c>
      <c r="H86" s="117">
        <f>COUNTA(B86:B88)</f>
        <v>0</v>
      </c>
      <c r="I86" s="15" t="str">
        <f>IF(B86&lt;&gt;"",1,"")</f>
        <v/>
      </c>
      <c r="J86" s="15" t="str">
        <f>IF(I86&lt;&gt;"",P86,"")</f>
        <v/>
      </c>
      <c r="K86" s="15" t="str">
        <f>IFERROR(IF(J86="","",VLOOKUP(J86,LISTAS!$F$5:$G$1004,2,0)),"0")</f>
        <v/>
      </c>
      <c r="L86" s="119" t="str">
        <f>IF(H86=3,"OURO",IF(H86=4,"OURO",IF(H86=5,"OURO","")))</f>
        <v/>
      </c>
      <c r="M86" s="20" t="str">
        <f>IF(B86&lt;&gt;"",COUNTIF(D86:G86,"V")+(SUMIF(B92:B94,B86,D92:E94)/1000)+(SUMIF(J92:J94,B86,H92:I94)/1000)-(SUMIF(B92:B94,B86,H92:I94)/1000)-(SUMIF(J92:J94,B86,D92:E94)/1000)+0.003,"")</f>
        <v/>
      </c>
      <c r="N86" s="20" t="str">
        <f>IF(B86="","",B86)</f>
        <v/>
      </c>
      <c r="O86" s="20" t="str">
        <f>IF(B86&lt;&gt;"",LARGE(M86:M88,1),"")</f>
        <v/>
      </c>
      <c r="P86" s="20" t="str">
        <f>VLOOKUP(O86,M86:N88,2,0)</f>
        <v/>
      </c>
    </row>
    <row r="87" spans="2:16" ht="18" customHeight="1" x14ac:dyDescent="0.25">
      <c r="B87" s="15"/>
      <c r="C87" s="15" t="str">
        <f>IFERROR(IF(B87="","",VLOOKUP(B87,LISTAS!$F$5:$G$1004,2,0)),"0")</f>
        <v/>
      </c>
      <c r="D87" s="15" t="str">
        <f>IF(H86&lt;3,"",IF(H86=3,IF(D93&lt;&gt;"",IF(H93&lt;&gt;"",IF(D93&lt;&gt;H93,IF(D93&gt;H93,"V","D"),""),""),"")))</f>
        <v/>
      </c>
      <c r="E87" s="15" t="str">
        <f>IF(H86&lt;3,"",IF(H86=3,IF(D94&lt;&gt;"",IF(H94&lt;&gt;"",IF(D94&lt;&gt;H94,IF(D94&gt;H94,"D","V"),""),""),"")))</f>
        <v/>
      </c>
      <c r="F87" s="15" t="s">
        <v>81</v>
      </c>
      <c r="G87" s="15" t="s">
        <v>81</v>
      </c>
      <c r="H87" s="115"/>
      <c r="I87" s="15" t="str">
        <f>IF(B87&lt;&gt;"",2,"")</f>
        <v/>
      </c>
      <c r="J87" s="15" t="str">
        <f>IF(I87&lt;&gt;"",P87,"")</f>
        <v/>
      </c>
      <c r="K87" s="15" t="str">
        <f>IFERROR(IF(J87="","",VLOOKUP(J87,LISTAS!$F$5:$G$1004,2,0)),"0")</f>
        <v/>
      </c>
      <c r="L87" s="119" t="str">
        <f>IF(H86=3,"PRATA",IF(H86=4,"OURO",IF(H86=5,"OURO","")))</f>
        <v/>
      </c>
      <c r="M87" s="20" t="str">
        <f>IF(B87&lt;&gt;"",COUNTIF(D87:G87,"V")+(SUMIF(B92:B94,B87,D92:E94)/1000)+(SUMIF(J92:J94,B87,H92:I94)/1000)-(SUMIF(B92:B94,B87,H92:I94)/1000)-(SUMIF(J92:J94,B87,D92:E94)/1000)+0.002,"")</f>
        <v/>
      </c>
      <c r="N87" s="20" t="str">
        <f t="shared" ref="N87" si="5">IF(B87="","",B87)</f>
        <v/>
      </c>
      <c r="O87" s="20" t="str">
        <f>IF(B87&lt;&gt;"",LARGE(M86:M88,2),"")</f>
        <v/>
      </c>
      <c r="P87" s="20" t="str">
        <f>VLOOKUP(O87,M86:N88,2,0)</f>
        <v/>
      </c>
    </row>
    <row r="88" spans="2:16" ht="18" customHeight="1" x14ac:dyDescent="0.25">
      <c r="B88" s="15"/>
      <c r="C88" s="15" t="str">
        <f>IFERROR(IF(B88="","",VLOOKUP(B88,LISTAS!$F$5:$G$1004,2,0)),"0")</f>
        <v/>
      </c>
      <c r="D88" s="15" t="str">
        <f>IF(H86&lt;3,"",IF(H86=3,IF(D92&lt;&gt;"",IF(H92&lt;&gt;"",IF(D92&lt;&gt;H92,IF(D92&gt;H92,"D","V"),""),""),"")))</f>
        <v/>
      </c>
      <c r="E88" s="15" t="str">
        <f>IF(H86&lt;3,"",IF(H86=3,IF(D93&lt;&gt;"",IF(H93&lt;&gt;"",IF(D93&lt;&gt;H93,IF(D93&gt;H93,"D","V"),""),""),"")))</f>
        <v/>
      </c>
      <c r="F88" s="15" t="s">
        <v>81</v>
      </c>
      <c r="G88" s="15" t="s">
        <v>81</v>
      </c>
      <c r="H88" s="115"/>
      <c r="I88" s="15" t="str">
        <f>IF(B88&lt;&gt;"",3,"")</f>
        <v/>
      </c>
      <c r="J88" s="15" t="str">
        <f>IF(I88&lt;&gt;"",P88,"")</f>
        <v/>
      </c>
      <c r="K88" s="15" t="str">
        <f>IFERROR(IF(J88="","",VLOOKUP(J88,LISTAS!$F$5:$G$1004,2,0)),"0")</f>
        <v/>
      </c>
      <c r="L88" s="119" t="str">
        <f>IF(H86=3,"BRONZE",IF(H86=4,"PRATA",IF(H86=5,"OURO","")))</f>
        <v/>
      </c>
      <c r="M88" s="20" t="str">
        <f>IF(B88&lt;&gt;"",COUNTIF(D88:G88,"V")+(SUMIF(B92:B94,B88,D92:E94)/1000)+(SUMIF(J92:J94,B88,H92:I94)/1000)-(SUMIF(B92:B94,B88,H92:I94)/1000)-(SUMIF(J92:J94,B88,D92:E94)/1000)+0.001,"")</f>
        <v/>
      </c>
      <c r="N88" s="20" t="str">
        <f>IF(B88="","",B88)</f>
        <v/>
      </c>
      <c r="O88" s="20" t="str">
        <f>IF(B88&lt;&gt;"",LARGE(M86:M88,3),"")</f>
        <v/>
      </c>
      <c r="P88" s="20" t="str">
        <f>VLOOKUP(O88,M86:N88,2,0)</f>
        <v/>
      </c>
    </row>
    <row r="89" spans="2:16" ht="18" customHeight="1" x14ac:dyDescent="0.25">
      <c r="B89" s="79"/>
      <c r="C89" s="79"/>
      <c r="D89" s="79"/>
      <c r="E89" s="79"/>
      <c r="F89" s="79"/>
      <c r="G89" s="79"/>
      <c r="I89" s="80"/>
      <c r="J89" s="79"/>
      <c r="K89" s="81"/>
      <c r="L89" s="81"/>
    </row>
    <row r="90" spans="2:16" ht="23.25" customHeight="1" x14ac:dyDescent="0.25">
      <c r="B90" s="82" t="s">
        <v>40</v>
      </c>
      <c r="C90" s="79"/>
      <c r="D90" s="79"/>
      <c r="E90" s="79"/>
      <c r="F90" s="79"/>
      <c r="G90" s="79"/>
      <c r="H90" s="79"/>
      <c r="I90" s="79"/>
      <c r="J90" s="79"/>
      <c r="K90" s="79"/>
      <c r="L90" s="79"/>
    </row>
    <row r="91" spans="2:16" ht="18" customHeight="1" x14ac:dyDescent="0.25">
      <c r="B91" s="9" t="s">
        <v>15</v>
      </c>
      <c r="C91" s="9" t="s">
        <v>0</v>
      </c>
      <c r="D91" s="228" t="s">
        <v>41</v>
      </c>
      <c r="E91" s="229"/>
      <c r="F91" s="229"/>
      <c r="G91" s="229"/>
      <c r="H91" s="229"/>
      <c r="I91" s="230"/>
      <c r="J91" s="9" t="s">
        <v>15</v>
      </c>
      <c r="K91" s="9" t="s">
        <v>0</v>
      </c>
      <c r="L91" s="79"/>
    </row>
    <row r="92" spans="2:16" ht="18" customHeight="1" x14ac:dyDescent="0.25">
      <c r="B92" s="15" t="str">
        <f>IF(H86=3,B86,"")</f>
        <v/>
      </c>
      <c r="C92" s="15" t="str">
        <f>IFERROR(IF(B92="","",VLOOKUP(B92,LISTAS!$F$5:$G$1004,2,0)),"0")</f>
        <v/>
      </c>
      <c r="D92" s="223"/>
      <c r="E92" s="224"/>
      <c r="F92" s="223" t="s">
        <v>38</v>
      </c>
      <c r="G92" s="224"/>
      <c r="H92" s="223"/>
      <c r="I92" s="224"/>
      <c r="J92" s="21" t="str">
        <f>IF(H86=3,B88,"")</f>
        <v/>
      </c>
      <c r="K92" s="15" t="str">
        <f>IFERROR(IF(J92="","",VLOOKUP(J92,LISTAS!$F$5:$G$1004,2,0)),"0")</f>
        <v/>
      </c>
      <c r="L92" s="81"/>
    </row>
    <row r="93" spans="2:16" ht="18" customHeight="1" x14ac:dyDescent="0.25">
      <c r="B93" s="15" t="str">
        <f>IF(H86=3,B87,"")</f>
        <v/>
      </c>
      <c r="C93" s="15" t="str">
        <f>IFERROR(IF(B93="","",VLOOKUP(B93,LISTAS!$F$5:$G$1004,2,0)),"0")</f>
        <v/>
      </c>
      <c r="D93" s="223"/>
      <c r="E93" s="224"/>
      <c r="F93" s="223" t="s">
        <v>38</v>
      </c>
      <c r="G93" s="224"/>
      <c r="H93" s="223"/>
      <c r="I93" s="224"/>
      <c r="J93" s="21" t="str">
        <f>IF(H86=3,B88,"")</f>
        <v/>
      </c>
      <c r="K93" s="15" t="str">
        <f>IFERROR(IF(J93="","",VLOOKUP(J93,LISTAS!$F$5:$G$1004,2,0)),"0")</f>
        <v/>
      </c>
      <c r="L93" s="79"/>
    </row>
    <row r="94" spans="2:16" ht="18" customHeight="1" x14ac:dyDescent="0.25">
      <c r="B94" s="15" t="str">
        <f>IF(H86=3,B86,"")</f>
        <v/>
      </c>
      <c r="C94" s="15" t="str">
        <f>IFERROR(IF(B94="","",VLOOKUP(B94,LISTAS!$F$5:$G$1004,2,0)),"0")</f>
        <v/>
      </c>
      <c r="D94" s="223"/>
      <c r="E94" s="224"/>
      <c r="F94" s="223" t="s">
        <v>38</v>
      </c>
      <c r="G94" s="224"/>
      <c r="H94" s="223"/>
      <c r="I94" s="224"/>
      <c r="J94" s="21" t="str">
        <f>IF(H86=3,B87,"")</f>
        <v/>
      </c>
      <c r="K94" s="15" t="str">
        <f>IFERROR(IF(J94="","",VLOOKUP(J94,LISTAS!$F$5:$G$1004,2,0)),"0")</f>
        <v/>
      </c>
      <c r="L94" s="81"/>
    </row>
    <row r="97" spans="2:16" ht="30" customHeight="1" x14ac:dyDescent="0.25">
      <c r="B97" s="161" t="s">
        <v>51</v>
      </c>
      <c r="C97" s="79"/>
      <c r="D97" s="225" t="s">
        <v>42</v>
      </c>
      <c r="E97" s="226"/>
      <c r="F97" s="226"/>
      <c r="G97" s="227"/>
      <c r="H97" s="113"/>
      <c r="I97" s="225" t="s">
        <v>3</v>
      </c>
      <c r="J97" s="226"/>
      <c r="K97" s="226"/>
      <c r="L97" s="226"/>
    </row>
    <row r="98" spans="2:16" ht="18" customHeight="1" x14ac:dyDescent="0.25">
      <c r="B98" s="9" t="s">
        <v>15</v>
      </c>
      <c r="C98" s="9" t="s">
        <v>0</v>
      </c>
      <c r="D98" s="9" t="s">
        <v>43</v>
      </c>
      <c r="E98" s="9" t="s">
        <v>44</v>
      </c>
      <c r="F98" s="9" t="s">
        <v>77</v>
      </c>
      <c r="G98" s="9" t="s">
        <v>78</v>
      </c>
      <c r="H98" s="114"/>
      <c r="I98" s="9" t="s">
        <v>18</v>
      </c>
      <c r="J98" s="9" t="s">
        <v>15</v>
      </c>
      <c r="K98" s="9" t="s">
        <v>0</v>
      </c>
      <c r="L98" s="9" t="s">
        <v>45</v>
      </c>
    </row>
    <row r="99" spans="2:16" ht="18" customHeight="1" x14ac:dyDescent="0.25">
      <c r="B99" s="15"/>
      <c r="C99" s="15" t="str">
        <f>IFERROR(IF(B99="","",VLOOKUP(B99,LISTAS!$F$5:$G$1004,2,0)),"0")</f>
        <v/>
      </c>
      <c r="D99" s="15" t="str">
        <f>IF(H99&lt;3,"",IF(H99=3,IF(D105&lt;&gt;"",IF(H105&lt;&gt;"",IF(D105&lt;&gt;H105,IF(D105&gt;H105,"V","D"),""),""),"")))</f>
        <v/>
      </c>
      <c r="E99" s="15" t="str">
        <f>IF(H99&lt;3,"",IF(H99=3,IF(D107&lt;&gt;"",IF(H107&lt;&gt;"",IF(D107&lt;&gt;H107,IF(D107&gt;H107,"V","D"),""),""),"")))</f>
        <v/>
      </c>
      <c r="F99" s="15" t="s">
        <v>81</v>
      </c>
      <c r="G99" s="15" t="s">
        <v>81</v>
      </c>
      <c r="H99" s="117">
        <f>COUNTA(B99:B101)</f>
        <v>0</v>
      </c>
      <c r="I99" s="15" t="str">
        <f>IF(B99&lt;&gt;"",1,"")</f>
        <v/>
      </c>
      <c r="J99" s="15" t="str">
        <f>IF(I99&lt;&gt;"",P99,"")</f>
        <v/>
      </c>
      <c r="K99" s="15" t="str">
        <f>IFERROR(IF(J99="","",VLOOKUP(J99,LISTAS!$F$5:$G$1004,2,0)),"0")</f>
        <v/>
      </c>
      <c r="L99" s="119" t="str">
        <f>IF(H99=3,"OURO",IF(H99=4,"OURO",IF(H99=5,"OURO","")))</f>
        <v/>
      </c>
      <c r="M99" s="20" t="str">
        <f>IF(B99&lt;&gt;"",COUNTIF(D99:G99,"V")+(SUMIF(B105:B107,B99,D105:E107)/1000)+(SUMIF(J105:J107,B99,H105:I107)/1000)-(SUMIF(B105:B107,B99,H105:I107)/1000)-(SUMIF(J105:J107,B99,D105:E107)/1000)+0.003,"")</f>
        <v/>
      </c>
      <c r="N99" s="20" t="str">
        <f>IF(B99="","",B99)</f>
        <v/>
      </c>
      <c r="O99" s="20" t="str">
        <f>IF(B99&lt;&gt;"",LARGE(M99:M101,1),"")</f>
        <v/>
      </c>
      <c r="P99" s="20" t="str">
        <f>VLOOKUP(O99,M99:N101,2,0)</f>
        <v/>
      </c>
    </row>
    <row r="100" spans="2:16" ht="18" customHeight="1" x14ac:dyDescent="0.25">
      <c r="B100" s="15"/>
      <c r="C100" s="15" t="str">
        <f>IFERROR(IF(B100="","",VLOOKUP(B100,LISTAS!$F$5:$G$1004,2,0)),"0")</f>
        <v/>
      </c>
      <c r="D100" s="15" t="str">
        <f>IF(H99&lt;3,"",IF(H99=3,IF(D106&lt;&gt;"",IF(H106&lt;&gt;"",IF(D106&lt;&gt;H106,IF(D106&gt;H106,"V","D"),""),""),"")))</f>
        <v/>
      </c>
      <c r="E100" s="15" t="str">
        <f>IF(H99&lt;3,"",IF(H99=3,IF(D107&lt;&gt;"",IF(H107&lt;&gt;"",IF(D107&lt;&gt;H107,IF(D107&gt;H107,"D","V"),""),""),"")))</f>
        <v/>
      </c>
      <c r="F100" s="15" t="s">
        <v>81</v>
      </c>
      <c r="G100" s="15" t="s">
        <v>81</v>
      </c>
      <c r="H100" s="115"/>
      <c r="I100" s="15" t="str">
        <f>IF(B100&lt;&gt;"",2,"")</f>
        <v/>
      </c>
      <c r="J100" s="15" t="str">
        <f>IF(I100&lt;&gt;"",P100,"")</f>
        <v/>
      </c>
      <c r="K100" s="15" t="str">
        <f>IFERROR(IF(J100="","",VLOOKUP(J100,LISTAS!$F$5:$G$1004,2,0)),"0")</f>
        <v/>
      </c>
      <c r="L100" s="119" t="str">
        <f>IF(H99=3,"PRATA",IF(H99=4,"OURO",IF(H99=5,"OURO","")))</f>
        <v/>
      </c>
      <c r="M100" s="20" t="str">
        <f>IF(B100&lt;&gt;"",COUNTIF(D100:G100,"V")+(SUMIF(B105:B107,B100,D105:E107)/1000)+(SUMIF(J105:J107,B100,H105:I107)/1000)-(SUMIF(B105:B107,B100,H105:I107)/1000)-(SUMIF(J105:J107,B100,D105:E107)/1000)+0.002,"")</f>
        <v/>
      </c>
      <c r="N100" s="20" t="str">
        <f t="shared" ref="N100" si="6">IF(B100="","",B100)</f>
        <v/>
      </c>
      <c r="O100" s="20" t="str">
        <f>IF(B100&lt;&gt;"",LARGE(M99:M101,2),"")</f>
        <v/>
      </c>
      <c r="P100" s="20" t="str">
        <f>VLOOKUP(O100,M99:N101,2,0)</f>
        <v/>
      </c>
    </row>
    <row r="101" spans="2:16" ht="18" customHeight="1" x14ac:dyDescent="0.25">
      <c r="B101" s="15"/>
      <c r="C101" s="15" t="str">
        <f>IFERROR(IF(B101="","",VLOOKUP(B101,LISTAS!$F$5:$G$1004,2,0)),"0")</f>
        <v/>
      </c>
      <c r="D101" s="15" t="str">
        <f>IF(H99&lt;3,"",IF(H99=3,IF(D105&lt;&gt;"",IF(H105&lt;&gt;"",IF(D105&lt;&gt;H105,IF(D105&gt;H105,"D","V"),""),""),"")))</f>
        <v/>
      </c>
      <c r="E101" s="15" t="str">
        <f>IF(H99&lt;3,"",IF(H99=3,IF(D106&lt;&gt;"",IF(H106&lt;&gt;"",IF(D106&lt;&gt;H106,IF(D106&gt;H106,"D","V"),""),""),"")))</f>
        <v/>
      </c>
      <c r="F101" s="15" t="s">
        <v>81</v>
      </c>
      <c r="G101" s="15" t="s">
        <v>81</v>
      </c>
      <c r="H101" s="115"/>
      <c r="I101" s="15" t="str">
        <f>IF(B101&lt;&gt;"",3,"")</f>
        <v/>
      </c>
      <c r="J101" s="15" t="str">
        <f>IF(I101&lt;&gt;"",P101,"")</f>
        <v/>
      </c>
      <c r="K101" s="15" t="str">
        <f>IFERROR(IF(J101="","",VLOOKUP(J101,LISTAS!$F$5:$G$1004,2,0)),"0")</f>
        <v/>
      </c>
      <c r="L101" s="119" t="str">
        <f>IF(H99=3,"BRONZE",IF(H99=4,"PRATA",IF(H99=5,"OURO","")))</f>
        <v/>
      </c>
      <c r="M101" s="20" t="str">
        <f>IF(B101&lt;&gt;"",COUNTIF(D101:G101,"V")+(SUMIF(B105:B107,B101,D105:E107)/1000)+(SUMIF(J105:J107,B101,H105:I107)/1000)-(SUMIF(B105:B107,B101,H105:I107)/1000)-(SUMIF(J105:J107,B101,D105:E107)/1000)+0.001,"")</f>
        <v/>
      </c>
      <c r="N101" s="20" t="str">
        <f>IF(B101="","",B101)</f>
        <v/>
      </c>
      <c r="O101" s="20" t="str">
        <f>IF(B101&lt;&gt;"",LARGE(M99:M101,3),"")</f>
        <v/>
      </c>
      <c r="P101" s="20" t="str">
        <f>VLOOKUP(O101,M99:N101,2,0)</f>
        <v/>
      </c>
    </row>
    <row r="102" spans="2:16" ht="18" customHeight="1" x14ac:dyDescent="0.25">
      <c r="B102" s="79"/>
      <c r="C102" s="79"/>
      <c r="D102" s="79"/>
      <c r="E102" s="79"/>
      <c r="F102" s="79"/>
      <c r="G102" s="79"/>
      <c r="I102" s="80"/>
      <c r="J102" s="79"/>
      <c r="K102" s="81"/>
      <c r="L102" s="81"/>
    </row>
    <row r="103" spans="2:16" ht="23.25" customHeight="1" x14ac:dyDescent="0.25">
      <c r="B103" s="82" t="s">
        <v>40</v>
      </c>
      <c r="C103" s="79"/>
      <c r="D103" s="79"/>
      <c r="E103" s="79"/>
      <c r="F103" s="79"/>
      <c r="G103" s="79"/>
      <c r="H103" s="79"/>
      <c r="I103" s="79"/>
      <c r="J103" s="79"/>
      <c r="K103" s="79"/>
      <c r="L103" s="79"/>
    </row>
    <row r="104" spans="2:16" ht="18" customHeight="1" x14ac:dyDescent="0.25">
      <c r="B104" s="9" t="s">
        <v>15</v>
      </c>
      <c r="C104" s="9" t="s">
        <v>0</v>
      </c>
      <c r="D104" s="228" t="s">
        <v>41</v>
      </c>
      <c r="E104" s="229"/>
      <c r="F104" s="229"/>
      <c r="G104" s="229"/>
      <c r="H104" s="229"/>
      <c r="I104" s="230"/>
      <c r="J104" s="9" t="s">
        <v>15</v>
      </c>
      <c r="K104" s="9" t="s">
        <v>0</v>
      </c>
      <c r="L104" s="79"/>
    </row>
    <row r="105" spans="2:16" ht="18" customHeight="1" x14ac:dyDescent="0.25">
      <c r="B105" s="15" t="str">
        <f>IF(H99=3,B99,"")</f>
        <v/>
      </c>
      <c r="C105" s="15" t="str">
        <f>IFERROR(IF(B105="","",VLOOKUP(B105,LISTAS!$F$5:$G$1004,2,0)),"0")</f>
        <v/>
      </c>
      <c r="D105" s="223"/>
      <c r="E105" s="224"/>
      <c r="F105" s="223" t="s">
        <v>38</v>
      </c>
      <c r="G105" s="224"/>
      <c r="H105" s="223"/>
      <c r="I105" s="224"/>
      <c r="J105" s="21" t="str">
        <f>IF(H99=3,B101,"")</f>
        <v/>
      </c>
      <c r="K105" s="15" t="str">
        <f>IFERROR(IF(J105="","",VLOOKUP(J105,LISTAS!$F$5:$G$1004,2,0)),"0")</f>
        <v/>
      </c>
      <c r="L105" s="81"/>
    </row>
    <row r="106" spans="2:16" ht="18" customHeight="1" x14ac:dyDescent="0.25">
      <c r="B106" s="15" t="str">
        <f>IF(H99=3,B100,"")</f>
        <v/>
      </c>
      <c r="C106" s="15" t="str">
        <f>IFERROR(IF(B106="","",VLOOKUP(B106,LISTAS!$F$5:$G$1004,2,0)),"0")</f>
        <v/>
      </c>
      <c r="D106" s="223"/>
      <c r="E106" s="224"/>
      <c r="F106" s="223" t="s">
        <v>38</v>
      </c>
      <c r="G106" s="224"/>
      <c r="H106" s="223"/>
      <c r="I106" s="224"/>
      <c r="J106" s="21" t="str">
        <f>IF(H99=3,B101,"")</f>
        <v/>
      </c>
      <c r="K106" s="15" t="str">
        <f>IFERROR(IF(J106="","",VLOOKUP(J106,LISTAS!$F$5:$G$1004,2,0)),"0")</f>
        <v/>
      </c>
      <c r="L106" s="79"/>
    </row>
    <row r="107" spans="2:16" ht="18" customHeight="1" x14ac:dyDescent="0.25">
      <c r="B107" s="15" t="str">
        <f>IF(H99=3,B99,"")</f>
        <v/>
      </c>
      <c r="C107" s="15" t="str">
        <f>IFERROR(IF(B107="","",VLOOKUP(B107,LISTAS!$F$5:$G$1004,2,0)),"0")</f>
        <v/>
      </c>
      <c r="D107" s="223"/>
      <c r="E107" s="224"/>
      <c r="F107" s="223" t="s">
        <v>38</v>
      </c>
      <c r="G107" s="224"/>
      <c r="H107" s="223"/>
      <c r="I107" s="224"/>
      <c r="J107" s="21" t="str">
        <f>IF(H99=3,B100,"")</f>
        <v/>
      </c>
      <c r="K107" s="15" t="str">
        <f>IFERROR(IF(J107="","",VLOOKUP(J107,LISTAS!$F$5:$G$1004,2,0)),"0")</f>
        <v/>
      </c>
      <c r="L107" s="81"/>
    </row>
    <row r="110" spans="2:16" ht="30" customHeight="1" x14ac:dyDescent="0.25">
      <c r="B110" s="161" t="s">
        <v>52</v>
      </c>
      <c r="C110" s="79"/>
      <c r="D110" s="225" t="s">
        <v>42</v>
      </c>
      <c r="E110" s="226"/>
      <c r="F110" s="226"/>
      <c r="G110" s="227"/>
      <c r="H110" s="113"/>
      <c r="I110" s="225" t="s">
        <v>3</v>
      </c>
      <c r="J110" s="226"/>
      <c r="K110" s="226"/>
      <c r="L110" s="226"/>
    </row>
    <row r="111" spans="2:16" ht="18" customHeight="1" x14ac:dyDescent="0.25">
      <c r="B111" s="9" t="s">
        <v>15</v>
      </c>
      <c r="C111" s="9" t="s">
        <v>0</v>
      </c>
      <c r="D111" s="9" t="s">
        <v>43</v>
      </c>
      <c r="E111" s="9" t="s">
        <v>44</v>
      </c>
      <c r="F111" s="9" t="s">
        <v>77</v>
      </c>
      <c r="G111" s="9" t="s">
        <v>78</v>
      </c>
      <c r="H111" s="114"/>
      <c r="I111" s="9" t="s">
        <v>18</v>
      </c>
      <c r="J111" s="9" t="s">
        <v>15</v>
      </c>
      <c r="K111" s="9" t="s">
        <v>0</v>
      </c>
      <c r="L111" s="9" t="s">
        <v>45</v>
      </c>
    </row>
    <row r="112" spans="2:16" ht="18" customHeight="1" x14ac:dyDescent="0.25">
      <c r="B112" s="15"/>
      <c r="C112" s="15" t="str">
        <f>IFERROR(IF(B112="","",VLOOKUP(B112,LISTAS!$F$5:$G$1004,2,0)),"0")</f>
        <v/>
      </c>
      <c r="D112" s="15" t="str">
        <f>IF(H112&lt;3,"",IF(H112=3,IF(D118&lt;&gt;"",IF(H118&lt;&gt;"",IF(D118&lt;&gt;H118,IF(D118&gt;H118,"V","D"),""),""),"")))</f>
        <v/>
      </c>
      <c r="E112" s="15" t="str">
        <f>IF(H112&lt;3,"",IF(H112=3,IF(D120&lt;&gt;"",IF(H120&lt;&gt;"",IF(D120&lt;&gt;H120,IF(D120&gt;H120,"V","D"),""),""),"")))</f>
        <v/>
      </c>
      <c r="F112" s="15" t="s">
        <v>81</v>
      </c>
      <c r="G112" s="15" t="s">
        <v>81</v>
      </c>
      <c r="H112" s="117">
        <f>COUNTA(B112:B114)</f>
        <v>0</v>
      </c>
      <c r="I112" s="15" t="str">
        <f>IF(B112&lt;&gt;"",1,"")</f>
        <v/>
      </c>
      <c r="J112" s="15" t="str">
        <f>IF(I112&lt;&gt;"",P112,"")</f>
        <v/>
      </c>
      <c r="K112" s="15" t="str">
        <f>IFERROR(IF(J112="","",VLOOKUP(J112,LISTAS!$F$5:$G$1004,2,0)),"0")</f>
        <v/>
      </c>
      <c r="L112" s="119" t="str">
        <f>IF(H112=3,"OURO",IF(H112=4,"OURO",IF(H112=5,"OURO","")))</f>
        <v/>
      </c>
      <c r="M112" s="20" t="str">
        <f>IF(B112&lt;&gt;"",COUNTIF(D112:G112,"V")+(SUMIF(B118:B120,B112,D118:E120)/1000)+(SUMIF(J118:J120,B112,H118:I120)/1000)-(SUMIF(B118:B120,B112,H118:I120)/1000)-(SUMIF(J118:J120,B112,D118:E120)/1000)+0.003,"")</f>
        <v/>
      </c>
      <c r="N112" s="20" t="str">
        <f>IF(B112="","",B112)</f>
        <v/>
      </c>
      <c r="O112" s="20" t="str">
        <f>IF(B112&lt;&gt;"",LARGE(M112:M114,1),"")</f>
        <v/>
      </c>
      <c r="P112" s="20" t="str">
        <f>VLOOKUP(O112,M112:N114,2,0)</f>
        <v/>
      </c>
    </row>
    <row r="113" spans="2:16" ht="18" customHeight="1" x14ac:dyDescent="0.25">
      <c r="B113" s="15"/>
      <c r="C113" s="15" t="str">
        <f>IFERROR(IF(B113="","",VLOOKUP(B113,LISTAS!$F$5:$G$1004,2,0)),"0")</f>
        <v/>
      </c>
      <c r="D113" s="15" t="str">
        <f>IF(H112&lt;3,"",IF(H112=3,IF(D119&lt;&gt;"",IF(H119&lt;&gt;"",IF(D119&lt;&gt;H119,IF(D119&gt;H119,"V","D"),""),""),"")))</f>
        <v/>
      </c>
      <c r="E113" s="15" t="str">
        <f>IF(H112&lt;3,"",IF(H112=3,IF(D120&lt;&gt;"",IF(H120&lt;&gt;"",IF(D120&lt;&gt;H120,IF(D120&gt;H120,"D","V"),""),""),"")))</f>
        <v/>
      </c>
      <c r="F113" s="15" t="s">
        <v>81</v>
      </c>
      <c r="G113" s="15" t="s">
        <v>81</v>
      </c>
      <c r="H113" s="115"/>
      <c r="I113" s="15" t="str">
        <f>IF(B113&lt;&gt;"",2,"")</f>
        <v/>
      </c>
      <c r="J113" s="15" t="str">
        <f>IF(I113&lt;&gt;"",P113,"")</f>
        <v/>
      </c>
      <c r="K113" s="15" t="str">
        <f>IFERROR(IF(J113="","",VLOOKUP(J113,LISTAS!$F$5:$G$1004,2,0)),"0")</f>
        <v/>
      </c>
      <c r="L113" s="119" t="str">
        <f>IF(H112=3,"PRATA",IF(H112=4,"OURO",IF(H112=5,"OURO","")))</f>
        <v/>
      </c>
      <c r="M113" s="20" t="str">
        <f>IF(B113&lt;&gt;"",COUNTIF(D113:G113,"V")+(SUMIF(B118:B120,B113,D118:E120)/1000)+(SUMIF(J118:J120,B113,H118:I120)/1000)-(SUMIF(B118:B120,B113,H118:I120)/1000)-(SUMIF(J118:J120,B113,D118:E120)/1000)+0.002,"")</f>
        <v/>
      </c>
      <c r="N113" s="20" t="str">
        <f t="shared" ref="N113" si="7">IF(B113="","",B113)</f>
        <v/>
      </c>
      <c r="O113" s="20" t="str">
        <f>IF(B113&lt;&gt;"",LARGE(M112:M114,2),"")</f>
        <v/>
      </c>
      <c r="P113" s="20" t="str">
        <f>VLOOKUP(O113,M112:N114,2,0)</f>
        <v/>
      </c>
    </row>
    <row r="114" spans="2:16" ht="18" customHeight="1" x14ac:dyDescent="0.25">
      <c r="B114" s="15"/>
      <c r="C114" s="15" t="str">
        <f>IFERROR(IF(B114="","",VLOOKUP(B114,LISTAS!$F$5:$G$1004,2,0)),"0")</f>
        <v/>
      </c>
      <c r="D114" s="15" t="str">
        <f>IF(H112&lt;3,"",IF(H112=3,IF(D118&lt;&gt;"",IF(H118&lt;&gt;"",IF(D118&lt;&gt;H118,IF(D118&gt;H118,"D","V"),""),""),"")))</f>
        <v/>
      </c>
      <c r="E114" s="15" t="str">
        <f>IF(H112&lt;3,"",IF(H112=3,IF(D119&lt;&gt;"",IF(H119&lt;&gt;"",IF(D119&lt;&gt;H119,IF(D119&gt;H119,"D","V"),""),""),"")))</f>
        <v/>
      </c>
      <c r="F114" s="15" t="s">
        <v>81</v>
      </c>
      <c r="G114" s="15" t="s">
        <v>81</v>
      </c>
      <c r="H114" s="115"/>
      <c r="I114" s="15" t="str">
        <f>IF(B114&lt;&gt;"",3,"")</f>
        <v/>
      </c>
      <c r="J114" s="15" t="str">
        <f>IF(I114&lt;&gt;"",P114,"")</f>
        <v/>
      </c>
      <c r="K114" s="15" t="str">
        <f>IFERROR(IF(J114="","",VLOOKUP(J114,LISTAS!$F$5:$G$1004,2,0)),"0")</f>
        <v/>
      </c>
      <c r="L114" s="119" t="str">
        <f>IF(H112=3,"BRONZE",IF(H112=4,"PRATA",IF(H112=5,"OURO","")))</f>
        <v/>
      </c>
      <c r="M114" s="20" t="str">
        <f>IF(B114&lt;&gt;"",COUNTIF(D114:G114,"V")+(SUMIF(B118:B120,B114,D118:E120)/1000)+(SUMIF(J118:J120,B114,H118:I120)/1000)-(SUMIF(B118:B120,B114,H118:I120)/1000)-(SUMIF(J118:J120,B114,D118:E120)/1000)+0.001,"")</f>
        <v/>
      </c>
      <c r="N114" s="20" t="str">
        <f>IF(B114="","",B114)</f>
        <v/>
      </c>
      <c r="O114" s="20" t="str">
        <f>IF(B114&lt;&gt;"",LARGE(M112:M114,3),"")</f>
        <v/>
      </c>
      <c r="P114" s="20" t="str">
        <f>VLOOKUP(O114,M112:N114,2,0)</f>
        <v/>
      </c>
    </row>
    <row r="115" spans="2:16" ht="18" customHeight="1" x14ac:dyDescent="0.25">
      <c r="B115" s="79"/>
      <c r="C115" s="79"/>
      <c r="D115" s="79"/>
      <c r="E115" s="79"/>
      <c r="F115" s="79"/>
      <c r="G115" s="79"/>
      <c r="I115" s="80"/>
      <c r="J115" s="79"/>
      <c r="K115" s="81"/>
      <c r="L115" s="81"/>
    </row>
    <row r="116" spans="2:16" ht="23.25" customHeight="1" x14ac:dyDescent="0.25">
      <c r="B116" s="82" t="s">
        <v>40</v>
      </c>
      <c r="C116" s="79"/>
      <c r="D116" s="79"/>
      <c r="E116" s="79"/>
      <c r="F116" s="79"/>
      <c r="G116" s="79"/>
      <c r="H116" s="79"/>
      <c r="I116" s="79"/>
      <c r="J116" s="79"/>
      <c r="K116" s="79"/>
      <c r="L116" s="79"/>
    </row>
    <row r="117" spans="2:16" ht="18" customHeight="1" x14ac:dyDescent="0.25">
      <c r="B117" s="9" t="s">
        <v>15</v>
      </c>
      <c r="C117" s="9" t="s">
        <v>0</v>
      </c>
      <c r="D117" s="228" t="s">
        <v>41</v>
      </c>
      <c r="E117" s="229"/>
      <c r="F117" s="229"/>
      <c r="G117" s="229"/>
      <c r="H117" s="229"/>
      <c r="I117" s="230"/>
      <c r="J117" s="9" t="s">
        <v>15</v>
      </c>
      <c r="K117" s="9" t="s">
        <v>0</v>
      </c>
      <c r="L117" s="79"/>
    </row>
    <row r="118" spans="2:16" ht="18" customHeight="1" x14ac:dyDescent="0.25">
      <c r="B118" s="15" t="str">
        <f>IF(H112=3,B112,"")</f>
        <v/>
      </c>
      <c r="C118" s="15" t="str">
        <f>IFERROR(IF(B118="","",VLOOKUP(B118,LISTAS!$F$5:$G$1004,2,0)),"0")</f>
        <v/>
      </c>
      <c r="D118" s="223"/>
      <c r="E118" s="224"/>
      <c r="F118" s="223" t="s">
        <v>38</v>
      </c>
      <c r="G118" s="224"/>
      <c r="H118" s="223"/>
      <c r="I118" s="224"/>
      <c r="J118" s="21" t="str">
        <f>IF(H112=3,B114,"")</f>
        <v/>
      </c>
      <c r="K118" s="15" t="str">
        <f>IFERROR(IF(J118="","",VLOOKUP(J118,LISTAS!$F$5:$G$1004,2,0)),"0")</f>
        <v/>
      </c>
      <c r="L118" s="81"/>
    </row>
    <row r="119" spans="2:16" ht="18" customHeight="1" x14ac:dyDescent="0.25">
      <c r="B119" s="15" t="str">
        <f>IF(H112=3,B113,"")</f>
        <v/>
      </c>
      <c r="C119" s="15" t="str">
        <f>IFERROR(IF(B119="","",VLOOKUP(B119,LISTAS!$F$5:$G$1004,2,0)),"0")</f>
        <v/>
      </c>
      <c r="D119" s="223"/>
      <c r="E119" s="224"/>
      <c r="F119" s="223" t="s">
        <v>38</v>
      </c>
      <c r="G119" s="224"/>
      <c r="H119" s="223"/>
      <c r="I119" s="224"/>
      <c r="J119" s="21" t="str">
        <f>IF(H112=3,B114,"")</f>
        <v/>
      </c>
      <c r="K119" s="15" t="str">
        <f>IFERROR(IF(J119="","",VLOOKUP(J119,LISTAS!$F$5:$G$1004,2,0)),"0")</f>
        <v/>
      </c>
      <c r="L119" s="79"/>
    </row>
    <row r="120" spans="2:16" ht="18" customHeight="1" x14ac:dyDescent="0.25">
      <c r="B120" s="15" t="str">
        <f>IF(H112=3,B112,"")</f>
        <v/>
      </c>
      <c r="C120" s="15" t="str">
        <f>IFERROR(IF(B120="","",VLOOKUP(B120,LISTAS!$F$5:$G$1004,2,0)),"0")</f>
        <v/>
      </c>
      <c r="D120" s="223"/>
      <c r="E120" s="224"/>
      <c r="F120" s="223" t="s">
        <v>38</v>
      </c>
      <c r="G120" s="224"/>
      <c r="H120" s="223"/>
      <c r="I120" s="224"/>
      <c r="J120" s="21" t="str">
        <f>IF(H112=3,B113,"")</f>
        <v/>
      </c>
      <c r="K120" s="15" t="str">
        <f>IFERROR(IF(J120="","",VLOOKUP(J120,LISTAS!$F$5:$G$1004,2,0)),"0")</f>
        <v/>
      </c>
      <c r="L120" s="81"/>
    </row>
    <row r="123" spans="2:16" ht="30" customHeight="1" x14ac:dyDescent="0.25">
      <c r="B123" s="161" t="s">
        <v>53</v>
      </c>
      <c r="C123" s="79"/>
      <c r="D123" s="225" t="s">
        <v>42</v>
      </c>
      <c r="E123" s="226"/>
      <c r="F123" s="226"/>
      <c r="G123" s="227"/>
      <c r="H123" s="113"/>
      <c r="I123" s="225" t="s">
        <v>3</v>
      </c>
      <c r="J123" s="226"/>
      <c r="K123" s="226"/>
      <c r="L123" s="226"/>
    </row>
    <row r="124" spans="2:16" ht="18" customHeight="1" x14ac:dyDescent="0.25">
      <c r="B124" s="9" t="s">
        <v>15</v>
      </c>
      <c r="C124" s="9" t="s">
        <v>0</v>
      </c>
      <c r="D124" s="9" t="s">
        <v>43</v>
      </c>
      <c r="E124" s="9" t="s">
        <v>44</v>
      </c>
      <c r="F124" s="9" t="s">
        <v>77</v>
      </c>
      <c r="G124" s="9" t="s">
        <v>78</v>
      </c>
      <c r="H124" s="114"/>
      <c r="I124" s="9" t="s">
        <v>18</v>
      </c>
      <c r="J124" s="9" t="s">
        <v>15</v>
      </c>
      <c r="K124" s="9" t="s">
        <v>0</v>
      </c>
      <c r="L124" s="9" t="s">
        <v>45</v>
      </c>
    </row>
    <row r="125" spans="2:16" ht="18" customHeight="1" x14ac:dyDescent="0.25">
      <c r="B125" s="15"/>
      <c r="C125" s="15" t="str">
        <f>IFERROR(IF(B125="","",VLOOKUP(B125,LISTAS!$F$5:$G$1004,2,0)),"0")</f>
        <v/>
      </c>
      <c r="D125" s="15" t="str">
        <f>IF(H125&lt;3,"",IF(H125=3,IF(D131&lt;&gt;"",IF(H131&lt;&gt;"",IF(D131&lt;&gt;H131,IF(D131&gt;H131,"V","D"),""),""),"")))</f>
        <v/>
      </c>
      <c r="E125" s="15" t="str">
        <f>IF(H125&lt;3,"",IF(H125=3,IF(D133&lt;&gt;"",IF(H133&lt;&gt;"",IF(D133&lt;&gt;H133,IF(D133&gt;H133,"V","D"),""),""),"")))</f>
        <v/>
      </c>
      <c r="F125" s="15" t="s">
        <v>81</v>
      </c>
      <c r="G125" s="15" t="s">
        <v>81</v>
      </c>
      <c r="H125" s="117">
        <f>COUNTA(B125:B127)</f>
        <v>0</v>
      </c>
      <c r="I125" s="15" t="str">
        <f>IF(B125&lt;&gt;"",1,"")</f>
        <v/>
      </c>
      <c r="J125" s="15" t="str">
        <f>IF(I125&lt;&gt;"",P125,"")</f>
        <v/>
      </c>
      <c r="K125" s="15" t="str">
        <f>IFERROR(IF(J125="","",VLOOKUP(J125,LISTAS!$F$5:$G$1004,2,0)),"0")</f>
        <v/>
      </c>
      <c r="L125" s="119" t="str">
        <f>IF(H125=3,"OURO",IF(H125=4,"OURO",IF(H125=5,"OURO","")))</f>
        <v/>
      </c>
      <c r="M125" s="20" t="str">
        <f>IF(B125&lt;&gt;"",COUNTIF(D125:G125,"V")+(SUMIF(B131:B133,B125,D131:E133)/1000)+(SUMIF(J131:J133,B125,H131:I133)/1000)-(SUMIF(B131:B133,B125,H131:I133)/1000)-(SUMIF(J131:J133,B125,D131:E133)/1000)+0.003,"")</f>
        <v/>
      </c>
      <c r="N125" s="20" t="str">
        <f>IF(B125="","",B125)</f>
        <v/>
      </c>
      <c r="O125" s="20" t="str">
        <f>IF(B125&lt;&gt;"",LARGE(M125:M127,1),"")</f>
        <v/>
      </c>
      <c r="P125" s="20" t="str">
        <f>VLOOKUP(O125,M125:N127,2,0)</f>
        <v/>
      </c>
    </row>
    <row r="126" spans="2:16" ht="18" customHeight="1" x14ac:dyDescent="0.25">
      <c r="B126" s="15"/>
      <c r="C126" s="15" t="str">
        <f>IFERROR(IF(B126="","",VLOOKUP(B126,LISTAS!$F$5:$G$1004,2,0)),"0")</f>
        <v/>
      </c>
      <c r="D126" s="15" t="str">
        <f>IF(H125&lt;3,"",IF(H125=3,IF(D132&lt;&gt;"",IF(H132&lt;&gt;"",IF(D132&lt;&gt;H132,IF(D132&gt;H132,"V","D"),""),""),"")))</f>
        <v/>
      </c>
      <c r="E126" s="15" t="str">
        <f>IF(H125&lt;3,"",IF(H125=3,IF(D133&lt;&gt;"",IF(H133&lt;&gt;"",IF(D133&lt;&gt;H133,IF(D133&gt;H133,"D","V"),""),""),"")))</f>
        <v/>
      </c>
      <c r="F126" s="15" t="s">
        <v>81</v>
      </c>
      <c r="G126" s="15" t="s">
        <v>81</v>
      </c>
      <c r="H126" s="115"/>
      <c r="I126" s="15" t="str">
        <f>IF(B126&lt;&gt;"",2,"")</f>
        <v/>
      </c>
      <c r="J126" s="15" t="str">
        <f>IF(I126&lt;&gt;"",P126,"")</f>
        <v/>
      </c>
      <c r="K126" s="15" t="str">
        <f>IFERROR(IF(J126="","",VLOOKUP(J126,LISTAS!$F$5:$G$1004,2,0)),"0")</f>
        <v/>
      </c>
      <c r="L126" s="119" t="str">
        <f>IF(H125=3,"PRATA",IF(H125=4,"OURO",IF(H125=5,"OURO","")))</f>
        <v/>
      </c>
      <c r="M126" s="20" t="str">
        <f>IF(B126&lt;&gt;"",COUNTIF(D126:G126,"V")+(SUMIF(B131:B133,B126,D131:E133)/1000)+(SUMIF(J131:J133,B126,H131:I133)/1000)-(SUMIF(B131:B133,B126,H131:I133)/1000)-(SUMIF(J131:J133,B126,D131:E133)/1000)+0.002,"")</f>
        <v/>
      </c>
      <c r="N126" s="20" t="str">
        <f t="shared" ref="N126" si="8">IF(B126="","",B126)</f>
        <v/>
      </c>
      <c r="O126" s="20" t="str">
        <f>IF(B126&lt;&gt;"",LARGE(M125:M127,2),"")</f>
        <v/>
      </c>
      <c r="P126" s="20" t="str">
        <f>VLOOKUP(O126,M125:N127,2,0)</f>
        <v/>
      </c>
    </row>
    <row r="127" spans="2:16" ht="18" customHeight="1" x14ac:dyDescent="0.25">
      <c r="B127" s="15"/>
      <c r="C127" s="15" t="str">
        <f>IFERROR(IF(B127="","",VLOOKUP(B127,LISTAS!$F$5:$G$1004,2,0)),"0")</f>
        <v/>
      </c>
      <c r="D127" s="15" t="str">
        <f>IF(H125&lt;3,"",IF(H125=3,IF(D131&lt;&gt;"",IF(H131&lt;&gt;"",IF(D131&lt;&gt;H131,IF(D131&gt;H131,"D","V"),""),""),"")))</f>
        <v/>
      </c>
      <c r="E127" s="15" t="str">
        <f>IF(H125&lt;3,"",IF(H125=3,IF(D132&lt;&gt;"",IF(H132&lt;&gt;"",IF(D132&lt;&gt;H132,IF(D132&gt;H132,"D","V"),""),""),"")))</f>
        <v/>
      </c>
      <c r="F127" s="15" t="s">
        <v>81</v>
      </c>
      <c r="G127" s="15" t="s">
        <v>81</v>
      </c>
      <c r="H127" s="115"/>
      <c r="I127" s="15" t="str">
        <f>IF(B127&lt;&gt;"",3,"")</f>
        <v/>
      </c>
      <c r="J127" s="15" t="str">
        <f>IF(I127&lt;&gt;"",P127,"")</f>
        <v/>
      </c>
      <c r="K127" s="15" t="str">
        <f>IFERROR(IF(J127="","",VLOOKUP(J127,LISTAS!$F$5:$G$1004,2,0)),"0")</f>
        <v/>
      </c>
      <c r="L127" s="119" t="str">
        <f>IF(H125=3,"BRONZE",IF(H125=4,"PRATA",IF(H125=5,"OURO","")))</f>
        <v/>
      </c>
      <c r="M127" s="20" t="str">
        <f>IF(B127&lt;&gt;"",COUNTIF(D127:G127,"V")+(SUMIF(B131:B133,B127,D131:E133)/1000)+(SUMIF(J131:J133,B127,H131:I133)/1000)-(SUMIF(B131:B133,B127,H131:I133)/1000)-(SUMIF(J131:J133,B127,D131:E133)/1000)+0.001,"")</f>
        <v/>
      </c>
      <c r="N127" s="20" t="str">
        <f>IF(B127="","",B127)</f>
        <v/>
      </c>
      <c r="O127" s="20" t="str">
        <f>IF(B127&lt;&gt;"",LARGE(M125:M127,3),"")</f>
        <v/>
      </c>
      <c r="P127" s="20" t="str">
        <f>VLOOKUP(O127,M125:N127,2,0)</f>
        <v/>
      </c>
    </row>
    <row r="128" spans="2:16" ht="18" customHeight="1" x14ac:dyDescent="0.25">
      <c r="B128" s="79"/>
      <c r="C128" s="79"/>
      <c r="D128" s="79"/>
      <c r="E128" s="79"/>
      <c r="F128" s="79"/>
      <c r="G128" s="79"/>
      <c r="I128" s="80"/>
      <c r="J128" s="79"/>
      <c r="K128" s="81"/>
      <c r="L128" s="81"/>
    </row>
    <row r="129" spans="2:16" ht="23.25" customHeight="1" x14ac:dyDescent="0.25">
      <c r="B129" s="82" t="s">
        <v>40</v>
      </c>
      <c r="C129" s="79"/>
      <c r="D129" s="79"/>
      <c r="E129" s="79"/>
      <c r="F129" s="79"/>
      <c r="G129" s="79"/>
      <c r="H129" s="79"/>
      <c r="I129" s="79"/>
      <c r="J129" s="79"/>
      <c r="K129" s="79"/>
      <c r="L129" s="79"/>
    </row>
    <row r="130" spans="2:16" ht="18" customHeight="1" x14ac:dyDescent="0.25">
      <c r="B130" s="9" t="s">
        <v>15</v>
      </c>
      <c r="C130" s="9" t="s">
        <v>0</v>
      </c>
      <c r="D130" s="228" t="s">
        <v>41</v>
      </c>
      <c r="E130" s="229"/>
      <c r="F130" s="229"/>
      <c r="G130" s="229"/>
      <c r="H130" s="229"/>
      <c r="I130" s="230"/>
      <c r="J130" s="9" t="s">
        <v>15</v>
      </c>
      <c r="K130" s="9" t="s">
        <v>0</v>
      </c>
      <c r="L130" s="79"/>
    </row>
    <row r="131" spans="2:16" ht="18" customHeight="1" x14ac:dyDescent="0.25">
      <c r="B131" s="15" t="str">
        <f>IF(H125=3,B125,"")</f>
        <v/>
      </c>
      <c r="C131" s="15" t="str">
        <f>IFERROR(IF(B131="","",VLOOKUP(B131,LISTAS!$F$5:$G$1004,2,0)),"0")</f>
        <v/>
      </c>
      <c r="D131" s="223"/>
      <c r="E131" s="224"/>
      <c r="F131" s="223" t="s">
        <v>38</v>
      </c>
      <c r="G131" s="224"/>
      <c r="H131" s="223"/>
      <c r="I131" s="224"/>
      <c r="J131" s="21" t="str">
        <f>IF(H125=3,B127,"")</f>
        <v/>
      </c>
      <c r="K131" s="15" t="str">
        <f>IFERROR(IF(J131="","",VLOOKUP(J131,LISTAS!$F$5:$G$1004,2,0)),"0")</f>
        <v/>
      </c>
      <c r="L131" s="81"/>
    </row>
    <row r="132" spans="2:16" ht="18" customHeight="1" x14ac:dyDescent="0.25">
      <c r="B132" s="15" t="str">
        <f>IF(H125=3,B126,"")</f>
        <v/>
      </c>
      <c r="C132" s="15" t="str">
        <f>IFERROR(IF(B132="","",VLOOKUP(B132,LISTAS!$F$5:$G$1004,2,0)),"0")</f>
        <v/>
      </c>
      <c r="D132" s="223"/>
      <c r="E132" s="224"/>
      <c r="F132" s="223" t="s">
        <v>38</v>
      </c>
      <c r="G132" s="224"/>
      <c r="H132" s="223"/>
      <c r="I132" s="224"/>
      <c r="J132" s="21" t="str">
        <f>IF(H125=3,B127,"")</f>
        <v/>
      </c>
      <c r="K132" s="15" t="str">
        <f>IFERROR(IF(J132="","",VLOOKUP(J132,LISTAS!$F$5:$G$1004,2,0)),"0")</f>
        <v/>
      </c>
      <c r="L132" s="79"/>
    </row>
    <row r="133" spans="2:16" ht="18" customHeight="1" x14ac:dyDescent="0.25">
      <c r="B133" s="15" t="str">
        <f>IF(H125=3,B125,"")</f>
        <v/>
      </c>
      <c r="C133" s="15" t="str">
        <f>IFERROR(IF(B133="","",VLOOKUP(B133,LISTAS!$F$5:$G$1004,2,0)),"0")</f>
        <v/>
      </c>
      <c r="D133" s="223"/>
      <c r="E133" s="224"/>
      <c r="F133" s="223" t="s">
        <v>38</v>
      </c>
      <c r="G133" s="224"/>
      <c r="H133" s="223"/>
      <c r="I133" s="224"/>
      <c r="J133" s="21" t="str">
        <f>IF(H125=3,B126,"")</f>
        <v/>
      </c>
      <c r="K133" s="15" t="str">
        <f>IFERROR(IF(J133="","",VLOOKUP(J133,LISTAS!$F$5:$G$1004,2,0)),"0")</f>
        <v/>
      </c>
      <c r="L133" s="81"/>
    </row>
    <row r="136" spans="2:16" ht="30" customHeight="1" x14ac:dyDescent="0.25">
      <c r="B136" s="161" t="s">
        <v>54</v>
      </c>
      <c r="C136" s="79"/>
      <c r="D136" s="225" t="s">
        <v>42</v>
      </c>
      <c r="E136" s="226"/>
      <c r="F136" s="226"/>
      <c r="G136" s="227"/>
      <c r="H136" s="113"/>
      <c r="I136" s="225" t="s">
        <v>3</v>
      </c>
      <c r="J136" s="226"/>
      <c r="K136" s="226"/>
      <c r="L136" s="226"/>
    </row>
    <row r="137" spans="2:16" ht="18" customHeight="1" x14ac:dyDescent="0.25">
      <c r="B137" s="9" t="s">
        <v>15</v>
      </c>
      <c r="C137" s="9" t="s">
        <v>0</v>
      </c>
      <c r="D137" s="9" t="s">
        <v>43</v>
      </c>
      <c r="E137" s="9" t="s">
        <v>44</v>
      </c>
      <c r="F137" s="9" t="s">
        <v>77</v>
      </c>
      <c r="G137" s="9" t="s">
        <v>78</v>
      </c>
      <c r="H137" s="114"/>
      <c r="I137" s="9" t="s">
        <v>18</v>
      </c>
      <c r="J137" s="9" t="s">
        <v>15</v>
      </c>
      <c r="K137" s="9" t="s">
        <v>0</v>
      </c>
      <c r="L137" s="9" t="s">
        <v>45</v>
      </c>
    </row>
    <row r="138" spans="2:16" ht="18" customHeight="1" x14ac:dyDescent="0.25">
      <c r="B138" s="15"/>
      <c r="C138" s="15" t="str">
        <f>IFERROR(IF(B138="","",VLOOKUP(B138,LISTAS!$F$5:$G$1004,2,0)),"0")</f>
        <v/>
      </c>
      <c r="D138" s="15" t="str">
        <f>IF(H138&lt;3,"",IF(H138=3,IF(D144&lt;&gt;"",IF(H144&lt;&gt;"",IF(D144&lt;&gt;H144,IF(D144&gt;H144,"V","D"),""),""),"")))</f>
        <v/>
      </c>
      <c r="E138" s="15" t="str">
        <f>IF(H138&lt;3,"",IF(H138=3,IF(D146&lt;&gt;"",IF(H146&lt;&gt;"",IF(D146&lt;&gt;H146,IF(D146&gt;H146,"V","D"),""),""),"")))</f>
        <v/>
      </c>
      <c r="F138" s="15" t="s">
        <v>81</v>
      </c>
      <c r="G138" s="15" t="s">
        <v>81</v>
      </c>
      <c r="H138" s="117">
        <f>COUNTA(B138:B140)</f>
        <v>0</v>
      </c>
      <c r="I138" s="15" t="str">
        <f>IF(B138&lt;&gt;"",1,"")</f>
        <v/>
      </c>
      <c r="J138" s="15" t="str">
        <f>IF(I138&lt;&gt;"",P138,"")</f>
        <v/>
      </c>
      <c r="K138" s="15" t="str">
        <f>IFERROR(IF(J138="","",VLOOKUP(J138,LISTAS!$F$5:$G$1004,2,0)),"0")</f>
        <v/>
      </c>
      <c r="L138" s="119" t="str">
        <f>IF(H138=3,"OURO",IF(H138=4,"OURO",IF(H138=5,"OURO","")))</f>
        <v/>
      </c>
      <c r="M138" s="20" t="str">
        <f>IF(B138&lt;&gt;"",COUNTIF(D138:G138,"V")+(SUMIF(B144:B146,B138,D144:E146)/1000)+(SUMIF(J144:J146,B138,H144:I146)/1000)-(SUMIF(B144:B146,B138,H144:I146)/1000)-(SUMIF(J144:J146,B138,D144:E146)/1000)+0.003,"")</f>
        <v/>
      </c>
      <c r="N138" s="20" t="str">
        <f>IF(B138="","",B138)</f>
        <v/>
      </c>
      <c r="O138" s="20" t="str">
        <f>IF(B138&lt;&gt;"",LARGE(M138:M140,1),"")</f>
        <v/>
      </c>
      <c r="P138" s="20" t="str">
        <f>VLOOKUP(O138,M138:N140,2,0)</f>
        <v/>
      </c>
    </row>
    <row r="139" spans="2:16" ht="18" customHeight="1" x14ac:dyDescent="0.25">
      <c r="B139" s="15"/>
      <c r="C139" s="15" t="str">
        <f>IFERROR(IF(B139="","",VLOOKUP(B139,LISTAS!$F$5:$G$1004,2,0)),"0")</f>
        <v/>
      </c>
      <c r="D139" s="15" t="str">
        <f>IF(H138&lt;3,"",IF(H138=3,IF(D145&lt;&gt;"",IF(H145&lt;&gt;"",IF(D145&lt;&gt;H145,IF(D145&gt;H145,"V","D"),""),""),"")))</f>
        <v/>
      </c>
      <c r="E139" s="15" t="str">
        <f>IF(H138&lt;3,"",IF(H138=3,IF(D146&lt;&gt;"",IF(H146&lt;&gt;"",IF(D146&lt;&gt;H146,IF(D146&gt;H146,"D","V"),""),""),"")))</f>
        <v/>
      </c>
      <c r="F139" s="15" t="s">
        <v>81</v>
      </c>
      <c r="G139" s="15" t="s">
        <v>81</v>
      </c>
      <c r="H139" s="115"/>
      <c r="I139" s="15" t="str">
        <f>IF(B139&lt;&gt;"",2,"")</f>
        <v/>
      </c>
      <c r="J139" s="15" t="str">
        <f>IF(I139&lt;&gt;"",P139,"")</f>
        <v/>
      </c>
      <c r="K139" s="15" t="str">
        <f>IFERROR(IF(J139="","",VLOOKUP(J139,LISTAS!$F$5:$G$1004,2,0)),"0")</f>
        <v/>
      </c>
      <c r="L139" s="119" t="str">
        <f>IF(H138=3,"PRATA",IF(H138=4,"OURO",IF(H138=5,"OURO","")))</f>
        <v/>
      </c>
      <c r="M139" s="20" t="str">
        <f>IF(B139&lt;&gt;"",COUNTIF(D139:G139,"V")+(SUMIF(B144:B146,B139,D144:E146)/1000)+(SUMIF(J144:J146,B139,H144:I146)/1000)-(SUMIF(B144:B146,B139,H144:I146)/1000)-(SUMIF(J144:J146,B139,D144:E146)/1000)+0.002,"")</f>
        <v/>
      </c>
      <c r="N139" s="20" t="str">
        <f t="shared" ref="N139" si="9">IF(B139="","",B139)</f>
        <v/>
      </c>
      <c r="O139" s="20" t="str">
        <f>IF(B139&lt;&gt;"",LARGE(M138:M140,2),"")</f>
        <v/>
      </c>
      <c r="P139" s="20" t="str">
        <f>VLOOKUP(O139,M138:N140,2,0)</f>
        <v/>
      </c>
    </row>
    <row r="140" spans="2:16" ht="18" customHeight="1" x14ac:dyDescent="0.25">
      <c r="B140" s="15"/>
      <c r="C140" s="15" t="str">
        <f>IFERROR(IF(B140="","",VLOOKUP(B140,LISTAS!$F$5:$G$1004,2,0)),"0")</f>
        <v/>
      </c>
      <c r="D140" s="15" t="str">
        <f>IF(H138&lt;3,"",IF(H138=3,IF(D144&lt;&gt;"",IF(H144&lt;&gt;"",IF(D144&lt;&gt;H144,IF(D144&gt;H144,"D","V"),""),""),"")))</f>
        <v/>
      </c>
      <c r="E140" s="15" t="str">
        <f>IF(H138&lt;3,"",IF(H138=3,IF(D145&lt;&gt;"",IF(H145&lt;&gt;"",IF(D145&lt;&gt;H145,IF(D145&gt;H145,"D","V"),""),""),"")))</f>
        <v/>
      </c>
      <c r="F140" s="15" t="s">
        <v>81</v>
      </c>
      <c r="G140" s="15" t="s">
        <v>81</v>
      </c>
      <c r="H140" s="115"/>
      <c r="I140" s="15" t="str">
        <f>IF(B140&lt;&gt;"",3,"")</f>
        <v/>
      </c>
      <c r="J140" s="15" t="str">
        <f>IF(I140&lt;&gt;"",P140,"")</f>
        <v/>
      </c>
      <c r="K140" s="15" t="str">
        <f>IFERROR(IF(J140="","",VLOOKUP(J140,LISTAS!$F$5:$G$1004,2,0)),"0")</f>
        <v/>
      </c>
      <c r="L140" s="119" t="str">
        <f>IF(H138=3,"BRONZE",IF(H138=4,"PRATA",IF(H138=5,"OURO","")))</f>
        <v/>
      </c>
      <c r="M140" s="20" t="str">
        <f>IF(B140&lt;&gt;"",COUNTIF(D140:G140,"V")+(SUMIF(B144:B146,B140,D144:E146)/1000)+(SUMIF(J144:J146,B140,H144:I146)/1000)-(SUMIF(B144:B146,B140,H144:I146)/1000)-(SUMIF(J144:J146,B140,D144:E146)/1000)+0.001,"")</f>
        <v/>
      </c>
      <c r="N140" s="20" t="str">
        <f>IF(B140="","",B140)</f>
        <v/>
      </c>
      <c r="O140" s="20" t="str">
        <f>IF(B140&lt;&gt;"",LARGE(M138:M140,3),"")</f>
        <v/>
      </c>
      <c r="P140" s="20" t="str">
        <f>VLOOKUP(O140,M138:N140,2,0)</f>
        <v/>
      </c>
    </row>
    <row r="141" spans="2:16" ht="18" customHeight="1" x14ac:dyDescent="0.25">
      <c r="B141" s="79"/>
      <c r="C141" s="79"/>
      <c r="D141" s="79"/>
      <c r="E141" s="79"/>
      <c r="F141" s="79"/>
      <c r="G141" s="79"/>
      <c r="I141" s="80"/>
      <c r="J141" s="79"/>
      <c r="K141" s="81"/>
      <c r="L141" s="81"/>
    </row>
    <row r="142" spans="2:16" ht="23.25" customHeight="1" x14ac:dyDescent="0.25">
      <c r="B142" s="82" t="s">
        <v>40</v>
      </c>
      <c r="C142" s="79"/>
      <c r="D142" s="79"/>
      <c r="E142" s="79"/>
      <c r="F142" s="79"/>
      <c r="G142" s="79"/>
      <c r="H142" s="79"/>
      <c r="I142" s="79"/>
      <c r="J142" s="79"/>
      <c r="K142" s="79"/>
      <c r="L142" s="79"/>
    </row>
    <row r="143" spans="2:16" ht="18" customHeight="1" x14ac:dyDescent="0.25">
      <c r="B143" s="9" t="s">
        <v>15</v>
      </c>
      <c r="C143" s="9" t="s">
        <v>0</v>
      </c>
      <c r="D143" s="228" t="s">
        <v>41</v>
      </c>
      <c r="E143" s="229"/>
      <c r="F143" s="229"/>
      <c r="G143" s="229"/>
      <c r="H143" s="229"/>
      <c r="I143" s="230"/>
      <c r="J143" s="9" t="s">
        <v>15</v>
      </c>
      <c r="K143" s="9" t="s">
        <v>0</v>
      </c>
      <c r="L143" s="79"/>
    </row>
    <row r="144" spans="2:16" ht="18" customHeight="1" x14ac:dyDescent="0.25">
      <c r="B144" s="15" t="str">
        <f>IF(H138=3,B138,"")</f>
        <v/>
      </c>
      <c r="C144" s="15" t="str">
        <f>IFERROR(IF(B144="","",VLOOKUP(B144,LISTAS!$F$5:$G$1004,2,0)),"0")</f>
        <v/>
      </c>
      <c r="D144" s="223"/>
      <c r="E144" s="224"/>
      <c r="F144" s="223" t="s">
        <v>38</v>
      </c>
      <c r="G144" s="224"/>
      <c r="H144" s="223"/>
      <c r="I144" s="224"/>
      <c r="J144" s="21" t="str">
        <f>IF(H138=3,B140,"")</f>
        <v/>
      </c>
      <c r="K144" s="15" t="str">
        <f>IFERROR(IF(J144="","",VLOOKUP(J144,LISTAS!$F$5:$G$1004,2,0)),"0")</f>
        <v/>
      </c>
      <c r="L144" s="81"/>
    </row>
    <row r="145" spans="2:16" ht="18" customHeight="1" x14ac:dyDescent="0.25">
      <c r="B145" s="15" t="str">
        <f>IF(H138=3,B139,"")</f>
        <v/>
      </c>
      <c r="C145" s="15" t="str">
        <f>IFERROR(IF(B145="","",VLOOKUP(B145,LISTAS!$F$5:$G$1004,2,0)),"0")</f>
        <v/>
      </c>
      <c r="D145" s="223"/>
      <c r="E145" s="224"/>
      <c r="F145" s="223" t="s">
        <v>38</v>
      </c>
      <c r="G145" s="224"/>
      <c r="H145" s="223"/>
      <c r="I145" s="224"/>
      <c r="J145" s="21" t="str">
        <f>IF(H138=3,B140,"")</f>
        <v/>
      </c>
      <c r="K145" s="15" t="str">
        <f>IFERROR(IF(J145="","",VLOOKUP(J145,LISTAS!$F$5:$G$1004,2,0)),"0")</f>
        <v/>
      </c>
      <c r="L145" s="79"/>
    </row>
    <row r="146" spans="2:16" ht="18" customHeight="1" x14ac:dyDescent="0.25">
      <c r="B146" s="15" t="str">
        <f>IF(H138=3,B138,"")</f>
        <v/>
      </c>
      <c r="C146" s="15" t="str">
        <f>IFERROR(IF(B146="","",VLOOKUP(B146,LISTAS!$F$5:$G$1004,2,0)),"0")</f>
        <v/>
      </c>
      <c r="D146" s="223"/>
      <c r="E146" s="224"/>
      <c r="F146" s="223" t="s">
        <v>38</v>
      </c>
      <c r="G146" s="224"/>
      <c r="H146" s="223"/>
      <c r="I146" s="224"/>
      <c r="J146" s="21" t="str">
        <f>IF(H138=3,B139,"")</f>
        <v/>
      </c>
      <c r="K146" s="15" t="str">
        <f>IFERROR(IF(J146="","",VLOOKUP(J146,LISTAS!$F$5:$G$1004,2,0)),"0")</f>
        <v/>
      </c>
      <c r="L146" s="81"/>
    </row>
    <row r="149" spans="2:16" ht="30" customHeight="1" x14ac:dyDescent="0.25">
      <c r="B149" s="161" t="s">
        <v>55</v>
      </c>
      <c r="C149" s="79"/>
      <c r="D149" s="225" t="s">
        <v>42</v>
      </c>
      <c r="E149" s="226"/>
      <c r="F149" s="226"/>
      <c r="G149" s="227"/>
      <c r="H149" s="113"/>
      <c r="I149" s="225" t="s">
        <v>3</v>
      </c>
      <c r="J149" s="226"/>
      <c r="K149" s="226"/>
      <c r="L149" s="226"/>
    </row>
    <row r="150" spans="2:16" ht="18" customHeight="1" x14ac:dyDescent="0.25">
      <c r="B150" s="9" t="s">
        <v>15</v>
      </c>
      <c r="C150" s="9" t="s">
        <v>0</v>
      </c>
      <c r="D150" s="9" t="s">
        <v>43</v>
      </c>
      <c r="E150" s="9" t="s">
        <v>44</v>
      </c>
      <c r="F150" s="9" t="s">
        <v>77</v>
      </c>
      <c r="G150" s="9" t="s">
        <v>78</v>
      </c>
      <c r="H150" s="114"/>
      <c r="I150" s="9" t="s">
        <v>18</v>
      </c>
      <c r="J150" s="9" t="s">
        <v>15</v>
      </c>
      <c r="K150" s="9" t="s">
        <v>0</v>
      </c>
      <c r="L150" s="9" t="s">
        <v>45</v>
      </c>
    </row>
    <row r="151" spans="2:16" ht="18" customHeight="1" x14ac:dyDescent="0.25">
      <c r="B151" s="15"/>
      <c r="C151" s="15" t="str">
        <f>IFERROR(IF(B151="","",VLOOKUP(B151,LISTAS!$F$5:$G$1004,2,0)),"0")</f>
        <v/>
      </c>
      <c r="D151" s="15" t="str">
        <f>IF(H151&lt;3,"",IF(H151=3,IF(D157&lt;&gt;"",IF(H157&lt;&gt;"",IF(D157&lt;&gt;H157,IF(D157&gt;H157,"V","D"),""),""),"")))</f>
        <v/>
      </c>
      <c r="E151" s="15" t="str">
        <f>IF(H151&lt;3,"",IF(H151=3,IF(D159&lt;&gt;"",IF(H159&lt;&gt;"",IF(D159&lt;&gt;H159,IF(D159&gt;H159,"V","D"),""),""),"")))</f>
        <v/>
      </c>
      <c r="F151" s="15" t="s">
        <v>81</v>
      </c>
      <c r="G151" s="15" t="s">
        <v>81</v>
      </c>
      <c r="H151" s="117">
        <f>COUNTA(B151:B153)</f>
        <v>0</v>
      </c>
      <c r="I151" s="15" t="str">
        <f>IF(B151&lt;&gt;"",1,"")</f>
        <v/>
      </c>
      <c r="J151" s="15" t="str">
        <f>IF(I151&lt;&gt;"",P151,"")</f>
        <v/>
      </c>
      <c r="K151" s="15" t="str">
        <f>IFERROR(IF(J151="","",VLOOKUP(J151,LISTAS!$F$5:$G$1004,2,0)),"0")</f>
        <v/>
      </c>
      <c r="L151" s="119" t="str">
        <f>IF(H151=3,"OURO",IF(H151=4,"OURO",IF(H151=5,"OURO","")))</f>
        <v/>
      </c>
      <c r="M151" s="20" t="str">
        <f>IF(B151&lt;&gt;"",COUNTIF(D151:G151,"V")+(SUMIF(B157:B159,B151,D157:E159)/1000)+(SUMIF(J157:J159,B151,H157:I159)/1000)-(SUMIF(B157:B159,B151,H157:I159)/1000)-(SUMIF(J157:J159,B151,D157:E159)/1000)+0.003,"")</f>
        <v/>
      </c>
      <c r="N151" s="20" t="str">
        <f>IF(B151="","",B151)</f>
        <v/>
      </c>
      <c r="O151" s="20" t="str">
        <f>IF(B151&lt;&gt;"",LARGE(M151:M153,1),"")</f>
        <v/>
      </c>
      <c r="P151" s="20" t="str">
        <f>VLOOKUP(O151,M151:N153,2,0)</f>
        <v/>
      </c>
    </row>
    <row r="152" spans="2:16" ht="18" customHeight="1" x14ac:dyDescent="0.25">
      <c r="B152" s="15"/>
      <c r="C152" s="15" t="str">
        <f>IFERROR(IF(B152="","",VLOOKUP(B152,LISTAS!$F$5:$G$1004,2,0)),"0")</f>
        <v/>
      </c>
      <c r="D152" s="15" t="str">
        <f>IF(H151&lt;3,"",IF(H151=3,IF(D158&lt;&gt;"",IF(H158&lt;&gt;"",IF(D158&lt;&gt;H158,IF(D158&gt;H158,"V","D"),""),""),"")))</f>
        <v/>
      </c>
      <c r="E152" s="15" t="str">
        <f>IF(H151&lt;3,"",IF(H151=3,IF(D159&lt;&gt;"",IF(H159&lt;&gt;"",IF(D159&lt;&gt;H159,IF(D159&gt;H159,"D","V"),""),""),"")))</f>
        <v/>
      </c>
      <c r="F152" s="15" t="s">
        <v>81</v>
      </c>
      <c r="G152" s="15" t="s">
        <v>81</v>
      </c>
      <c r="H152" s="115"/>
      <c r="I152" s="15" t="str">
        <f>IF(B152&lt;&gt;"",2,"")</f>
        <v/>
      </c>
      <c r="J152" s="15" t="str">
        <f>IF(I152&lt;&gt;"",P152,"")</f>
        <v/>
      </c>
      <c r="K152" s="15" t="str">
        <f>IFERROR(IF(J152="","",VLOOKUP(J152,LISTAS!$F$5:$G$1004,2,0)),"0")</f>
        <v/>
      </c>
      <c r="L152" s="119" t="str">
        <f>IF(H151=3,"PRATA",IF(H151=4,"OURO",IF(H151=5,"OURO","")))</f>
        <v/>
      </c>
      <c r="M152" s="20" t="str">
        <f>IF(B152&lt;&gt;"",COUNTIF(D152:G152,"V")+(SUMIF(B157:B159,B152,D157:E159)/1000)+(SUMIF(J157:J159,B152,H157:I159)/1000)-(SUMIF(B157:B159,B152,H157:I159)/1000)-(SUMIF(J157:J159,B152,D157:E159)/1000)+0.002,"")</f>
        <v/>
      </c>
      <c r="N152" s="20" t="str">
        <f t="shared" ref="N152" si="10">IF(B152="","",B152)</f>
        <v/>
      </c>
      <c r="O152" s="20" t="str">
        <f>IF(B152&lt;&gt;"",LARGE(M151:M153,2),"")</f>
        <v/>
      </c>
      <c r="P152" s="20" t="str">
        <f>VLOOKUP(O152,M151:N153,2,0)</f>
        <v/>
      </c>
    </row>
    <row r="153" spans="2:16" ht="18" customHeight="1" x14ac:dyDescent="0.25">
      <c r="B153" s="15"/>
      <c r="C153" s="15" t="str">
        <f>IFERROR(IF(B153="","",VLOOKUP(B153,LISTAS!$F$5:$G$1004,2,0)),"0")</f>
        <v/>
      </c>
      <c r="D153" s="15" t="str">
        <f>IF(H151&lt;3,"",IF(H151=3,IF(D157&lt;&gt;"",IF(H157&lt;&gt;"",IF(D157&lt;&gt;H157,IF(D157&gt;H157,"D","V"),""),""),"")))</f>
        <v/>
      </c>
      <c r="E153" s="15" t="str">
        <f>IF(H151&lt;3,"",IF(H151=3,IF(D158&lt;&gt;"",IF(H158&lt;&gt;"",IF(D158&lt;&gt;H158,IF(D158&gt;H158,"D","V"),""),""),"")))</f>
        <v/>
      </c>
      <c r="F153" s="15" t="s">
        <v>81</v>
      </c>
      <c r="G153" s="15" t="s">
        <v>81</v>
      </c>
      <c r="H153" s="115"/>
      <c r="I153" s="15" t="str">
        <f>IF(B153&lt;&gt;"",3,"")</f>
        <v/>
      </c>
      <c r="J153" s="15" t="str">
        <f>IF(I153&lt;&gt;"",P153,"")</f>
        <v/>
      </c>
      <c r="K153" s="15" t="str">
        <f>IFERROR(IF(J153="","",VLOOKUP(J153,LISTAS!$F$5:$G$1004,2,0)),"0")</f>
        <v/>
      </c>
      <c r="L153" s="119" t="str">
        <f>IF(H151=3,"BRONZE",IF(H151=4,"PRATA",IF(H151=5,"OURO","")))</f>
        <v/>
      </c>
      <c r="M153" s="20" t="str">
        <f>IF(B153&lt;&gt;"",COUNTIF(D153:G153,"V")+(SUMIF(B157:B159,B153,D157:E159)/1000)+(SUMIF(J157:J159,B153,H157:I159)/1000)-(SUMIF(B157:B159,B153,H157:I159)/1000)-(SUMIF(J157:J159,B153,D157:E159)/1000)+0.001,"")</f>
        <v/>
      </c>
      <c r="N153" s="20" t="str">
        <f>IF(B153="","",B153)</f>
        <v/>
      </c>
      <c r="O153" s="20" t="str">
        <f>IF(B153&lt;&gt;"",LARGE(M151:M153,3),"")</f>
        <v/>
      </c>
      <c r="P153" s="20" t="str">
        <f>VLOOKUP(O153,M151:N153,2,0)</f>
        <v/>
      </c>
    </row>
    <row r="154" spans="2:16" ht="18" customHeight="1" x14ac:dyDescent="0.25">
      <c r="B154" s="79"/>
      <c r="C154" s="79"/>
      <c r="D154" s="79"/>
      <c r="E154" s="79"/>
      <c r="F154" s="79"/>
      <c r="G154" s="79"/>
      <c r="I154" s="80"/>
      <c r="J154" s="79"/>
      <c r="K154" s="81"/>
      <c r="L154" s="81"/>
    </row>
    <row r="155" spans="2:16" ht="23.25" customHeight="1" x14ac:dyDescent="0.25">
      <c r="B155" s="82" t="s">
        <v>40</v>
      </c>
      <c r="C155" s="79"/>
      <c r="D155" s="79"/>
      <c r="E155" s="79"/>
      <c r="F155" s="79"/>
      <c r="G155" s="79"/>
      <c r="H155" s="79"/>
      <c r="I155" s="79"/>
      <c r="J155" s="79"/>
      <c r="K155" s="79"/>
      <c r="L155" s="79"/>
    </row>
    <row r="156" spans="2:16" ht="18" customHeight="1" x14ac:dyDescent="0.25">
      <c r="B156" s="9" t="s">
        <v>15</v>
      </c>
      <c r="C156" s="9" t="s">
        <v>0</v>
      </c>
      <c r="D156" s="228" t="s">
        <v>41</v>
      </c>
      <c r="E156" s="229"/>
      <c r="F156" s="229"/>
      <c r="G156" s="229"/>
      <c r="H156" s="229"/>
      <c r="I156" s="230"/>
      <c r="J156" s="9" t="s">
        <v>15</v>
      </c>
      <c r="K156" s="9" t="s">
        <v>0</v>
      </c>
      <c r="L156" s="79"/>
    </row>
    <row r="157" spans="2:16" ht="18" customHeight="1" x14ac:dyDescent="0.25">
      <c r="B157" s="15" t="str">
        <f>IF(H151=3,B151,"")</f>
        <v/>
      </c>
      <c r="C157" s="15" t="str">
        <f>IFERROR(IF(B157="","",VLOOKUP(B157,LISTAS!$F$5:$G$1004,2,0)),"0")</f>
        <v/>
      </c>
      <c r="D157" s="223"/>
      <c r="E157" s="224"/>
      <c r="F157" s="223" t="s">
        <v>38</v>
      </c>
      <c r="G157" s="224"/>
      <c r="H157" s="223"/>
      <c r="I157" s="224"/>
      <c r="J157" s="21" t="str">
        <f>IF(H151=3,B153,"")</f>
        <v/>
      </c>
      <c r="K157" s="15" t="str">
        <f>IFERROR(IF(J157="","",VLOOKUP(J157,LISTAS!$F$5:$G$1004,2,0)),"0")</f>
        <v/>
      </c>
      <c r="L157" s="81"/>
    </row>
    <row r="158" spans="2:16" ht="18" customHeight="1" x14ac:dyDescent="0.25">
      <c r="B158" s="15" t="str">
        <f>IF(H151=3,B152,"")</f>
        <v/>
      </c>
      <c r="C158" s="15" t="str">
        <f>IFERROR(IF(B158="","",VLOOKUP(B158,LISTAS!$F$5:$G$1004,2,0)),"0")</f>
        <v/>
      </c>
      <c r="D158" s="223"/>
      <c r="E158" s="224"/>
      <c r="F158" s="223" t="s">
        <v>38</v>
      </c>
      <c r="G158" s="224"/>
      <c r="H158" s="223"/>
      <c r="I158" s="224"/>
      <c r="J158" s="21" t="str">
        <f>IF(H151=3,B153,"")</f>
        <v/>
      </c>
      <c r="K158" s="15" t="str">
        <f>IFERROR(IF(J158="","",VLOOKUP(J158,LISTAS!$F$5:$G$1004,2,0)),"0")</f>
        <v/>
      </c>
      <c r="L158" s="79"/>
    </row>
    <row r="159" spans="2:16" ht="18" customHeight="1" x14ac:dyDescent="0.25">
      <c r="B159" s="15" t="str">
        <f>IF(H151=3,B151,"")</f>
        <v/>
      </c>
      <c r="C159" s="15" t="str">
        <f>IFERROR(IF(B159="","",VLOOKUP(B159,LISTAS!$F$5:$G$1004,2,0)),"0")</f>
        <v/>
      </c>
      <c r="D159" s="223"/>
      <c r="E159" s="224"/>
      <c r="F159" s="223" t="s">
        <v>38</v>
      </c>
      <c r="G159" s="224"/>
      <c r="H159" s="223"/>
      <c r="I159" s="224"/>
      <c r="J159" s="21" t="str">
        <f>IF(H151=3,B152,"")</f>
        <v/>
      </c>
      <c r="K159" s="15" t="str">
        <f>IFERROR(IF(J159="","",VLOOKUP(J159,LISTAS!$F$5:$G$1004,2,0)),"0")</f>
        <v/>
      </c>
      <c r="L159" s="81"/>
    </row>
    <row r="162" spans="2:16" ht="30" customHeight="1" x14ac:dyDescent="0.25">
      <c r="B162" s="161" t="s">
        <v>56</v>
      </c>
      <c r="C162" s="79"/>
      <c r="D162" s="225" t="s">
        <v>42</v>
      </c>
      <c r="E162" s="226"/>
      <c r="F162" s="226"/>
      <c r="G162" s="227"/>
      <c r="H162" s="113"/>
      <c r="I162" s="225" t="s">
        <v>3</v>
      </c>
      <c r="J162" s="226"/>
      <c r="K162" s="226"/>
      <c r="L162" s="226"/>
    </row>
    <row r="163" spans="2:16" ht="18" customHeight="1" x14ac:dyDescent="0.25">
      <c r="B163" s="9" t="s">
        <v>15</v>
      </c>
      <c r="C163" s="9" t="s">
        <v>0</v>
      </c>
      <c r="D163" s="9" t="s">
        <v>43</v>
      </c>
      <c r="E163" s="9" t="s">
        <v>44</v>
      </c>
      <c r="F163" s="9" t="s">
        <v>77</v>
      </c>
      <c r="G163" s="9" t="s">
        <v>78</v>
      </c>
      <c r="H163" s="114"/>
      <c r="I163" s="9" t="s">
        <v>18</v>
      </c>
      <c r="J163" s="9" t="s">
        <v>15</v>
      </c>
      <c r="K163" s="9" t="s">
        <v>0</v>
      </c>
      <c r="L163" s="9" t="s">
        <v>45</v>
      </c>
    </row>
    <row r="164" spans="2:16" ht="18" customHeight="1" x14ac:dyDescent="0.25">
      <c r="B164" s="15"/>
      <c r="C164" s="15" t="str">
        <f>IFERROR(IF(B164="","",VLOOKUP(B164,LISTAS!$F$5:$G$1004,2,0)),"0")</f>
        <v/>
      </c>
      <c r="D164" s="15" t="str">
        <f>IF(H164&lt;3,"",IF(H164=3,IF(D170&lt;&gt;"",IF(H170&lt;&gt;"",IF(D170&lt;&gt;H170,IF(D170&gt;H170,"V","D"),""),""),"")))</f>
        <v/>
      </c>
      <c r="E164" s="15" t="str">
        <f>IF(H164&lt;3,"",IF(H164=3,IF(D172&lt;&gt;"",IF(H172&lt;&gt;"",IF(D172&lt;&gt;H172,IF(D172&gt;H172,"V","D"),""),""),"")))</f>
        <v/>
      </c>
      <c r="F164" s="15" t="s">
        <v>81</v>
      </c>
      <c r="G164" s="15" t="s">
        <v>81</v>
      </c>
      <c r="H164" s="117">
        <f>COUNTA(B164:B166)</f>
        <v>0</v>
      </c>
      <c r="I164" s="15" t="str">
        <f>IF(B164&lt;&gt;"",1,"")</f>
        <v/>
      </c>
      <c r="J164" s="15" t="str">
        <f>IF(I164&lt;&gt;"",P164,"")</f>
        <v/>
      </c>
      <c r="K164" s="15" t="str">
        <f>IFERROR(IF(J164="","",VLOOKUP(J164,LISTAS!$F$5:$G$1004,2,0)),"0")</f>
        <v/>
      </c>
      <c r="L164" s="119" t="str">
        <f>IF(H164=3,"OURO",IF(H164=4,"OURO",IF(H164=5,"OURO","")))</f>
        <v/>
      </c>
      <c r="M164" s="20" t="str">
        <f>IF(B164&lt;&gt;"",COUNTIF(D164:G164,"V")+(SUMIF(B170:B172,B164,D170:E172)/1000)+(SUMIF(J170:J172,B164,H170:I172)/1000)-(SUMIF(B170:B172,B164,H170:I172)/1000)-(SUMIF(J170:J172,B164,D170:E172)/1000)+0.003,"")</f>
        <v/>
      </c>
      <c r="N164" s="20" t="str">
        <f>IF(B164="","",B164)</f>
        <v/>
      </c>
      <c r="O164" s="20" t="str">
        <f>IF(B164&lt;&gt;"",LARGE(M164:M166,1),"")</f>
        <v/>
      </c>
      <c r="P164" s="20" t="str">
        <f>VLOOKUP(O164,M164:N166,2,0)</f>
        <v/>
      </c>
    </row>
    <row r="165" spans="2:16" ht="18" customHeight="1" x14ac:dyDescent="0.25">
      <c r="B165" s="15"/>
      <c r="C165" s="15" t="str">
        <f>IFERROR(IF(B165="","",VLOOKUP(B165,LISTAS!$F$5:$G$1004,2,0)),"0")</f>
        <v/>
      </c>
      <c r="D165" s="15" t="str">
        <f>IF(H164&lt;3,"",IF(H164=3,IF(D171&lt;&gt;"",IF(H171&lt;&gt;"",IF(D171&lt;&gt;H171,IF(D171&gt;H171,"V","D"),""),""),"")))</f>
        <v/>
      </c>
      <c r="E165" s="15" t="str">
        <f>IF(H164&lt;3,"",IF(H164=3,IF(D172&lt;&gt;"",IF(H172&lt;&gt;"",IF(D172&lt;&gt;H172,IF(D172&gt;H172,"D","V"),""),""),"")))</f>
        <v/>
      </c>
      <c r="F165" s="15" t="s">
        <v>81</v>
      </c>
      <c r="G165" s="15" t="s">
        <v>81</v>
      </c>
      <c r="H165" s="115"/>
      <c r="I165" s="15" t="str">
        <f>IF(B165&lt;&gt;"",2,"")</f>
        <v/>
      </c>
      <c r="J165" s="15" t="str">
        <f>IF(I165&lt;&gt;"",P165,"")</f>
        <v/>
      </c>
      <c r="K165" s="15" t="str">
        <f>IFERROR(IF(J165="","",VLOOKUP(J165,LISTAS!$F$5:$G$1004,2,0)),"0")</f>
        <v/>
      </c>
      <c r="L165" s="119" t="str">
        <f>IF(H164=3,"PRATA",IF(H164=4,"OURO",IF(H164=5,"OURO","")))</f>
        <v/>
      </c>
      <c r="M165" s="20" t="str">
        <f>IF(B165&lt;&gt;"",COUNTIF(D165:G165,"V")+(SUMIF(B170:B172,B165,D170:E172)/1000)+(SUMIF(J170:J172,B165,H170:I172)/1000)-(SUMIF(B170:B172,B165,H170:I172)/1000)-(SUMIF(J170:J172,B165,D170:E172)/1000)+0.002,"")</f>
        <v/>
      </c>
      <c r="N165" s="20" t="str">
        <f t="shared" ref="N165" si="11">IF(B165="","",B165)</f>
        <v/>
      </c>
      <c r="O165" s="20" t="str">
        <f>IF(B165&lt;&gt;"",LARGE(M164:M166,2),"")</f>
        <v/>
      </c>
      <c r="P165" s="20" t="str">
        <f>VLOOKUP(O165,M164:N166,2,0)</f>
        <v/>
      </c>
    </row>
    <row r="166" spans="2:16" ht="18" customHeight="1" x14ac:dyDescent="0.25">
      <c r="B166" s="15"/>
      <c r="C166" s="15" t="str">
        <f>IFERROR(IF(B166="","",VLOOKUP(B166,LISTAS!$F$5:$G$1004,2,0)),"0")</f>
        <v/>
      </c>
      <c r="D166" s="15" t="str">
        <f>IF(H164&lt;3,"",IF(H164=3,IF(D170&lt;&gt;"",IF(H170&lt;&gt;"",IF(D170&lt;&gt;H170,IF(D170&gt;H170,"D","V"),""),""),"")))</f>
        <v/>
      </c>
      <c r="E166" s="15" t="str">
        <f>IF(H164&lt;3,"",IF(H164=3,IF(D171&lt;&gt;"",IF(H171&lt;&gt;"",IF(D171&lt;&gt;H171,IF(D171&gt;H171,"D","V"),""),""),"")))</f>
        <v/>
      </c>
      <c r="F166" s="15" t="s">
        <v>81</v>
      </c>
      <c r="G166" s="15" t="s">
        <v>81</v>
      </c>
      <c r="H166" s="115"/>
      <c r="I166" s="15" t="str">
        <f>IF(B166&lt;&gt;"",3,"")</f>
        <v/>
      </c>
      <c r="J166" s="15" t="str">
        <f>IF(I166&lt;&gt;"",P166,"")</f>
        <v/>
      </c>
      <c r="K166" s="15" t="str">
        <f>IFERROR(IF(J166="","",VLOOKUP(J166,LISTAS!$F$5:$G$1004,2,0)),"0")</f>
        <v/>
      </c>
      <c r="L166" s="119" t="str">
        <f>IF(H164=3,"BRONZE",IF(H164=4,"PRATA",IF(H164=5,"OURO","")))</f>
        <v/>
      </c>
      <c r="M166" s="20" t="str">
        <f>IF(B166&lt;&gt;"",COUNTIF(D166:G166,"V")+(SUMIF(B170:B172,B166,D170:E172)/1000)+(SUMIF(J170:J172,B166,H170:I172)/1000)-(SUMIF(B170:B172,B166,H170:I172)/1000)-(SUMIF(J170:J172,B166,D170:E172)/1000)+0.001,"")</f>
        <v/>
      </c>
      <c r="N166" s="20" t="str">
        <f>IF(B166="","",B166)</f>
        <v/>
      </c>
      <c r="O166" s="20" t="str">
        <f>IF(B166&lt;&gt;"",LARGE(M164:M166,3),"")</f>
        <v/>
      </c>
      <c r="P166" s="20" t="str">
        <f>VLOOKUP(O166,M164:N166,2,0)</f>
        <v/>
      </c>
    </row>
    <row r="167" spans="2:16" ht="18" customHeight="1" x14ac:dyDescent="0.25">
      <c r="B167" s="79"/>
      <c r="C167" s="79"/>
      <c r="D167" s="79"/>
      <c r="E167" s="79"/>
      <c r="F167" s="79"/>
      <c r="G167" s="79"/>
      <c r="I167" s="80"/>
      <c r="J167" s="79"/>
      <c r="K167" s="81"/>
      <c r="L167" s="81"/>
    </row>
    <row r="168" spans="2:16" ht="23.25" customHeight="1" x14ac:dyDescent="0.25">
      <c r="B168" s="82" t="s">
        <v>40</v>
      </c>
      <c r="C168" s="79"/>
      <c r="D168" s="79"/>
      <c r="E168" s="79"/>
      <c r="F168" s="79"/>
      <c r="G168" s="79"/>
      <c r="H168" s="79"/>
      <c r="I168" s="79"/>
      <c r="J168" s="79"/>
      <c r="K168" s="79"/>
      <c r="L168" s="79"/>
    </row>
    <row r="169" spans="2:16" ht="18" customHeight="1" x14ac:dyDescent="0.25">
      <c r="B169" s="9" t="s">
        <v>15</v>
      </c>
      <c r="C169" s="9" t="s">
        <v>0</v>
      </c>
      <c r="D169" s="228" t="s">
        <v>41</v>
      </c>
      <c r="E169" s="229"/>
      <c r="F169" s="229"/>
      <c r="G169" s="229"/>
      <c r="H169" s="229"/>
      <c r="I169" s="230"/>
      <c r="J169" s="9" t="s">
        <v>15</v>
      </c>
      <c r="K169" s="9" t="s">
        <v>0</v>
      </c>
      <c r="L169" s="79"/>
    </row>
    <row r="170" spans="2:16" ht="18" customHeight="1" x14ac:dyDescent="0.25">
      <c r="B170" s="15" t="str">
        <f>IF(H164=3,B164,"")</f>
        <v/>
      </c>
      <c r="C170" s="15" t="str">
        <f>IFERROR(IF(B170="","",VLOOKUP(B170,LISTAS!$F$5:$G$1004,2,0)),"0")</f>
        <v/>
      </c>
      <c r="D170" s="223"/>
      <c r="E170" s="224"/>
      <c r="F170" s="223" t="s">
        <v>38</v>
      </c>
      <c r="G170" s="224"/>
      <c r="H170" s="223"/>
      <c r="I170" s="224"/>
      <c r="J170" s="21" t="str">
        <f>IF(H164=3,B166,"")</f>
        <v/>
      </c>
      <c r="K170" s="15" t="str">
        <f>IFERROR(IF(J170="","",VLOOKUP(J170,LISTAS!$F$5:$G$1004,2,0)),"0")</f>
        <v/>
      </c>
      <c r="L170" s="81"/>
    </row>
    <row r="171" spans="2:16" ht="18" customHeight="1" x14ac:dyDescent="0.25">
      <c r="B171" s="15" t="str">
        <f>IF(H164=3,B165,"")</f>
        <v/>
      </c>
      <c r="C171" s="15" t="str">
        <f>IFERROR(IF(B171="","",VLOOKUP(B171,LISTAS!$F$5:$G$1004,2,0)),"0")</f>
        <v/>
      </c>
      <c r="D171" s="223"/>
      <c r="E171" s="224"/>
      <c r="F171" s="223" t="s">
        <v>38</v>
      </c>
      <c r="G171" s="224"/>
      <c r="H171" s="223"/>
      <c r="I171" s="224"/>
      <c r="J171" s="21" t="str">
        <f>IF(H164=3,B166,"")</f>
        <v/>
      </c>
      <c r="K171" s="15" t="str">
        <f>IFERROR(IF(J171="","",VLOOKUP(J171,LISTAS!$F$5:$G$1004,2,0)),"0")</f>
        <v/>
      </c>
      <c r="L171" s="79"/>
    </row>
    <row r="172" spans="2:16" ht="18" customHeight="1" x14ac:dyDescent="0.25">
      <c r="B172" s="15" t="str">
        <f>IF(H164=3,B164,"")</f>
        <v/>
      </c>
      <c r="C172" s="15" t="str">
        <f>IFERROR(IF(B172="","",VLOOKUP(B172,LISTAS!$F$5:$G$1004,2,0)),"0")</f>
        <v/>
      </c>
      <c r="D172" s="223"/>
      <c r="E172" s="224"/>
      <c r="F172" s="223" t="s">
        <v>38</v>
      </c>
      <c r="G172" s="224"/>
      <c r="H172" s="223"/>
      <c r="I172" s="224"/>
      <c r="J172" s="21" t="str">
        <f>IF(H164=3,B165,"")</f>
        <v/>
      </c>
      <c r="K172" s="15" t="str">
        <f>IFERROR(IF(J172="","",VLOOKUP(J172,LISTAS!$F$5:$G$1004,2,0)),"0")</f>
        <v/>
      </c>
      <c r="L172" s="81"/>
    </row>
    <row r="175" spans="2:16" ht="30" customHeight="1" x14ac:dyDescent="0.25">
      <c r="B175" s="161" t="s">
        <v>57</v>
      </c>
      <c r="C175" s="79"/>
      <c r="D175" s="225" t="s">
        <v>42</v>
      </c>
      <c r="E175" s="226"/>
      <c r="F175" s="226"/>
      <c r="G175" s="227"/>
      <c r="H175" s="113"/>
      <c r="I175" s="225" t="s">
        <v>3</v>
      </c>
      <c r="J175" s="226"/>
      <c r="K175" s="226"/>
      <c r="L175" s="226"/>
    </row>
    <row r="176" spans="2:16" ht="18" customHeight="1" x14ac:dyDescent="0.25">
      <c r="B176" s="9" t="s">
        <v>15</v>
      </c>
      <c r="C176" s="9" t="s">
        <v>0</v>
      </c>
      <c r="D176" s="9" t="s">
        <v>43</v>
      </c>
      <c r="E176" s="9" t="s">
        <v>44</v>
      </c>
      <c r="F176" s="9" t="s">
        <v>77</v>
      </c>
      <c r="G176" s="9" t="s">
        <v>78</v>
      </c>
      <c r="H176" s="114"/>
      <c r="I176" s="9" t="s">
        <v>18</v>
      </c>
      <c r="J176" s="9" t="s">
        <v>15</v>
      </c>
      <c r="K176" s="9" t="s">
        <v>0</v>
      </c>
      <c r="L176" s="9" t="s">
        <v>45</v>
      </c>
    </row>
    <row r="177" spans="2:16" ht="18" customHeight="1" x14ac:dyDescent="0.25">
      <c r="B177" s="15"/>
      <c r="C177" s="15" t="str">
        <f>IFERROR(IF(B177="","",VLOOKUP(B177,LISTAS!$F$5:$G$1004,2,0)),"0")</f>
        <v/>
      </c>
      <c r="D177" s="15" t="str">
        <f>IF(H177&lt;3,"",IF(H177=3,IF(D183&lt;&gt;"",IF(H183&lt;&gt;"",IF(D183&lt;&gt;H183,IF(D183&gt;H183,"V","D"),""),""),"")))</f>
        <v/>
      </c>
      <c r="E177" s="15" t="str">
        <f>IF(H177&lt;3,"",IF(H177=3,IF(D185&lt;&gt;"",IF(H185&lt;&gt;"",IF(D185&lt;&gt;H185,IF(D185&gt;H185,"V","D"),""),""),"")))</f>
        <v/>
      </c>
      <c r="F177" s="15" t="s">
        <v>81</v>
      </c>
      <c r="G177" s="15" t="s">
        <v>81</v>
      </c>
      <c r="H177" s="117">
        <f>COUNTA(B177:B179)</f>
        <v>0</v>
      </c>
      <c r="I177" s="15" t="str">
        <f>IF(B177&lt;&gt;"",1,"")</f>
        <v/>
      </c>
      <c r="J177" s="15" t="str">
        <f>IF(I177&lt;&gt;"",P177,"")</f>
        <v/>
      </c>
      <c r="K177" s="15" t="str">
        <f>IFERROR(IF(J177="","",VLOOKUP(J177,LISTAS!$F$5:$G$1004,2,0)),"0")</f>
        <v/>
      </c>
      <c r="L177" s="119" t="str">
        <f>IF(H177=3,"OURO",IF(H177=4,"OURO",IF(H177=5,"OURO","")))</f>
        <v/>
      </c>
      <c r="M177" s="20" t="str">
        <f>IF(B177&lt;&gt;"",COUNTIF(D177:G177,"V")+(SUMIF(B183:B185,B177,D183:E185)/1000)+(SUMIF(J183:J185,B177,H183:I185)/1000)-(SUMIF(B183:B185,B177,H183:I185)/1000)-(SUMIF(J183:J185,B177,D183:E185)/1000)+0.003,"")</f>
        <v/>
      </c>
      <c r="N177" s="20" t="str">
        <f>IF(B177="","",B177)</f>
        <v/>
      </c>
      <c r="O177" s="20" t="str">
        <f>IF(B177&lt;&gt;"",LARGE(M177:M179,1),"")</f>
        <v/>
      </c>
      <c r="P177" s="20" t="str">
        <f>VLOOKUP(O177,M177:N179,2,0)</f>
        <v/>
      </c>
    </row>
    <row r="178" spans="2:16" ht="18" customHeight="1" x14ac:dyDescent="0.25">
      <c r="B178" s="15"/>
      <c r="C178" s="15" t="str">
        <f>IFERROR(IF(B178="","",VLOOKUP(B178,LISTAS!$F$5:$G$1004,2,0)),"0")</f>
        <v/>
      </c>
      <c r="D178" s="15" t="str">
        <f>IF(H177&lt;3,"",IF(H177=3,IF(D184&lt;&gt;"",IF(H184&lt;&gt;"",IF(D184&lt;&gt;H184,IF(D184&gt;H184,"V","D"),""),""),"")))</f>
        <v/>
      </c>
      <c r="E178" s="15" t="str">
        <f>IF(H177&lt;3,"",IF(H177=3,IF(D185&lt;&gt;"",IF(H185&lt;&gt;"",IF(D185&lt;&gt;H185,IF(D185&gt;H185,"D","V"),""),""),"")))</f>
        <v/>
      </c>
      <c r="F178" s="15" t="s">
        <v>81</v>
      </c>
      <c r="G178" s="15" t="s">
        <v>81</v>
      </c>
      <c r="H178" s="115"/>
      <c r="I178" s="15" t="str">
        <f>IF(B178&lt;&gt;"",2,"")</f>
        <v/>
      </c>
      <c r="J178" s="15" t="str">
        <f>IF(I178&lt;&gt;"",P178,"")</f>
        <v/>
      </c>
      <c r="K178" s="15" t="str">
        <f>IFERROR(IF(J178="","",VLOOKUP(J178,LISTAS!$F$5:$G$1004,2,0)),"0")</f>
        <v/>
      </c>
      <c r="L178" s="119" t="str">
        <f>IF(H177=3,"PRATA",IF(H177=4,"OURO",IF(H177=5,"OURO","")))</f>
        <v/>
      </c>
      <c r="M178" s="20" t="str">
        <f>IF(B178&lt;&gt;"",COUNTIF(D178:G178,"V")+(SUMIF(B183:B185,B178,D183:E185)/1000)+(SUMIF(J183:J185,B178,H183:I185)/1000)-(SUMIF(B183:B185,B178,H183:I185)/1000)-(SUMIF(J183:J185,B178,D183:E185)/1000)+0.002,"")</f>
        <v/>
      </c>
      <c r="N178" s="20" t="str">
        <f t="shared" ref="N178" si="12">IF(B178="","",B178)</f>
        <v/>
      </c>
      <c r="O178" s="20" t="str">
        <f>IF(B178&lt;&gt;"",LARGE(M177:M179,2),"")</f>
        <v/>
      </c>
      <c r="P178" s="20" t="str">
        <f>VLOOKUP(O178,M177:N179,2,0)</f>
        <v/>
      </c>
    </row>
    <row r="179" spans="2:16" ht="18" customHeight="1" x14ac:dyDescent="0.25">
      <c r="B179" s="15"/>
      <c r="C179" s="15" t="str">
        <f>IFERROR(IF(B179="","",VLOOKUP(B179,LISTAS!$F$5:$G$1004,2,0)),"0")</f>
        <v/>
      </c>
      <c r="D179" s="15" t="str">
        <f>IF(H177&lt;3,"",IF(H177=3,IF(D183&lt;&gt;"",IF(H183&lt;&gt;"",IF(D183&lt;&gt;H183,IF(D183&gt;H183,"D","V"),""),""),"")))</f>
        <v/>
      </c>
      <c r="E179" s="15" t="str">
        <f>IF(H177&lt;3,"",IF(H177=3,IF(D184&lt;&gt;"",IF(H184&lt;&gt;"",IF(D184&lt;&gt;H184,IF(D184&gt;H184,"D","V"),""),""),"")))</f>
        <v/>
      </c>
      <c r="F179" s="15" t="s">
        <v>81</v>
      </c>
      <c r="G179" s="15" t="s">
        <v>81</v>
      </c>
      <c r="H179" s="115"/>
      <c r="I179" s="15" t="str">
        <f>IF(B179&lt;&gt;"",3,"")</f>
        <v/>
      </c>
      <c r="J179" s="15" t="str">
        <f>IF(I179&lt;&gt;"",P179,"")</f>
        <v/>
      </c>
      <c r="K179" s="15" t="str">
        <f>IFERROR(IF(J179="","",VLOOKUP(J179,LISTAS!$F$5:$G$1004,2,0)),"0")</f>
        <v/>
      </c>
      <c r="L179" s="119" t="str">
        <f>IF(H177=3,"BRONZE",IF(H177=4,"PRATA",IF(H177=5,"OURO","")))</f>
        <v/>
      </c>
      <c r="M179" s="20" t="str">
        <f>IF(B179&lt;&gt;"",COUNTIF(D179:G179,"V")+(SUMIF(B183:B185,B179,D183:E185)/1000)+(SUMIF(J183:J185,B179,H183:I185)/1000)-(SUMIF(B183:B185,B179,H183:I185)/1000)-(SUMIF(J183:J185,B179,D183:E185)/1000)+0.001,"")</f>
        <v/>
      </c>
      <c r="N179" s="20" t="str">
        <f>IF(B179="","",B179)</f>
        <v/>
      </c>
      <c r="O179" s="20" t="str">
        <f>IF(B179&lt;&gt;"",LARGE(M177:M179,3),"")</f>
        <v/>
      </c>
      <c r="P179" s="20" t="str">
        <f>VLOOKUP(O179,M177:N179,2,0)</f>
        <v/>
      </c>
    </row>
    <row r="180" spans="2:16" ht="18" customHeight="1" x14ac:dyDescent="0.25">
      <c r="B180" s="79"/>
      <c r="C180" s="79"/>
      <c r="D180" s="79"/>
      <c r="E180" s="79"/>
      <c r="F180" s="79"/>
      <c r="G180" s="79"/>
      <c r="I180" s="80"/>
      <c r="J180" s="79"/>
      <c r="K180" s="81"/>
      <c r="L180" s="81"/>
    </row>
    <row r="181" spans="2:16" ht="23.25" customHeight="1" x14ac:dyDescent="0.25">
      <c r="B181" s="82" t="s">
        <v>40</v>
      </c>
      <c r="C181" s="79"/>
      <c r="D181" s="79"/>
      <c r="E181" s="79"/>
      <c r="F181" s="79"/>
      <c r="G181" s="79"/>
      <c r="H181" s="79"/>
      <c r="I181" s="79"/>
      <c r="J181" s="79"/>
      <c r="K181" s="79"/>
      <c r="L181" s="79"/>
    </row>
    <row r="182" spans="2:16" ht="18" customHeight="1" x14ac:dyDescent="0.25">
      <c r="B182" s="9" t="s">
        <v>15</v>
      </c>
      <c r="C182" s="9" t="s">
        <v>0</v>
      </c>
      <c r="D182" s="228" t="s">
        <v>41</v>
      </c>
      <c r="E182" s="229"/>
      <c r="F182" s="229"/>
      <c r="G182" s="229"/>
      <c r="H182" s="229"/>
      <c r="I182" s="230"/>
      <c r="J182" s="9" t="s">
        <v>15</v>
      </c>
      <c r="K182" s="9" t="s">
        <v>0</v>
      </c>
      <c r="L182" s="79"/>
    </row>
    <row r="183" spans="2:16" ht="18" customHeight="1" x14ac:dyDescent="0.25">
      <c r="B183" s="15" t="str">
        <f>IF(H177=3,B177,"")</f>
        <v/>
      </c>
      <c r="C183" s="15" t="str">
        <f>IFERROR(IF(B183="","",VLOOKUP(B183,LISTAS!$F$5:$G$1004,2,0)),"0")</f>
        <v/>
      </c>
      <c r="D183" s="223"/>
      <c r="E183" s="224"/>
      <c r="F183" s="223" t="s">
        <v>38</v>
      </c>
      <c r="G183" s="224"/>
      <c r="H183" s="223"/>
      <c r="I183" s="224"/>
      <c r="J183" s="21" t="str">
        <f>IF(H177=3,B179,"")</f>
        <v/>
      </c>
      <c r="K183" s="15" t="str">
        <f>IFERROR(IF(J183="","",VLOOKUP(J183,LISTAS!$F$5:$G$1004,2,0)),"0")</f>
        <v/>
      </c>
      <c r="L183" s="81"/>
    </row>
    <row r="184" spans="2:16" ht="18" customHeight="1" x14ac:dyDescent="0.25">
      <c r="B184" s="15" t="str">
        <f>IF(H177=3,B178,"")</f>
        <v/>
      </c>
      <c r="C184" s="15" t="str">
        <f>IFERROR(IF(B184="","",VLOOKUP(B184,LISTAS!$F$5:$G$1004,2,0)),"0")</f>
        <v/>
      </c>
      <c r="D184" s="223"/>
      <c r="E184" s="224"/>
      <c r="F184" s="223" t="s">
        <v>38</v>
      </c>
      <c r="G184" s="224"/>
      <c r="H184" s="223"/>
      <c r="I184" s="224"/>
      <c r="J184" s="21" t="str">
        <f>IF(H177=3,B179,"")</f>
        <v/>
      </c>
      <c r="K184" s="15" t="str">
        <f>IFERROR(IF(J184="","",VLOOKUP(J184,LISTAS!$F$5:$G$1004,2,0)),"0")</f>
        <v/>
      </c>
      <c r="L184" s="79"/>
    </row>
    <row r="185" spans="2:16" ht="18" customHeight="1" x14ac:dyDescent="0.25">
      <c r="B185" s="15" t="str">
        <f>IF(H177=3,B177,"")</f>
        <v/>
      </c>
      <c r="C185" s="15" t="str">
        <f>IFERROR(IF(B185="","",VLOOKUP(B185,LISTAS!$F$5:$G$1004,2,0)),"0")</f>
        <v/>
      </c>
      <c r="D185" s="223"/>
      <c r="E185" s="224"/>
      <c r="F185" s="223" t="s">
        <v>38</v>
      </c>
      <c r="G185" s="224"/>
      <c r="H185" s="223"/>
      <c r="I185" s="224"/>
      <c r="J185" s="21" t="str">
        <f>IF(H177=3,B178,"")</f>
        <v/>
      </c>
      <c r="K185" s="15" t="str">
        <f>IFERROR(IF(J185="","",VLOOKUP(J185,LISTAS!$F$5:$G$1004,2,0)),"0")</f>
        <v/>
      </c>
      <c r="L185" s="81"/>
    </row>
    <row r="188" spans="2:16" ht="30" customHeight="1" x14ac:dyDescent="0.25">
      <c r="B188" s="161" t="s">
        <v>58</v>
      </c>
      <c r="C188" s="79"/>
      <c r="D188" s="225" t="s">
        <v>42</v>
      </c>
      <c r="E188" s="226"/>
      <c r="F188" s="226"/>
      <c r="G188" s="227"/>
      <c r="H188" s="113"/>
      <c r="I188" s="225" t="s">
        <v>3</v>
      </c>
      <c r="J188" s="226"/>
      <c r="K188" s="226"/>
      <c r="L188" s="226"/>
    </row>
    <row r="189" spans="2:16" ht="18" customHeight="1" x14ac:dyDescent="0.25">
      <c r="B189" s="9" t="s">
        <v>15</v>
      </c>
      <c r="C189" s="9" t="s">
        <v>0</v>
      </c>
      <c r="D189" s="9" t="s">
        <v>43</v>
      </c>
      <c r="E189" s="9" t="s">
        <v>44</v>
      </c>
      <c r="F189" s="9" t="s">
        <v>77</v>
      </c>
      <c r="G189" s="9" t="s">
        <v>78</v>
      </c>
      <c r="H189" s="114"/>
      <c r="I189" s="9" t="s">
        <v>18</v>
      </c>
      <c r="J189" s="9" t="s">
        <v>15</v>
      </c>
      <c r="K189" s="9" t="s">
        <v>0</v>
      </c>
      <c r="L189" s="9" t="s">
        <v>45</v>
      </c>
    </row>
    <row r="190" spans="2:16" ht="18" customHeight="1" x14ac:dyDescent="0.25">
      <c r="B190" s="15"/>
      <c r="C190" s="15" t="str">
        <f>IFERROR(IF(B190="","",VLOOKUP(B190,LISTAS!$F$5:$G$1004,2,0)),"0")</f>
        <v/>
      </c>
      <c r="D190" s="15" t="str">
        <f>IF(H190&lt;3,"",IF(H190=3,IF(D196&lt;&gt;"",IF(H196&lt;&gt;"",IF(D196&lt;&gt;H196,IF(D196&gt;H196,"V","D"),""),""),"")))</f>
        <v/>
      </c>
      <c r="E190" s="15" t="str">
        <f>IF(H190&lt;3,"",IF(H190=3,IF(D198&lt;&gt;"",IF(H198&lt;&gt;"",IF(D198&lt;&gt;H198,IF(D198&gt;H198,"V","D"),""),""),"")))</f>
        <v/>
      </c>
      <c r="F190" s="15" t="s">
        <v>81</v>
      </c>
      <c r="G190" s="15" t="s">
        <v>81</v>
      </c>
      <c r="H190" s="117">
        <f>COUNTA(B190:B192)</f>
        <v>0</v>
      </c>
      <c r="I190" s="15" t="str">
        <f>IF(B190&lt;&gt;"",1,"")</f>
        <v/>
      </c>
      <c r="J190" s="15" t="str">
        <f>IF(I190&lt;&gt;"",P190,"")</f>
        <v/>
      </c>
      <c r="K190" s="15" t="str">
        <f>IFERROR(IF(J190="","",VLOOKUP(J190,LISTAS!$F$5:$G$1004,2,0)),"0")</f>
        <v/>
      </c>
      <c r="L190" s="119" t="str">
        <f>IF(H190=3,"OURO",IF(H190=4,"OURO",IF(H190=5,"OURO","")))</f>
        <v/>
      </c>
      <c r="M190" s="20" t="str">
        <f>IF(B190&lt;&gt;"",COUNTIF(D190:G190,"V")+(SUMIF(B196:B198,B190,D196:E198)/1000)+(SUMIF(J196:J198,B190,H196:I198)/1000)-(SUMIF(B196:B198,B190,H196:I198)/1000)-(SUMIF(J196:J198,B190,D196:E198)/1000)+0.003,"")</f>
        <v/>
      </c>
      <c r="N190" s="20" t="str">
        <f>IF(B190="","",B190)</f>
        <v/>
      </c>
      <c r="O190" s="20" t="str">
        <f>IF(B190&lt;&gt;"",LARGE(M190:M192,1),"")</f>
        <v/>
      </c>
      <c r="P190" s="20" t="str">
        <f>VLOOKUP(O190,M190:N192,2,0)</f>
        <v/>
      </c>
    </row>
    <row r="191" spans="2:16" ht="18" customHeight="1" x14ac:dyDescent="0.25">
      <c r="B191" s="15"/>
      <c r="C191" s="15" t="str">
        <f>IFERROR(IF(B191="","",VLOOKUP(B191,LISTAS!$F$5:$G$1004,2,0)),"0")</f>
        <v/>
      </c>
      <c r="D191" s="15" t="str">
        <f>IF(H190&lt;3,"",IF(H190=3,IF(D197&lt;&gt;"",IF(H197&lt;&gt;"",IF(D197&lt;&gt;H197,IF(D197&gt;H197,"V","D"),""),""),"")))</f>
        <v/>
      </c>
      <c r="E191" s="15" t="str">
        <f>IF(H190&lt;3,"",IF(H190=3,IF(D198&lt;&gt;"",IF(H198&lt;&gt;"",IF(D198&lt;&gt;H198,IF(D198&gt;H198,"D","V"),""),""),"")))</f>
        <v/>
      </c>
      <c r="F191" s="15" t="s">
        <v>81</v>
      </c>
      <c r="G191" s="15" t="s">
        <v>81</v>
      </c>
      <c r="H191" s="115"/>
      <c r="I191" s="15" t="str">
        <f>IF(B191&lt;&gt;"",2,"")</f>
        <v/>
      </c>
      <c r="J191" s="15" t="str">
        <f>IF(I191&lt;&gt;"",P191,"")</f>
        <v/>
      </c>
      <c r="K191" s="15" t="str">
        <f>IFERROR(IF(J191="","",VLOOKUP(J191,LISTAS!$F$5:$G$1004,2,0)),"0")</f>
        <v/>
      </c>
      <c r="L191" s="119" t="str">
        <f>IF(H190=3,"PRATA",IF(H190=4,"OURO",IF(H190=5,"OURO","")))</f>
        <v/>
      </c>
      <c r="M191" s="20" t="str">
        <f>IF(B191&lt;&gt;"",COUNTIF(D191:G191,"V")+(SUMIF(B196:B198,B191,D196:E198)/1000)+(SUMIF(J196:J198,B191,H196:I198)/1000)-(SUMIF(B196:B198,B191,H196:I198)/1000)-(SUMIF(J196:J198,B191,D196:E198)/1000)+0.002,"")</f>
        <v/>
      </c>
      <c r="N191" s="20" t="str">
        <f t="shared" ref="N191" si="13">IF(B191="","",B191)</f>
        <v/>
      </c>
      <c r="O191" s="20" t="str">
        <f>IF(B191&lt;&gt;"",LARGE(M190:M192,2),"")</f>
        <v/>
      </c>
      <c r="P191" s="20" t="str">
        <f>VLOOKUP(O191,M190:N192,2,0)</f>
        <v/>
      </c>
    </row>
    <row r="192" spans="2:16" ht="18" customHeight="1" x14ac:dyDescent="0.25">
      <c r="B192" s="15"/>
      <c r="C192" s="15" t="str">
        <f>IFERROR(IF(B192="","",VLOOKUP(B192,LISTAS!$F$5:$G$1004,2,0)),"0")</f>
        <v/>
      </c>
      <c r="D192" s="15" t="str">
        <f>IF(H190&lt;3,"",IF(H190=3,IF(D196&lt;&gt;"",IF(H196&lt;&gt;"",IF(D196&lt;&gt;H196,IF(D196&gt;H196,"D","V"),""),""),"")))</f>
        <v/>
      </c>
      <c r="E192" s="15" t="str">
        <f>IF(H190&lt;3,"",IF(H190=3,IF(D197&lt;&gt;"",IF(H197&lt;&gt;"",IF(D197&lt;&gt;H197,IF(D197&gt;H197,"D","V"),""),""),"")))</f>
        <v/>
      </c>
      <c r="F192" s="15" t="s">
        <v>81</v>
      </c>
      <c r="G192" s="15" t="s">
        <v>81</v>
      </c>
      <c r="H192" s="115"/>
      <c r="I192" s="15" t="str">
        <f>IF(B192&lt;&gt;"",3,"")</f>
        <v/>
      </c>
      <c r="J192" s="15" t="str">
        <f>IF(I192&lt;&gt;"",P192,"")</f>
        <v/>
      </c>
      <c r="K192" s="15" t="str">
        <f>IFERROR(IF(J192="","",VLOOKUP(J192,LISTAS!$F$5:$G$1004,2,0)),"0")</f>
        <v/>
      </c>
      <c r="L192" s="119" t="str">
        <f>IF(H190=3,"BRONZE",IF(H190=4,"PRATA",IF(H190=5,"OURO","")))</f>
        <v/>
      </c>
      <c r="M192" s="20" t="str">
        <f>IF(B192&lt;&gt;"",COUNTIF(D192:G192,"V")+(SUMIF(B196:B198,B192,D196:E198)/1000)+(SUMIF(J196:J198,B192,H196:I198)/1000)-(SUMIF(B196:B198,B192,H196:I198)/1000)-(SUMIF(J196:J198,B192,D196:E198)/1000)+0.001,"")</f>
        <v/>
      </c>
      <c r="N192" s="20" t="str">
        <f>IF(B192="","",B192)</f>
        <v/>
      </c>
      <c r="O192" s="20" t="str">
        <f>IF(B192&lt;&gt;"",LARGE(M190:M192,3),"")</f>
        <v/>
      </c>
      <c r="P192" s="20" t="str">
        <f>VLOOKUP(O192,M190:N192,2,0)</f>
        <v/>
      </c>
    </row>
    <row r="193" spans="2:16" ht="18" customHeight="1" x14ac:dyDescent="0.25">
      <c r="B193" s="79"/>
      <c r="C193" s="79"/>
      <c r="D193" s="79"/>
      <c r="E193" s="79"/>
      <c r="F193" s="79"/>
      <c r="G193" s="79"/>
      <c r="I193" s="80"/>
      <c r="J193" s="79"/>
      <c r="K193" s="81"/>
      <c r="L193" s="81"/>
    </row>
    <row r="194" spans="2:16" ht="23.25" customHeight="1" x14ac:dyDescent="0.25">
      <c r="B194" s="82" t="s">
        <v>40</v>
      </c>
      <c r="C194" s="79"/>
      <c r="D194" s="79"/>
      <c r="E194" s="79"/>
      <c r="F194" s="79"/>
      <c r="G194" s="79"/>
      <c r="H194" s="79"/>
      <c r="I194" s="79"/>
      <c r="J194" s="79"/>
      <c r="K194" s="79"/>
      <c r="L194" s="79"/>
    </row>
    <row r="195" spans="2:16" ht="18" customHeight="1" x14ac:dyDescent="0.25">
      <c r="B195" s="9" t="s">
        <v>15</v>
      </c>
      <c r="C195" s="9" t="s">
        <v>0</v>
      </c>
      <c r="D195" s="228" t="s">
        <v>41</v>
      </c>
      <c r="E195" s="229"/>
      <c r="F195" s="229"/>
      <c r="G195" s="229"/>
      <c r="H195" s="229"/>
      <c r="I195" s="230"/>
      <c r="J195" s="9" t="s">
        <v>15</v>
      </c>
      <c r="K195" s="9" t="s">
        <v>0</v>
      </c>
      <c r="L195" s="79"/>
    </row>
    <row r="196" spans="2:16" ht="18" customHeight="1" x14ac:dyDescent="0.25">
      <c r="B196" s="15" t="str">
        <f>IF(H190=3,B190,"")</f>
        <v/>
      </c>
      <c r="C196" s="15" t="str">
        <f>IFERROR(IF(B196="","",VLOOKUP(B196,LISTAS!$F$5:$G$1004,2,0)),"0")</f>
        <v/>
      </c>
      <c r="D196" s="223"/>
      <c r="E196" s="224"/>
      <c r="F196" s="223" t="s">
        <v>38</v>
      </c>
      <c r="G196" s="224"/>
      <c r="H196" s="223"/>
      <c r="I196" s="224"/>
      <c r="J196" s="21" t="str">
        <f>IF(H190=3,B192,"")</f>
        <v/>
      </c>
      <c r="K196" s="15" t="str">
        <f>IFERROR(IF(J196="","",VLOOKUP(J196,LISTAS!$F$5:$G$1004,2,0)),"0")</f>
        <v/>
      </c>
      <c r="L196" s="81"/>
    </row>
    <row r="197" spans="2:16" ht="18" customHeight="1" x14ac:dyDescent="0.25">
      <c r="B197" s="15" t="str">
        <f>IF(H190=3,B191,"")</f>
        <v/>
      </c>
      <c r="C197" s="15" t="str">
        <f>IFERROR(IF(B197="","",VLOOKUP(B197,LISTAS!$F$5:$G$1004,2,0)),"0")</f>
        <v/>
      </c>
      <c r="D197" s="223"/>
      <c r="E197" s="224"/>
      <c r="F197" s="223" t="s">
        <v>38</v>
      </c>
      <c r="G197" s="224"/>
      <c r="H197" s="223"/>
      <c r="I197" s="224"/>
      <c r="J197" s="21" t="str">
        <f>IF(H190=3,B192,"")</f>
        <v/>
      </c>
      <c r="K197" s="15" t="str">
        <f>IFERROR(IF(J197="","",VLOOKUP(J197,LISTAS!$F$5:$G$1004,2,0)),"0")</f>
        <v/>
      </c>
      <c r="L197" s="79"/>
    </row>
    <row r="198" spans="2:16" ht="18" customHeight="1" x14ac:dyDescent="0.25">
      <c r="B198" s="15" t="str">
        <f>IF(H190=3,B190,"")</f>
        <v/>
      </c>
      <c r="C198" s="15" t="str">
        <f>IFERROR(IF(B198="","",VLOOKUP(B198,LISTAS!$F$5:$G$1004,2,0)),"0")</f>
        <v/>
      </c>
      <c r="D198" s="223"/>
      <c r="E198" s="224"/>
      <c r="F198" s="223" t="s">
        <v>38</v>
      </c>
      <c r="G198" s="224"/>
      <c r="H198" s="223"/>
      <c r="I198" s="224"/>
      <c r="J198" s="21" t="str">
        <f>IF(H190=3,B191,"")</f>
        <v/>
      </c>
      <c r="K198" s="15" t="str">
        <f>IFERROR(IF(J198="","",VLOOKUP(J198,LISTAS!$F$5:$G$1004,2,0)),"0")</f>
        <v/>
      </c>
      <c r="L198" s="81"/>
    </row>
    <row r="201" spans="2:16" ht="30" customHeight="1" x14ac:dyDescent="0.25">
      <c r="B201" s="161" t="s">
        <v>59</v>
      </c>
      <c r="C201" s="79"/>
      <c r="D201" s="225" t="s">
        <v>42</v>
      </c>
      <c r="E201" s="226"/>
      <c r="F201" s="226"/>
      <c r="G201" s="227"/>
      <c r="H201" s="113"/>
      <c r="I201" s="225" t="s">
        <v>3</v>
      </c>
      <c r="J201" s="226"/>
      <c r="K201" s="226"/>
      <c r="L201" s="226"/>
    </row>
    <row r="202" spans="2:16" ht="18" customHeight="1" x14ac:dyDescent="0.25">
      <c r="B202" s="9" t="s">
        <v>15</v>
      </c>
      <c r="C202" s="9" t="s">
        <v>0</v>
      </c>
      <c r="D202" s="9" t="s">
        <v>43</v>
      </c>
      <c r="E202" s="9" t="s">
        <v>44</v>
      </c>
      <c r="F202" s="9" t="s">
        <v>77</v>
      </c>
      <c r="G202" s="9" t="s">
        <v>78</v>
      </c>
      <c r="H202" s="114"/>
      <c r="I202" s="9" t="s">
        <v>18</v>
      </c>
      <c r="J202" s="9" t="s">
        <v>15</v>
      </c>
      <c r="K202" s="9" t="s">
        <v>0</v>
      </c>
      <c r="L202" s="9" t="s">
        <v>45</v>
      </c>
    </row>
    <row r="203" spans="2:16" ht="18" customHeight="1" x14ac:dyDescent="0.25">
      <c r="B203" s="15"/>
      <c r="C203" s="15" t="str">
        <f>IFERROR(IF(B203="","",VLOOKUP(B203,LISTAS!$F$5:$G$1004,2,0)),"0")</f>
        <v/>
      </c>
      <c r="D203" s="15" t="str">
        <f>IF(H203&lt;3,"",IF(H203=3,IF(D209&lt;&gt;"",IF(H209&lt;&gt;"",IF(D209&lt;&gt;H209,IF(D209&gt;H209,"V","D"),""),""),"")))</f>
        <v/>
      </c>
      <c r="E203" s="15" t="str">
        <f>IF(H203&lt;3,"",IF(H203=3,IF(D211&lt;&gt;"",IF(H211&lt;&gt;"",IF(D211&lt;&gt;H211,IF(D211&gt;H211,"V","D"),""),""),"")))</f>
        <v/>
      </c>
      <c r="F203" s="15" t="s">
        <v>81</v>
      </c>
      <c r="G203" s="15" t="s">
        <v>81</v>
      </c>
      <c r="H203" s="117">
        <f>COUNTA(B203:B205)</f>
        <v>0</v>
      </c>
      <c r="I203" s="15" t="str">
        <f>IF(B203&lt;&gt;"",1,"")</f>
        <v/>
      </c>
      <c r="J203" s="15" t="str">
        <f>IF(I203&lt;&gt;"",P203,"")</f>
        <v/>
      </c>
      <c r="K203" s="15" t="str">
        <f>IFERROR(IF(J203="","",VLOOKUP(J203,LISTAS!$F$5:$G$1004,2,0)),"0")</f>
        <v/>
      </c>
      <c r="L203" s="119" t="str">
        <f>IF(H203=3,"OURO",IF(H203=4,"OURO",IF(H203=5,"OURO","")))</f>
        <v/>
      </c>
      <c r="M203" s="20" t="str">
        <f>IF(B203&lt;&gt;"",COUNTIF(D203:G203,"V")+(SUMIF(B209:B211,B203,D209:E211)/1000)+(SUMIF(J209:J211,B203,H209:I211)/1000)-(SUMIF(B209:B211,B203,H209:I211)/1000)-(SUMIF(J209:J211,B203,D209:E211)/1000)+0.003,"")</f>
        <v/>
      </c>
      <c r="N203" s="20" t="str">
        <f>IF(B203="","",B203)</f>
        <v/>
      </c>
      <c r="O203" s="20" t="str">
        <f>IF(B203&lt;&gt;"",LARGE(M203:M205,1),"")</f>
        <v/>
      </c>
      <c r="P203" s="20" t="str">
        <f>VLOOKUP(O203,M203:N205,2,0)</f>
        <v/>
      </c>
    </row>
    <row r="204" spans="2:16" ht="18" customHeight="1" x14ac:dyDescent="0.25">
      <c r="B204" s="15"/>
      <c r="C204" s="15" t="str">
        <f>IFERROR(IF(B204="","",VLOOKUP(B204,LISTAS!$F$5:$G$1004,2,0)),"0")</f>
        <v/>
      </c>
      <c r="D204" s="15" t="str">
        <f>IF(H203&lt;3,"",IF(H203=3,IF(D210&lt;&gt;"",IF(H210&lt;&gt;"",IF(D210&lt;&gt;H210,IF(D210&gt;H210,"V","D"),""),""),"")))</f>
        <v/>
      </c>
      <c r="E204" s="15" t="str">
        <f>IF(H203&lt;3,"",IF(H203=3,IF(D211&lt;&gt;"",IF(H211&lt;&gt;"",IF(D211&lt;&gt;H211,IF(D211&gt;H211,"D","V"),""),""),"")))</f>
        <v/>
      </c>
      <c r="F204" s="15" t="s">
        <v>81</v>
      </c>
      <c r="G204" s="15" t="s">
        <v>81</v>
      </c>
      <c r="H204" s="115"/>
      <c r="I204" s="15" t="str">
        <f>IF(B204&lt;&gt;"",2,"")</f>
        <v/>
      </c>
      <c r="J204" s="15" t="str">
        <f>IF(I204&lt;&gt;"",P204,"")</f>
        <v/>
      </c>
      <c r="K204" s="15" t="str">
        <f>IFERROR(IF(J204="","",VLOOKUP(J204,LISTAS!$F$5:$G$1004,2,0)),"0")</f>
        <v/>
      </c>
      <c r="L204" s="119" t="str">
        <f>IF(H203=3,"PRATA",IF(H203=4,"OURO",IF(H203=5,"OURO","")))</f>
        <v/>
      </c>
      <c r="M204" s="20" t="str">
        <f>IF(B204&lt;&gt;"",COUNTIF(D204:G204,"V")+(SUMIF(B209:B211,B204,D209:E211)/1000)+(SUMIF(J209:J211,B204,H209:I211)/1000)-(SUMIF(B209:B211,B204,H209:I211)/1000)-(SUMIF(J209:J211,B204,D209:E211)/1000)+0.002,"")</f>
        <v/>
      </c>
      <c r="N204" s="20" t="str">
        <f t="shared" ref="N204" si="14">IF(B204="","",B204)</f>
        <v/>
      </c>
      <c r="O204" s="20" t="str">
        <f>IF(B204&lt;&gt;"",LARGE(M203:M205,2),"")</f>
        <v/>
      </c>
      <c r="P204" s="20" t="str">
        <f>VLOOKUP(O204,M203:N205,2,0)</f>
        <v/>
      </c>
    </row>
    <row r="205" spans="2:16" ht="18" customHeight="1" x14ac:dyDescent="0.25">
      <c r="B205" s="15"/>
      <c r="C205" s="15" t="str">
        <f>IFERROR(IF(B205="","",VLOOKUP(B205,LISTAS!$F$5:$G$1004,2,0)),"0")</f>
        <v/>
      </c>
      <c r="D205" s="15" t="str">
        <f>IF(H203&lt;3,"",IF(H203=3,IF(D209&lt;&gt;"",IF(H209&lt;&gt;"",IF(D209&lt;&gt;H209,IF(D209&gt;H209,"D","V"),""),""),"")))</f>
        <v/>
      </c>
      <c r="E205" s="15" t="str">
        <f>IF(H203&lt;3,"",IF(H203=3,IF(D210&lt;&gt;"",IF(H210&lt;&gt;"",IF(D210&lt;&gt;H210,IF(D210&gt;H210,"D","V"),""),""),"")))</f>
        <v/>
      </c>
      <c r="F205" s="15" t="s">
        <v>81</v>
      </c>
      <c r="G205" s="15" t="s">
        <v>81</v>
      </c>
      <c r="H205" s="115"/>
      <c r="I205" s="15" t="str">
        <f>IF(B205&lt;&gt;"",3,"")</f>
        <v/>
      </c>
      <c r="J205" s="15" t="str">
        <f>IF(I205&lt;&gt;"",P205,"")</f>
        <v/>
      </c>
      <c r="K205" s="15" t="str">
        <f>IFERROR(IF(J205="","",VLOOKUP(J205,LISTAS!$F$5:$G$1004,2,0)),"0")</f>
        <v/>
      </c>
      <c r="L205" s="119" t="str">
        <f>IF(H203=3,"BRONZE",IF(H203=4,"PRATA",IF(H203=5,"OURO","")))</f>
        <v/>
      </c>
      <c r="M205" s="20" t="str">
        <f>IF(B205&lt;&gt;"",COUNTIF(D205:G205,"V")+(SUMIF(B209:B211,B205,D209:E211)/1000)+(SUMIF(J209:J211,B205,H209:I211)/1000)-(SUMIF(B209:B211,B205,H209:I211)/1000)-(SUMIF(J209:J211,B205,D209:E211)/1000)+0.001,"")</f>
        <v/>
      </c>
      <c r="N205" s="20" t="str">
        <f>IF(B205="","",B205)</f>
        <v/>
      </c>
      <c r="O205" s="20" t="str">
        <f>IF(B205&lt;&gt;"",LARGE(M203:M205,3),"")</f>
        <v/>
      </c>
      <c r="P205" s="20" t="str">
        <f>VLOOKUP(O205,M203:N205,2,0)</f>
        <v/>
      </c>
    </row>
    <row r="206" spans="2:16" ht="18" customHeight="1" x14ac:dyDescent="0.25">
      <c r="B206" s="79"/>
      <c r="C206" s="79"/>
      <c r="D206" s="79"/>
      <c r="E206" s="79"/>
      <c r="F206" s="79"/>
      <c r="G206" s="79"/>
      <c r="I206" s="80"/>
      <c r="J206" s="79"/>
      <c r="K206" s="81"/>
      <c r="L206" s="81"/>
    </row>
    <row r="207" spans="2:16" ht="23.25" customHeight="1" x14ac:dyDescent="0.25">
      <c r="B207" s="82" t="s">
        <v>40</v>
      </c>
      <c r="C207" s="79"/>
      <c r="D207" s="79"/>
      <c r="E207" s="79"/>
      <c r="F207" s="79"/>
      <c r="G207" s="79"/>
      <c r="H207" s="79"/>
      <c r="I207" s="79"/>
      <c r="J207" s="79"/>
      <c r="K207" s="79"/>
      <c r="L207" s="79"/>
    </row>
    <row r="208" spans="2:16" ht="18" customHeight="1" x14ac:dyDescent="0.25">
      <c r="B208" s="9" t="s">
        <v>15</v>
      </c>
      <c r="C208" s="9" t="s">
        <v>0</v>
      </c>
      <c r="D208" s="228" t="s">
        <v>41</v>
      </c>
      <c r="E208" s="229"/>
      <c r="F208" s="229"/>
      <c r="G208" s="229"/>
      <c r="H208" s="229"/>
      <c r="I208" s="230"/>
      <c r="J208" s="9" t="s">
        <v>15</v>
      </c>
      <c r="K208" s="9" t="s">
        <v>0</v>
      </c>
      <c r="L208" s="79"/>
    </row>
    <row r="209" spans="2:16" ht="18" customHeight="1" x14ac:dyDescent="0.25">
      <c r="B209" s="15" t="str">
        <f>IF(H203=3,B203,"")</f>
        <v/>
      </c>
      <c r="C209" s="15" t="str">
        <f>IFERROR(IF(B209="","",VLOOKUP(B209,LISTAS!$F$5:$G$1004,2,0)),"0")</f>
        <v/>
      </c>
      <c r="D209" s="223"/>
      <c r="E209" s="224"/>
      <c r="F209" s="223" t="s">
        <v>38</v>
      </c>
      <c r="G209" s="224"/>
      <c r="H209" s="223"/>
      <c r="I209" s="224"/>
      <c r="J209" s="21" t="str">
        <f>IF(H203=3,B205,"")</f>
        <v/>
      </c>
      <c r="K209" s="15" t="str">
        <f>IFERROR(IF(J209="","",VLOOKUP(J209,LISTAS!$F$5:$G$1004,2,0)),"0")</f>
        <v/>
      </c>
      <c r="L209" s="81"/>
    </row>
    <row r="210" spans="2:16" ht="18" customHeight="1" x14ac:dyDescent="0.25">
      <c r="B210" s="15" t="str">
        <f>IF(H203=3,B204,"")</f>
        <v/>
      </c>
      <c r="C210" s="15" t="str">
        <f>IFERROR(IF(B210="","",VLOOKUP(B210,LISTAS!$F$5:$G$1004,2,0)),"0")</f>
        <v/>
      </c>
      <c r="D210" s="223"/>
      <c r="E210" s="224"/>
      <c r="F210" s="223" t="s">
        <v>38</v>
      </c>
      <c r="G210" s="224"/>
      <c r="H210" s="223"/>
      <c r="I210" s="224"/>
      <c r="J210" s="21" t="str">
        <f>IF(H203=3,B205,"")</f>
        <v/>
      </c>
      <c r="K210" s="15" t="str">
        <f>IFERROR(IF(J210="","",VLOOKUP(J210,LISTAS!$F$5:$G$1004,2,0)),"0")</f>
        <v/>
      </c>
      <c r="L210" s="79"/>
    </row>
    <row r="211" spans="2:16" ht="18" customHeight="1" x14ac:dyDescent="0.25">
      <c r="B211" s="15" t="str">
        <f>IF(H203=3,B203,"")</f>
        <v/>
      </c>
      <c r="C211" s="15" t="str">
        <f>IFERROR(IF(B211="","",VLOOKUP(B211,LISTAS!$F$5:$G$1004,2,0)),"0")</f>
        <v/>
      </c>
      <c r="D211" s="223"/>
      <c r="E211" s="224"/>
      <c r="F211" s="223" t="s">
        <v>38</v>
      </c>
      <c r="G211" s="224"/>
      <c r="H211" s="223"/>
      <c r="I211" s="224"/>
      <c r="J211" s="21" t="str">
        <f>IF(H203=3,B204,"")</f>
        <v/>
      </c>
      <c r="K211" s="15" t="str">
        <f>IFERROR(IF(J211="","",VLOOKUP(J211,LISTAS!$F$5:$G$1004,2,0)),"0")</f>
        <v/>
      </c>
      <c r="L211" s="81"/>
    </row>
    <row r="214" spans="2:16" ht="30" customHeight="1" x14ac:dyDescent="0.25">
      <c r="B214" s="161" t="s">
        <v>60</v>
      </c>
      <c r="C214" s="79"/>
      <c r="D214" s="225" t="s">
        <v>42</v>
      </c>
      <c r="E214" s="226"/>
      <c r="F214" s="226"/>
      <c r="G214" s="227"/>
      <c r="H214" s="113"/>
      <c r="I214" s="225" t="s">
        <v>3</v>
      </c>
      <c r="J214" s="226"/>
      <c r="K214" s="226"/>
      <c r="L214" s="226"/>
    </row>
    <row r="215" spans="2:16" ht="18" customHeight="1" x14ac:dyDescent="0.25">
      <c r="B215" s="9" t="s">
        <v>15</v>
      </c>
      <c r="C215" s="9" t="s">
        <v>0</v>
      </c>
      <c r="D215" s="9" t="s">
        <v>43</v>
      </c>
      <c r="E215" s="9" t="s">
        <v>44</v>
      </c>
      <c r="F215" s="9" t="s">
        <v>77</v>
      </c>
      <c r="G215" s="9" t="s">
        <v>78</v>
      </c>
      <c r="H215" s="114"/>
      <c r="I215" s="9" t="s">
        <v>18</v>
      </c>
      <c r="J215" s="9" t="s">
        <v>15</v>
      </c>
      <c r="K215" s="9" t="s">
        <v>0</v>
      </c>
      <c r="L215" s="9" t="s">
        <v>45</v>
      </c>
    </row>
    <row r="216" spans="2:16" ht="18" customHeight="1" x14ac:dyDescent="0.25">
      <c r="B216" s="15"/>
      <c r="C216" s="15" t="str">
        <f>IFERROR(IF(B216="","",VLOOKUP(B216,LISTAS!$F$5:$G$1004,2,0)),"0")</f>
        <v/>
      </c>
      <c r="D216" s="15" t="str">
        <f>IF(H216&lt;3,"",IF(H216=3,IF(D222&lt;&gt;"",IF(H222&lt;&gt;"",IF(D222&lt;&gt;H222,IF(D222&gt;H222,"V","D"),""),""),"")))</f>
        <v/>
      </c>
      <c r="E216" s="15" t="str">
        <f>IF(H216&lt;3,"",IF(H216=3,IF(D224&lt;&gt;"",IF(H224&lt;&gt;"",IF(D224&lt;&gt;H224,IF(D224&gt;H224,"V","D"),""),""),"")))</f>
        <v/>
      </c>
      <c r="F216" s="15" t="s">
        <v>81</v>
      </c>
      <c r="G216" s="15" t="s">
        <v>81</v>
      </c>
      <c r="H216" s="117">
        <f>COUNTA(B216:B218)</f>
        <v>0</v>
      </c>
      <c r="I216" s="15" t="str">
        <f>IF(B216&lt;&gt;"",1,"")</f>
        <v/>
      </c>
      <c r="J216" s="15" t="str">
        <f>IF(I216&lt;&gt;"",P216,"")</f>
        <v/>
      </c>
      <c r="K216" s="15" t="str">
        <f>IFERROR(IF(J216="","",VLOOKUP(J216,LISTAS!$F$5:$G$1004,2,0)),"0")</f>
        <v/>
      </c>
      <c r="L216" s="119" t="str">
        <f>IF(H216=3,"OURO",IF(H216=4,"OURO",IF(H216=5,"OURO","")))</f>
        <v/>
      </c>
      <c r="M216" s="20" t="str">
        <f>IF(B216&lt;&gt;"",COUNTIF(D216:G216,"V")+(SUMIF(B222:B224,B216,D222:E224)/1000)+(SUMIF(J222:J224,B216,H222:I224)/1000)-(SUMIF(B222:B224,B216,H222:I224)/1000)-(SUMIF(J222:J224,B216,D222:E224)/1000)+0.003,"")</f>
        <v/>
      </c>
      <c r="N216" s="20" t="str">
        <f>IF(B216="","",B216)</f>
        <v/>
      </c>
      <c r="O216" s="20" t="str">
        <f>IF(B216&lt;&gt;"",LARGE(M216:M218,1),"")</f>
        <v/>
      </c>
      <c r="P216" s="20" t="str">
        <f>VLOOKUP(O216,M216:N218,2,0)</f>
        <v/>
      </c>
    </row>
    <row r="217" spans="2:16" ht="18" customHeight="1" x14ac:dyDescent="0.25">
      <c r="B217" s="15"/>
      <c r="C217" s="15" t="str">
        <f>IFERROR(IF(B217="","",VLOOKUP(B217,LISTAS!$F$5:$G$1004,2,0)),"0")</f>
        <v/>
      </c>
      <c r="D217" s="15" t="str">
        <f>IF(H216&lt;3,"",IF(H216=3,IF(D223&lt;&gt;"",IF(H223&lt;&gt;"",IF(D223&lt;&gt;H223,IF(D223&gt;H223,"V","D"),""),""),"")))</f>
        <v/>
      </c>
      <c r="E217" s="15" t="str">
        <f>IF(H216&lt;3,"",IF(H216=3,IF(D224&lt;&gt;"",IF(H224&lt;&gt;"",IF(D224&lt;&gt;H224,IF(D224&gt;H224,"D","V"),""),""),"")))</f>
        <v/>
      </c>
      <c r="F217" s="15" t="s">
        <v>81</v>
      </c>
      <c r="G217" s="15" t="s">
        <v>81</v>
      </c>
      <c r="H217" s="115"/>
      <c r="I217" s="15" t="str">
        <f>IF(B217&lt;&gt;"",2,"")</f>
        <v/>
      </c>
      <c r="J217" s="15" t="str">
        <f>IF(I217&lt;&gt;"",P217,"")</f>
        <v/>
      </c>
      <c r="K217" s="15" t="str">
        <f>IFERROR(IF(J217="","",VLOOKUP(J217,LISTAS!$F$5:$G$1004,2,0)),"0")</f>
        <v/>
      </c>
      <c r="L217" s="119" t="str">
        <f>IF(H216=3,"PRATA",IF(H216=4,"OURO",IF(H216=5,"OURO","")))</f>
        <v/>
      </c>
      <c r="M217" s="20" t="str">
        <f>IF(B217&lt;&gt;"",COUNTIF(D217:G217,"V")+(SUMIF(B222:B224,B217,D222:E224)/1000)+(SUMIF(J222:J224,B217,H222:I224)/1000)-(SUMIF(B222:B224,B217,H222:I224)/1000)-(SUMIF(J222:J224,B217,D222:E224)/1000)+0.002,"")</f>
        <v/>
      </c>
      <c r="N217" s="20" t="str">
        <f t="shared" ref="N217" si="15">IF(B217="","",B217)</f>
        <v/>
      </c>
      <c r="O217" s="20" t="str">
        <f>IF(B217&lt;&gt;"",LARGE(M216:M218,2),"")</f>
        <v/>
      </c>
      <c r="P217" s="20" t="str">
        <f>VLOOKUP(O217,M216:N218,2,0)</f>
        <v/>
      </c>
    </row>
    <row r="218" spans="2:16" ht="18" customHeight="1" x14ac:dyDescent="0.25">
      <c r="B218" s="15"/>
      <c r="C218" s="15" t="str">
        <f>IFERROR(IF(B218="","",VLOOKUP(B218,LISTAS!$F$5:$G$1004,2,0)),"0")</f>
        <v/>
      </c>
      <c r="D218" s="15" t="str">
        <f>IF(H216&lt;3,"",IF(H216=3,IF(D222&lt;&gt;"",IF(H222&lt;&gt;"",IF(D222&lt;&gt;H222,IF(D222&gt;H222,"D","V"),""),""),"")))</f>
        <v/>
      </c>
      <c r="E218" s="15" t="str">
        <f>IF(H216&lt;3,"",IF(H216=3,IF(D223&lt;&gt;"",IF(H223&lt;&gt;"",IF(D223&lt;&gt;H223,IF(D223&gt;H223,"D","V"),""),""),"")))</f>
        <v/>
      </c>
      <c r="F218" s="15" t="s">
        <v>81</v>
      </c>
      <c r="G218" s="15" t="s">
        <v>81</v>
      </c>
      <c r="H218" s="115"/>
      <c r="I218" s="15" t="str">
        <f>IF(B218&lt;&gt;"",3,"")</f>
        <v/>
      </c>
      <c r="J218" s="15" t="str">
        <f>IF(I218&lt;&gt;"",P218,"")</f>
        <v/>
      </c>
      <c r="K218" s="15" t="str">
        <f>IFERROR(IF(J218="","",VLOOKUP(J218,LISTAS!$F$5:$G$1004,2,0)),"0")</f>
        <v/>
      </c>
      <c r="L218" s="119" t="str">
        <f>IF(H216=3,"BRONZE",IF(H216=4,"PRATA",IF(H216=5,"OURO","")))</f>
        <v/>
      </c>
      <c r="M218" s="20" t="str">
        <f>IF(B218&lt;&gt;"",COUNTIF(D218:G218,"V")+(SUMIF(B222:B224,B218,D222:E224)/1000)+(SUMIF(J222:J224,B218,H222:I224)/1000)-(SUMIF(B222:B224,B218,H222:I224)/1000)-(SUMIF(J222:J224,B218,D222:E224)/1000)+0.001,"")</f>
        <v/>
      </c>
      <c r="N218" s="20" t="str">
        <f>IF(B218="","",B218)</f>
        <v/>
      </c>
      <c r="O218" s="20" t="str">
        <f>IF(B218&lt;&gt;"",LARGE(M216:M218,3),"")</f>
        <v/>
      </c>
      <c r="P218" s="20" t="str">
        <f>VLOOKUP(O218,M216:N218,2,0)</f>
        <v/>
      </c>
    </row>
    <row r="219" spans="2:16" ht="18" customHeight="1" x14ac:dyDescent="0.25">
      <c r="B219" s="79"/>
      <c r="C219" s="79"/>
      <c r="D219" s="79"/>
      <c r="E219" s="79"/>
      <c r="F219" s="79"/>
      <c r="G219" s="79"/>
      <c r="I219" s="80"/>
      <c r="J219" s="79"/>
      <c r="K219" s="81"/>
      <c r="L219" s="81"/>
    </row>
    <row r="220" spans="2:16" ht="23.25" customHeight="1" x14ac:dyDescent="0.25">
      <c r="B220" s="82" t="s">
        <v>40</v>
      </c>
      <c r="C220" s="79"/>
      <c r="D220" s="79"/>
      <c r="E220" s="79"/>
      <c r="F220" s="79"/>
      <c r="G220" s="79"/>
      <c r="H220" s="79"/>
      <c r="I220" s="79"/>
      <c r="J220" s="79"/>
      <c r="K220" s="79"/>
      <c r="L220" s="79"/>
    </row>
    <row r="221" spans="2:16" ht="18" customHeight="1" x14ac:dyDescent="0.25">
      <c r="B221" s="9" t="s">
        <v>15</v>
      </c>
      <c r="C221" s="9" t="s">
        <v>0</v>
      </c>
      <c r="D221" s="228" t="s">
        <v>41</v>
      </c>
      <c r="E221" s="229"/>
      <c r="F221" s="229"/>
      <c r="G221" s="229"/>
      <c r="H221" s="229"/>
      <c r="I221" s="230"/>
      <c r="J221" s="9" t="s">
        <v>15</v>
      </c>
      <c r="K221" s="9" t="s">
        <v>0</v>
      </c>
      <c r="L221" s="79"/>
    </row>
    <row r="222" spans="2:16" ht="18" customHeight="1" x14ac:dyDescent="0.25">
      <c r="B222" s="15" t="str">
        <f>IF(H216=3,B216,"")</f>
        <v/>
      </c>
      <c r="C222" s="15" t="str">
        <f>IFERROR(IF(B222="","",VLOOKUP(B222,LISTAS!$F$5:$G$1004,2,0)),"0")</f>
        <v/>
      </c>
      <c r="D222" s="223"/>
      <c r="E222" s="224"/>
      <c r="F222" s="223" t="s">
        <v>38</v>
      </c>
      <c r="G222" s="224"/>
      <c r="H222" s="223"/>
      <c r="I222" s="224"/>
      <c r="J222" s="21" t="str">
        <f>IF(H216=3,B218,"")</f>
        <v/>
      </c>
      <c r="K222" s="15" t="str">
        <f>IFERROR(IF(J222="","",VLOOKUP(J222,LISTAS!$F$5:$G$1004,2,0)),"0")</f>
        <v/>
      </c>
      <c r="L222" s="81"/>
    </row>
    <row r="223" spans="2:16" ht="18" customHeight="1" x14ac:dyDescent="0.25">
      <c r="B223" s="15" t="str">
        <f>IF(H216=3,B217,"")</f>
        <v/>
      </c>
      <c r="C223" s="15" t="str">
        <f>IFERROR(IF(B223="","",VLOOKUP(B223,LISTAS!$F$5:$G$1004,2,0)),"0")</f>
        <v/>
      </c>
      <c r="D223" s="223"/>
      <c r="E223" s="224"/>
      <c r="F223" s="223" t="s">
        <v>38</v>
      </c>
      <c r="G223" s="224"/>
      <c r="H223" s="223"/>
      <c r="I223" s="224"/>
      <c r="J223" s="21" t="str">
        <f>IF(H216=3,B218,"")</f>
        <v/>
      </c>
      <c r="K223" s="15" t="str">
        <f>IFERROR(IF(J223="","",VLOOKUP(J223,LISTAS!$F$5:$G$1004,2,0)),"0")</f>
        <v/>
      </c>
      <c r="L223" s="79"/>
    </row>
    <row r="224" spans="2:16" ht="18" customHeight="1" x14ac:dyDescent="0.25">
      <c r="B224" s="15" t="str">
        <f>IF(H216=3,B216,"")</f>
        <v/>
      </c>
      <c r="C224" s="15" t="str">
        <f>IFERROR(IF(B224="","",VLOOKUP(B224,LISTAS!$F$5:$G$1004,2,0)),"0")</f>
        <v/>
      </c>
      <c r="D224" s="223"/>
      <c r="E224" s="224"/>
      <c r="F224" s="223" t="s">
        <v>38</v>
      </c>
      <c r="G224" s="224"/>
      <c r="H224" s="223"/>
      <c r="I224" s="224"/>
      <c r="J224" s="21" t="str">
        <f>IF(H216=3,B217,"")</f>
        <v/>
      </c>
      <c r="K224" s="15" t="str">
        <f>IFERROR(IF(J224="","",VLOOKUP(J224,LISTAS!$F$5:$G$1004,2,0)),"0")</f>
        <v/>
      </c>
      <c r="L224" s="81"/>
    </row>
    <row r="227" spans="2:16" ht="30" customHeight="1" x14ac:dyDescent="0.25">
      <c r="B227" s="161" t="s">
        <v>61</v>
      </c>
      <c r="C227" s="79"/>
      <c r="D227" s="225" t="s">
        <v>42</v>
      </c>
      <c r="E227" s="226"/>
      <c r="F227" s="226"/>
      <c r="G227" s="227"/>
      <c r="H227" s="113"/>
      <c r="I227" s="225" t="s">
        <v>3</v>
      </c>
      <c r="J227" s="226"/>
      <c r="K227" s="226"/>
      <c r="L227" s="226"/>
    </row>
    <row r="228" spans="2:16" ht="18" customHeight="1" x14ac:dyDescent="0.25">
      <c r="B228" s="9" t="s">
        <v>15</v>
      </c>
      <c r="C228" s="9" t="s">
        <v>0</v>
      </c>
      <c r="D228" s="9" t="s">
        <v>43</v>
      </c>
      <c r="E228" s="9" t="s">
        <v>44</v>
      </c>
      <c r="F228" s="9" t="s">
        <v>77</v>
      </c>
      <c r="G228" s="9" t="s">
        <v>78</v>
      </c>
      <c r="H228" s="114"/>
      <c r="I228" s="9" t="s">
        <v>18</v>
      </c>
      <c r="J228" s="9" t="s">
        <v>15</v>
      </c>
      <c r="K228" s="9" t="s">
        <v>0</v>
      </c>
      <c r="L228" s="9" t="s">
        <v>45</v>
      </c>
    </row>
    <row r="229" spans="2:16" ht="18" customHeight="1" x14ac:dyDescent="0.25">
      <c r="B229" s="15"/>
      <c r="C229" s="15" t="str">
        <f>IFERROR(IF(B229="","",VLOOKUP(B229,LISTAS!$F$5:$G$1004,2,0)),"0")</f>
        <v/>
      </c>
      <c r="D229" s="15" t="str">
        <f>IF(H229&lt;3,"",IF(H229=3,IF(D235&lt;&gt;"",IF(H235&lt;&gt;"",IF(D235&lt;&gt;H235,IF(D235&gt;H235,"V","D"),""),""),"")))</f>
        <v/>
      </c>
      <c r="E229" s="15" t="str">
        <f>IF(H229&lt;3,"",IF(H229=3,IF(D237&lt;&gt;"",IF(H237&lt;&gt;"",IF(D237&lt;&gt;H237,IF(D237&gt;H237,"V","D"),""),""),"")))</f>
        <v/>
      </c>
      <c r="F229" s="15" t="s">
        <v>81</v>
      </c>
      <c r="G229" s="15" t="s">
        <v>81</v>
      </c>
      <c r="H229" s="117">
        <f>COUNTA(B229:B231)</f>
        <v>0</v>
      </c>
      <c r="I229" s="15" t="str">
        <f>IF(B229&lt;&gt;"",1,"")</f>
        <v/>
      </c>
      <c r="J229" s="15" t="str">
        <f>IF(I229&lt;&gt;"",P229,"")</f>
        <v/>
      </c>
      <c r="K229" s="15" t="str">
        <f>IFERROR(IF(J229="","",VLOOKUP(J229,LISTAS!$F$5:$G$1004,2,0)),"0")</f>
        <v/>
      </c>
      <c r="L229" s="119" t="str">
        <f>IF(H229=3,"OURO",IF(H229=4,"OURO",IF(H229=5,"OURO","")))</f>
        <v/>
      </c>
      <c r="M229" s="20" t="str">
        <f>IF(B229&lt;&gt;"",COUNTIF(D229:G229,"V")+(SUMIF(B235:B237,B229,D235:E237)/1000)+(SUMIF(J235:J237,B229,H235:I237)/1000)-(SUMIF(B235:B237,B229,H235:I237)/1000)-(SUMIF(J235:J237,B229,D235:E237)/1000)+0.003,"")</f>
        <v/>
      </c>
      <c r="N229" s="20" t="str">
        <f>IF(B229="","",B229)</f>
        <v/>
      </c>
      <c r="O229" s="20" t="str">
        <f>IF(B229&lt;&gt;"",LARGE(M229:M231,1),"")</f>
        <v/>
      </c>
      <c r="P229" s="20" t="str">
        <f>VLOOKUP(O229,M229:N231,2,0)</f>
        <v/>
      </c>
    </row>
    <row r="230" spans="2:16" ht="18" customHeight="1" x14ac:dyDescent="0.25">
      <c r="B230" s="15"/>
      <c r="C230" s="15" t="str">
        <f>IFERROR(IF(B230="","",VLOOKUP(B230,LISTAS!$F$5:$G$1004,2,0)),"0")</f>
        <v/>
      </c>
      <c r="D230" s="15" t="str">
        <f>IF(H229&lt;3,"",IF(H229=3,IF(D236&lt;&gt;"",IF(H236&lt;&gt;"",IF(D236&lt;&gt;H236,IF(D236&gt;H236,"V","D"),""),""),"")))</f>
        <v/>
      </c>
      <c r="E230" s="15" t="str">
        <f>IF(H229&lt;3,"",IF(H229=3,IF(D237&lt;&gt;"",IF(H237&lt;&gt;"",IF(D237&lt;&gt;H237,IF(D237&gt;H237,"D","V"),""),""),"")))</f>
        <v/>
      </c>
      <c r="F230" s="15" t="s">
        <v>81</v>
      </c>
      <c r="G230" s="15" t="s">
        <v>81</v>
      </c>
      <c r="H230" s="115"/>
      <c r="I230" s="15" t="str">
        <f>IF(B230&lt;&gt;"",2,"")</f>
        <v/>
      </c>
      <c r="J230" s="15" t="str">
        <f>IF(I230&lt;&gt;"",P230,"")</f>
        <v/>
      </c>
      <c r="K230" s="15" t="str">
        <f>IFERROR(IF(J230="","",VLOOKUP(J230,LISTAS!$F$5:$G$1004,2,0)),"0")</f>
        <v/>
      </c>
      <c r="L230" s="119" t="str">
        <f>IF(H229=3,"PRATA",IF(H229=4,"OURO",IF(H229=5,"OURO","")))</f>
        <v/>
      </c>
      <c r="M230" s="20" t="str">
        <f>IF(B230&lt;&gt;"",COUNTIF(D230:G230,"V")+(SUMIF(B235:B237,B230,D235:E237)/1000)+(SUMIF(J235:J237,B230,H235:I237)/1000)-(SUMIF(B235:B237,B230,H235:I237)/1000)-(SUMIF(J235:J237,B230,D235:E237)/1000)+0.002,"")</f>
        <v/>
      </c>
      <c r="N230" s="20" t="str">
        <f t="shared" ref="N230" si="16">IF(B230="","",B230)</f>
        <v/>
      </c>
      <c r="O230" s="20" t="str">
        <f>IF(B230&lt;&gt;"",LARGE(M229:M231,2),"")</f>
        <v/>
      </c>
      <c r="P230" s="20" t="str">
        <f>VLOOKUP(O230,M229:N231,2,0)</f>
        <v/>
      </c>
    </row>
    <row r="231" spans="2:16" ht="18" customHeight="1" x14ac:dyDescent="0.25">
      <c r="B231" s="15"/>
      <c r="C231" s="15" t="str">
        <f>IFERROR(IF(B231="","",VLOOKUP(B231,LISTAS!$F$5:$G$1004,2,0)),"0")</f>
        <v/>
      </c>
      <c r="D231" s="15" t="str">
        <f>IF(H229&lt;3,"",IF(H229=3,IF(D235&lt;&gt;"",IF(H235&lt;&gt;"",IF(D235&lt;&gt;H235,IF(D235&gt;H235,"D","V"),""),""),"")))</f>
        <v/>
      </c>
      <c r="E231" s="15" t="str">
        <f>IF(H229&lt;3,"",IF(H229=3,IF(D236&lt;&gt;"",IF(H236&lt;&gt;"",IF(D236&lt;&gt;H236,IF(D236&gt;H236,"D","V"),""),""),"")))</f>
        <v/>
      </c>
      <c r="F231" s="15" t="s">
        <v>81</v>
      </c>
      <c r="G231" s="15" t="s">
        <v>81</v>
      </c>
      <c r="H231" s="115"/>
      <c r="I231" s="15" t="str">
        <f>IF(B231&lt;&gt;"",3,"")</f>
        <v/>
      </c>
      <c r="J231" s="15" t="str">
        <f>IF(I231&lt;&gt;"",P231,"")</f>
        <v/>
      </c>
      <c r="K231" s="15" t="str">
        <f>IFERROR(IF(J231="","",VLOOKUP(J231,LISTAS!$F$5:$G$1004,2,0)),"0")</f>
        <v/>
      </c>
      <c r="L231" s="119" t="str">
        <f>IF(H229=3,"BRONZE",IF(H229=4,"PRATA",IF(H229=5,"OURO","")))</f>
        <v/>
      </c>
      <c r="M231" s="20" t="str">
        <f>IF(B231&lt;&gt;"",COUNTIF(D231:G231,"V")+(SUMIF(B235:B237,B231,D235:E237)/1000)+(SUMIF(J235:J237,B231,H235:I237)/1000)-(SUMIF(B235:B237,B231,H235:I237)/1000)-(SUMIF(J235:J237,B231,D235:E237)/1000)+0.001,"")</f>
        <v/>
      </c>
      <c r="N231" s="20" t="str">
        <f>IF(B231="","",B231)</f>
        <v/>
      </c>
      <c r="O231" s="20" t="str">
        <f>IF(B231&lt;&gt;"",LARGE(M229:M231,3),"")</f>
        <v/>
      </c>
      <c r="P231" s="20" t="str">
        <f>VLOOKUP(O231,M229:N231,2,0)</f>
        <v/>
      </c>
    </row>
    <row r="232" spans="2:16" ht="18" customHeight="1" x14ac:dyDescent="0.25">
      <c r="B232" s="79"/>
      <c r="C232" s="79"/>
      <c r="D232" s="79"/>
      <c r="E232" s="79"/>
      <c r="F232" s="79"/>
      <c r="G232" s="79"/>
      <c r="I232" s="80"/>
      <c r="J232" s="79"/>
      <c r="K232" s="81"/>
      <c r="L232" s="81"/>
    </row>
    <row r="233" spans="2:16" ht="23.25" customHeight="1" x14ac:dyDescent="0.25">
      <c r="B233" s="82" t="s">
        <v>40</v>
      </c>
      <c r="C233" s="79"/>
      <c r="D233" s="79"/>
      <c r="E233" s="79"/>
      <c r="F233" s="79"/>
      <c r="G233" s="79"/>
      <c r="H233" s="79"/>
      <c r="I233" s="79"/>
      <c r="J233" s="79"/>
      <c r="K233" s="79"/>
      <c r="L233" s="79"/>
    </row>
    <row r="234" spans="2:16" ht="18" customHeight="1" x14ac:dyDescent="0.25">
      <c r="B234" s="9" t="s">
        <v>15</v>
      </c>
      <c r="C234" s="9" t="s">
        <v>0</v>
      </c>
      <c r="D234" s="228" t="s">
        <v>41</v>
      </c>
      <c r="E234" s="229"/>
      <c r="F234" s="229"/>
      <c r="G234" s="229"/>
      <c r="H234" s="229"/>
      <c r="I234" s="230"/>
      <c r="J234" s="9" t="s">
        <v>15</v>
      </c>
      <c r="K234" s="9" t="s">
        <v>0</v>
      </c>
      <c r="L234" s="79"/>
    </row>
    <row r="235" spans="2:16" ht="18" customHeight="1" x14ac:dyDescent="0.25">
      <c r="B235" s="15" t="str">
        <f>IF(H229=3,B229,"")</f>
        <v/>
      </c>
      <c r="C235" s="15" t="str">
        <f>IFERROR(IF(B235="","",VLOOKUP(B235,LISTAS!$F$5:$G$1004,2,0)),"0")</f>
        <v/>
      </c>
      <c r="D235" s="223"/>
      <c r="E235" s="224"/>
      <c r="F235" s="223" t="s">
        <v>38</v>
      </c>
      <c r="G235" s="224"/>
      <c r="H235" s="223"/>
      <c r="I235" s="224"/>
      <c r="J235" s="21" t="str">
        <f>IF(H229=3,B231,"")</f>
        <v/>
      </c>
      <c r="K235" s="15" t="str">
        <f>IFERROR(IF(J235="","",VLOOKUP(J235,LISTAS!$F$5:$G$1004,2,0)),"0")</f>
        <v/>
      </c>
      <c r="L235" s="81"/>
    </row>
    <row r="236" spans="2:16" ht="18" customHeight="1" x14ac:dyDescent="0.25">
      <c r="B236" s="15" t="str">
        <f>IF(H229=3,B230,"")</f>
        <v/>
      </c>
      <c r="C236" s="15" t="str">
        <f>IFERROR(IF(B236="","",VLOOKUP(B236,LISTAS!$F$5:$G$1004,2,0)),"0")</f>
        <v/>
      </c>
      <c r="D236" s="223"/>
      <c r="E236" s="224"/>
      <c r="F236" s="223" t="s">
        <v>38</v>
      </c>
      <c r="G236" s="224"/>
      <c r="H236" s="223"/>
      <c r="I236" s="224"/>
      <c r="J236" s="21" t="str">
        <f>IF(H229=3,B231,"")</f>
        <v/>
      </c>
      <c r="K236" s="15" t="str">
        <f>IFERROR(IF(J236="","",VLOOKUP(J236,LISTAS!$F$5:$G$1004,2,0)),"0")</f>
        <v/>
      </c>
      <c r="L236" s="79"/>
    </row>
    <row r="237" spans="2:16" ht="18" customHeight="1" x14ac:dyDescent="0.25">
      <c r="B237" s="15" t="str">
        <f>IF(H229=3,B229,"")</f>
        <v/>
      </c>
      <c r="C237" s="15" t="str">
        <f>IFERROR(IF(B237="","",VLOOKUP(B237,LISTAS!$F$5:$G$1004,2,0)),"0")</f>
        <v/>
      </c>
      <c r="D237" s="223"/>
      <c r="E237" s="224"/>
      <c r="F237" s="223" t="s">
        <v>38</v>
      </c>
      <c r="G237" s="224"/>
      <c r="H237" s="223"/>
      <c r="I237" s="224"/>
      <c r="J237" s="21" t="str">
        <f>IF(H229=3,B230,"")</f>
        <v/>
      </c>
      <c r="K237" s="15" t="str">
        <f>IFERROR(IF(J237="","",VLOOKUP(J237,LISTAS!$F$5:$G$1004,2,0)),"0")</f>
        <v/>
      </c>
      <c r="L237" s="81"/>
    </row>
    <row r="240" spans="2:16" ht="30" customHeight="1" x14ac:dyDescent="0.25">
      <c r="B240" s="161" t="s">
        <v>62</v>
      </c>
      <c r="C240" s="79"/>
      <c r="D240" s="225" t="s">
        <v>42</v>
      </c>
      <c r="E240" s="226"/>
      <c r="F240" s="226"/>
      <c r="G240" s="227"/>
      <c r="H240" s="113"/>
      <c r="I240" s="225" t="s">
        <v>3</v>
      </c>
      <c r="J240" s="226"/>
      <c r="K240" s="226"/>
      <c r="L240" s="226"/>
    </row>
    <row r="241" spans="2:16" ht="18" customHeight="1" x14ac:dyDescent="0.25">
      <c r="B241" s="9" t="s">
        <v>15</v>
      </c>
      <c r="C241" s="9" t="s">
        <v>0</v>
      </c>
      <c r="D241" s="9" t="s">
        <v>43</v>
      </c>
      <c r="E241" s="9" t="s">
        <v>44</v>
      </c>
      <c r="F241" s="9" t="s">
        <v>77</v>
      </c>
      <c r="G241" s="9" t="s">
        <v>78</v>
      </c>
      <c r="H241" s="114"/>
      <c r="I241" s="9" t="s">
        <v>18</v>
      </c>
      <c r="J241" s="9" t="s">
        <v>15</v>
      </c>
      <c r="K241" s="9" t="s">
        <v>0</v>
      </c>
      <c r="L241" s="9" t="s">
        <v>45</v>
      </c>
    </row>
    <row r="242" spans="2:16" ht="18" customHeight="1" x14ac:dyDescent="0.25">
      <c r="B242" s="15"/>
      <c r="C242" s="15" t="str">
        <f>IFERROR(IF(B242="","",VLOOKUP(B242,LISTAS!$F$5:$G$1004,2,0)),"0")</f>
        <v/>
      </c>
      <c r="D242" s="15" t="str">
        <f>IF(H242&lt;3,"",IF(H242=3,IF(D248&lt;&gt;"",IF(H248&lt;&gt;"",IF(D248&lt;&gt;H248,IF(D248&gt;H248,"V","D"),""),""),"")))</f>
        <v/>
      </c>
      <c r="E242" s="15" t="str">
        <f>IF(H242&lt;3,"",IF(H242=3,IF(D250&lt;&gt;"",IF(H250&lt;&gt;"",IF(D250&lt;&gt;H250,IF(D250&gt;H250,"V","D"),""),""),"")))</f>
        <v/>
      </c>
      <c r="F242" s="15" t="s">
        <v>81</v>
      </c>
      <c r="G242" s="15" t="s">
        <v>81</v>
      </c>
      <c r="H242" s="117">
        <f>COUNTA(B242:B244)</f>
        <v>0</v>
      </c>
      <c r="I242" s="15" t="str">
        <f>IF(B242&lt;&gt;"",1,"")</f>
        <v/>
      </c>
      <c r="J242" s="15" t="str">
        <f>IF(I242&lt;&gt;"",P242,"")</f>
        <v/>
      </c>
      <c r="K242" s="15" t="str">
        <f>IFERROR(IF(J242="","",VLOOKUP(J242,LISTAS!$F$5:$G$1004,2,0)),"0")</f>
        <v/>
      </c>
      <c r="L242" s="119" t="str">
        <f>IF(H242=3,"OURO",IF(H242=4,"OURO",IF(H242=5,"OURO","")))</f>
        <v/>
      </c>
      <c r="M242" s="20" t="str">
        <f>IF(B242&lt;&gt;"",COUNTIF(D242:G242,"V")+(SUMIF(B248:B250,B242,D248:E250)/1000)+(SUMIF(J248:J250,B242,H248:I250)/1000)-(SUMIF(B248:B250,B242,H248:I250)/1000)-(SUMIF(J248:J250,B242,D248:E250)/1000)+0.003,"")</f>
        <v/>
      </c>
      <c r="N242" s="20" t="str">
        <f>IF(B242="","",B242)</f>
        <v/>
      </c>
      <c r="O242" s="20" t="str">
        <f>IF(B242&lt;&gt;"",LARGE(M242:M244,1),"")</f>
        <v/>
      </c>
      <c r="P242" s="20" t="str">
        <f>VLOOKUP(O242,M242:N244,2,0)</f>
        <v/>
      </c>
    </row>
    <row r="243" spans="2:16" ht="18" customHeight="1" x14ac:dyDescent="0.25">
      <c r="B243" s="15"/>
      <c r="C243" s="15" t="str">
        <f>IFERROR(IF(B243="","",VLOOKUP(B243,LISTAS!$F$5:$G$1004,2,0)),"0")</f>
        <v/>
      </c>
      <c r="D243" s="15" t="str">
        <f>IF(H242&lt;3,"",IF(H242=3,IF(D249&lt;&gt;"",IF(H249&lt;&gt;"",IF(D249&lt;&gt;H249,IF(D249&gt;H249,"V","D"),""),""),"")))</f>
        <v/>
      </c>
      <c r="E243" s="15" t="str">
        <f>IF(H242&lt;3,"",IF(H242=3,IF(D250&lt;&gt;"",IF(H250&lt;&gt;"",IF(D250&lt;&gt;H250,IF(D250&gt;H250,"D","V"),""),""),"")))</f>
        <v/>
      </c>
      <c r="F243" s="15" t="s">
        <v>81</v>
      </c>
      <c r="G243" s="15" t="s">
        <v>81</v>
      </c>
      <c r="H243" s="115"/>
      <c r="I243" s="15" t="str">
        <f>IF(B243&lt;&gt;"",2,"")</f>
        <v/>
      </c>
      <c r="J243" s="15" t="str">
        <f>IF(I243&lt;&gt;"",P243,"")</f>
        <v/>
      </c>
      <c r="K243" s="15" t="str">
        <f>IFERROR(IF(J243="","",VLOOKUP(J243,LISTAS!$F$5:$G$1004,2,0)),"0")</f>
        <v/>
      </c>
      <c r="L243" s="119" t="str">
        <f>IF(H242=3,"PRATA",IF(H242=4,"OURO",IF(H242=5,"OURO","")))</f>
        <v/>
      </c>
      <c r="M243" s="20" t="str">
        <f>IF(B243&lt;&gt;"",COUNTIF(D243:G243,"V")+(SUMIF(B248:B250,B243,D248:E250)/1000)+(SUMIF(J248:J250,B243,H248:I250)/1000)-(SUMIF(B248:B250,B243,H248:I250)/1000)-(SUMIF(J248:J250,B243,D248:E250)/1000)+0.002,"")</f>
        <v/>
      </c>
      <c r="N243" s="20" t="str">
        <f t="shared" ref="N243" si="17">IF(B243="","",B243)</f>
        <v/>
      </c>
      <c r="O243" s="20" t="str">
        <f>IF(B243&lt;&gt;"",LARGE(M242:M244,2),"")</f>
        <v/>
      </c>
      <c r="P243" s="20" t="str">
        <f>VLOOKUP(O243,M242:N244,2,0)</f>
        <v/>
      </c>
    </row>
    <row r="244" spans="2:16" ht="18" customHeight="1" x14ac:dyDescent="0.25">
      <c r="B244" s="15"/>
      <c r="C244" s="15" t="str">
        <f>IFERROR(IF(B244="","",VLOOKUP(B244,LISTAS!$F$5:$G$1004,2,0)),"0")</f>
        <v/>
      </c>
      <c r="D244" s="15" t="str">
        <f>IF(H242&lt;3,"",IF(H242=3,IF(D248&lt;&gt;"",IF(H248&lt;&gt;"",IF(D248&lt;&gt;H248,IF(D248&gt;H248,"D","V"),""),""),"")))</f>
        <v/>
      </c>
      <c r="E244" s="15" t="str">
        <f>IF(H242&lt;3,"",IF(H242=3,IF(D249&lt;&gt;"",IF(H249&lt;&gt;"",IF(D249&lt;&gt;H249,IF(D249&gt;H249,"D","V"),""),""),"")))</f>
        <v/>
      </c>
      <c r="F244" s="15" t="s">
        <v>81</v>
      </c>
      <c r="G244" s="15" t="s">
        <v>81</v>
      </c>
      <c r="H244" s="115"/>
      <c r="I244" s="15" t="str">
        <f>IF(B244&lt;&gt;"",3,"")</f>
        <v/>
      </c>
      <c r="J244" s="15" t="str">
        <f>IF(I244&lt;&gt;"",P244,"")</f>
        <v/>
      </c>
      <c r="K244" s="15" t="str">
        <f>IFERROR(IF(J244="","",VLOOKUP(J244,LISTAS!$F$5:$G$1004,2,0)),"0")</f>
        <v/>
      </c>
      <c r="L244" s="119" t="str">
        <f>IF(H242=3,"BRONZE",IF(H242=4,"PRATA",IF(H242=5,"OURO","")))</f>
        <v/>
      </c>
      <c r="M244" s="20" t="str">
        <f>IF(B244&lt;&gt;"",COUNTIF(D244:G244,"V")+(SUMIF(B248:B250,B244,D248:E250)/1000)+(SUMIF(J248:J250,B244,H248:I250)/1000)-(SUMIF(B248:B250,B244,H248:I250)/1000)-(SUMIF(J248:J250,B244,D248:E250)/1000)+0.001,"")</f>
        <v/>
      </c>
      <c r="N244" s="20" t="str">
        <f>IF(B244="","",B244)</f>
        <v/>
      </c>
      <c r="O244" s="20" t="str">
        <f>IF(B244&lt;&gt;"",LARGE(M242:M244,3),"")</f>
        <v/>
      </c>
      <c r="P244" s="20" t="str">
        <f>VLOOKUP(O244,M242:N244,2,0)</f>
        <v/>
      </c>
    </row>
    <row r="245" spans="2:16" ht="18" customHeight="1" x14ac:dyDescent="0.25">
      <c r="B245" s="79"/>
      <c r="C245" s="79"/>
      <c r="D245" s="79"/>
      <c r="E245" s="79"/>
      <c r="F245" s="79"/>
      <c r="G245" s="79"/>
      <c r="I245" s="80"/>
      <c r="J245" s="79"/>
      <c r="K245" s="81"/>
      <c r="L245" s="81"/>
    </row>
    <row r="246" spans="2:16" ht="23.25" customHeight="1" x14ac:dyDescent="0.25">
      <c r="B246" s="82" t="s">
        <v>40</v>
      </c>
      <c r="C246" s="79"/>
      <c r="D246" s="79"/>
      <c r="E246" s="79"/>
      <c r="F246" s="79"/>
      <c r="G246" s="79"/>
      <c r="H246" s="79"/>
      <c r="I246" s="79"/>
      <c r="J246" s="79"/>
      <c r="K246" s="79"/>
      <c r="L246" s="79"/>
    </row>
    <row r="247" spans="2:16" ht="18" customHeight="1" x14ac:dyDescent="0.25">
      <c r="B247" s="9" t="s">
        <v>15</v>
      </c>
      <c r="C247" s="9" t="s">
        <v>0</v>
      </c>
      <c r="D247" s="228" t="s">
        <v>41</v>
      </c>
      <c r="E247" s="229"/>
      <c r="F247" s="229"/>
      <c r="G247" s="229"/>
      <c r="H247" s="229"/>
      <c r="I247" s="230"/>
      <c r="J247" s="9" t="s">
        <v>15</v>
      </c>
      <c r="K247" s="9" t="s">
        <v>0</v>
      </c>
      <c r="L247" s="79"/>
    </row>
    <row r="248" spans="2:16" ht="18" customHeight="1" x14ac:dyDescent="0.25">
      <c r="B248" s="15" t="str">
        <f>IF(H242=3,B242,"")</f>
        <v/>
      </c>
      <c r="C248" s="15" t="str">
        <f>IFERROR(IF(B248="","",VLOOKUP(B248,LISTAS!$F$5:$G$1004,2,0)),"0")</f>
        <v/>
      </c>
      <c r="D248" s="223"/>
      <c r="E248" s="224"/>
      <c r="F248" s="223" t="s">
        <v>38</v>
      </c>
      <c r="G248" s="224"/>
      <c r="H248" s="223"/>
      <c r="I248" s="224"/>
      <c r="J248" s="21" t="str">
        <f>IF(H242=3,B244,"")</f>
        <v/>
      </c>
      <c r="K248" s="15" t="str">
        <f>IFERROR(IF(J248="","",VLOOKUP(J248,LISTAS!$F$5:$G$1004,2,0)),"0")</f>
        <v/>
      </c>
      <c r="L248" s="81"/>
    </row>
    <row r="249" spans="2:16" ht="18" customHeight="1" x14ac:dyDescent="0.25">
      <c r="B249" s="15" t="str">
        <f>IF(H242=3,B243,"")</f>
        <v/>
      </c>
      <c r="C249" s="15" t="str">
        <f>IFERROR(IF(B249="","",VLOOKUP(B249,LISTAS!$F$5:$G$1004,2,0)),"0")</f>
        <v/>
      </c>
      <c r="D249" s="223"/>
      <c r="E249" s="224"/>
      <c r="F249" s="223" t="s">
        <v>38</v>
      </c>
      <c r="G249" s="224"/>
      <c r="H249" s="223"/>
      <c r="I249" s="224"/>
      <c r="J249" s="21" t="str">
        <f>IF(H242=3,B244,"")</f>
        <v/>
      </c>
      <c r="K249" s="15" t="str">
        <f>IFERROR(IF(J249="","",VLOOKUP(J249,LISTAS!$F$5:$G$1004,2,0)),"0")</f>
        <v/>
      </c>
      <c r="L249" s="79"/>
    </row>
    <row r="250" spans="2:16" ht="18" customHeight="1" x14ac:dyDescent="0.25">
      <c r="B250" s="15" t="str">
        <f>IF(H242=3,B242,"")</f>
        <v/>
      </c>
      <c r="C250" s="15" t="str">
        <f>IFERROR(IF(B250="","",VLOOKUP(B250,LISTAS!$F$5:$G$1004,2,0)),"0")</f>
        <v/>
      </c>
      <c r="D250" s="223"/>
      <c r="E250" s="224"/>
      <c r="F250" s="223" t="s">
        <v>38</v>
      </c>
      <c r="G250" s="224"/>
      <c r="H250" s="223"/>
      <c r="I250" s="224"/>
      <c r="J250" s="21" t="str">
        <f>IF(H242=3,B243,"")</f>
        <v/>
      </c>
      <c r="K250" s="15" t="str">
        <f>IFERROR(IF(J250="","",VLOOKUP(J250,LISTAS!$F$5:$G$1004,2,0)),"0")</f>
        <v/>
      </c>
      <c r="L250" s="81"/>
    </row>
    <row r="253" spans="2:16" ht="30" customHeight="1" x14ac:dyDescent="0.25">
      <c r="B253" s="161" t="s">
        <v>63</v>
      </c>
      <c r="C253" s="79"/>
      <c r="D253" s="225" t="s">
        <v>42</v>
      </c>
      <c r="E253" s="226"/>
      <c r="F253" s="226"/>
      <c r="G253" s="227"/>
      <c r="H253" s="113"/>
      <c r="I253" s="225" t="s">
        <v>3</v>
      </c>
      <c r="J253" s="226"/>
      <c r="K253" s="226"/>
      <c r="L253" s="226"/>
    </row>
    <row r="254" spans="2:16" ht="18" customHeight="1" x14ac:dyDescent="0.25">
      <c r="B254" s="9" t="s">
        <v>15</v>
      </c>
      <c r="C254" s="9" t="s">
        <v>0</v>
      </c>
      <c r="D254" s="9" t="s">
        <v>43</v>
      </c>
      <c r="E254" s="9" t="s">
        <v>44</v>
      </c>
      <c r="F254" s="9" t="s">
        <v>77</v>
      </c>
      <c r="G254" s="9" t="s">
        <v>78</v>
      </c>
      <c r="H254" s="114"/>
      <c r="I254" s="9" t="s">
        <v>18</v>
      </c>
      <c r="J254" s="9" t="s">
        <v>15</v>
      </c>
      <c r="K254" s="9" t="s">
        <v>0</v>
      </c>
      <c r="L254" s="9" t="s">
        <v>45</v>
      </c>
    </row>
    <row r="255" spans="2:16" ht="18" customHeight="1" x14ac:dyDescent="0.25">
      <c r="B255" s="15"/>
      <c r="C255" s="15" t="str">
        <f>IFERROR(IF(B255="","",VLOOKUP(B255,LISTAS!$F$5:$G$1004,2,0)),"0")</f>
        <v/>
      </c>
      <c r="D255" s="15" t="str">
        <f>IF(H255&lt;3,"",IF(H255=3,IF(D261&lt;&gt;"",IF(H261&lt;&gt;"",IF(D261&lt;&gt;H261,IF(D261&gt;H261,"V","D"),""),""),"")))</f>
        <v/>
      </c>
      <c r="E255" s="15" t="str">
        <f>IF(H255&lt;3,"",IF(H255=3,IF(D263&lt;&gt;"",IF(H263&lt;&gt;"",IF(D263&lt;&gt;H263,IF(D263&gt;H263,"V","D"),""),""),"")))</f>
        <v/>
      </c>
      <c r="F255" s="15" t="s">
        <v>81</v>
      </c>
      <c r="G255" s="15" t="s">
        <v>81</v>
      </c>
      <c r="H255" s="117">
        <f>COUNTA(B255:B257)</f>
        <v>0</v>
      </c>
      <c r="I255" s="15" t="str">
        <f>IF(B255&lt;&gt;"",1,"")</f>
        <v/>
      </c>
      <c r="J255" s="15" t="str">
        <f>IF(I255&lt;&gt;"",P255,"")</f>
        <v/>
      </c>
      <c r="K255" s="15" t="str">
        <f>IFERROR(IF(J255="","",VLOOKUP(J255,LISTAS!$F$5:$G$1004,2,0)),"0")</f>
        <v/>
      </c>
      <c r="L255" s="119" t="str">
        <f>IF(H255=3,"OURO",IF(H255=4,"OURO",IF(H255=5,"OURO","")))</f>
        <v/>
      </c>
      <c r="M255" s="20" t="str">
        <f>IF(B255&lt;&gt;"",COUNTIF(D255:G255,"V")+(SUMIF(B261:B263,B255,D261:E263)/1000)+(SUMIF(J261:J263,B255,H261:I263)/1000)-(SUMIF(B261:B263,B255,H261:I263)/1000)-(SUMIF(J261:J263,B255,D261:E263)/1000)+0.003,"")</f>
        <v/>
      </c>
      <c r="N255" s="20" t="str">
        <f>IF(B255="","",B255)</f>
        <v/>
      </c>
      <c r="O255" s="20" t="str">
        <f>IF(B255&lt;&gt;"",LARGE(M255:M257,1),"")</f>
        <v/>
      </c>
      <c r="P255" s="20" t="str">
        <f>VLOOKUP(O255,M255:N257,2,0)</f>
        <v/>
      </c>
    </row>
    <row r="256" spans="2:16" ht="18" customHeight="1" x14ac:dyDescent="0.25">
      <c r="B256" s="15"/>
      <c r="C256" s="15" t="str">
        <f>IFERROR(IF(B256="","",VLOOKUP(B256,LISTAS!$F$5:$G$1004,2,0)),"0")</f>
        <v/>
      </c>
      <c r="D256" s="15" t="str">
        <f>IF(H255&lt;3,"",IF(H255=3,IF(D262&lt;&gt;"",IF(H262&lt;&gt;"",IF(D262&lt;&gt;H262,IF(D262&gt;H262,"V","D"),""),""),"")))</f>
        <v/>
      </c>
      <c r="E256" s="15" t="str">
        <f>IF(H255&lt;3,"",IF(H255=3,IF(D263&lt;&gt;"",IF(H263&lt;&gt;"",IF(D263&lt;&gt;H263,IF(D263&gt;H263,"D","V"),""),""),"")))</f>
        <v/>
      </c>
      <c r="F256" s="15" t="s">
        <v>81</v>
      </c>
      <c r="G256" s="15" t="s">
        <v>81</v>
      </c>
      <c r="H256" s="115"/>
      <c r="I256" s="15" t="str">
        <f>IF(B256&lt;&gt;"",2,"")</f>
        <v/>
      </c>
      <c r="J256" s="15" t="str">
        <f>IF(I256&lt;&gt;"",P256,"")</f>
        <v/>
      </c>
      <c r="K256" s="15" t="str">
        <f>IFERROR(IF(J256="","",VLOOKUP(J256,LISTAS!$F$5:$G$1004,2,0)),"0")</f>
        <v/>
      </c>
      <c r="L256" s="119" t="str">
        <f>IF(H255=3,"PRATA",IF(H255=4,"OURO",IF(H255=5,"OURO","")))</f>
        <v/>
      </c>
      <c r="M256" s="20" t="str">
        <f>IF(B256&lt;&gt;"",COUNTIF(D256:G256,"V")+(SUMIF(B261:B263,B256,D261:E263)/1000)+(SUMIF(J261:J263,B256,H261:I263)/1000)-(SUMIF(B261:B263,B256,H261:I263)/1000)-(SUMIF(J261:J263,B256,D261:E263)/1000)+0.002,"")</f>
        <v/>
      </c>
      <c r="N256" s="20" t="str">
        <f t="shared" ref="N256" si="18">IF(B256="","",B256)</f>
        <v/>
      </c>
      <c r="O256" s="20" t="str">
        <f>IF(B256&lt;&gt;"",LARGE(M255:M257,2),"")</f>
        <v/>
      </c>
      <c r="P256" s="20" t="str">
        <f>VLOOKUP(O256,M255:N257,2,0)</f>
        <v/>
      </c>
    </row>
    <row r="257" spans="2:16" ht="18" customHeight="1" x14ac:dyDescent="0.25">
      <c r="B257" s="15"/>
      <c r="C257" s="15" t="str">
        <f>IFERROR(IF(B257="","",VLOOKUP(B257,LISTAS!$F$5:$G$1004,2,0)),"0")</f>
        <v/>
      </c>
      <c r="D257" s="15" t="str">
        <f>IF(H255&lt;3,"",IF(H255=3,IF(D261&lt;&gt;"",IF(H261&lt;&gt;"",IF(D261&lt;&gt;H261,IF(D261&gt;H261,"D","V"),""),""),"")))</f>
        <v/>
      </c>
      <c r="E257" s="15" t="str">
        <f>IF(H255&lt;3,"",IF(H255=3,IF(D262&lt;&gt;"",IF(H262&lt;&gt;"",IF(D262&lt;&gt;H262,IF(D262&gt;H262,"D","V"),""),""),"")))</f>
        <v/>
      </c>
      <c r="F257" s="15" t="s">
        <v>81</v>
      </c>
      <c r="G257" s="15" t="s">
        <v>81</v>
      </c>
      <c r="H257" s="115"/>
      <c r="I257" s="15" t="str">
        <f>IF(B257&lt;&gt;"",3,"")</f>
        <v/>
      </c>
      <c r="J257" s="15" t="str">
        <f>IF(I257&lt;&gt;"",P257,"")</f>
        <v/>
      </c>
      <c r="K257" s="15" t="str">
        <f>IFERROR(IF(J257="","",VLOOKUP(J257,LISTAS!$F$5:$G$1004,2,0)),"0")</f>
        <v/>
      </c>
      <c r="L257" s="119" t="str">
        <f>IF(H255=3,"BRONZE",IF(H255=4,"PRATA",IF(H255=5,"OURO","")))</f>
        <v/>
      </c>
      <c r="M257" s="20" t="str">
        <f>IF(B257&lt;&gt;"",COUNTIF(D257:G257,"V")+(SUMIF(B261:B263,B257,D261:E263)/1000)+(SUMIF(J261:J263,B257,H261:I263)/1000)-(SUMIF(B261:B263,B257,H261:I263)/1000)-(SUMIF(J261:J263,B257,D261:E263)/1000)+0.001,"")</f>
        <v/>
      </c>
      <c r="N257" s="20" t="str">
        <f>IF(B257="","",B257)</f>
        <v/>
      </c>
      <c r="O257" s="20" t="str">
        <f>IF(B257&lt;&gt;"",LARGE(M255:M257,3),"")</f>
        <v/>
      </c>
      <c r="P257" s="20" t="str">
        <f>VLOOKUP(O257,M255:N257,2,0)</f>
        <v/>
      </c>
    </row>
    <row r="258" spans="2:16" ht="18" customHeight="1" x14ac:dyDescent="0.25">
      <c r="B258" s="79"/>
      <c r="C258" s="79"/>
      <c r="D258" s="79"/>
      <c r="E258" s="79"/>
      <c r="F258" s="79"/>
      <c r="G258" s="79"/>
      <c r="I258" s="80"/>
      <c r="J258" s="79"/>
      <c r="K258" s="81"/>
      <c r="L258" s="81"/>
    </row>
    <row r="259" spans="2:16" ht="23.25" customHeight="1" x14ac:dyDescent="0.25">
      <c r="B259" s="82" t="s">
        <v>40</v>
      </c>
      <c r="C259" s="79"/>
      <c r="D259" s="79"/>
      <c r="E259" s="79"/>
      <c r="F259" s="79"/>
      <c r="G259" s="79"/>
      <c r="H259" s="79"/>
      <c r="I259" s="79"/>
      <c r="J259" s="79"/>
      <c r="K259" s="79"/>
      <c r="L259" s="79"/>
    </row>
    <row r="260" spans="2:16" ht="18" customHeight="1" x14ac:dyDescent="0.25">
      <c r="B260" s="9" t="s">
        <v>15</v>
      </c>
      <c r="C260" s="9" t="s">
        <v>0</v>
      </c>
      <c r="D260" s="228" t="s">
        <v>41</v>
      </c>
      <c r="E260" s="229"/>
      <c r="F260" s="229"/>
      <c r="G260" s="229"/>
      <c r="H260" s="229"/>
      <c r="I260" s="230"/>
      <c r="J260" s="9" t="s">
        <v>15</v>
      </c>
      <c r="K260" s="9" t="s">
        <v>0</v>
      </c>
      <c r="L260" s="79"/>
    </row>
    <row r="261" spans="2:16" ht="18" customHeight="1" x14ac:dyDescent="0.25">
      <c r="B261" s="15" t="str">
        <f>IF(H255=3,B255,"")</f>
        <v/>
      </c>
      <c r="C261" s="15" t="str">
        <f>IFERROR(IF(B261="","",VLOOKUP(B261,LISTAS!$F$5:$G$1004,2,0)),"0")</f>
        <v/>
      </c>
      <c r="D261" s="223"/>
      <c r="E261" s="224"/>
      <c r="F261" s="223" t="s">
        <v>38</v>
      </c>
      <c r="G261" s="224"/>
      <c r="H261" s="223"/>
      <c r="I261" s="224"/>
      <c r="J261" s="21" t="str">
        <f>IF(H255=3,B257,"")</f>
        <v/>
      </c>
      <c r="K261" s="15" t="str">
        <f>IFERROR(IF(J261="","",VLOOKUP(J261,LISTAS!$F$5:$G$1004,2,0)),"0")</f>
        <v/>
      </c>
      <c r="L261" s="81"/>
    </row>
    <row r="262" spans="2:16" ht="18" customHeight="1" x14ac:dyDescent="0.25">
      <c r="B262" s="15" t="str">
        <f>IF(H255=3,B256,"")</f>
        <v/>
      </c>
      <c r="C262" s="15" t="str">
        <f>IFERROR(IF(B262="","",VLOOKUP(B262,LISTAS!$F$5:$G$1004,2,0)),"0")</f>
        <v/>
      </c>
      <c r="D262" s="223"/>
      <c r="E262" s="224"/>
      <c r="F262" s="223" t="s">
        <v>38</v>
      </c>
      <c r="G262" s="224"/>
      <c r="H262" s="223"/>
      <c r="I262" s="224"/>
      <c r="J262" s="21" t="str">
        <f>IF(H255=3,B257,"")</f>
        <v/>
      </c>
      <c r="K262" s="15" t="str">
        <f>IFERROR(IF(J262="","",VLOOKUP(J262,LISTAS!$F$5:$G$1004,2,0)),"0")</f>
        <v/>
      </c>
      <c r="L262" s="79"/>
    </row>
    <row r="263" spans="2:16" ht="18" customHeight="1" x14ac:dyDescent="0.25">
      <c r="B263" s="15" t="str">
        <f>IF(H255=3,B255,"")</f>
        <v/>
      </c>
      <c r="C263" s="15" t="str">
        <f>IFERROR(IF(B263="","",VLOOKUP(B263,LISTAS!$F$5:$G$1004,2,0)),"0")</f>
        <v/>
      </c>
      <c r="D263" s="223"/>
      <c r="E263" s="224"/>
      <c r="F263" s="223" t="s">
        <v>38</v>
      </c>
      <c r="G263" s="224"/>
      <c r="H263" s="223"/>
      <c r="I263" s="224"/>
      <c r="J263" s="21" t="str">
        <f>IF(H255=3,B256,"")</f>
        <v/>
      </c>
      <c r="K263" s="15" t="str">
        <f>IFERROR(IF(J263="","",VLOOKUP(J263,LISTAS!$F$5:$G$1004,2,0)),"0")</f>
        <v/>
      </c>
      <c r="L263" s="81"/>
    </row>
    <row r="266" spans="2:16" ht="30" customHeight="1" x14ac:dyDescent="0.25">
      <c r="B266" s="161" t="s">
        <v>64</v>
      </c>
      <c r="C266" s="79"/>
      <c r="D266" s="225" t="s">
        <v>42</v>
      </c>
      <c r="E266" s="226"/>
      <c r="F266" s="226"/>
      <c r="G266" s="227"/>
      <c r="H266" s="113"/>
      <c r="I266" s="225" t="s">
        <v>3</v>
      </c>
      <c r="J266" s="226"/>
      <c r="K266" s="226"/>
      <c r="L266" s="226"/>
    </row>
    <row r="267" spans="2:16" ht="18" customHeight="1" x14ac:dyDescent="0.25">
      <c r="B267" s="9" t="s">
        <v>15</v>
      </c>
      <c r="C267" s="9" t="s">
        <v>0</v>
      </c>
      <c r="D267" s="9" t="s">
        <v>43</v>
      </c>
      <c r="E267" s="9" t="s">
        <v>44</v>
      </c>
      <c r="F267" s="9" t="s">
        <v>77</v>
      </c>
      <c r="G267" s="9" t="s">
        <v>78</v>
      </c>
      <c r="H267" s="114"/>
      <c r="I267" s="9" t="s">
        <v>18</v>
      </c>
      <c r="J267" s="9" t="s">
        <v>15</v>
      </c>
      <c r="K267" s="9" t="s">
        <v>0</v>
      </c>
      <c r="L267" s="9" t="s">
        <v>45</v>
      </c>
    </row>
    <row r="268" spans="2:16" ht="18" customHeight="1" x14ac:dyDescent="0.25">
      <c r="B268" s="15"/>
      <c r="C268" s="15" t="str">
        <f>IFERROR(IF(B268="","",VLOOKUP(B268,LISTAS!$F$5:$G$1004,2,0)),"0")</f>
        <v/>
      </c>
      <c r="D268" s="15" t="str">
        <f>IF(H268&lt;3,"",IF(H268=3,IF(D274&lt;&gt;"",IF(H274&lt;&gt;"",IF(D274&lt;&gt;H274,IF(D274&gt;H274,"V","D"),""),""),"")))</f>
        <v/>
      </c>
      <c r="E268" s="15" t="str">
        <f>IF(H268&lt;3,"",IF(H268=3,IF(D276&lt;&gt;"",IF(H276&lt;&gt;"",IF(D276&lt;&gt;H276,IF(D276&gt;H276,"V","D"),""),""),"")))</f>
        <v/>
      </c>
      <c r="F268" s="15" t="s">
        <v>81</v>
      </c>
      <c r="G268" s="15" t="s">
        <v>81</v>
      </c>
      <c r="H268" s="117">
        <f>COUNTA(B268:B270)</f>
        <v>0</v>
      </c>
      <c r="I268" s="15" t="str">
        <f>IF(B268&lt;&gt;"",1,"")</f>
        <v/>
      </c>
      <c r="J268" s="15" t="str">
        <f>IF(I268&lt;&gt;"",P268,"")</f>
        <v/>
      </c>
      <c r="K268" s="15" t="str">
        <f>IFERROR(IF(J268="","",VLOOKUP(J268,LISTAS!$F$5:$G$1004,2,0)),"0")</f>
        <v/>
      </c>
      <c r="L268" s="119" t="str">
        <f>IF(H268=3,"OURO",IF(H268=4,"OURO",IF(H268=5,"OURO","")))</f>
        <v/>
      </c>
      <c r="M268" s="20" t="str">
        <f>IF(B268&lt;&gt;"",COUNTIF(D268:G268,"V")+(SUMIF(B274:B276,B268,D274:E276)/1000)+(SUMIF(J274:J276,B268,H274:I276)/1000)-(SUMIF(B274:B276,B268,H274:I276)/1000)-(SUMIF(J274:J276,B268,D274:E276)/1000)+0.003,"")</f>
        <v/>
      </c>
      <c r="N268" s="20" t="str">
        <f>IF(B268="","",B268)</f>
        <v/>
      </c>
      <c r="O268" s="20" t="str">
        <f>IF(B268&lt;&gt;"",LARGE(M268:M270,1),"")</f>
        <v/>
      </c>
      <c r="P268" s="20" t="str">
        <f>VLOOKUP(O268,M268:N270,2,0)</f>
        <v/>
      </c>
    </row>
    <row r="269" spans="2:16" ht="18" customHeight="1" x14ac:dyDescent="0.25">
      <c r="B269" s="15"/>
      <c r="C269" s="15" t="str">
        <f>IFERROR(IF(B269="","",VLOOKUP(B269,LISTAS!$F$5:$G$1004,2,0)),"0")</f>
        <v/>
      </c>
      <c r="D269" s="15" t="str">
        <f>IF(H268&lt;3,"",IF(H268=3,IF(D275&lt;&gt;"",IF(H275&lt;&gt;"",IF(D275&lt;&gt;H275,IF(D275&gt;H275,"V","D"),""),""),"")))</f>
        <v/>
      </c>
      <c r="E269" s="15" t="str">
        <f>IF(H268&lt;3,"",IF(H268=3,IF(D276&lt;&gt;"",IF(H276&lt;&gt;"",IF(D276&lt;&gt;H276,IF(D276&gt;H276,"D","V"),""),""),"")))</f>
        <v/>
      </c>
      <c r="F269" s="15" t="s">
        <v>81</v>
      </c>
      <c r="G269" s="15" t="s">
        <v>81</v>
      </c>
      <c r="H269" s="115"/>
      <c r="I269" s="15" t="str">
        <f>IF(B269&lt;&gt;"",2,"")</f>
        <v/>
      </c>
      <c r="J269" s="15" t="str">
        <f>IF(I269&lt;&gt;"",P269,"")</f>
        <v/>
      </c>
      <c r="K269" s="15" t="str">
        <f>IFERROR(IF(J269="","",VLOOKUP(J269,LISTAS!$F$5:$G$1004,2,0)),"0")</f>
        <v/>
      </c>
      <c r="L269" s="119" t="str">
        <f>IF(H268=3,"PRATA",IF(H268=4,"OURO",IF(H268=5,"OURO","")))</f>
        <v/>
      </c>
      <c r="M269" s="20" t="str">
        <f>IF(B269&lt;&gt;"",COUNTIF(D269:G269,"V")+(SUMIF(B274:B276,B269,D274:E276)/1000)+(SUMIF(J274:J276,B269,H274:I276)/1000)-(SUMIF(B274:B276,B269,H274:I276)/1000)-(SUMIF(J274:J276,B269,D274:E276)/1000)+0.002,"")</f>
        <v/>
      </c>
      <c r="N269" s="20" t="str">
        <f t="shared" ref="N269" si="19">IF(B269="","",B269)</f>
        <v/>
      </c>
      <c r="O269" s="20" t="str">
        <f>IF(B269&lt;&gt;"",LARGE(M268:M270,2),"")</f>
        <v/>
      </c>
      <c r="P269" s="20" t="str">
        <f>VLOOKUP(O269,M268:N270,2,0)</f>
        <v/>
      </c>
    </row>
    <row r="270" spans="2:16" ht="18" customHeight="1" x14ac:dyDescent="0.25">
      <c r="B270" s="15"/>
      <c r="C270" s="15" t="str">
        <f>IFERROR(IF(B270="","",VLOOKUP(B270,LISTAS!$F$5:$G$1004,2,0)),"0")</f>
        <v/>
      </c>
      <c r="D270" s="15" t="str">
        <f>IF(H268&lt;3,"",IF(H268=3,IF(D274&lt;&gt;"",IF(H274&lt;&gt;"",IF(D274&lt;&gt;H274,IF(D274&gt;H274,"D","V"),""),""),"")))</f>
        <v/>
      </c>
      <c r="E270" s="15" t="str">
        <f>IF(H268&lt;3,"",IF(H268=3,IF(D275&lt;&gt;"",IF(H275&lt;&gt;"",IF(D275&lt;&gt;H275,IF(D275&gt;H275,"D","V"),""),""),"")))</f>
        <v/>
      </c>
      <c r="F270" s="15" t="s">
        <v>81</v>
      </c>
      <c r="G270" s="15" t="s">
        <v>81</v>
      </c>
      <c r="H270" s="115"/>
      <c r="I270" s="15" t="str">
        <f>IF(B270&lt;&gt;"",3,"")</f>
        <v/>
      </c>
      <c r="J270" s="15" t="str">
        <f>IF(I270&lt;&gt;"",P270,"")</f>
        <v/>
      </c>
      <c r="K270" s="15" t="str">
        <f>IFERROR(IF(J270="","",VLOOKUP(J270,LISTAS!$F$5:$G$1004,2,0)),"0")</f>
        <v/>
      </c>
      <c r="L270" s="119" t="str">
        <f>IF(H268=3,"BRONZE",IF(H268=4,"PRATA",IF(H268=5,"OURO","")))</f>
        <v/>
      </c>
      <c r="M270" s="20" t="str">
        <f>IF(B270&lt;&gt;"",COUNTIF(D270:G270,"V")+(SUMIF(B274:B276,B270,D274:E276)/1000)+(SUMIF(J274:J276,B270,H274:I276)/1000)-(SUMIF(B274:B276,B270,H274:I276)/1000)-(SUMIF(J274:J276,B270,D274:E276)/1000)+0.001,"")</f>
        <v/>
      </c>
      <c r="N270" s="20" t="str">
        <f>IF(B270="","",B270)</f>
        <v/>
      </c>
      <c r="O270" s="20" t="str">
        <f>IF(B270&lt;&gt;"",LARGE(M268:M270,3),"")</f>
        <v/>
      </c>
      <c r="P270" s="20" t="str">
        <f>VLOOKUP(O270,M268:N270,2,0)</f>
        <v/>
      </c>
    </row>
    <row r="271" spans="2:16" ht="18" customHeight="1" x14ac:dyDescent="0.25">
      <c r="B271" s="79"/>
      <c r="C271" s="79"/>
      <c r="D271" s="79"/>
      <c r="E271" s="79"/>
      <c r="F271" s="79"/>
      <c r="G271" s="79"/>
      <c r="I271" s="80"/>
      <c r="J271" s="79"/>
      <c r="K271" s="81"/>
      <c r="L271" s="81"/>
    </row>
    <row r="272" spans="2:16" ht="23.25" customHeight="1" x14ac:dyDescent="0.25">
      <c r="B272" s="82" t="s">
        <v>40</v>
      </c>
      <c r="C272" s="79"/>
      <c r="D272" s="79"/>
      <c r="E272" s="79"/>
      <c r="F272" s="79"/>
      <c r="G272" s="79"/>
      <c r="H272" s="79"/>
      <c r="I272" s="79"/>
      <c r="J272" s="79"/>
      <c r="K272" s="79"/>
      <c r="L272" s="79"/>
    </row>
    <row r="273" spans="2:16" ht="18" customHeight="1" x14ac:dyDescent="0.25">
      <c r="B273" s="9" t="s">
        <v>15</v>
      </c>
      <c r="C273" s="9" t="s">
        <v>0</v>
      </c>
      <c r="D273" s="228" t="s">
        <v>41</v>
      </c>
      <c r="E273" s="229"/>
      <c r="F273" s="229"/>
      <c r="G273" s="229"/>
      <c r="H273" s="229"/>
      <c r="I273" s="230"/>
      <c r="J273" s="9" t="s">
        <v>15</v>
      </c>
      <c r="K273" s="9" t="s">
        <v>0</v>
      </c>
      <c r="L273" s="79"/>
    </row>
    <row r="274" spans="2:16" ht="18" customHeight="1" x14ac:dyDescent="0.25">
      <c r="B274" s="15" t="str">
        <f>IF(H268=3,B268,"")</f>
        <v/>
      </c>
      <c r="C274" s="15" t="str">
        <f>IFERROR(IF(B274="","",VLOOKUP(B274,LISTAS!$F$5:$G$1004,2,0)),"0")</f>
        <v/>
      </c>
      <c r="D274" s="223"/>
      <c r="E274" s="224"/>
      <c r="F274" s="223" t="s">
        <v>38</v>
      </c>
      <c r="G274" s="224"/>
      <c r="H274" s="223"/>
      <c r="I274" s="224"/>
      <c r="J274" s="21" t="str">
        <f>IF(H268=3,B270,"")</f>
        <v/>
      </c>
      <c r="K274" s="15" t="str">
        <f>IFERROR(IF(J274="","",VLOOKUP(J274,LISTAS!$F$5:$G$1004,2,0)),"0")</f>
        <v/>
      </c>
      <c r="L274" s="81"/>
    </row>
    <row r="275" spans="2:16" ht="18" customHeight="1" x14ac:dyDescent="0.25">
      <c r="B275" s="15" t="str">
        <f>IF(H268=3,B269,"")</f>
        <v/>
      </c>
      <c r="C275" s="15" t="str">
        <f>IFERROR(IF(B275="","",VLOOKUP(B275,LISTAS!$F$5:$G$1004,2,0)),"0")</f>
        <v/>
      </c>
      <c r="D275" s="223"/>
      <c r="E275" s="224"/>
      <c r="F275" s="223" t="s">
        <v>38</v>
      </c>
      <c r="G275" s="224"/>
      <c r="H275" s="223"/>
      <c r="I275" s="224"/>
      <c r="J275" s="21" t="str">
        <f>IF(H268=3,B270,"")</f>
        <v/>
      </c>
      <c r="K275" s="15" t="str">
        <f>IFERROR(IF(J275="","",VLOOKUP(J275,LISTAS!$F$5:$G$1004,2,0)),"0")</f>
        <v/>
      </c>
      <c r="L275" s="79"/>
    </row>
    <row r="276" spans="2:16" ht="18" customHeight="1" x14ac:dyDescent="0.25">
      <c r="B276" s="15" t="str">
        <f>IF(H268=3,B268,"")</f>
        <v/>
      </c>
      <c r="C276" s="15" t="str">
        <f>IFERROR(IF(B276="","",VLOOKUP(B276,LISTAS!$F$5:$G$1004,2,0)),"0")</f>
        <v/>
      </c>
      <c r="D276" s="223"/>
      <c r="E276" s="224"/>
      <c r="F276" s="223" t="s">
        <v>38</v>
      </c>
      <c r="G276" s="224"/>
      <c r="H276" s="223"/>
      <c r="I276" s="224"/>
      <c r="J276" s="21" t="str">
        <f>IF(H268=3,B269,"")</f>
        <v/>
      </c>
      <c r="K276" s="15" t="str">
        <f>IFERROR(IF(J276="","",VLOOKUP(J276,LISTAS!$F$5:$G$1004,2,0)),"0")</f>
        <v/>
      </c>
      <c r="L276" s="81"/>
    </row>
    <row r="279" spans="2:16" ht="30" customHeight="1" x14ac:dyDescent="0.25">
      <c r="B279" s="161" t="s">
        <v>65</v>
      </c>
      <c r="C279" s="79"/>
      <c r="D279" s="225" t="s">
        <v>42</v>
      </c>
      <c r="E279" s="226"/>
      <c r="F279" s="226"/>
      <c r="G279" s="227"/>
      <c r="H279" s="113"/>
      <c r="I279" s="225" t="s">
        <v>3</v>
      </c>
      <c r="J279" s="226"/>
      <c r="K279" s="226"/>
      <c r="L279" s="226"/>
    </row>
    <row r="280" spans="2:16" ht="18" customHeight="1" x14ac:dyDescent="0.25">
      <c r="B280" s="9" t="s">
        <v>15</v>
      </c>
      <c r="C280" s="9" t="s">
        <v>0</v>
      </c>
      <c r="D280" s="9" t="s">
        <v>43</v>
      </c>
      <c r="E280" s="9" t="s">
        <v>44</v>
      </c>
      <c r="F280" s="9" t="s">
        <v>77</v>
      </c>
      <c r="G280" s="9" t="s">
        <v>78</v>
      </c>
      <c r="H280" s="114"/>
      <c r="I280" s="9" t="s">
        <v>18</v>
      </c>
      <c r="J280" s="9" t="s">
        <v>15</v>
      </c>
      <c r="K280" s="9" t="s">
        <v>0</v>
      </c>
      <c r="L280" s="9" t="s">
        <v>45</v>
      </c>
    </row>
    <row r="281" spans="2:16" ht="18" customHeight="1" x14ac:dyDescent="0.25">
      <c r="B281" s="15"/>
      <c r="C281" s="15" t="str">
        <f>IFERROR(IF(B281="","",VLOOKUP(B281,LISTAS!$F$5:$G$1004,2,0)),"0")</f>
        <v/>
      </c>
      <c r="D281" s="15" t="str">
        <f>IF(H281&lt;3,"",IF(H281=3,IF(D287&lt;&gt;"",IF(H287&lt;&gt;"",IF(D287&lt;&gt;H287,IF(D287&gt;H287,"V","D"),""),""),"")))</f>
        <v/>
      </c>
      <c r="E281" s="15" t="str">
        <f>IF(H281&lt;3,"",IF(H281=3,IF(D289&lt;&gt;"",IF(H289&lt;&gt;"",IF(D289&lt;&gt;H289,IF(D289&gt;H289,"V","D"),""),""),"")))</f>
        <v/>
      </c>
      <c r="F281" s="15" t="s">
        <v>81</v>
      </c>
      <c r="G281" s="15" t="s">
        <v>81</v>
      </c>
      <c r="H281" s="117">
        <f>COUNTA(B281:B283)</f>
        <v>0</v>
      </c>
      <c r="I281" s="15" t="str">
        <f>IF(B281&lt;&gt;"",1,"")</f>
        <v/>
      </c>
      <c r="J281" s="15" t="str">
        <f>IF(I281&lt;&gt;"",P281,"")</f>
        <v/>
      </c>
      <c r="K281" s="15" t="str">
        <f>IFERROR(IF(J281="","",VLOOKUP(J281,LISTAS!$F$5:$G$1004,2,0)),"0")</f>
        <v/>
      </c>
      <c r="L281" s="119" t="str">
        <f>IF(H281=3,"OURO",IF(H281=4,"OURO",IF(H281=5,"OURO","")))</f>
        <v/>
      </c>
      <c r="M281" s="20" t="str">
        <f>IF(B281&lt;&gt;"",COUNTIF(D281:G281,"V")+(SUMIF(B287:B289,B281,D287:E289)/1000)+(SUMIF(J287:J289,B281,H287:I289)/1000)-(SUMIF(B287:B289,B281,H287:I289)/1000)-(SUMIF(J287:J289,B281,D287:E289)/1000)+0.003,"")</f>
        <v/>
      </c>
      <c r="N281" s="20" t="str">
        <f>IF(B281="","",B281)</f>
        <v/>
      </c>
      <c r="O281" s="20" t="str">
        <f>IF(B281&lt;&gt;"",LARGE(M281:M283,1),"")</f>
        <v/>
      </c>
      <c r="P281" s="20" t="str">
        <f>VLOOKUP(O281,M281:N283,2,0)</f>
        <v/>
      </c>
    </row>
    <row r="282" spans="2:16" ht="18" customHeight="1" x14ac:dyDescent="0.25">
      <c r="B282" s="15"/>
      <c r="C282" s="15" t="str">
        <f>IFERROR(IF(B282="","",VLOOKUP(B282,LISTAS!$F$5:$G$1004,2,0)),"0")</f>
        <v/>
      </c>
      <c r="D282" s="15" t="str">
        <f>IF(H281&lt;3,"",IF(H281=3,IF(D288&lt;&gt;"",IF(H288&lt;&gt;"",IF(D288&lt;&gt;H288,IF(D288&gt;H288,"V","D"),""),""),"")))</f>
        <v/>
      </c>
      <c r="E282" s="15" t="str">
        <f>IF(H281&lt;3,"",IF(H281=3,IF(D289&lt;&gt;"",IF(H289&lt;&gt;"",IF(D289&lt;&gt;H289,IF(D289&gt;H289,"D","V"),""),""),"")))</f>
        <v/>
      </c>
      <c r="F282" s="15" t="s">
        <v>81</v>
      </c>
      <c r="G282" s="15" t="s">
        <v>81</v>
      </c>
      <c r="H282" s="115"/>
      <c r="I282" s="15" t="str">
        <f>IF(B282&lt;&gt;"",2,"")</f>
        <v/>
      </c>
      <c r="J282" s="15" t="str">
        <f>IF(I282&lt;&gt;"",P282,"")</f>
        <v/>
      </c>
      <c r="K282" s="15" t="str">
        <f>IFERROR(IF(J282="","",VLOOKUP(J282,LISTAS!$F$5:$G$1004,2,0)),"0")</f>
        <v/>
      </c>
      <c r="L282" s="119" t="str">
        <f>IF(H281=3,"PRATA",IF(H281=4,"OURO",IF(H281=5,"OURO","")))</f>
        <v/>
      </c>
      <c r="M282" s="20" t="str">
        <f>IF(B282&lt;&gt;"",COUNTIF(D282:G282,"V")+(SUMIF(B287:B289,B282,D287:E289)/1000)+(SUMIF(J287:J289,B282,H287:I289)/1000)-(SUMIF(B287:B289,B282,H287:I289)/1000)-(SUMIF(J287:J289,B282,D287:E289)/1000)+0.002,"")</f>
        <v/>
      </c>
      <c r="N282" s="20" t="str">
        <f t="shared" ref="N282" si="20">IF(B282="","",B282)</f>
        <v/>
      </c>
      <c r="O282" s="20" t="str">
        <f>IF(B282&lt;&gt;"",LARGE(M281:M283,2),"")</f>
        <v/>
      </c>
      <c r="P282" s="20" t="str">
        <f>VLOOKUP(O282,M281:N283,2,0)</f>
        <v/>
      </c>
    </row>
    <row r="283" spans="2:16" ht="18" customHeight="1" x14ac:dyDescent="0.25">
      <c r="B283" s="15"/>
      <c r="C283" s="15" t="str">
        <f>IFERROR(IF(B283="","",VLOOKUP(B283,LISTAS!$F$5:$G$1004,2,0)),"0")</f>
        <v/>
      </c>
      <c r="D283" s="15" t="str">
        <f>IF(H281&lt;3,"",IF(H281=3,IF(D287&lt;&gt;"",IF(H287&lt;&gt;"",IF(D287&lt;&gt;H287,IF(D287&gt;H287,"D","V"),""),""),"")))</f>
        <v/>
      </c>
      <c r="E283" s="15" t="str">
        <f>IF(H281&lt;3,"",IF(H281=3,IF(D288&lt;&gt;"",IF(H288&lt;&gt;"",IF(D288&lt;&gt;H288,IF(D288&gt;H288,"D","V"),""),""),"")))</f>
        <v/>
      </c>
      <c r="F283" s="15" t="s">
        <v>81</v>
      </c>
      <c r="G283" s="15" t="s">
        <v>81</v>
      </c>
      <c r="H283" s="115"/>
      <c r="I283" s="15" t="str">
        <f>IF(B283&lt;&gt;"",3,"")</f>
        <v/>
      </c>
      <c r="J283" s="15" t="str">
        <f>IF(I283&lt;&gt;"",P283,"")</f>
        <v/>
      </c>
      <c r="K283" s="15" t="str">
        <f>IFERROR(IF(J283="","",VLOOKUP(J283,LISTAS!$F$5:$G$1004,2,0)),"0")</f>
        <v/>
      </c>
      <c r="L283" s="119" t="str">
        <f>IF(H281=3,"BRONZE",IF(H281=4,"PRATA",IF(H281=5,"OURO","")))</f>
        <v/>
      </c>
      <c r="M283" s="20" t="str">
        <f>IF(B283&lt;&gt;"",COUNTIF(D283:G283,"V")+(SUMIF(B287:B289,B283,D287:E289)/1000)+(SUMIF(J287:J289,B283,H287:I289)/1000)-(SUMIF(B287:B289,B283,H287:I289)/1000)-(SUMIF(J287:J289,B283,D287:E289)/1000)+0.001,"")</f>
        <v/>
      </c>
      <c r="N283" s="20" t="str">
        <f>IF(B283="","",B283)</f>
        <v/>
      </c>
      <c r="O283" s="20" t="str">
        <f>IF(B283&lt;&gt;"",LARGE(M281:M283,3),"")</f>
        <v/>
      </c>
      <c r="P283" s="20" t="str">
        <f>VLOOKUP(O283,M281:N283,2,0)</f>
        <v/>
      </c>
    </row>
    <row r="284" spans="2:16" ht="18" customHeight="1" x14ac:dyDescent="0.25">
      <c r="B284" s="79"/>
      <c r="C284" s="79"/>
      <c r="D284" s="79"/>
      <c r="E284" s="79"/>
      <c r="F284" s="79"/>
      <c r="G284" s="79"/>
      <c r="I284" s="80"/>
      <c r="J284" s="79"/>
      <c r="K284" s="81"/>
      <c r="L284" s="81"/>
    </row>
    <row r="285" spans="2:16" ht="23.25" customHeight="1" x14ac:dyDescent="0.25">
      <c r="B285" s="82" t="s">
        <v>40</v>
      </c>
      <c r="C285" s="79"/>
      <c r="D285" s="79"/>
      <c r="E285" s="79"/>
      <c r="F285" s="79"/>
      <c r="G285" s="79"/>
      <c r="H285" s="79"/>
      <c r="I285" s="79"/>
      <c r="J285" s="79"/>
      <c r="K285" s="79"/>
      <c r="L285" s="79"/>
    </row>
    <row r="286" spans="2:16" ht="18" customHeight="1" x14ac:dyDescent="0.25">
      <c r="B286" s="9" t="s">
        <v>15</v>
      </c>
      <c r="C286" s="9" t="s">
        <v>0</v>
      </c>
      <c r="D286" s="228" t="s">
        <v>41</v>
      </c>
      <c r="E286" s="229"/>
      <c r="F286" s="229"/>
      <c r="G286" s="229"/>
      <c r="H286" s="229"/>
      <c r="I286" s="230"/>
      <c r="J286" s="9" t="s">
        <v>15</v>
      </c>
      <c r="K286" s="9" t="s">
        <v>0</v>
      </c>
      <c r="L286" s="79"/>
    </row>
    <row r="287" spans="2:16" ht="18" customHeight="1" x14ac:dyDescent="0.25">
      <c r="B287" s="15" t="str">
        <f>IF(H281=3,B281,"")</f>
        <v/>
      </c>
      <c r="C287" s="15" t="str">
        <f>IFERROR(IF(B287="","",VLOOKUP(B287,LISTAS!$F$5:$G$1004,2,0)),"0")</f>
        <v/>
      </c>
      <c r="D287" s="223"/>
      <c r="E287" s="224"/>
      <c r="F287" s="223" t="s">
        <v>38</v>
      </c>
      <c r="G287" s="224"/>
      <c r="H287" s="223"/>
      <c r="I287" s="224"/>
      <c r="J287" s="21" t="str">
        <f>IF(H281=3,B283,"")</f>
        <v/>
      </c>
      <c r="K287" s="15" t="str">
        <f>IFERROR(IF(J287="","",VLOOKUP(J287,LISTAS!$F$5:$G$1004,2,0)),"0")</f>
        <v/>
      </c>
      <c r="L287" s="81"/>
    </row>
    <row r="288" spans="2:16" ht="18" customHeight="1" x14ac:dyDescent="0.25">
      <c r="B288" s="15" t="str">
        <f>IF(H281=3,B282,"")</f>
        <v/>
      </c>
      <c r="C288" s="15" t="str">
        <f>IFERROR(IF(B288="","",VLOOKUP(B288,LISTAS!$F$5:$G$1004,2,0)),"0")</f>
        <v/>
      </c>
      <c r="D288" s="223"/>
      <c r="E288" s="224"/>
      <c r="F288" s="223" t="s">
        <v>38</v>
      </c>
      <c r="G288" s="224"/>
      <c r="H288" s="223"/>
      <c r="I288" s="224"/>
      <c r="J288" s="21" t="str">
        <f>IF(H281=3,B283,"")</f>
        <v/>
      </c>
      <c r="K288" s="15" t="str">
        <f>IFERROR(IF(J288="","",VLOOKUP(J288,LISTAS!$F$5:$G$1004,2,0)),"0")</f>
        <v/>
      </c>
      <c r="L288" s="79"/>
    </row>
    <row r="289" spans="2:16" ht="18" customHeight="1" x14ac:dyDescent="0.25">
      <c r="B289" s="15" t="str">
        <f>IF(H281=3,B281,"")</f>
        <v/>
      </c>
      <c r="C289" s="15" t="str">
        <f>IFERROR(IF(B289="","",VLOOKUP(B289,LISTAS!$F$5:$G$1004,2,0)),"0")</f>
        <v/>
      </c>
      <c r="D289" s="223"/>
      <c r="E289" s="224"/>
      <c r="F289" s="223" t="s">
        <v>38</v>
      </c>
      <c r="G289" s="224"/>
      <c r="H289" s="223"/>
      <c r="I289" s="224"/>
      <c r="J289" s="21" t="str">
        <f>IF(H281=3,B282,"")</f>
        <v/>
      </c>
      <c r="K289" s="15" t="str">
        <f>IFERROR(IF(J289="","",VLOOKUP(J289,LISTAS!$F$5:$G$1004,2,0)),"0")</f>
        <v/>
      </c>
      <c r="L289" s="81"/>
    </row>
    <row r="292" spans="2:16" ht="30" customHeight="1" x14ac:dyDescent="0.25">
      <c r="B292" s="161" t="s">
        <v>66</v>
      </c>
      <c r="C292" s="79"/>
      <c r="D292" s="225" t="s">
        <v>42</v>
      </c>
      <c r="E292" s="226"/>
      <c r="F292" s="226"/>
      <c r="G292" s="227"/>
      <c r="H292" s="113"/>
      <c r="I292" s="225" t="s">
        <v>3</v>
      </c>
      <c r="J292" s="226"/>
      <c r="K292" s="226"/>
      <c r="L292" s="226"/>
    </row>
    <row r="293" spans="2:16" ht="18" customHeight="1" x14ac:dyDescent="0.25">
      <c r="B293" s="9" t="s">
        <v>15</v>
      </c>
      <c r="C293" s="9" t="s">
        <v>0</v>
      </c>
      <c r="D293" s="9" t="s">
        <v>43</v>
      </c>
      <c r="E293" s="9" t="s">
        <v>44</v>
      </c>
      <c r="F293" s="9" t="s">
        <v>77</v>
      </c>
      <c r="G293" s="9" t="s">
        <v>78</v>
      </c>
      <c r="H293" s="114"/>
      <c r="I293" s="9" t="s">
        <v>18</v>
      </c>
      <c r="J293" s="9" t="s">
        <v>15</v>
      </c>
      <c r="K293" s="9" t="s">
        <v>0</v>
      </c>
      <c r="L293" s="9" t="s">
        <v>45</v>
      </c>
    </row>
    <row r="294" spans="2:16" ht="18" customHeight="1" x14ac:dyDescent="0.25">
      <c r="B294" s="15"/>
      <c r="C294" s="15" t="str">
        <f>IFERROR(IF(B294="","",VLOOKUP(B294,LISTAS!$F$5:$G$1004,2,0)),"0")</f>
        <v/>
      </c>
      <c r="D294" s="15" t="str">
        <f>IF(H294&lt;3,"",IF(H294=3,IF(D300&lt;&gt;"",IF(H300&lt;&gt;"",IF(D300&lt;&gt;H300,IF(D300&gt;H300,"V","D"),""),""),"")))</f>
        <v/>
      </c>
      <c r="E294" s="15" t="str">
        <f>IF(H294&lt;3,"",IF(H294=3,IF(D302&lt;&gt;"",IF(H302&lt;&gt;"",IF(D302&lt;&gt;H302,IF(D302&gt;H302,"V","D"),""),""),"")))</f>
        <v/>
      </c>
      <c r="F294" s="15" t="s">
        <v>81</v>
      </c>
      <c r="G294" s="15" t="s">
        <v>81</v>
      </c>
      <c r="H294" s="117">
        <f>COUNTA(B294:B296)</f>
        <v>0</v>
      </c>
      <c r="I294" s="15" t="str">
        <f>IF(B294&lt;&gt;"",1,"")</f>
        <v/>
      </c>
      <c r="J294" s="15" t="str">
        <f>IF(I294&lt;&gt;"",P294,"")</f>
        <v/>
      </c>
      <c r="K294" s="15" t="str">
        <f>IFERROR(IF(J294="","",VLOOKUP(J294,LISTAS!$F$5:$G$1004,2,0)),"0")</f>
        <v/>
      </c>
      <c r="L294" s="119" t="str">
        <f>IF(H294=3,"OURO",IF(H294=4,"OURO",IF(H294=5,"OURO","")))</f>
        <v/>
      </c>
      <c r="M294" s="20" t="str">
        <f>IF(B294&lt;&gt;"",COUNTIF(D294:G294,"V")+(SUMIF(B300:B302,B294,D300:E302)/1000)+(SUMIF(J300:J302,B294,H300:I302)/1000)-(SUMIF(B300:B302,B294,H300:I302)/1000)-(SUMIF(J300:J302,B294,D300:E302)/1000)+0.003,"")</f>
        <v/>
      </c>
      <c r="N294" s="20" t="str">
        <f>IF(B294="","",B294)</f>
        <v/>
      </c>
      <c r="O294" s="20" t="str">
        <f>IF(B294&lt;&gt;"",LARGE(M294:M296,1),"")</f>
        <v/>
      </c>
      <c r="P294" s="20" t="str">
        <f>VLOOKUP(O294,M294:N296,2,0)</f>
        <v/>
      </c>
    </row>
    <row r="295" spans="2:16" ht="18" customHeight="1" x14ac:dyDescent="0.25">
      <c r="B295" s="15"/>
      <c r="C295" s="15" t="str">
        <f>IFERROR(IF(B295="","",VLOOKUP(B295,LISTAS!$F$5:$G$1004,2,0)),"0")</f>
        <v/>
      </c>
      <c r="D295" s="15" t="str">
        <f>IF(H294&lt;3,"",IF(H294=3,IF(D301&lt;&gt;"",IF(H301&lt;&gt;"",IF(D301&lt;&gt;H301,IF(D301&gt;H301,"V","D"),""),""),"")))</f>
        <v/>
      </c>
      <c r="E295" s="15" t="str">
        <f>IF(H294&lt;3,"",IF(H294=3,IF(D302&lt;&gt;"",IF(H302&lt;&gt;"",IF(D302&lt;&gt;H302,IF(D302&gt;H302,"D","V"),""),""),"")))</f>
        <v/>
      </c>
      <c r="F295" s="15" t="s">
        <v>81</v>
      </c>
      <c r="G295" s="15" t="s">
        <v>81</v>
      </c>
      <c r="H295" s="115"/>
      <c r="I295" s="15" t="str">
        <f>IF(B295&lt;&gt;"",2,"")</f>
        <v/>
      </c>
      <c r="J295" s="15" t="str">
        <f>IF(I295&lt;&gt;"",P295,"")</f>
        <v/>
      </c>
      <c r="K295" s="15" t="str">
        <f>IFERROR(IF(J295="","",VLOOKUP(J295,LISTAS!$F$5:$G$1004,2,0)),"0")</f>
        <v/>
      </c>
      <c r="L295" s="119" t="str">
        <f>IF(H294=3,"PRATA",IF(H294=4,"OURO",IF(H294=5,"OURO","")))</f>
        <v/>
      </c>
      <c r="M295" s="20" t="str">
        <f>IF(B295&lt;&gt;"",COUNTIF(D295:G295,"V")+(SUMIF(B300:B302,B295,D300:E302)/1000)+(SUMIF(J300:J302,B295,H300:I302)/1000)-(SUMIF(B300:B302,B295,H300:I302)/1000)-(SUMIF(J300:J302,B295,D300:E302)/1000)+0.002,"")</f>
        <v/>
      </c>
      <c r="N295" s="20" t="str">
        <f t="shared" ref="N295" si="21">IF(B295="","",B295)</f>
        <v/>
      </c>
      <c r="O295" s="20" t="str">
        <f>IF(B295&lt;&gt;"",LARGE(M294:M296,2),"")</f>
        <v/>
      </c>
      <c r="P295" s="20" t="str">
        <f>VLOOKUP(O295,M294:N296,2,0)</f>
        <v/>
      </c>
    </row>
    <row r="296" spans="2:16" ht="18" customHeight="1" x14ac:dyDescent="0.25">
      <c r="B296" s="15"/>
      <c r="C296" s="15" t="str">
        <f>IFERROR(IF(B296="","",VLOOKUP(B296,LISTAS!$F$5:$G$1004,2,0)),"0")</f>
        <v/>
      </c>
      <c r="D296" s="15" t="str">
        <f>IF(H294&lt;3,"",IF(H294=3,IF(D300&lt;&gt;"",IF(H300&lt;&gt;"",IF(D300&lt;&gt;H300,IF(D300&gt;H300,"D","V"),""),""),"")))</f>
        <v/>
      </c>
      <c r="E296" s="15" t="str">
        <f>IF(H294&lt;3,"",IF(H294=3,IF(D301&lt;&gt;"",IF(H301&lt;&gt;"",IF(D301&lt;&gt;H301,IF(D301&gt;H301,"D","V"),""),""),"")))</f>
        <v/>
      </c>
      <c r="F296" s="15" t="s">
        <v>81</v>
      </c>
      <c r="G296" s="15" t="s">
        <v>81</v>
      </c>
      <c r="H296" s="115"/>
      <c r="I296" s="15" t="str">
        <f>IF(B296&lt;&gt;"",3,"")</f>
        <v/>
      </c>
      <c r="J296" s="15" t="str">
        <f>IF(I296&lt;&gt;"",P296,"")</f>
        <v/>
      </c>
      <c r="K296" s="15" t="str">
        <f>IFERROR(IF(J296="","",VLOOKUP(J296,LISTAS!$F$5:$G$1004,2,0)),"0")</f>
        <v/>
      </c>
      <c r="L296" s="119" t="str">
        <f>IF(H294=3,"BRONZE",IF(H294=4,"PRATA",IF(H294=5,"OURO","")))</f>
        <v/>
      </c>
      <c r="M296" s="20" t="str">
        <f>IF(B296&lt;&gt;"",COUNTIF(D296:G296,"V")+(SUMIF(B300:B302,B296,D300:E302)/1000)+(SUMIF(J300:J302,B296,H300:I302)/1000)-(SUMIF(B300:B302,B296,H300:I302)/1000)-(SUMIF(J300:J302,B296,D300:E302)/1000)+0.001,"")</f>
        <v/>
      </c>
      <c r="N296" s="20" t="str">
        <f>IF(B296="","",B296)</f>
        <v/>
      </c>
      <c r="O296" s="20" t="str">
        <f>IF(B296&lt;&gt;"",LARGE(M294:M296,3),"")</f>
        <v/>
      </c>
      <c r="P296" s="20" t="str">
        <f>VLOOKUP(O296,M294:N296,2,0)</f>
        <v/>
      </c>
    </row>
    <row r="297" spans="2:16" ht="18" customHeight="1" x14ac:dyDescent="0.25">
      <c r="B297" s="79"/>
      <c r="C297" s="79"/>
      <c r="D297" s="79"/>
      <c r="E297" s="79"/>
      <c r="F297" s="79"/>
      <c r="G297" s="79"/>
      <c r="I297" s="80"/>
      <c r="J297" s="79"/>
      <c r="K297" s="81"/>
      <c r="L297" s="81"/>
    </row>
    <row r="298" spans="2:16" ht="23.25" customHeight="1" x14ac:dyDescent="0.25">
      <c r="B298" s="82" t="s">
        <v>40</v>
      </c>
      <c r="C298" s="79"/>
      <c r="D298" s="79"/>
      <c r="E298" s="79"/>
      <c r="F298" s="79"/>
      <c r="G298" s="79"/>
      <c r="H298" s="79"/>
      <c r="I298" s="79"/>
      <c r="J298" s="79"/>
      <c r="K298" s="79"/>
      <c r="L298" s="79"/>
    </row>
    <row r="299" spans="2:16" ht="18" customHeight="1" x14ac:dyDescent="0.25">
      <c r="B299" s="9" t="s">
        <v>15</v>
      </c>
      <c r="C299" s="9" t="s">
        <v>0</v>
      </c>
      <c r="D299" s="228" t="s">
        <v>41</v>
      </c>
      <c r="E299" s="229"/>
      <c r="F299" s="229"/>
      <c r="G299" s="229"/>
      <c r="H299" s="229"/>
      <c r="I299" s="230"/>
      <c r="J299" s="9" t="s">
        <v>15</v>
      </c>
      <c r="K299" s="9" t="s">
        <v>0</v>
      </c>
      <c r="L299" s="79"/>
    </row>
    <row r="300" spans="2:16" ht="18" customHeight="1" x14ac:dyDescent="0.25">
      <c r="B300" s="15" t="str">
        <f>IF(H294=3,B294,"")</f>
        <v/>
      </c>
      <c r="C300" s="15" t="str">
        <f>IFERROR(IF(B300="","",VLOOKUP(B300,LISTAS!$F$5:$G$1004,2,0)),"0")</f>
        <v/>
      </c>
      <c r="D300" s="223"/>
      <c r="E300" s="224"/>
      <c r="F300" s="223" t="s">
        <v>38</v>
      </c>
      <c r="G300" s="224"/>
      <c r="H300" s="223"/>
      <c r="I300" s="224"/>
      <c r="J300" s="21" t="str">
        <f>IF(H294=3,B296,"")</f>
        <v/>
      </c>
      <c r="K300" s="15" t="str">
        <f>IFERROR(IF(J300="","",VLOOKUP(J300,LISTAS!$F$5:$G$1004,2,0)),"0")</f>
        <v/>
      </c>
      <c r="L300" s="81"/>
    </row>
    <row r="301" spans="2:16" ht="18" customHeight="1" x14ac:dyDescent="0.25">
      <c r="B301" s="15" t="str">
        <f>IF(H294=3,B295,"")</f>
        <v/>
      </c>
      <c r="C301" s="15" t="str">
        <f>IFERROR(IF(B301="","",VLOOKUP(B301,LISTAS!$F$5:$G$1004,2,0)),"0")</f>
        <v/>
      </c>
      <c r="D301" s="223"/>
      <c r="E301" s="224"/>
      <c r="F301" s="223" t="s">
        <v>38</v>
      </c>
      <c r="G301" s="224"/>
      <c r="H301" s="223"/>
      <c r="I301" s="224"/>
      <c r="J301" s="21" t="str">
        <f>IF(H294=3,B296,"")</f>
        <v/>
      </c>
      <c r="K301" s="15" t="str">
        <f>IFERROR(IF(J301="","",VLOOKUP(J301,LISTAS!$F$5:$G$1004,2,0)),"0")</f>
        <v/>
      </c>
      <c r="L301" s="79"/>
    </row>
    <row r="302" spans="2:16" ht="18" customHeight="1" x14ac:dyDescent="0.25">
      <c r="B302" s="15" t="str">
        <f>IF(H294=3,B294,"")</f>
        <v/>
      </c>
      <c r="C302" s="15" t="str">
        <f>IFERROR(IF(B302="","",VLOOKUP(B302,LISTAS!$F$5:$G$1004,2,0)),"0")</f>
        <v/>
      </c>
      <c r="D302" s="223"/>
      <c r="E302" s="224"/>
      <c r="F302" s="223" t="s">
        <v>38</v>
      </c>
      <c r="G302" s="224"/>
      <c r="H302" s="223"/>
      <c r="I302" s="224"/>
      <c r="J302" s="21" t="str">
        <f>IF(H294=3,B295,"")</f>
        <v/>
      </c>
      <c r="K302" s="15" t="str">
        <f>IFERROR(IF(J302="","",VLOOKUP(J302,LISTAS!$F$5:$G$1004,2,0)),"0")</f>
        <v/>
      </c>
      <c r="L302" s="81"/>
    </row>
    <row r="305" spans="2:16" ht="30" customHeight="1" x14ac:dyDescent="0.25">
      <c r="B305" s="161" t="s">
        <v>67</v>
      </c>
      <c r="C305" s="79"/>
      <c r="D305" s="225" t="s">
        <v>42</v>
      </c>
      <c r="E305" s="226"/>
      <c r="F305" s="226"/>
      <c r="G305" s="227"/>
      <c r="H305" s="113"/>
      <c r="I305" s="225" t="s">
        <v>3</v>
      </c>
      <c r="J305" s="226"/>
      <c r="K305" s="226"/>
      <c r="L305" s="226"/>
    </row>
    <row r="306" spans="2:16" ht="18" customHeight="1" x14ac:dyDescent="0.25">
      <c r="B306" s="9" t="s">
        <v>15</v>
      </c>
      <c r="C306" s="9" t="s">
        <v>0</v>
      </c>
      <c r="D306" s="9" t="s">
        <v>43</v>
      </c>
      <c r="E306" s="9" t="s">
        <v>44</v>
      </c>
      <c r="F306" s="9" t="s">
        <v>77</v>
      </c>
      <c r="G306" s="9" t="s">
        <v>78</v>
      </c>
      <c r="H306" s="114"/>
      <c r="I306" s="9" t="s">
        <v>18</v>
      </c>
      <c r="J306" s="9" t="s">
        <v>15</v>
      </c>
      <c r="K306" s="9" t="s">
        <v>0</v>
      </c>
      <c r="L306" s="9" t="s">
        <v>45</v>
      </c>
    </row>
    <row r="307" spans="2:16" ht="18" customHeight="1" x14ac:dyDescent="0.25">
      <c r="B307" s="15"/>
      <c r="C307" s="15" t="str">
        <f>IFERROR(IF(B307="","",VLOOKUP(B307,LISTAS!$F$5:$G$1004,2,0)),"0")</f>
        <v/>
      </c>
      <c r="D307" s="15" t="str">
        <f>IF(H307&lt;3,"",IF(H307=3,IF(D313&lt;&gt;"",IF(H313&lt;&gt;"",IF(D313&lt;&gt;H313,IF(D313&gt;H313,"V","D"),""),""),"")))</f>
        <v/>
      </c>
      <c r="E307" s="15" t="str">
        <f>IF(H307&lt;3,"",IF(H307=3,IF(D315&lt;&gt;"",IF(H315&lt;&gt;"",IF(D315&lt;&gt;H315,IF(D315&gt;H315,"V","D"),""),""),"")))</f>
        <v/>
      </c>
      <c r="F307" s="15" t="s">
        <v>81</v>
      </c>
      <c r="G307" s="15" t="s">
        <v>81</v>
      </c>
      <c r="H307" s="117">
        <f>COUNTA(B307:B309)</f>
        <v>0</v>
      </c>
      <c r="I307" s="15" t="str">
        <f>IF(B307&lt;&gt;"",1,"")</f>
        <v/>
      </c>
      <c r="J307" s="15" t="str">
        <f>IF(I307&lt;&gt;"",P307,"")</f>
        <v/>
      </c>
      <c r="K307" s="15" t="str">
        <f>IFERROR(IF(J307="","",VLOOKUP(J307,LISTAS!$F$5:$G$1004,2,0)),"0")</f>
        <v/>
      </c>
      <c r="L307" s="119" t="str">
        <f>IF(H307=3,"OURO",IF(H307=4,"OURO",IF(H307=5,"OURO","")))</f>
        <v/>
      </c>
      <c r="M307" s="20" t="str">
        <f>IF(B307&lt;&gt;"",COUNTIF(D307:G307,"V")+(SUMIF(B313:B315,B307,D313:E315)/1000)+(SUMIF(J313:J315,B307,H313:I315)/1000)-(SUMIF(B313:B315,B307,H313:I315)/1000)-(SUMIF(J313:J315,B307,D313:E315)/1000)+0.003,"")</f>
        <v/>
      </c>
      <c r="N307" s="20" t="str">
        <f>IF(B307="","",B307)</f>
        <v/>
      </c>
      <c r="O307" s="20" t="str">
        <f>IF(B307&lt;&gt;"",LARGE(M307:M309,1),"")</f>
        <v/>
      </c>
      <c r="P307" s="20" t="str">
        <f>VLOOKUP(O307,M307:N309,2,0)</f>
        <v/>
      </c>
    </row>
    <row r="308" spans="2:16" ht="18" customHeight="1" x14ac:dyDescent="0.25">
      <c r="B308" s="15"/>
      <c r="C308" s="15" t="str">
        <f>IFERROR(IF(B308="","",VLOOKUP(B308,LISTAS!$F$5:$G$1004,2,0)),"0")</f>
        <v/>
      </c>
      <c r="D308" s="15" t="str">
        <f>IF(H307&lt;3,"",IF(H307=3,IF(D314&lt;&gt;"",IF(H314&lt;&gt;"",IF(D314&lt;&gt;H314,IF(D314&gt;H314,"V","D"),""),""),"")))</f>
        <v/>
      </c>
      <c r="E308" s="15" t="str">
        <f>IF(H307&lt;3,"",IF(H307=3,IF(D315&lt;&gt;"",IF(H315&lt;&gt;"",IF(D315&lt;&gt;H315,IF(D315&gt;H315,"D","V"),""),""),"")))</f>
        <v/>
      </c>
      <c r="F308" s="15" t="s">
        <v>81</v>
      </c>
      <c r="G308" s="15" t="s">
        <v>81</v>
      </c>
      <c r="H308" s="115"/>
      <c r="I308" s="15" t="str">
        <f>IF(B308&lt;&gt;"",2,"")</f>
        <v/>
      </c>
      <c r="J308" s="15" t="str">
        <f>IF(I308&lt;&gt;"",P308,"")</f>
        <v/>
      </c>
      <c r="K308" s="15" t="str">
        <f>IFERROR(IF(J308="","",VLOOKUP(J308,LISTAS!$F$5:$G$1004,2,0)),"0")</f>
        <v/>
      </c>
      <c r="L308" s="119" t="str">
        <f>IF(H307=3,"PRATA",IF(H307=4,"OURO",IF(H307=5,"OURO","")))</f>
        <v/>
      </c>
      <c r="M308" s="20" t="str">
        <f>IF(B308&lt;&gt;"",COUNTIF(D308:G308,"V")+(SUMIF(B313:B315,B308,D313:E315)/1000)+(SUMIF(J313:J315,B308,H313:I315)/1000)-(SUMIF(B313:B315,B308,H313:I315)/1000)-(SUMIF(J313:J315,B308,D313:E315)/1000)+0.002,"")</f>
        <v/>
      </c>
      <c r="N308" s="20" t="str">
        <f t="shared" ref="N308" si="22">IF(B308="","",B308)</f>
        <v/>
      </c>
      <c r="O308" s="20" t="str">
        <f>IF(B308&lt;&gt;"",LARGE(M307:M309,2),"")</f>
        <v/>
      </c>
      <c r="P308" s="20" t="str">
        <f>VLOOKUP(O308,M307:N309,2,0)</f>
        <v/>
      </c>
    </row>
    <row r="309" spans="2:16" ht="18" customHeight="1" x14ac:dyDescent="0.25">
      <c r="B309" s="15"/>
      <c r="C309" s="15" t="str">
        <f>IFERROR(IF(B309="","",VLOOKUP(B309,LISTAS!$F$5:$G$1004,2,0)),"0")</f>
        <v/>
      </c>
      <c r="D309" s="15" t="str">
        <f>IF(H307&lt;3,"",IF(H307=3,IF(D313&lt;&gt;"",IF(H313&lt;&gt;"",IF(D313&lt;&gt;H313,IF(D313&gt;H313,"D","V"),""),""),"")))</f>
        <v/>
      </c>
      <c r="E309" s="15" t="str">
        <f>IF(H307&lt;3,"",IF(H307=3,IF(D314&lt;&gt;"",IF(H314&lt;&gt;"",IF(D314&lt;&gt;H314,IF(D314&gt;H314,"D","V"),""),""),"")))</f>
        <v/>
      </c>
      <c r="F309" s="15" t="s">
        <v>81</v>
      </c>
      <c r="G309" s="15" t="s">
        <v>81</v>
      </c>
      <c r="H309" s="115"/>
      <c r="I309" s="15" t="str">
        <f>IF(B309&lt;&gt;"",3,"")</f>
        <v/>
      </c>
      <c r="J309" s="15" t="str">
        <f>IF(I309&lt;&gt;"",P309,"")</f>
        <v/>
      </c>
      <c r="K309" s="15" t="str">
        <f>IFERROR(IF(J309="","",VLOOKUP(J309,LISTAS!$F$5:$G$1004,2,0)),"0")</f>
        <v/>
      </c>
      <c r="L309" s="119" t="str">
        <f>IF(H307=3,"BRONZE",IF(H307=4,"PRATA",IF(H307=5,"OURO","")))</f>
        <v/>
      </c>
      <c r="M309" s="20" t="str">
        <f>IF(B309&lt;&gt;"",COUNTIF(D309:G309,"V")+(SUMIF(B313:B315,B309,D313:E315)/1000)+(SUMIF(J313:J315,B309,H313:I315)/1000)-(SUMIF(B313:B315,B309,H313:I315)/1000)-(SUMIF(J313:J315,B309,D313:E315)/1000)+0.001,"")</f>
        <v/>
      </c>
      <c r="N309" s="20" t="str">
        <f>IF(B309="","",B309)</f>
        <v/>
      </c>
      <c r="O309" s="20" t="str">
        <f>IF(B309&lt;&gt;"",LARGE(M307:M309,3),"")</f>
        <v/>
      </c>
      <c r="P309" s="20" t="str">
        <f>VLOOKUP(O309,M307:N309,2,0)</f>
        <v/>
      </c>
    </row>
    <row r="310" spans="2:16" ht="18" customHeight="1" x14ac:dyDescent="0.25">
      <c r="B310" s="79"/>
      <c r="C310" s="79"/>
      <c r="D310" s="79"/>
      <c r="E310" s="79"/>
      <c r="F310" s="79"/>
      <c r="G310" s="79"/>
      <c r="I310" s="80"/>
      <c r="J310" s="79"/>
      <c r="K310" s="81"/>
      <c r="L310" s="81"/>
    </row>
    <row r="311" spans="2:16" ht="23.25" customHeight="1" x14ac:dyDescent="0.25">
      <c r="B311" s="82" t="s">
        <v>40</v>
      </c>
      <c r="C311" s="79"/>
      <c r="D311" s="79"/>
      <c r="E311" s="79"/>
      <c r="F311" s="79"/>
      <c r="G311" s="79"/>
      <c r="H311" s="79"/>
      <c r="I311" s="79"/>
      <c r="J311" s="79"/>
      <c r="K311" s="79"/>
      <c r="L311" s="79"/>
    </row>
    <row r="312" spans="2:16" ht="18" customHeight="1" x14ac:dyDescent="0.25">
      <c r="B312" s="9" t="s">
        <v>15</v>
      </c>
      <c r="C312" s="9" t="s">
        <v>0</v>
      </c>
      <c r="D312" s="228" t="s">
        <v>41</v>
      </c>
      <c r="E312" s="229"/>
      <c r="F312" s="229"/>
      <c r="G312" s="229"/>
      <c r="H312" s="229"/>
      <c r="I312" s="230"/>
      <c r="J312" s="9" t="s">
        <v>15</v>
      </c>
      <c r="K312" s="9" t="s">
        <v>0</v>
      </c>
      <c r="L312" s="79"/>
    </row>
    <row r="313" spans="2:16" ht="18" customHeight="1" x14ac:dyDescent="0.25">
      <c r="B313" s="15" t="str">
        <f>IF(H307=3,B307,"")</f>
        <v/>
      </c>
      <c r="C313" s="15" t="str">
        <f>IFERROR(IF(B313="","",VLOOKUP(B313,LISTAS!$F$5:$G$1004,2,0)),"0")</f>
        <v/>
      </c>
      <c r="D313" s="223"/>
      <c r="E313" s="224"/>
      <c r="F313" s="223" t="s">
        <v>38</v>
      </c>
      <c r="G313" s="224"/>
      <c r="H313" s="223"/>
      <c r="I313" s="224"/>
      <c r="J313" s="21" t="str">
        <f>IF(H307=3,B309,"")</f>
        <v/>
      </c>
      <c r="K313" s="15" t="str">
        <f>IFERROR(IF(J313="","",VLOOKUP(J313,LISTAS!$F$5:$G$1004,2,0)),"0")</f>
        <v/>
      </c>
      <c r="L313" s="81"/>
    </row>
    <row r="314" spans="2:16" ht="18" customHeight="1" x14ac:dyDescent="0.25">
      <c r="B314" s="15" t="str">
        <f>IF(H307=3,B308,"")</f>
        <v/>
      </c>
      <c r="C314" s="15" t="str">
        <f>IFERROR(IF(B314="","",VLOOKUP(B314,LISTAS!$F$5:$G$1004,2,0)),"0")</f>
        <v/>
      </c>
      <c r="D314" s="223"/>
      <c r="E314" s="224"/>
      <c r="F314" s="223" t="s">
        <v>38</v>
      </c>
      <c r="G314" s="224"/>
      <c r="H314" s="223"/>
      <c r="I314" s="224"/>
      <c r="J314" s="21" t="str">
        <f>IF(H307=3,B309,"")</f>
        <v/>
      </c>
      <c r="K314" s="15" t="str">
        <f>IFERROR(IF(J314="","",VLOOKUP(J314,LISTAS!$F$5:$G$1004,2,0)),"0")</f>
        <v/>
      </c>
      <c r="L314" s="79"/>
    </row>
    <row r="315" spans="2:16" ht="18" customHeight="1" x14ac:dyDescent="0.25">
      <c r="B315" s="15" t="str">
        <f>IF(H307=3,B307,"")</f>
        <v/>
      </c>
      <c r="C315" s="15" t="str">
        <f>IFERROR(IF(B315="","",VLOOKUP(B315,LISTAS!$F$5:$G$1004,2,0)),"0")</f>
        <v/>
      </c>
      <c r="D315" s="223"/>
      <c r="E315" s="224"/>
      <c r="F315" s="223" t="s">
        <v>38</v>
      </c>
      <c r="G315" s="224"/>
      <c r="H315" s="223"/>
      <c r="I315" s="224"/>
      <c r="J315" s="21" t="str">
        <f>IF(H307=3,B308,"")</f>
        <v/>
      </c>
      <c r="K315" s="15" t="str">
        <f>IFERROR(IF(J315="","",VLOOKUP(J315,LISTAS!$F$5:$G$1004,2,0)),"0")</f>
        <v/>
      </c>
      <c r="L315" s="81"/>
    </row>
    <row r="318" spans="2:16" ht="30" customHeight="1" x14ac:dyDescent="0.25">
      <c r="B318" s="161" t="s">
        <v>68</v>
      </c>
      <c r="C318" s="79"/>
      <c r="D318" s="225" t="s">
        <v>42</v>
      </c>
      <c r="E318" s="226"/>
      <c r="F318" s="226"/>
      <c r="G318" s="227"/>
      <c r="H318" s="113"/>
      <c r="I318" s="225" t="s">
        <v>3</v>
      </c>
      <c r="J318" s="226"/>
      <c r="K318" s="226"/>
      <c r="L318" s="226"/>
    </row>
    <row r="319" spans="2:16" ht="18" customHeight="1" x14ac:dyDescent="0.25">
      <c r="B319" s="9" t="s">
        <v>15</v>
      </c>
      <c r="C319" s="9" t="s">
        <v>0</v>
      </c>
      <c r="D319" s="9" t="s">
        <v>43</v>
      </c>
      <c r="E319" s="9" t="s">
        <v>44</v>
      </c>
      <c r="F319" s="9" t="s">
        <v>77</v>
      </c>
      <c r="G319" s="9" t="s">
        <v>78</v>
      </c>
      <c r="H319" s="114"/>
      <c r="I319" s="9" t="s">
        <v>18</v>
      </c>
      <c r="J319" s="9" t="s">
        <v>15</v>
      </c>
      <c r="K319" s="9" t="s">
        <v>0</v>
      </c>
      <c r="L319" s="9" t="s">
        <v>45</v>
      </c>
    </row>
    <row r="320" spans="2:16" ht="18" customHeight="1" x14ac:dyDescent="0.25">
      <c r="B320" s="15"/>
      <c r="C320" s="15" t="str">
        <f>IFERROR(IF(B320="","",VLOOKUP(B320,LISTAS!$F$5:$G$1004,2,0)),"0")</f>
        <v/>
      </c>
      <c r="D320" s="15" t="str">
        <f>IF(H320&lt;3,"",IF(H320=3,IF(D326&lt;&gt;"",IF(H326&lt;&gt;"",IF(D326&lt;&gt;H326,IF(D326&gt;H326,"V","D"),""),""),"")))</f>
        <v/>
      </c>
      <c r="E320" s="15" t="str">
        <f>IF(H320&lt;3,"",IF(H320=3,IF(D328&lt;&gt;"",IF(H328&lt;&gt;"",IF(D328&lt;&gt;H328,IF(D328&gt;H328,"V","D"),""),""),"")))</f>
        <v/>
      </c>
      <c r="F320" s="15" t="s">
        <v>81</v>
      </c>
      <c r="G320" s="15" t="s">
        <v>81</v>
      </c>
      <c r="H320" s="117">
        <f>COUNTA(B320:B322)</f>
        <v>0</v>
      </c>
      <c r="I320" s="15" t="str">
        <f>IF(B320&lt;&gt;"",1,"")</f>
        <v/>
      </c>
      <c r="J320" s="15" t="str">
        <f>IF(I320&lt;&gt;"",P320,"")</f>
        <v/>
      </c>
      <c r="K320" s="15" t="str">
        <f>IFERROR(IF(J320="","",VLOOKUP(J320,LISTAS!$F$5:$G$1004,2,0)),"0")</f>
        <v/>
      </c>
      <c r="L320" s="119" t="str">
        <f>IF(H320=3,"OURO",IF(H320=4,"OURO",IF(H320=5,"OURO","")))</f>
        <v/>
      </c>
      <c r="M320" s="20" t="str">
        <f>IF(B320&lt;&gt;"",COUNTIF(D320:G320,"V")+(SUMIF(B326:B328,B320,D326:E328)/1000)+(SUMIF(J326:J328,B320,H326:I328)/1000)-(SUMIF(B326:B328,B320,H326:I328)/1000)-(SUMIF(J326:J328,B320,D326:E328)/1000)+0.003,"")</f>
        <v/>
      </c>
      <c r="N320" s="20" t="str">
        <f>IF(B320="","",B320)</f>
        <v/>
      </c>
      <c r="O320" s="20" t="str">
        <f>IF(B320&lt;&gt;"",LARGE(M320:M322,1),"")</f>
        <v/>
      </c>
      <c r="P320" s="20" t="str">
        <f>VLOOKUP(O320,M320:N322,2,0)</f>
        <v/>
      </c>
    </row>
    <row r="321" spans="2:16" ht="18" customHeight="1" x14ac:dyDescent="0.25">
      <c r="B321" s="15"/>
      <c r="C321" s="15" t="str">
        <f>IFERROR(IF(B321="","",VLOOKUP(B321,LISTAS!$F$5:$G$1004,2,0)),"0")</f>
        <v/>
      </c>
      <c r="D321" s="15" t="str">
        <f>IF(H320&lt;3,"",IF(H320=3,IF(D327&lt;&gt;"",IF(H327&lt;&gt;"",IF(D327&lt;&gt;H327,IF(D327&gt;H327,"V","D"),""),""),"")))</f>
        <v/>
      </c>
      <c r="E321" s="15" t="str">
        <f>IF(H320&lt;3,"",IF(H320=3,IF(D328&lt;&gt;"",IF(H328&lt;&gt;"",IF(D328&lt;&gt;H328,IF(D328&gt;H328,"D","V"),""),""),"")))</f>
        <v/>
      </c>
      <c r="F321" s="15" t="s">
        <v>81</v>
      </c>
      <c r="G321" s="15" t="s">
        <v>81</v>
      </c>
      <c r="H321" s="115"/>
      <c r="I321" s="15" t="str">
        <f>IF(B321&lt;&gt;"",2,"")</f>
        <v/>
      </c>
      <c r="J321" s="15" t="str">
        <f>IF(I321&lt;&gt;"",P321,"")</f>
        <v/>
      </c>
      <c r="K321" s="15" t="str">
        <f>IFERROR(IF(J321="","",VLOOKUP(J321,LISTAS!$F$5:$G$1004,2,0)),"0")</f>
        <v/>
      </c>
      <c r="L321" s="119" t="str">
        <f>IF(H320=3,"PRATA",IF(H320=4,"OURO",IF(H320=5,"OURO","")))</f>
        <v/>
      </c>
      <c r="M321" s="20" t="str">
        <f>IF(B321&lt;&gt;"",COUNTIF(D321:G321,"V")+(SUMIF(B326:B328,B321,D326:E328)/1000)+(SUMIF(J326:J328,B321,H326:I328)/1000)-(SUMIF(B326:B328,B321,H326:I328)/1000)-(SUMIF(J326:J328,B321,D326:E328)/1000)+0.002,"")</f>
        <v/>
      </c>
      <c r="N321" s="20" t="str">
        <f t="shared" ref="N321" si="23">IF(B321="","",B321)</f>
        <v/>
      </c>
      <c r="O321" s="20" t="str">
        <f>IF(B321&lt;&gt;"",LARGE(M320:M322,2),"")</f>
        <v/>
      </c>
      <c r="P321" s="20" t="str">
        <f>VLOOKUP(O321,M320:N322,2,0)</f>
        <v/>
      </c>
    </row>
    <row r="322" spans="2:16" ht="18" customHeight="1" x14ac:dyDescent="0.25">
      <c r="B322" s="15"/>
      <c r="C322" s="15" t="str">
        <f>IFERROR(IF(B322="","",VLOOKUP(B322,LISTAS!$F$5:$G$1004,2,0)),"0")</f>
        <v/>
      </c>
      <c r="D322" s="15" t="str">
        <f>IF(H320&lt;3,"",IF(H320=3,IF(D326&lt;&gt;"",IF(H326&lt;&gt;"",IF(D326&lt;&gt;H326,IF(D326&gt;H326,"D","V"),""),""),"")))</f>
        <v/>
      </c>
      <c r="E322" s="15" t="str">
        <f>IF(H320&lt;3,"",IF(H320=3,IF(D327&lt;&gt;"",IF(H327&lt;&gt;"",IF(D327&lt;&gt;H327,IF(D327&gt;H327,"D","V"),""),""),"")))</f>
        <v/>
      </c>
      <c r="F322" s="15" t="s">
        <v>81</v>
      </c>
      <c r="G322" s="15" t="s">
        <v>81</v>
      </c>
      <c r="H322" s="115"/>
      <c r="I322" s="15" t="str">
        <f>IF(B322&lt;&gt;"",3,"")</f>
        <v/>
      </c>
      <c r="J322" s="15" t="str">
        <f>IF(I322&lt;&gt;"",P322,"")</f>
        <v/>
      </c>
      <c r="K322" s="15" t="str">
        <f>IFERROR(IF(J322="","",VLOOKUP(J322,LISTAS!$F$5:$G$1004,2,0)),"0")</f>
        <v/>
      </c>
      <c r="L322" s="119" t="str">
        <f>IF(H320=3,"BRONZE",IF(H320=4,"PRATA",IF(H320=5,"OURO","")))</f>
        <v/>
      </c>
      <c r="M322" s="20" t="str">
        <f>IF(B322&lt;&gt;"",COUNTIF(D322:G322,"V")+(SUMIF(B326:B328,B322,D326:E328)/1000)+(SUMIF(J326:J328,B322,H326:I328)/1000)-(SUMIF(B326:B328,B322,H326:I328)/1000)-(SUMIF(J326:J328,B322,D326:E328)/1000)+0.001,"")</f>
        <v/>
      </c>
      <c r="N322" s="20" t="str">
        <f>IF(B322="","",B322)</f>
        <v/>
      </c>
      <c r="O322" s="20" t="str">
        <f>IF(B322&lt;&gt;"",LARGE(M320:M322,3),"")</f>
        <v/>
      </c>
      <c r="P322" s="20" t="str">
        <f>VLOOKUP(O322,M320:N322,2,0)</f>
        <v/>
      </c>
    </row>
    <row r="323" spans="2:16" ht="18" customHeight="1" x14ac:dyDescent="0.25">
      <c r="B323" s="79"/>
      <c r="C323" s="79"/>
      <c r="D323" s="79"/>
      <c r="E323" s="79"/>
      <c r="F323" s="79"/>
      <c r="G323" s="79"/>
      <c r="I323" s="80"/>
      <c r="J323" s="79"/>
      <c r="K323" s="81"/>
      <c r="L323" s="81"/>
    </row>
    <row r="324" spans="2:16" ht="23.25" customHeight="1" x14ac:dyDescent="0.25">
      <c r="B324" s="82" t="s">
        <v>40</v>
      </c>
      <c r="C324" s="79"/>
      <c r="D324" s="79"/>
      <c r="E324" s="79"/>
      <c r="F324" s="79"/>
      <c r="G324" s="79"/>
      <c r="H324" s="79"/>
      <c r="I324" s="79"/>
      <c r="J324" s="79"/>
      <c r="K324" s="79"/>
      <c r="L324" s="79"/>
    </row>
    <row r="325" spans="2:16" ht="18" customHeight="1" x14ac:dyDescent="0.25">
      <c r="B325" s="9" t="s">
        <v>15</v>
      </c>
      <c r="C325" s="9" t="s">
        <v>0</v>
      </c>
      <c r="D325" s="228" t="s">
        <v>41</v>
      </c>
      <c r="E325" s="229"/>
      <c r="F325" s="229"/>
      <c r="G325" s="229"/>
      <c r="H325" s="229"/>
      <c r="I325" s="230"/>
      <c r="J325" s="9" t="s">
        <v>15</v>
      </c>
      <c r="K325" s="9" t="s">
        <v>0</v>
      </c>
      <c r="L325" s="79"/>
    </row>
    <row r="326" spans="2:16" ht="18" customHeight="1" x14ac:dyDescent="0.25">
      <c r="B326" s="15" t="str">
        <f>IF(H320=3,B320,"")</f>
        <v/>
      </c>
      <c r="C326" s="15" t="str">
        <f>IFERROR(IF(B326="","",VLOOKUP(B326,LISTAS!$F$5:$G$1004,2,0)),"0")</f>
        <v/>
      </c>
      <c r="D326" s="223"/>
      <c r="E326" s="224"/>
      <c r="F326" s="223" t="s">
        <v>38</v>
      </c>
      <c r="G326" s="224"/>
      <c r="H326" s="223"/>
      <c r="I326" s="224"/>
      <c r="J326" s="21" t="str">
        <f>IF(H320=3,B322,"")</f>
        <v/>
      </c>
      <c r="K326" s="15" t="str">
        <f>IFERROR(IF(J326="","",VLOOKUP(J326,LISTAS!$F$5:$G$1004,2,0)),"0")</f>
        <v/>
      </c>
      <c r="L326" s="81"/>
    </row>
    <row r="327" spans="2:16" ht="18" customHeight="1" x14ac:dyDescent="0.25">
      <c r="B327" s="15" t="str">
        <f>IF(H320=3,B321,"")</f>
        <v/>
      </c>
      <c r="C327" s="15" t="str">
        <f>IFERROR(IF(B327="","",VLOOKUP(B327,LISTAS!$F$5:$G$1004,2,0)),"0")</f>
        <v/>
      </c>
      <c r="D327" s="223"/>
      <c r="E327" s="224"/>
      <c r="F327" s="223" t="s">
        <v>38</v>
      </c>
      <c r="G327" s="224"/>
      <c r="H327" s="223"/>
      <c r="I327" s="224"/>
      <c r="J327" s="21" t="str">
        <f>IF(H320=3,B322,"")</f>
        <v/>
      </c>
      <c r="K327" s="15" t="str">
        <f>IFERROR(IF(J327="","",VLOOKUP(J327,LISTAS!$F$5:$G$1004,2,0)),"0")</f>
        <v/>
      </c>
      <c r="L327" s="79"/>
    </row>
    <row r="328" spans="2:16" ht="18" customHeight="1" x14ac:dyDescent="0.25">
      <c r="B328" s="15" t="str">
        <f>IF(H320=3,B320,"")</f>
        <v/>
      </c>
      <c r="C328" s="15" t="str">
        <f>IFERROR(IF(B328="","",VLOOKUP(B328,LISTAS!$F$5:$G$1004,2,0)),"0")</f>
        <v/>
      </c>
      <c r="D328" s="223"/>
      <c r="E328" s="224"/>
      <c r="F328" s="223" t="s">
        <v>38</v>
      </c>
      <c r="G328" s="224"/>
      <c r="H328" s="223"/>
      <c r="I328" s="224"/>
      <c r="J328" s="21" t="str">
        <f>IF(H320=3,B321,"")</f>
        <v/>
      </c>
      <c r="K328" s="15" t="str">
        <f>IFERROR(IF(J328="","",VLOOKUP(J328,LISTAS!$F$5:$G$1004,2,0)),"0")</f>
        <v/>
      </c>
      <c r="L328" s="81"/>
    </row>
    <row r="331" spans="2:16" ht="30" customHeight="1" x14ac:dyDescent="0.25">
      <c r="B331" s="161" t="s">
        <v>69</v>
      </c>
      <c r="C331" s="79"/>
      <c r="D331" s="225" t="s">
        <v>42</v>
      </c>
      <c r="E331" s="226"/>
      <c r="F331" s="226"/>
      <c r="G331" s="227"/>
      <c r="H331" s="113"/>
      <c r="I331" s="225" t="s">
        <v>3</v>
      </c>
      <c r="J331" s="226"/>
      <c r="K331" s="226"/>
      <c r="L331" s="226"/>
    </row>
    <row r="332" spans="2:16" ht="18" customHeight="1" x14ac:dyDescent="0.25">
      <c r="B332" s="9" t="s">
        <v>15</v>
      </c>
      <c r="C332" s="9" t="s">
        <v>0</v>
      </c>
      <c r="D332" s="9" t="s">
        <v>43</v>
      </c>
      <c r="E332" s="9" t="s">
        <v>44</v>
      </c>
      <c r="F332" s="9" t="s">
        <v>77</v>
      </c>
      <c r="G332" s="9" t="s">
        <v>78</v>
      </c>
      <c r="H332" s="114"/>
      <c r="I332" s="9" t="s">
        <v>18</v>
      </c>
      <c r="J332" s="9" t="s">
        <v>15</v>
      </c>
      <c r="K332" s="9" t="s">
        <v>0</v>
      </c>
      <c r="L332" s="9" t="s">
        <v>45</v>
      </c>
    </row>
    <row r="333" spans="2:16" ht="18" customHeight="1" x14ac:dyDescent="0.25">
      <c r="B333" s="15"/>
      <c r="C333" s="15" t="str">
        <f>IFERROR(IF(B333="","",VLOOKUP(B333,LISTAS!$F$5:$G$1004,2,0)),"0")</f>
        <v/>
      </c>
      <c r="D333" s="15" t="str">
        <f>IF(H333&lt;3,"",IF(H333=3,IF(D339&lt;&gt;"",IF(H339&lt;&gt;"",IF(D339&lt;&gt;H339,IF(D339&gt;H339,"V","D"),""),""),"")))</f>
        <v/>
      </c>
      <c r="E333" s="15" t="str">
        <f>IF(H333&lt;3,"",IF(H333=3,IF(D341&lt;&gt;"",IF(H341&lt;&gt;"",IF(D341&lt;&gt;H341,IF(D341&gt;H341,"V","D"),""),""),"")))</f>
        <v/>
      </c>
      <c r="F333" s="15" t="s">
        <v>81</v>
      </c>
      <c r="G333" s="15" t="s">
        <v>81</v>
      </c>
      <c r="H333" s="117">
        <f>COUNTA(B333:B335)</f>
        <v>0</v>
      </c>
      <c r="I333" s="15" t="str">
        <f>IF(B333&lt;&gt;"",1,"")</f>
        <v/>
      </c>
      <c r="J333" s="15" t="str">
        <f>IF(I333&lt;&gt;"",P333,"")</f>
        <v/>
      </c>
      <c r="K333" s="15" t="str">
        <f>IFERROR(IF(J333="","",VLOOKUP(J333,LISTAS!$F$5:$G$1004,2,0)),"0")</f>
        <v/>
      </c>
      <c r="L333" s="119" t="str">
        <f>IF(H333=3,"OURO",IF(H333=4,"OURO",IF(H333=5,"OURO","")))</f>
        <v/>
      </c>
      <c r="M333" s="20" t="str">
        <f>IF(B333&lt;&gt;"",COUNTIF(D333:G333,"V")+(SUMIF(B339:B341,B333,D339:E341)/1000)+(SUMIF(J339:J341,B333,H339:I341)/1000)-(SUMIF(B339:B341,B333,H339:I341)/1000)-(SUMIF(J339:J341,B333,D339:E341)/1000)+0.003,"")</f>
        <v/>
      </c>
      <c r="N333" s="20" t="str">
        <f>IF(B333="","",B333)</f>
        <v/>
      </c>
      <c r="O333" s="20" t="str">
        <f>IF(B333&lt;&gt;"",LARGE(M333:M335,1),"")</f>
        <v/>
      </c>
      <c r="P333" s="20" t="str">
        <f>VLOOKUP(O333,M333:N335,2,0)</f>
        <v/>
      </c>
    </row>
    <row r="334" spans="2:16" ht="18" customHeight="1" x14ac:dyDescent="0.25">
      <c r="B334" s="15"/>
      <c r="C334" s="15" t="str">
        <f>IFERROR(IF(B334="","",VLOOKUP(B334,LISTAS!$F$5:$G$1004,2,0)),"0")</f>
        <v/>
      </c>
      <c r="D334" s="15" t="str">
        <f>IF(H333&lt;3,"",IF(H333=3,IF(D340&lt;&gt;"",IF(H340&lt;&gt;"",IF(D340&lt;&gt;H340,IF(D340&gt;H340,"V","D"),""),""),"")))</f>
        <v/>
      </c>
      <c r="E334" s="15" t="str">
        <f>IF(H333&lt;3,"",IF(H333=3,IF(D341&lt;&gt;"",IF(H341&lt;&gt;"",IF(D341&lt;&gt;H341,IF(D341&gt;H341,"D","V"),""),""),"")))</f>
        <v/>
      </c>
      <c r="F334" s="15" t="s">
        <v>81</v>
      </c>
      <c r="G334" s="15" t="s">
        <v>81</v>
      </c>
      <c r="H334" s="115"/>
      <c r="I334" s="15" t="str">
        <f>IF(B334&lt;&gt;"",2,"")</f>
        <v/>
      </c>
      <c r="J334" s="15" t="str">
        <f>IF(I334&lt;&gt;"",P334,"")</f>
        <v/>
      </c>
      <c r="K334" s="15" t="str">
        <f>IFERROR(IF(J334="","",VLOOKUP(J334,LISTAS!$F$5:$G$1004,2,0)),"0")</f>
        <v/>
      </c>
      <c r="L334" s="119" t="str">
        <f>IF(H333=3,"PRATA",IF(H333=4,"OURO",IF(H333=5,"OURO","")))</f>
        <v/>
      </c>
      <c r="M334" s="20" t="str">
        <f>IF(B334&lt;&gt;"",COUNTIF(D334:G334,"V")+(SUMIF(B339:B341,B334,D339:E341)/1000)+(SUMIF(J339:J341,B334,H339:I341)/1000)-(SUMIF(B339:B341,B334,H339:I341)/1000)-(SUMIF(J339:J341,B334,D339:E341)/1000)+0.002,"")</f>
        <v/>
      </c>
      <c r="N334" s="20" t="str">
        <f t="shared" ref="N334" si="24">IF(B334="","",B334)</f>
        <v/>
      </c>
      <c r="O334" s="20" t="str">
        <f>IF(B334&lt;&gt;"",LARGE(M333:M335,2),"")</f>
        <v/>
      </c>
      <c r="P334" s="20" t="str">
        <f>VLOOKUP(O334,M333:N335,2,0)</f>
        <v/>
      </c>
    </row>
    <row r="335" spans="2:16" ht="18" customHeight="1" x14ac:dyDescent="0.25">
      <c r="B335" s="15"/>
      <c r="C335" s="15" t="str">
        <f>IFERROR(IF(B335="","",VLOOKUP(B335,LISTAS!$F$5:$G$1004,2,0)),"0")</f>
        <v/>
      </c>
      <c r="D335" s="15" t="str">
        <f>IF(H333&lt;3,"",IF(H333=3,IF(D339&lt;&gt;"",IF(H339&lt;&gt;"",IF(D339&lt;&gt;H339,IF(D339&gt;H339,"D","V"),""),""),"")))</f>
        <v/>
      </c>
      <c r="E335" s="15" t="str">
        <f>IF(H333&lt;3,"",IF(H333=3,IF(D340&lt;&gt;"",IF(H340&lt;&gt;"",IF(D340&lt;&gt;H340,IF(D340&gt;H340,"D","V"),""),""),"")))</f>
        <v/>
      </c>
      <c r="F335" s="15" t="s">
        <v>81</v>
      </c>
      <c r="G335" s="15" t="s">
        <v>81</v>
      </c>
      <c r="H335" s="115"/>
      <c r="I335" s="15" t="str">
        <f>IF(B335&lt;&gt;"",3,"")</f>
        <v/>
      </c>
      <c r="J335" s="15" t="str">
        <f>IF(I335&lt;&gt;"",P335,"")</f>
        <v/>
      </c>
      <c r="K335" s="15" t="str">
        <f>IFERROR(IF(J335="","",VLOOKUP(J335,LISTAS!$F$5:$G$1004,2,0)),"0")</f>
        <v/>
      </c>
      <c r="L335" s="119" t="str">
        <f>IF(H333=3,"BRONZE",IF(H333=4,"PRATA",IF(H333=5,"OURO","")))</f>
        <v/>
      </c>
      <c r="M335" s="20" t="str">
        <f>IF(B335&lt;&gt;"",COUNTIF(D335:G335,"V")+(SUMIF(B339:B341,B335,D339:E341)/1000)+(SUMIF(J339:J341,B335,H339:I341)/1000)-(SUMIF(B339:B341,B335,H339:I341)/1000)-(SUMIF(J339:J341,B335,D339:E341)/1000)+0.001,"")</f>
        <v/>
      </c>
      <c r="N335" s="20" t="str">
        <f>IF(B335="","",B335)</f>
        <v/>
      </c>
      <c r="O335" s="20" t="str">
        <f>IF(B335&lt;&gt;"",LARGE(M333:M335,3),"")</f>
        <v/>
      </c>
      <c r="P335" s="20" t="str">
        <f>VLOOKUP(O335,M333:N335,2,0)</f>
        <v/>
      </c>
    </row>
    <row r="336" spans="2:16" ht="18" customHeight="1" x14ac:dyDescent="0.25">
      <c r="B336" s="79"/>
      <c r="C336" s="79"/>
      <c r="D336" s="79"/>
      <c r="E336" s="79"/>
      <c r="F336" s="79"/>
      <c r="G336" s="79"/>
      <c r="I336" s="80"/>
      <c r="J336" s="79"/>
      <c r="K336" s="81"/>
      <c r="L336" s="81"/>
    </row>
    <row r="337" spans="2:16" ht="23.25" customHeight="1" x14ac:dyDescent="0.25">
      <c r="B337" s="82" t="s">
        <v>40</v>
      </c>
      <c r="C337" s="79"/>
      <c r="D337" s="79"/>
      <c r="E337" s="79"/>
      <c r="F337" s="79"/>
      <c r="G337" s="79"/>
      <c r="H337" s="79"/>
      <c r="I337" s="79"/>
      <c r="J337" s="79"/>
      <c r="K337" s="79"/>
      <c r="L337" s="79"/>
    </row>
    <row r="338" spans="2:16" ht="18" customHeight="1" x14ac:dyDescent="0.25">
      <c r="B338" s="9" t="s">
        <v>15</v>
      </c>
      <c r="C338" s="9" t="s">
        <v>0</v>
      </c>
      <c r="D338" s="228" t="s">
        <v>41</v>
      </c>
      <c r="E338" s="229"/>
      <c r="F338" s="229"/>
      <c r="G338" s="229"/>
      <c r="H338" s="229"/>
      <c r="I338" s="230"/>
      <c r="J338" s="9" t="s">
        <v>15</v>
      </c>
      <c r="K338" s="9" t="s">
        <v>0</v>
      </c>
      <c r="L338" s="79"/>
    </row>
    <row r="339" spans="2:16" ht="18" customHeight="1" x14ac:dyDescent="0.25">
      <c r="B339" s="15" t="str">
        <f>IF(H333=3,B333,"")</f>
        <v/>
      </c>
      <c r="C339" s="15" t="str">
        <f>IFERROR(IF(B339="","",VLOOKUP(B339,LISTAS!$F$5:$G$1004,2,0)),"0")</f>
        <v/>
      </c>
      <c r="D339" s="223"/>
      <c r="E339" s="224"/>
      <c r="F339" s="223" t="s">
        <v>38</v>
      </c>
      <c r="G339" s="224"/>
      <c r="H339" s="223"/>
      <c r="I339" s="224"/>
      <c r="J339" s="21" t="str">
        <f>IF(H333=3,B335,"")</f>
        <v/>
      </c>
      <c r="K339" s="15" t="str">
        <f>IFERROR(IF(J339="","",VLOOKUP(J339,LISTAS!$F$5:$G$1004,2,0)),"0")</f>
        <v/>
      </c>
      <c r="L339" s="81"/>
    </row>
    <row r="340" spans="2:16" ht="18" customHeight="1" x14ac:dyDescent="0.25">
      <c r="B340" s="15" t="str">
        <f>IF(H333=3,B334,"")</f>
        <v/>
      </c>
      <c r="C340" s="15" t="str">
        <f>IFERROR(IF(B340="","",VLOOKUP(B340,LISTAS!$F$5:$G$1004,2,0)),"0")</f>
        <v/>
      </c>
      <c r="D340" s="223"/>
      <c r="E340" s="224"/>
      <c r="F340" s="223" t="s">
        <v>38</v>
      </c>
      <c r="G340" s="224"/>
      <c r="H340" s="223"/>
      <c r="I340" s="224"/>
      <c r="J340" s="21" t="str">
        <f>IF(H333=3,B335,"")</f>
        <v/>
      </c>
      <c r="K340" s="15" t="str">
        <f>IFERROR(IF(J340="","",VLOOKUP(J340,LISTAS!$F$5:$G$1004,2,0)),"0")</f>
        <v/>
      </c>
      <c r="L340" s="79"/>
    </row>
    <row r="341" spans="2:16" ht="18" customHeight="1" x14ac:dyDescent="0.25">
      <c r="B341" s="15" t="str">
        <f>IF(H333=3,B333,"")</f>
        <v/>
      </c>
      <c r="C341" s="15" t="str">
        <f>IFERROR(IF(B341="","",VLOOKUP(B341,LISTAS!$F$5:$G$1004,2,0)),"0")</f>
        <v/>
      </c>
      <c r="D341" s="223"/>
      <c r="E341" s="224"/>
      <c r="F341" s="223" t="s">
        <v>38</v>
      </c>
      <c r="G341" s="224"/>
      <c r="H341" s="223"/>
      <c r="I341" s="224"/>
      <c r="J341" s="21" t="str">
        <f>IF(H333=3,B334,"")</f>
        <v/>
      </c>
      <c r="K341" s="15" t="str">
        <f>IFERROR(IF(J341="","",VLOOKUP(J341,LISTAS!$F$5:$G$1004,2,0)),"0")</f>
        <v/>
      </c>
      <c r="L341" s="81"/>
    </row>
    <row r="344" spans="2:16" ht="30" customHeight="1" x14ac:dyDescent="0.25">
      <c r="B344" s="161" t="s">
        <v>70</v>
      </c>
      <c r="C344" s="79"/>
      <c r="D344" s="225" t="s">
        <v>42</v>
      </c>
      <c r="E344" s="226"/>
      <c r="F344" s="226"/>
      <c r="G344" s="227"/>
      <c r="H344" s="113"/>
      <c r="I344" s="225" t="s">
        <v>3</v>
      </c>
      <c r="J344" s="226"/>
      <c r="K344" s="226"/>
      <c r="L344" s="226"/>
    </row>
    <row r="345" spans="2:16" ht="18" customHeight="1" x14ac:dyDescent="0.25">
      <c r="B345" s="9" t="s">
        <v>15</v>
      </c>
      <c r="C345" s="9" t="s">
        <v>0</v>
      </c>
      <c r="D345" s="9" t="s">
        <v>43</v>
      </c>
      <c r="E345" s="9" t="s">
        <v>44</v>
      </c>
      <c r="F345" s="9" t="s">
        <v>77</v>
      </c>
      <c r="G345" s="9" t="s">
        <v>78</v>
      </c>
      <c r="H345" s="114"/>
      <c r="I345" s="9" t="s">
        <v>18</v>
      </c>
      <c r="J345" s="9" t="s">
        <v>15</v>
      </c>
      <c r="K345" s="9" t="s">
        <v>0</v>
      </c>
      <c r="L345" s="9" t="s">
        <v>45</v>
      </c>
    </row>
    <row r="346" spans="2:16" ht="18" customHeight="1" x14ac:dyDescent="0.25">
      <c r="B346" s="15"/>
      <c r="C346" s="15" t="str">
        <f>IFERROR(IF(B346="","",VLOOKUP(B346,LISTAS!$F$5:$G$1004,2,0)),"0")</f>
        <v/>
      </c>
      <c r="D346" s="15" t="str">
        <f>IF(H346&lt;3,"",IF(H346=3,IF(D352&lt;&gt;"",IF(H352&lt;&gt;"",IF(D352&lt;&gt;H352,IF(D352&gt;H352,"V","D"),""),""),"")))</f>
        <v/>
      </c>
      <c r="E346" s="15" t="str">
        <f>IF(H346&lt;3,"",IF(H346=3,IF(D354&lt;&gt;"",IF(H354&lt;&gt;"",IF(D354&lt;&gt;H354,IF(D354&gt;H354,"V","D"),""),""),"")))</f>
        <v/>
      </c>
      <c r="F346" s="15" t="s">
        <v>81</v>
      </c>
      <c r="G346" s="15" t="s">
        <v>81</v>
      </c>
      <c r="H346" s="117">
        <f>COUNTA(B346:B348)</f>
        <v>0</v>
      </c>
      <c r="I346" s="15" t="str">
        <f>IF(B346&lt;&gt;"",1,"")</f>
        <v/>
      </c>
      <c r="J346" s="15" t="str">
        <f>IF(I346&lt;&gt;"",P346,"")</f>
        <v/>
      </c>
      <c r="K346" s="15" t="str">
        <f>IFERROR(IF(J346="","",VLOOKUP(J346,LISTAS!$F$5:$G$1004,2,0)),"0")</f>
        <v/>
      </c>
      <c r="L346" s="119" t="str">
        <f>IF(H346=3,"OURO",IF(H346=4,"OURO",IF(H346=5,"OURO","")))</f>
        <v/>
      </c>
      <c r="M346" s="20" t="str">
        <f>IF(B346&lt;&gt;"",COUNTIF(D346:G346,"V")+(SUMIF(B352:B354,B346,D352:E354)/1000)+(SUMIF(J352:J354,B346,H352:I354)/1000)-(SUMIF(B352:B354,B346,H352:I354)/1000)-(SUMIF(J352:J354,B346,D352:E354)/1000)+0.003,"")</f>
        <v/>
      </c>
      <c r="N346" s="20" t="str">
        <f>IF(B346="","",B346)</f>
        <v/>
      </c>
      <c r="O346" s="20" t="str">
        <f>IF(B346&lt;&gt;"",LARGE(M346:M348,1),"")</f>
        <v/>
      </c>
      <c r="P346" s="20" t="str">
        <f>VLOOKUP(O346,M346:N348,2,0)</f>
        <v/>
      </c>
    </row>
    <row r="347" spans="2:16" ht="18" customHeight="1" x14ac:dyDescent="0.25">
      <c r="B347" s="15"/>
      <c r="C347" s="15" t="str">
        <f>IFERROR(IF(B347="","",VLOOKUP(B347,LISTAS!$F$5:$G$1004,2,0)),"0")</f>
        <v/>
      </c>
      <c r="D347" s="15" t="str">
        <f>IF(H346&lt;3,"",IF(H346=3,IF(D353&lt;&gt;"",IF(H353&lt;&gt;"",IF(D353&lt;&gt;H353,IF(D353&gt;H353,"V","D"),""),""),"")))</f>
        <v/>
      </c>
      <c r="E347" s="15" t="str">
        <f>IF(H346&lt;3,"",IF(H346=3,IF(D354&lt;&gt;"",IF(H354&lt;&gt;"",IF(D354&lt;&gt;H354,IF(D354&gt;H354,"D","V"),""),""),"")))</f>
        <v/>
      </c>
      <c r="F347" s="15" t="s">
        <v>81</v>
      </c>
      <c r="G347" s="15" t="s">
        <v>81</v>
      </c>
      <c r="H347" s="115"/>
      <c r="I347" s="15" t="str">
        <f>IF(B347&lt;&gt;"",2,"")</f>
        <v/>
      </c>
      <c r="J347" s="15" t="str">
        <f>IF(I347&lt;&gt;"",P347,"")</f>
        <v/>
      </c>
      <c r="K347" s="15" t="str">
        <f>IFERROR(IF(J347="","",VLOOKUP(J347,LISTAS!$F$5:$G$1004,2,0)),"0")</f>
        <v/>
      </c>
      <c r="L347" s="119" t="str">
        <f>IF(H346=3,"PRATA",IF(H346=4,"OURO",IF(H346=5,"OURO","")))</f>
        <v/>
      </c>
      <c r="M347" s="20" t="str">
        <f>IF(B347&lt;&gt;"",COUNTIF(D347:G347,"V")+(SUMIF(B352:B354,B347,D352:E354)/1000)+(SUMIF(J352:J354,B347,H352:I354)/1000)-(SUMIF(B352:B354,B347,H352:I354)/1000)-(SUMIF(J352:J354,B347,D352:E354)/1000)+0.002,"")</f>
        <v/>
      </c>
      <c r="N347" s="20" t="str">
        <f t="shared" ref="N347" si="25">IF(B347="","",B347)</f>
        <v/>
      </c>
      <c r="O347" s="20" t="str">
        <f>IF(B347&lt;&gt;"",LARGE(M346:M348,2),"")</f>
        <v/>
      </c>
      <c r="P347" s="20" t="str">
        <f>VLOOKUP(O347,M346:N348,2,0)</f>
        <v/>
      </c>
    </row>
    <row r="348" spans="2:16" ht="18" customHeight="1" x14ac:dyDescent="0.25">
      <c r="B348" s="15"/>
      <c r="C348" s="15" t="str">
        <f>IFERROR(IF(B348="","",VLOOKUP(B348,LISTAS!$F$5:$G$1004,2,0)),"0")</f>
        <v/>
      </c>
      <c r="D348" s="15" t="str">
        <f>IF(H346&lt;3,"",IF(H346=3,IF(D352&lt;&gt;"",IF(H352&lt;&gt;"",IF(D352&lt;&gt;H352,IF(D352&gt;H352,"D","V"),""),""),"")))</f>
        <v/>
      </c>
      <c r="E348" s="15" t="str">
        <f>IF(H346&lt;3,"",IF(H346=3,IF(D353&lt;&gt;"",IF(H353&lt;&gt;"",IF(D353&lt;&gt;H353,IF(D353&gt;H353,"D","V"),""),""),"")))</f>
        <v/>
      </c>
      <c r="F348" s="15" t="s">
        <v>81</v>
      </c>
      <c r="G348" s="15" t="s">
        <v>81</v>
      </c>
      <c r="H348" s="115"/>
      <c r="I348" s="15" t="str">
        <f>IF(B348&lt;&gt;"",3,"")</f>
        <v/>
      </c>
      <c r="J348" s="15" t="str">
        <f>IF(I348&lt;&gt;"",P348,"")</f>
        <v/>
      </c>
      <c r="K348" s="15" t="str">
        <f>IFERROR(IF(J348="","",VLOOKUP(J348,LISTAS!$F$5:$G$1004,2,0)),"0")</f>
        <v/>
      </c>
      <c r="L348" s="119" t="str">
        <f>IF(H346=3,"BRONZE",IF(H346=4,"PRATA",IF(H346=5,"OURO","")))</f>
        <v/>
      </c>
      <c r="M348" s="20" t="str">
        <f>IF(B348&lt;&gt;"",COUNTIF(D348:G348,"V")+(SUMIF(B352:B354,B348,D352:E354)/1000)+(SUMIF(J352:J354,B348,H352:I354)/1000)-(SUMIF(B352:B354,B348,H352:I354)/1000)-(SUMIF(J352:J354,B348,D352:E354)/1000)+0.001,"")</f>
        <v/>
      </c>
      <c r="N348" s="20" t="str">
        <f>IF(B348="","",B348)</f>
        <v/>
      </c>
      <c r="O348" s="20" t="str">
        <f>IF(B348&lt;&gt;"",LARGE(M346:M348,3),"")</f>
        <v/>
      </c>
      <c r="P348" s="20" t="str">
        <f>VLOOKUP(O348,M346:N348,2,0)</f>
        <v/>
      </c>
    </row>
    <row r="349" spans="2:16" ht="18" customHeight="1" x14ac:dyDescent="0.25">
      <c r="B349" s="79"/>
      <c r="C349" s="79"/>
      <c r="D349" s="79"/>
      <c r="E349" s="79"/>
      <c r="F349" s="79"/>
      <c r="G349" s="79"/>
      <c r="I349" s="80"/>
      <c r="J349" s="79"/>
      <c r="K349" s="81"/>
      <c r="L349" s="81"/>
    </row>
    <row r="350" spans="2:16" ht="23.25" customHeight="1" x14ac:dyDescent="0.25">
      <c r="B350" s="82" t="s">
        <v>40</v>
      </c>
      <c r="C350" s="79"/>
      <c r="D350" s="79"/>
      <c r="E350" s="79"/>
      <c r="F350" s="79"/>
      <c r="G350" s="79"/>
      <c r="H350" s="79"/>
      <c r="I350" s="79"/>
      <c r="J350" s="79"/>
      <c r="K350" s="79"/>
      <c r="L350" s="79"/>
    </row>
    <row r="351" spans="2:16" ht="18" customHeight="1" x14ac:dyDescent="0.25">
      <c r="B351" s="9" t="s">
        <v>15</v>
      </c>
      <c r="C351" s="9" t="s">
        <v>0</v>
      </c>
      <c r="D351" s="228" t="s">
        <v>41</v>
      </c>
      <c r="E351" s="229"/>
      <c r="F351" s="229"/>
      <c r="G351" s="229"/>
      <c r="H351" s="229"/>
      <c r="I351" s="230"/>
      <c r="J351" s="9" t="s">
        <v>15</v>
      </c>
      <c r="K351" s="9" t="s">
        <v>0</v>
      </c>
      <c r="L351" s="79"/>
    </row>
    <row r="352" spans="2:16" ht="18" customHeight="1" x14ac:dyDescent="0.25">
      <c r="B352" s="15" t="str">
        <f>IF(H346=3,B346,"")</f>
        <v/>
      </c>
      <c r="C352" s="15" t="str">
        <f>IFERROR(IF(B352="","",VLOOKUP(B352,LISTAS!$F$5:$G$1004,2,0)),"0")</f>
        <v/>
      </c>
      <c r="D352" s="223"/>
      <c r="E352" s="224"/>
      <c r="F352" s="223" t="s">
        <v>38</v>
      </c>
      <c r="G352" s="224"/>
      <c r="H352" s="223"/>
      <c r="I352" s="224"/>
      <c r="J352" s="21" t="str">
        <f>IF(H346=3,B348,"")</f>
        <v/>
      </c>
      <c r="K352" s="15" t="str">
        <f>IFERROR(IF(J352="","",VLOOKUP(J352,LISTAS!$F$5:$G$1004,2,0)),"0")</f>
        <v/>
      </c>
      <c r="L352" s="81"/>
    </row>
    <row r="353" spans="2:16" ht="18" customHeight="1" x14ac:dyDescent="0.25">
      <c r="B353" s="15" t="str">
        <f>IF(H346=3,B347,"")</f>
        <v/>
      </c>
      <c r="C353" s="15" t="str">
        <f>IFERROR(IF(B353="","",VLOOKUP(B353,LISTAS!$F$5:$G$1004,2,0)),"0")</f>
        <v/>
      </c>
      <c r="D353" s="223"/>
      <c r="E353" s="224"/>
      <c r="F353" s="223" t="s">
        <v>38</v>
      </c>
      <c r="G353" s="224"/>
      <c r="H353" s="223"/>
      <c r="I353" s="224"/>
      <c r="J353" s="21" t="str">
        <f>IF(H346=3,B348,"")</f>
        <v/>
      </c>
      <c r="K353" s="15" t="str">
        <f>IFERROR(IF(J353="","",VLOOKUP(J353,LISTAS!$F$5:$G$1004,2,0)),"0")</f>
        <v/>
      </c>
      <c r="L353" s="79"/>
    </row>
    <row r="354" spans="2:16" ht="18" customHeight="1" x14ac:dyDescent="0.25">
      <c r="B354" s="15" t="str">
        <f>IF(H346=3,B346,"")</f>
        <v/>
      </c>
      <c r="C354" s="15" t="str">
        <f>IFERROR(IF(B354="","",VLOOKUP(B354,LISTAS!$F$5:$G$1004,2,0)),"0")</f>
        <v/>
      </c>
      <c r="D354" s="223"/>
      <c r="E354" s="224"/>
      <c r="F354" s="223" t="s">
        <v>38</v>
      </c>
      <c r="G354" s="224"/>
      <c r="H354" s="223"/>
      <c r="I354" s="224"/>
      <c r="J354" s="21" t="str">
        <f>IF(H346=3,B347,"")</f>
        <v/>
      </c>
      <c r="K354" s="15" t="str">
        <f>IFERROR(IF(J354="","",VLOOKUP(J354,LISTAS!$F$5:$G$1004,2,0)),"0")</f>
        <v/>
      </c>
      <c r="L354" s="81"/>
    </row>
    <row r="357" spans="2:16" ht="30" customHeight="1" x14ac:dyDescent="0.25">
      <c r="B357" s="161" t="s">
        <v>71</v>
      </c>
      <c r="C357" s="79"/>
      <c r="D357" s="225" t="s">
        <v>42</v>
      </c>
      <c r="E357" s="226"/>
      <c r="F357" s="226"/>
      <c r="G357" s="227"/>
      <c r="H357" s="113"/>
      <c r="I357" s="225" t="s">
        <v>3</v>
      </c>
      <c r="J357" s="226"/>
      <c r="K357" s="226"/>
      <c r="L357" s="226"/>
    </row>
    <row r="358" spans="2:16" ht="18" customHeight="1" x14ac:dyDescent="0.25">
      <c r="B358" s="9" t="s">
        <v>15</v>
      </c>
      <c r="C358" s="9" t="s">
        <v>0</v>
      </c>
      <c r="D358" s="9" t="s">
        <v>43</v>
      </c>
      <c r="E358" s="9" t="s">
        <v>44</v>
      </c>
      <c r="F358" s="9" t="s">
        <v>77</v>
      </c>
      <c r="G358" s="9" t="s">
        <v>78</v>
      </c>
      <c r="H358" s="114"/>
      <c r="I358" s="9" t="s">
        <v>18</v>
      </c>
      <c r="J358" s="9" t="s">
        <v>15</v>
      </c>
      <c r="K358" s="9" t="s">
        <v>0</v>
      </c>
      <c r="L358" s="9" t="s">
        <v>45</v>
      </c>
    </row>
    <row r="359" spans="2:16" ht="18" customHeight="1" x14ac:dyDescent="0.25">
      <c r="B359" s="15"/>
      <c r="C359" s="15" t="str">
        <f>IFERROR(IF(B359="","",VLOOKUP(B359,LISTAS!$F$5:$G$1004,2,0)),"0")</f>
        <v/>
      </c>
      <c r="D359" s="15" t="str">
        <f>IF(H359&lt;3,"",IF(H359=3,IF(D365&lt;&gt;"",IF(H365&lt;&gt;"",IF(D365&lt;&gt;H365,IF(D365&gt;H365,"V","D"),""),""),"")))</f>
        <v/>
      </c>
      <c r="E359" s="15" t="str">
        <f>IF(H359&lt;3,"",IF(H359=3,IF(D367&lt;&gt;"",IF(H367&lt;&gt;"",IF(D367&lt;&gt;H367,IF(D367&gt;H367,"V","D"),""),""),"")))</f>
        <v/>
      </c>
      <c r="F359" s="15" t="s">
        <v>81</v>
      </c>
      <c r="G359" s="15" t="s">
        <v>81</v>
      </c>
      <c r="H359" s="117">
        <f>COUNTA(B359:B361)</f>
        <v>0</v>
      </c>
      <c r="I359" s="15" t="str">
        <f>IF(B359&lt;&gt;"",1,"")</f>
        <v/>
      </c>
      <c r="J359" s="15" t="str">
        <f>IF(I359&lt;&gt;"",P359,"")</f>
        <v/>
      </c>
      <c r="K359" s="15" t="str">
        <f>IFERROR(IF(J359="","",VLOOKUP(J359,LISTAS!$F$5:$G$1004,2,0)),"0")</f>
        <v/>
      </c>
      <c r="L359" s="119" t="str">
        <f>IF(H359=3,"OURO",IF(H359=4,"OURO",IF(H359=5,"OURO","")))</f>
        <v/>
      </c>
      <c r="M359" s="20" t="str">
        <f>IF(B359&lt;&gt;"",COUNTIF(D359:G359,"V")+(SUMIF(B365:B367,B359,D365:E367)/1000)+(SUMIF(J365:J367,B359,H365:I367)/1000)-(SUMIF(B365:B367,B359,H365:I367)/1000)-(SUMIF(J365:J367,B359,D365:E367)/1000)+0.003,"")</f>
        <v/>
      </c>
      <c r="N359" s="20" t="str">
        <f>IF(B359="","",B359)</f>
        <v/>
      </c>
      <c r="O359" s="20" t="str">
        <f>IF(B359&lt;&gt;"",LARGE(M359:M361,1),"")</f>
        <v/>
      </c>
      <c r="P359" s="20" t="str">
        <f>VLOOKUP(O359,M359:N361,2,0)</f>
        <v/>
      </c>
    </row>
    <row r="360" spans="2:16" ht="18" customHeight="1" x14ac:dyDescent="0.25">
      <c r="B360" s="15"/>
      <c r="C360" s="15" t="str">
        <f>IFERROR(IF(B360="","",VLOOKUP(B360,LISTAS!$F$5:$G$1004,2,0)),"0")</f>
        <v/>
      </c>
      <c r="D360" s="15" t="str">
        <f>IF(H359&lt;3,"",IF(H359=3,IF(D366&lt;&gt;"",IF(H366&lt;&gt;"",IF(D366&lt;&gt;H366,IF(D366&gt;H366,"V","D"),""),""),"")))</f>
        <v/>
      </c>
      <c r="E360" s="15" t="str">
        <f>IF(H359&lt;3,"",IF(H359=3,IF(D367&lt;&gt;"",IF(H367&lt;&gt;"",IF(D367&lt;&gt;H367,IF(D367&gt;H367,"D","V"),""),""),"")))</f>
        <v/>
      </c>
      <c r="F360" s="15" t="s">
        <v>81</v>
      </c>
      <c r="G360" s="15" t="s">
        <v>81</v>
      </c>
      <c r="H360" s="115"/>
      <c r="I360" s="15" t="str">
        <f>IF(B360&lt;&gt;"",2,"")</f>
        <v/>
      </c>
      <c r="J360" s="15" t="str">
        <f>IF(I360&lt;&gt;"",P360,"")</f>
        <v/>
      </c>
      <c r="K360" s="15" t="str">
        <f>IFERROR(IF(J360="","",VLOOKUP(J360,LISTAS!$F$5:$G$1004,2,0)),"0")</f>
        <v/>
      </c>
      <c r="L360" s="119" t="str">
        <f>IF(H359=3,"PRATA",IF(H359=4,"OURO",IF(H359=5,"OURO","")))</f>
        <v/>
      </c>
      <c r="M360" s="20" t="str">
        <f>IF(B360&lt;&gt;"",COUNTIF(D360:G360,"V")+(SUMIF(B365:B367,B360,D365:E367)/1000)+(SUMIF(J365:J367,B360,H365:I367)/1000)-(SUMIF(B365:B367,B360,H365:I367)/1000)-(SUMIF(J365:J367,B360,D365:E367)/1000)+0.002,"")</f>
        <v/>
      </c>
      <c r="N360" s="20" t="str">
        <f t="shared" ref="N360" si="26">IF(B360="","",B360)</f>
        <v/>
      </c>
      <c r="O360" s="20" t="str">
        <f>IF(B360&lt;&gt;"",LARGE(M359:M361,2),"")</f>
        <v/>
      </c>
      <c r="P360" s="20" t="str">
        <f>VLOOKUP(O360,M359:N361,2,0)</f>
        <v/>
      </c>
    </row>
    <row r="361" spans="2:16" ht="18" customHeight="1" x14ac:dyDescent="0.25">
      <c r="B361" s="15"/>
      <c r="C361" s="15" t="str">
        <f>IFERROR(IF(B361="","",VLOOKUP(B361,LISTAS!$F$5:$G$1004,2,0)),"0")</f>
        <v/>
      </c>
      <c r="D361" s="15" t="str">
        <f>IF(H359&lt;3,"",IF(H359=3,IF(D365&lt;&gt;"",IF(H365&lt;&gt;"",IF(D365&lt;&gt;H365,IF(D365&gt;H365,"D","V"),""),""),"")))</f>
        <v/>
      </c>
      <c r="E361" s="15" t="str">
        <f>IF(H359&lt;3,"",IF(H359=3,IF(D366&lt;&gt;"",IF(H366&lt;&gt;"",IF(D366&lt;&gt;H366,IF(D366&gt;H366,"D","V"),""),""),"")))</f>
        <v/>
      </c>
      <c r="F361" s="15" t="s">
        <v>81</v>
      </c>
      <c r="G361" s="15" t="s">
        <v>81</v>
      </c>
      <c r="H361" s="115"/>
      <c r="I361" s="15" t="str">
        <f>IF(B361&lt;&gt;"",3,"")</f>
        <v/>
      </c>
      <c r="J361" s="15" t="str">
        <f>IF(I361&lt;&gt;"",P361,"")</f>
        <v/>
      </c>
      <c r="K361" s="15" t="str">
        <f>IFERROR(IF(J361="","",VLOOKUP(J361,LISTAS!$F$5:$G$1004,2,0)),"0")</f>
        <v/>
      </c>
      <c r="L361" s="119" t="str">
        <f>IF(H359=3,"BRONZE",IF(H359=4,"PRATA",IF(H359=5,"OURO","")))</f>
        <v/>
      </c>
      <c r="M361" s="20" t="str">
        <f>IF(B361&lt;&gt;"",COUNTIF(D361:G361,"V")+(SUMIF(B365:B367,B361,D365:E367)/1000)+(SUMIF(J365:J367,B361,H365:I367)/1000)-(SUMIF(B365:B367,B361,H365:I367)/1000)-(SUMIF(J365:J367,B361,D365:E367)/1000)+0.001,"")</f>
        <v/>
      </c>
      <c r="N361" s="20" t="str">
        <f>IF(B361="","",B361)</f>
        <v/>
      </c>
      <c r="O361" s="20" t="str">
        <f>IF(B361&lt;&gt;"",LARGE(M359:M361,3),"")</f>
        <v/>
      </c>
      <c r="P361" s="20" t="str">
        <f>VLOOKUP(O361,M359:N361,2,0)</f>
        <v/>
      </c>
    </row>
    <row r="362" spans="2:16" ht="18" customHeight="1" x14ac:dyDescent="0.25">
      <c r="B362" s="79"/>
      <c r="C362" s="79"/>
      <c r="D362" s="79"/>
      <c r="E362" s="79"/>
      <c r="F362" s="79"/>
      <c r="G362" s="79"/>
      <c r="I362" s="80"/>
      <c r="J362" s="79"/>
      <c r="K362" s="81"/>
      <c r="L362" s="81"/>
    </row>
    <row r="363" spans="2:16" ht="23.25" customHeight="1" x14ac:dyDescent="0.25">
      <c r="B363" s="82" t="s">
        <v>40</v>
      </c>
      <c r="C363" s="79"/>
      <c r="D363" s="79"/>
      <c r="E363" s="79"/>
      <c r="F363" s="79"/>
      <c r="G363" s="79"/>
      <c r="H363" s="79"/>
      <c r="I363" s="79"/>
      <c r="J363" s="79"/>
      <c r="K363" s="79"/>
      <c r="L363" s="79"/>
    </row>
    <row r="364" spans="2:16" ht="18" customHeight="1" x14ac:dyDescent="0.25">
      <c r="B364" s="9" t="s">
        <v>15</v>
      </c>
      <c r="C364" s="9" t="s">
        <v>0</v>
      </c>
      <c r="D364" s="228" t="s">
        <v>41</v>
      </c>
      <c r="E364" s="229"/>
      <c r="F364" s="229"/>
      <c r="G364" s="229"/>
      <c r="H364" s="229"/>
      <c r="I364" s="230"/>
      <c r="J364" s="9" t="s">
        <v>15</v>
      </c>
      <c r="K364" s="9" t="s">
        <v>0</v>
      </c>
      <c r="L364" s="79"/>
    </row>
    <row r="365" spans="2:16" ht="18" customHeight="1" x14ac:dyDescent="0.25">
      <c r="B365" s="15" t="str">
        <f>IF(H359=3,B359,"")</f>
        <v/>
      </c>
      <c r="C365" s="15" t="str">
        <f>IFERROR(IF(B365="","",VLOOKUP(B365,LISTAS!$F$5:$G$1004,2,0)),"0")</f>
        <v/>
      </c>
      <c r="D365" s="223"/>
      <c r="E365" s="224"/>
      <c r="F365" s="223" t="s">
        <v>38</v>
      </c>
      <c r="G365" s="224"/>
      <c r="H365" s="223"/>
      <c r="I365" s="224"/>
      <c r="J365" s="21" t="str">
        <f>IF(H359=3,B361,"")</f>
        <v/>
      </c>
      <c r="K365" s="15" t="str">
        <f>IFERROR(IF(J365="","",VLOOKUP(J365,LISTAS!$F$5:$G$1004,2,0)),"0")</f>
        <v/>
      </c>
      <c r="L365" s="81"/>
    </row>
    <row r="366" spans="2:16" ht="18" customHeight="1" x14ac:dyDescent="0.25">
      <c r="B366" s="15" t="str">
        <f>IF(H359=3,B360,"")</f>
        <v/>
      </c>
      <c r="C366" s="15" t="str">
        <f>IFERROR(IF(B366="","",VLOOKUP(B366,LISTAS!$F$5:$G$1004,2,0)),"0")</f>
        <v/>
      </c>
      <c r="D366" s="223"/>
      <c r="E366" s="224"/>
      <c r="F366" s="223" t="s">
        <v>38</v>
      </c>
      <c r="G366" s="224"/>
      <c r="H366" s="223"/>
      <c r="I366" s="224"/>
      <c r="J366" s="21" t="str">
        <f>IF(H359=3,B361,"")</f>
        <v/>
      </c>
      <c r="K366" s="15" t="str">
        <f>IFERROR(IF(J366="","",VLOOKUP(J366,LISTAS!$F$5:$G$1004,2,0)),"0")</f>
        <v/>
      </c>
      <c r="L366" s="79"/>
    </row>
    <row r="367" spans="2:16" ht="18" customHeight="1" x14ac:dyDescent="0.25">
      <c r="B367" s="15" t="str">
        <f>IF(H359=3,B359,"")</f>
        <v/>
      </c>
      <c r="C367" s="15" t="str">
        <f>IFERROR(IF(B367="","",VLOOKUP(B367,LISTAS!$F$5:$G$1004,2,0)),"0")</f>
        <v/>
      </c>
      <c r="D367" s="223"/>
      <c r="E367" s="224"/>
      <c r="F367" s="223" t="s">
        <v>38</v>
      </c>
      <c r="G367" s="224"/>
      <c r="H367" s="223"/>
      <c r="I367" s="224"/>
      <c r="J367" s="21" t="str">
        <f>IF(H359=3,B360,"")</f>
        <v/>
      </c>
      <c r="K367" s="15" t="str">
        <f>IFERROR(IF(J367="","",VLOOKUP(J367,LISTAS!$F$5:$G$1004,2,0)),"0")</f>
        <v/>
      </c>
      <c r="L367" s="81"/>
    </row>
    <row r="370" spans="2:16" ht="30" customHeight="1" x14ac:dyDescent="0.25">
      <c r="B370" s="161" t="s">
        <v>72</v>
      </c>
      <c r="C370" s="79"/>
      <c r="D370" s="225" t="s">
        <v>42</v>
      </c>
      <c r="E370" s="226"/>
      <c r="F370" s="226"/>
      <c r="G370" s="227"/>
      <c r="H370" s="113"/>
      <c r="I370" s="225" t="s">
        <v>3</v>
      </c>
      <c r="J370" s="226"/>
      <c r="K370" s="226"/>
      <c r="L370" s="226"/>
    </row>
    <row r="371" spans="2:16" ht="18" customHeight="1" x14ac:dyDescent="0.25">
      <c r="B371" s="9" t="s">
        <v>15</v>
      </c>
      <c r="C371" s="9" t="s">
        <v>0</v>
      </c>
      <c r="D371" s="9" t="s">
        <v>43</v>
      </c>
      <c r="E371" s="9" t="s">
        <v>44</v>
      </c>
      <c r="F371" s="9" t="s">
        <v>77</v>
      </c>
      <c r="G371" s="9" t="s">
        <v>78</v>
      </c>
      <c r="H371" s="114"/>
      <c r="I371" s="9" t="s">
        <v>18</v>
      </c>
      <c r="J371" s="9" t="s">
        <v>15</v>
      </c>
      <c r="K371" s="9" t="s">
        <v>0</v>
      </c>
      <c r="L371" s="9" t="s">
        <v>45</v>
      </c>
    </row>
    <row r="372" spans="2:16" ht="18" customHeight="1" x14ac:dyDescent="0.25">
      <c r="B372" s="15"/>
      <c r="C372" s="15" t="str">
        <f>IFERROR(IF(B372="","",VLOOKUP(B372,LISTAS!$F$5:$G$1004,2,0)),"0")</f>
        <v/>
      </c>
      <c r="D372" s="15" t="str">
        <f>IF(H372&lt;3,"",IF(H372=3,IF(D378&lt;&gt;"",IF(H378&lt;&gt;"",IF(D378&lt;&gt;H378,IF(D378&gt;H378,"V","D"),""),""),"")))</f>
        <v/>
      </c>
      <c r="E372" s="15" t="str">
        <f>IF(H372&lt;3,"",IF(H372=3,IF(D380&lt;&gt;"",IF(H380&lt;&gt;"",IF(D380&lt;&gt;H380,IF(D380&gt;H380,"V","D"),""),""),"")))</f>
        <v/>
      </c>
      <c r="F372" s="15" t="s">
        <v>81</v>
      </c>
      <c r="G372" s="15" t="s">
        <v>81</v>
      </c>
      <c r="H372" s="117">
        <f>COUNTA(B372:B374)</f>
        <v>0</v>
      </c>
      <c r="I372" s="15" t="str">
        <f>IF(B372&lt;&gt;"",1,"")</f>
        <v/>
      </c>
      <c r="J372" s="15" t="str">
        <f>IF(I372&lt;&gt;"",P372,"")</f>
        <v/>
      </c>
      <c r="K372" s="15" t="str">
        <f>IFERROR(IF(J372="","",VLOOKUP(J372,LISTAS!$F$5:$G$1004,2,0)),"0")</f>
        <v/>
      </c>
      <c r="L372" s="119" t="str">
        <f>IF(H372=3,"OURO",IF(H372=4,"OURO",IF(H372=5,"OURO","")))</f>
        <v/>
      </c>
      <c r="M372" s="20" t="str">
        <f>IF(B372&lt;&gt;"",COUNTIF(D372:G372,"V")+(SUMIF(B378:B380,B372,D378:E380)/1000)+(SUMIF(J378:J380,B372,H378:I380)/1000)-(SUMIF(B378:B380,B372,H378:I380)/1000)-(SUMIF(J378:J380,B372,D378:E380)/1000)+0.003,"")</f>
        <v/>
      </c>
      <c r="N372" s="20" t="str">
        <f>IF(B372="","",B372)</f>
        <v/>
      </c>
      <c r="O372" s="20" t="str">
        <f>IF(B372&lt;&gt;"",LARGE(M372:M374,1),"")</f>
        <v/>
      </c>
      <c r="P372" s="20" t="str">
        <f>VLOOKUP(O372,M372:N374,2,0)</f>
        <v/>
      </c>
    </row>
    <row r="373" spans="2:16" ht="18" customHeight="1" x14ac:dyDescent="0.25">
      <c r="B373" s="15"/>
      <c r="C373" s="15" t="str">
        <f>IFERROR(IF(B373="","",VLOOKUP(B373,LISTAS!$F$5:$G$1004,2,0)),"0")</f>
        <v/>
      </c>
      <c r="D373" s="15" t="str">
        <f>IF(H372&lt;3,"",IF(H372=3,IF(D379&lt;&gt;"",IF(H379&lt;&gt;"",IF(D379&lt;&gt;H379,IF(D379&gt;H379,"V","D"),""),""),"")))</f>
        <v/>
      </c>
      <c r="E373" s="15" t="str">
        <f>IF(H372&lt;3,"",IF(H372=3,IF(D380&lt;&gt;"",IF(H380&lt;&gt;"",IF(D380&lt;&gt;H380,IF(D380&gt;H380,"D","V"),""),""),"")))</f>
        <v/>
      </c>
      <c r="F373" s="15" t="s">
        <v>81</v>
      </c>
      <c r="G373" s="15" t="s">
        <v>81</v>
      </c>
      <c r="H373" s="115"/>
      <c r="I373" s="15" t="str">
        <f>IF(B373&lt;&gt;"",2,"")</f>
        <v/>
      </c>
      <c r="J373" s="15" t="str">
        <f>IF(I373&lt;&gt;"",P373,"")</f>
        <v/>
      </c>
      <c r="K373" s="15" t="str">
        <f>IFERROR(IF(J373="","",VLOOKUP(J373,LISTAS!$F$5:$G$1004,2,0)),"0")</f>
        <v/>
      </c>
      <c r="L373" s="119" t="str">
        <f>IF(H372=3,"PRATA",IF(H372=4,"OURO",IF(H372=5,"OURO","")))</f>
        <v/>
      </c>
      <c r="M373" s="20" t="str">
        <f>IF(B373&lt;&gt;"",COUNTIF(D373:G373,"V")+(SUMIF(B378:B380,B373,D378:E380)/1000)+(SUMIF(J378:J380,B373,H378:I380)/1000)-(SUMIF(B378:B380,B373,H378:I380)/1000)-(SUMIF(J378:J380,B373,D378:E380)/1000)+0.002,"")</f>
        <v/>
      </c>
      <c r="N373" s="20" t="str">
        <f t="shared" ref="N373" si="27">IF(B373="","",B373)</f>
        <v/>
      </c>
      <c r="O373" s="20" t="str">
        <f>IF(B373&lt;&gt;"",LARGE(M372:M374,2),"")</f>
        <v/>
      </c>
      <c r="P373" s="20" t="str">
        <f>VLOOKUP(O373,M372:N374,2,0)</f>
        <v/>
      </c>
    </row>
    <row r="374" spans="2:16" ht="18" customHeight="1" x14ac:dyDescent="0.25">
      <c r="B374" s="15"/>
      <c r="C374" s="15" t="str">
        <f>IFERROR(IF(B374="","",VLOOKUP(B374,LISTAS!$F$5:$G$1004,2,0)),"0")</f>
        <v/>
      </c>
      <c r="D374" s="15" t="str">
        <f>IF(H372&lt;3,"",IF(H372=3,IF(D378&lt;&gt;"",IF(H378&lt;&gt;"",IF(D378&lt;&gt;H378,IF(D378&gt;H378,"D","V"),""),""),"")))</f>
        <v/>
      </c>
      <c r="E374" s="15" t="str">
        <f>IF(H372&lt;3,"",IF(H372=3,IF(D379&lt;&gt;"",IF(H379&lt;&gt;"",IF(D379&lt;&gt;H379,IF(D379&gt;H379,"D","V"),""),""),"")))</f>
        <v/>
      </c>
      <c r="F374" s="15" t="s">
        <v>81</v>
      </c>
      <c r="G374" s="15" t="s">
        <v>81</v>
      </c>
      <c r="H374" s="115"/>
      <c r="I374" s="15" t="str">
        <f>IF(B374&lt;&gt;"",3,"")</f>
        <v/>
      </c>
      <c r="J374" s="15" t="str">
        <f>IF(I374&lt;&gt;"",P374,"")</f>
        <v/>
      </c>
      <c r="K374" s="15" t="str">
        <f>IFERROR(IF(J374="","",VLOOKUP(J374,LISTAS!$F$5:$G$1004,2,0)),"0")</f>
        <v/>
      </c>
      <c r="L374" s="119" t="str">
        <f>IF(H372=3,"BRONZE",IF(H372=4,"PRATA",IF(H372=5,"OURO","")))</f>
        <v/>
      </c>
      <c r="M374" s="20" t="str">
        <f>IF(B374&lt;&gt;"",COUNTIF(D374:G374,"V")+(SUMIF(B378:B380,B374,D378:E380)/1000)+(SUMIF(J378:J380,B374,H378:I380)/1000)-(SUMIF(B378:B380,B374,H378:I380)/1000)-(SUMIF(J378:J380,B374,D378:E380)/1000)+0.001,"")</f>
        <v/>
      </c>
      <c r="N374" s="20" t="str">
        <f>IF(B374="","",B374)</f>
        <v/>
      </c>
      <c r="O374" s="20" t="str">
        <f>IF(B374&lt;&gt;"",LARGE(M372:M374,3),"")</f>
        <v/>
      </c>
      <c r="P374" s="20" t="str">
        <f>VLOOKUP(O374,M372:N374,2,0)</f>
        <v/>
      </c>
    </row>
    <row r="375" spans="2:16" ht="18" customHeight="1" x14ac:dyDescent="0.25">
      <c r="B375" s="79"/>
      <c r="C375" s="79"/>
      <c r="D375" s="79"/>
      <c r="E375" s="79"/>
      <c r="F375" s="79"/>
      <c r="G375" s="79"/>
      <c r="I375" s="80"/>
      <c r="J375" s="79"/>
      <c r="K375" s="81"/>
      <c r="L375" s="81"/>
    </row>
    <row r="376" spans="2:16" ht="23.25" customHeight="1" x14ac:dyDescent="0.25">
      <c r="B376" s="82" t="s">
        <v>40</v>
      </c>
      <c r="C376" s="79"/>
      <c r="D376" s="79"/>
      <c r="E376" s="79"/>
      <c r="F376" s="79"/>
      <c r="G376" s="79"/>
      <c r="H376" s="79"/>
      <c r="I376" s="79"/>
      <c r="J376" s="79"/>
      <c r="K376" s="79"/>
      <c r="L376" s="79"/>
    </row>
    <row r="377" spans="2:16" ht="18" customHeight="1" x14ac:dyDescent="0.25">
      <c r="B377" s="9" t="s">
        <v>15</v>
      </c>
      <c r="C377" s="9" t="s">
        <v>0</v>
      </c>
      <c r="D377" s="228" t="s">
        <v>41</v>
      </c>
      <c r="E377" s="229"/>
      <c r="F377" s="229"/>
      <c r="G377" s="229"/>
      <c r="H377" s="229"/>
      <c r="I377" s="230"/>
      <c r="J377" s="9" t="s">
        <v>15</v>
      </c>
      <c r="K377" s="9" t="s">
        <v>0</v>
      </c>
      <c r="L377" s="79"/>
    </row>
    <row r="378" spans="2:16" ht="18" customHeight="1" x14ac:dyDescent="0.25">
      <c r="B378" s="15" t="str">
        <f>IF(H372=3,B372,"")</f>
        <v/>
      </c>
      <c r="C378" s="15" t="str">
        <f>IFERROR(IF(B378="","",VLOOKUP(B378,LISTAS!$F$5:$G$1004,2,0)),"0")</f>
        <v/>
      </c>
      <c r="D378" s="223"/>
      <c r="E378" s="224"/>
      <c r="F378" s="223" t="s">
        <v>38</v>
      </c>
      <c r="G378" s="224"/>
      <c r="H378" s="223"/>
      <c r="I378" s="224"/>
      <c r="J378" s="21" t="str">
        <f>IF(H372=3,B374,"")</f>
        <v/>
      </c>
      <c r="K378" s="15" t="str">
        <f>IFERROR(IF(J378="","",VLOOKUP(J378,LISTAS!$F$5:$G$1004,2,0)),"0")</f>
        <v/>
      </c>
      <c r="L378" s="81"/>
    </row>
    <row r="379" spans="2:16" ht="18" customHeight="1" x14ac:dyDescent="0.25">
      <c r="B379" s="15" t="str">
        <f>IF(H372=3,B373,"")</f>
        <v/>
      </c>
      <c r="C379" s="15" t="str">
        <f>IFERROR(IF(B379="","",VLOOKUP(B379,LISTAS!$F$5:$G$1004,2,0)),"0")</f>
        <v/>
      </c>
      <c r="D379" s="223"/>
      <c r="E379" s="224"/>
      <c r="F379" s="223" t="s">
        <v>38</v>
      </c>
      <c r="G379" s="224"/>
      <c r="H379" s="223"/>
      <c r="I379" s="224"/>
      <c r="J379" s="21" t="str">
        <f>IF(H372=3,B374,"")</f>
        <v/>
      </c>
      <c r="K379" s="15" t="str">
        <f>IFERROR(IF(J379="","",VLOOKUP(J379,LISTAS!$F$5:$G$1004,2,0)),"0")</f>
        <v/>
      </c>
      <c r="L379" s="79"/>
    </row>
    <row r="380" spans="2:16" ht="18" customHeight="1" x14ac:dyDescent="0.25">
      <c r="B380" s="15" t="str">
        <f>IF(H372=3,B372,"")</f>
        <v/>
      </c>
      <c r="C380" s="15" t="str">
        <f>IFERROR(IF(B380="","",VLOOKUP(B380,LISTAS!$F$5:$G$1004,2,0)),"0")</f>
        <v/>
      </c>
      <c r="D380" s="223"/>
      <c r="E380" s="224"/>
      <c r="F380" s="223" t="s">
        <v>38</v>
      </c>
      <c r="G380" s="224"/>
      <c r="H380" s="223"/>
      <c r="I380" s="224"/>
      <c r="J380" s="21" t="str">
        <f>IF(H372=3,B373,"")</f>
        <v/>
      </c>
      <c r="K380" s="15" t="str">
        <f>IFERROR(IF(J380="","",VLOOKUP(J380,LISTAS!$F$5:$G$1004,2,0)),"0")</f>
        <v/>
      </c>
      <c r="L380" s="81"/>
    </row>
    <row r="383" spans="2:16" ht="30" customHeight="1" x14ac:dyDescent="0.25">
      <c r="B383" s="161" t="s">
        <v>73</v>
      </c>
      <c r="C383" s="79"/>
      <c r="D383" s="225" t="s">
        <v>42</v>
      </c>
      <c r="E383" s="226"/>
      <c r="F383" s="226"/>
      <c r="G383" s="227"/>
      <c r="H383" s="113"/>
      <c r="I383" s="225" t="s">
        <v>3</v>
      </c>
      <c r="J383" s="226"/>
      <c r="K383" s="226"/>
      <c r="L383" s="226"/>
    </row>
    <row r="384" spans="2:16" ht="18" customHeight="1" x14ac:dyDescent="0.25">
      <c r="B384" s="9" t="s">
        <v>15</v>
      </c>
      <c r="C384" s="9" t="s">
        <v>0</v>
      </c>
      <c r="D384" s="9" t="s">
        <v>43</v>
      </c>
      <c r="E384" s="9" t="s">
        <v>44</v>
      </c>
      <c r="F384" s="9" t="s">
        <v>77</v>
      </c>
      <c r="G384" s="9" t="s">
        <v>78</v>
      </c>
      <c r="H384" s="114"/>
      <c r="I384" s="9" t="s">
        <v>18</v>
      </c>
      <c r="J384" s="9" t="s">
        <v>15</v>
      </c>
      <c r="K384" s="9" t="s">
        <v>0</v>
      </c>
      <c r="L384" s="9" t="s">
        <v>45</v>
      </c>
    </row>
    <row r="385" spans="2:16" ht="18" customHeight="1" x14ac:dyDescent="0.25">
      <c r="B385" s="15"/>
      <c r="C385" s="15" t="str">
        <f>IFERROR(IF(B385="","",VLOOKUP(B385,LISTAS!$F$5:$G$1004,2,0)),"0")</f>
        <v/>
      </c>
      <c r="D385" s="15" t="str">
        <f>IF(H385&lt;3,"",IF(H385=3,IF(D391&lt;&gt;"",IF(H391&lt;&gt;"",IF(D391&lt;&gt;H391,IF(D391&gt;H391,"V","D"),""),""),"")))</f>
        <v/>
      </c>
      <c r="E385" s="15" t="str">
        <f>IF(H385&lt;3,"",IF(H385=3,IF(D393&lt;&gt;"",IF(H393&lt;&gt;"",IF(D393&lt;&gt;H393,IF(D393&gt;H393,"V","D"),""),""),"")))</f>
        <v/>
      </c>
      <c r="F385" s="15" t="s">
        <v>81</v>
      </c>
      <c r="G385" s="15" t="s">
        <v>81</v>
      </c>
      <c r="H385" s="117">
        <f>COUNTA(B385:B387)</f>
        <v>0</v>
      </c>
      <c r="I385" s="15" t="str">
        <f>IF(B385&lt;&gt;"",1,"")</f>
        <v/>
      </c>
      <c r="J385" s="15" t="str">
        <f>IF(I385&lt;&gt;"",P385,"")</f>
        <v/>
      </c>
      <c r="K385" s="15" t="str">
        <f>IFERROR(IF(J385="","",VLOOKUP(J385,LISTAS!$F$5:$G$1004,2,0)),"0")</f>
        <v/>
      </c>
      <c r="L385" s="119" t="str">
        <f>IF(H385=3,"OURO",IF(H385=4,"OURO",IF(H385=5,"OURO","")))</f>
        <v/>
      </c>
      <c r="M385" s="20" t="str">
        <f>IF(B385&lt;&gt;"",COUNTIF(D385:G385,"V")+(SUMIF(B391:B393,B385,D391:E393)/1000)+(SUMIF(J391:J393,B385,H391:I393)/1000)-(SUMIF(B391:B393,B385,H391:I393)/1000)-(SUMIF(J391:J393,B385,D391:E393)/1000)+0.003,"")</f>
        <v/>
      </c>
      <c r="N385" s="20" t="str">
        <f>IF(B385="","",B385)</f>
        <v/>
      </c>
      <c r="O385" s="20" t="str">
        <f>IF(B385&lt;&gt;"",LARGE(M385:M387,1),"")</f>
        <v/>
      </c>
      <c r="P385" s="20" t="str">
        <f>VLOOKUP(O385,M385:N387,2,0)</f>
        <v/>
      </c>
    </row>
    <row r="386" spans="2:16" ht="18" customHeight="1" x14ac:dyDescent="0.25">
      <c r="B386" s="15"/>
      <c r="C386" s="15" t="str">
        <f>IFERROR(IF(B386="","",VLOOKUP(B386,LISTAS!$F$5:$G$1004,2,0)),"0")</f>
        <v/>
      </c>
      <c r="D386" s="15" t="str">
        <f>IF(H385&lt;3,"",IF(H385=3,IF(D392&lt;&gt;"",IF(H392&lt;&gt;"",IF(D392&lt;&gt;H392,IF(D392&gt;H392,"V","D"),""),""),"")))</f>
        <v/>
      </c>
      <c r="E386" s="15" t="str">
        <f>IF(H385&lt;3,"",IF(H385=3,IF(D393&lt;&gt;"",IF(H393&lt;&gt;"",IF(D393&lt;&gt;H393,IF(D393&gt;H393,"D","V"),""),""),"")))</f>
        <v/>
      </c>
      <c r="F386" s="15" t="s">
        <v>81</v>
      </c>
      <c r="G386" s="15" t="s">
        <v>81</v>
      </c>
      <c r="H386" s="115"/>
      <c r="I386" s="15" t="str">
        <f>IF(B386&lt;&gt;"",2,"")</f>
        <v/>
      </c>
      <c r="J386" s="15" t="str">
        <f>IF(I386&lt;&gt;"",P386,"")</f>
        <v/>
      </c>
      <c r="K386" s="15" t="str">
        <f>IFERROR(IF(J386="","",VLOOKUP(J386,LISTAS!$F$5:$G$1004,2,0)),"0")</f>
        <v/>
      </c>
      <c r="L386" s="119" t="str">
        <f>IF(H385=3,"PRATA",IF(H385=4,"OURO",IF(H385=5,"OURO","")))</f>
        <v/>
      </c>
      <c r="M386" s="20" t="str">
        <f>IF(B386&lt;&gt;"",COUNTIF(D386:G386,"V")+(SUMIF(B391:B393,B386,D391:E393)/1000)+(SUMIF(J391:J393,B386,H391:I393)/1000)-(SUMIF(B391:B393,B386,H391:I393)/1000)-(SUMIF(J391:J393,B386,D391:E393)/1000)+0.002,"")</f>
        <v/>
      </c>
      <c r="N386" s="20" t="str">
        <f t="shared" ref="N386" si="28">IF(B386="","",B386)</f>
        <v/>
      </c>
      <c r="O386" s="20" t="str">
        <f>IF(B386&lt;&gt;"",LARGE(M385:M387,2),"")</f>
        <v/>
      </c>
      <c r="P386" s="20" t="str">
        <f>VLOOKUP(O386,M385:N387,2,0)</f>
        <v/>
      </c>
    </row>
    <row r="387" spans="2:16" ht="18" customHeight="1" x14ac:dyDescent="0.25">
      <c r="B387" s="15"/>
      <c r="C387" s="15" t="str">
        <f>IFERROR(IF(B387="","",VLOOKUP(B387,LISTAS!$F$5:$G$1004,2,0)),"0")</f>
        <v/>
      </c>
      <c r="D387" s="15" t="str">
        <f>IF(H385&lt;3,"",IF(H385=3,IF(D391&lt;&gt;"",IF(H391&lt;&gt;"",IF(D391&lt;&gt;H391,IF(D391&gt;H391,"D","V"),""),""),"")))</f>
        <v/>
      </c>
      <c r="E387" s="15" t="str">
        <f>IF(H385&lt;3,"",IF(H385=3,IF(D392&lt;&gt;"",IF(H392&lt;&gt;"",IF(D392&lt;&gt;H392,IF(D392&gt;H392,"D","V"),""),""),"")))</f>
        <v/>
      </c>
      <c r="F387" s="15" t="s">
        <v>81</v>
      </c>
      <c r="G387" s="15" t="s">
        <v>81</v>
      </c>
      <c r="H387" s="115"/>
      <c r="I387" s="15" t="str">
        <f>IF(B387&lt;&gt;"",3,"")</f>
        <v/>
      </c>
      <c r="J387" s="15" t="str">
        <f>IF(I387&lt;&gt;"",P387,"")</f>
        <v/>
      </c>
      <c r="K387" s="15" t="str">
        <f>IFERROR(IF(J387="","",VLOOKUP(J387,LISTAS!$F$5:$G$1004,2,0)),"0")</f>
        <v/>
      </c>
      <c r="L387" s="119" t="str">
        <f>IF(H385=3,"BRONZE",IF(H385=4,"PRATA",IF(H385=5,"OURO","")))</f>
        <v/>
      </c>
      <c r="M387" s="20" t="str">
        <f>IF(B387&lt;&gt;"",COUNTIF(D387:G387,"V")+(SUMIF(B391:B393,B387,D391:E393)/1000)+(SUMIF(J391:J393,B387,H391:I393)/1000)-(SUMIF(B391:B393,B387,H391:I393)/1000)-(SUMIF(J391:J393,B387,D391:E393)/1000)+0.001,"")</f>
        <v/>
      </c>
      <c r="N387" s="20" t="str">
        <f>IF(B387="","",B387)</f>
        <v/>
      </c>
      <c r="O387" s="20" t="str">
        <f>IF(B387&lt;&gt;"",LARGE(M385:M387,3),"")</f>
        <v/>
      </c>
      <c r="P387" s="20" t="str">
        <f>VLOOKUP(O387,M385:N387,2,0)</f>
        <v/>
      </c>
    </row>
    <row r="388" spans="2:16" ht="18" customHeight="1" x14ac:dyDescent="0.25">
      <c r="B388" s="79"/>
      <c r="C388" s="79"/>
      <c r="D388" s="79"/>
      <c r="E388" s="79"/>
      <c r="F388" s="79"/>
      <c r="G388" s="79"/>
      <c r="I388" s="80"/>
      <c r="J388" s="79"/>
      <c r="K388" s="81"/>
      <c r="L388" s="81"/>
    </row>
    <row r="389" spans="2:16" ht="23.25" customHeight="1" x14ac:dyDescent="0.25">
      <c r="B389" s="82" t="s">
        <v>40</v>
      </c>
      <c r="C389" s="79"/>
      <c r="D389" s="79"/>
      <c r="E389" s="79"/>
      <c r="F389" s="79"/>
      <c r="G389" s="79"/>
      <c r="H389" s="79"/>
      <c r="I389" s="79"/>
      <c r="J389" s="79"/>
      <c r="K389" s="79"/>
      <c r="L389" s="79"/>
    </row>
    <row r="390" spans="2:16" ht="18" customHeight="1" x14ac:dyDescent="0.25">
      <c r="B390" s="9" t="s">
        <v>15</v>
      </c>
      <c r="C390" s="9" t="s">
        <v>0</v>
      </c>
      <c r="D390" s="228" t="s">
        <v>41</v>
      </c>
      <c r="E390" s="229"/>
      <c r="F390" s="229"/>
      <c r="G390" s="229"/>
      <c r="H390" s="229"/>
      <c r="I390" s="230"/>
      <c r="J390" s="9" t="s">
        <v>15</v>
      </c>
      <c r="K390" s="9" t="s">
        <v>0</v>
      </c>
      <c r="L390" s="79"/>
    </row>
    <row r="391" spans="2:16" ht="18" customHeight="1" x14ac:dyDescent="0.25">
      <c r="B391" s="15" t="str">
        <f>IF(H385=3,B385,"")</f>
        <v/>
      </c>
      <c r="C391" s="15" t="str">
        <f>IFERROR(IF(B391="","",VLOOKUP(B391,LISTAS!$F$5:$G$1004,2,0)),"0")</f>
        <v/>
      </c>
      <c r="D391" s="223"/>
      <c r="E391" s="224"/>
      <c r="F391" s="223" t="s">
        <v>38</v>
      </c>
      <c r="G391" s="224"/>
      <c r="H391" s="223"/>
      <c r="I391" s="224"/>
      <c r="J391" s="21" t="str">
        <f>IF(H385=3,B387,"")</f>
        <v/>
      </c>
      <c r="K391" s="15" t="str">
        <f>IFERROR(IF(J391="","",VLOOKUP(J391,LISTAS!$F$5:$G$1004,2,0)),"0")</f>
        <v/>
      </c>
      <c r="L391" s="81"/>
    </row>
    <row r="392" spans="2:16" ht="18" customHeight="1" x14ac:dyDescent="0.25">
      <c r="B392" s="15" t="str">
        <f>IF(H385=3,B386,"")</f>
        <v/>
      </c>
      <c r="C392" s="15" t="str">
        <f>IFERROR(IF(B392="","",VLOOKUP(B392,LISTAS!$F$5:$G$1004,2,0)),"0")</f>
        <v/>
      </c>
      <c r="D392" s="223"/>
      <c r="E392" s="224"/>
      <c r="F392" s="223" t="s">
        <v>38</v>
      </c>
      <c r="G392" s="224"/>
      <c r="H392" s="223"/>
      <c r="I392" s="224"/>
      <c r="J392" s="21" t="str">
        <f>IF(H385=3,B387,"")</f>
        <v/>
      </c>
      <c r="K392" s="15" t="str">
        <f>IFERROR(IF(J392="","",VLOOKUP(J392,LISTAS!$F$5:$G$1004,2,0)),"0")</f>
        <v/>
      </c>
      <c r="L392" s="79"/>
    </row>
    <row r="393" spans="2:16" ht="18" customHeight="1" x14ac:dyDescent="0.25">
      <c r="B393" s="15" t="str">
        <f>IF(H385=3,B385,"")</f>
        <v/>
      </c>
      <c r="C393" s="15" t="str">
        <f>IFERROR(IF(B393="","",VLOOKUP(B393,LISTAS!$F$5:$G$1004,2,0)),"0")</f>
        <v/>
      </c>
      <c r="D393" s="223"/>
      <c r="E393" s="224"/>
      <c r="F393" s="223" t="s">
        <v>38</v>
      </c>
      <c r="G393" s="224"/>
      <c r="H393" s="223"/>
      <c r="I393" s="224"/>
      <c r="J393" s="21" t="str">
        <f>IF(H385=3,B386,"")</f>
        <v/>
      </c>
      <c r="K393" s="15" t="str">
        <f>IFERROR(IF(J393="","",VLOOKUP(J393,LISTAS!$F$5:$G$1004,2,0)),"0")</f>
        <v/>
      </c>
      <c r="L393" s="81"/>
    </row>
    <row r="396" spans="2:16" ht="30" customHeight="1" x14ac:dyDescent="0.25">
      <c r="B396" s="161" t="s">
        <v>74</v>
      </c>
      <c r="C396" s="79"/>
      <c r="D396" s="225" t="s">
        <v>42</v>
      </c>
      <c r="E396" s="226"/>
      <c r="F396" s="226"/>
      <c r="G396" s="227"/>
      <c r="H396" s="113"/>
      <c r="I396" s="225" t="s">
        <v>3</v>
      </c>
      <c r="J396" s="226"/>
      <c r="K396" s="226"/>
      <c r="L396" s="226"/>
    </row>
    <row r="397" spans="2:16" ht="18" customHeight="1" x14ac:dyDescent="0.25">
      <c r="B397" s="9" t="s">
        <v>15</v>
      </c>
      <c r="C397" s="9" t="s">
        <v>0</v>
      </c>
      <c r="D397" s="9" t="s">
        <v>43</v>
      </c>
      <c r="E397" s="9" t="s">
        <v>44</v>
      </c>
      <c r="F397" s="9" t="s">
        <v>77</v>
      </c>
      <c r="G397" s="9" t="s">
        <v>78</v>
      </c>
      <c r="H397" s="114"/>
      <c r="I397" s="9" t="s">
        <v>18</v>
      </c>
      <c r="J397" s="9" t="s">
        <v>15</v>
      </c>
      <c r="K397" s="9" t="s">
        <v>0</v>
      </c>
      <c r="L397" s="9" t="s">
        <v>45</v>
      </c>
    </row>
    <row r="398" spans="2:16" ht="18" customHeight="1" x14ac:dyDescent="0.25">
      <c r="B398" s="15"/>
      <c r="C398" s="15" t="str">
        <f>IFERROR(IF(B398="","",VLOOKUP(B398,LISTAS!$F$5:$G$1004,2,0)),"0")</f>
        <v/>
      </c>
      <c r="D398" s="15" t="str">
        <f>IF(H398&lt;3,"",IF(H398=3,IF(D404&lt;&gt;"",IF(H404&lt;&gt;"",IF(D404&lt;&gt;H404,IF(D404&gt;H404,"V","D"),""),""),"")))</f>
        <v/>
      </c>
      <c r="E398" s="15" t="str">
        <f>IF(H398&lt;3,"",IF(H398=3,IF(D406&lt;&gt;"",IF(H406&lt;&gt;"",IF(D406&lt;&gt;H406,IF(D406&gt;H406,"V","D"),""),""),"")))</f>
        <v/>
      </c>
      <c r="F398" s="15" t="s">
        <v>81</v>
      </c>
      <c r="G398" s="15" t="s">
        <v>81</v>
      </c>
      <c r="H398" s="117">
        <f>COUNTA(B398:B400)</f>
        <v>0</v>
      </c>
      <c r="I398" s="15" t="str">
        <f>IF(B398&lt;&gt;"",1,"")</f>
        <v/>
      </c>
      <c r="J398" s="15" t="str">
        <f>IF(I398&lt;&gt;"",P398,"")</f>
        <v/>
      </c>
      <c r="K398" s="15" t="str">
        <f>IFERROR(IF(J398="","",VLOOKUP(J398,LISTAS!$F$5:$G$1004,2,0)),"0")</f>
        <v/>
      </c>
      <c r="L398" s="119" t="str">
        <f>IF(H398=3,"OURO",IF(H398=4,"OURO",IF(H398=5,"OURO","")))</f>
        <v/>
      </c>
      <c r="M398" s="20" t="str">
        <f>IF(B398&lt;&gt;"",COUNTIF(D398:G398,"V")+(SUMIF(B404:B406,B398,D404:E406)/1000)+(SUMIF(J404:J406,B398,H404:I406)/1000)-(SUMIF(B404:B406,B398,H404:I406)/1000)-(SUMIF(J404:J406,B398,D404:E406)/1000)+0.003,"")</f>
        <v/>
      </c>
      <c r="N398" s="20" t="str">
        <f>IF(B398="","",B398)</f>
        <v/>
      </c>
      <c r="O398" s="20" t="str">
        <f>IF(B398&lt;&gt;"",LARGE(M398:M400,1),"")</f>
        <v/>
      </c>
      <c r="P398" s="20" t="str">
        <f>VLOOKUP(O398,M398:N400,2,0)</f>
        <v/>
      </c>
    </row>
    <row r="399" spans="2:16" ht="18" customHeight="1" x14ac:dyDescent="0.25">
      <c r="B399" s="15"/>
      <c r="C399" s="15" t="str">
        <f>IFERROR(IF(B399="","",VLOOKUP(B399,LISTAS!$F$5:$G$1004,2,0)),"0")</f>
        <v/>
      </c>
      <c r="D399" s="15" t="str">
        <f>IF(H398&lt;3,"",IF(H398=3,IF(D405&lt;&gt;"",IF(H405&lt;&gt;"",IF(D405&lt;&gt;H405,IF(D405&gt;H405,"V","D"),""),""),"")))</f>
        <v/>
      </c>
      <c r="E399" s="15" t="str">
        <f>IF(H398&lt;3,"",IF(H398=3,IF(D406&lt;&gt;"",IF(H406&lt;&gt;"",IF(D406&lt;&gt;H406,IF(D406&gt;H406,"D","V"),""),""),"")))</f>
        <v/>
      </c>
      <c r="F399" s="15" t="s">
        <v>81</v>
      </c>
      <c r="G399" s="15" t="s">
        <v>81</v>
      </c>
      <c r="H399" s="115"/>
      <c r="I399" s="15" t="str">
        <f>IF(B399&lt;&gt;"",2,"")</f>
        <v/>
      </c>
      <c r="J399" s="15" t="str">
        <f>IF(I399&lt;&gt;"",P399,"")</f>
        <v/>
      </c>
      <c r="K399" s="15" t="str">
        <f>IFERROR(IF(J399="","",VLOOKUP(J399,LISTAS!$F$5:$G$1004,2,0)),"0")</f>
        <v/>
      </c>
      <c r="L399" s="119" t="str">
        <f>IF(H398=3,"PRATA",IF(H398=4,"OURO",IF(H398=5,"OURO","")))</f>
        <v/>
      </c>
      <c r="M399" s="20" t="str">
        <f>IF(B399&lt;&gt;"",COUNTIF(D399:G399,"V")+(SUMIF(B404:B406,B399,D404:E406)/1000)+(SUMIF(J404:J406,B399,H404:I406)/1000)-(SUMIF(B404:B406,B399,H404:I406)/1000)-(SUMIF(J404:J406,B399,D404:E406)/1000)+0.002,"")</f>
        <v/>
      </c>
      <c r="N399" s="20" t="str">
        <f t="shared" ref="N399" si="29">IF(B399="","",B399)</f>
        <v/>
      </c>
      <c r="O399" s="20" t="str">
        <f>IF(B399&lt;&gt;"",LARGE(M398:M400,2),"")</f>
        <v/>
      </c>
      <c r="P399" s="20" t="str">
        <f>VLOOKUP(O399,M398:N400,2,0)</f>
        <v/>
      </c>
    </row>
    <row r="400" spans="2:16" ht="18" customHeight="1" x14ac:dyDescent="0.25">
      <c r="B400" s="15"/>
      <c r="C400" s="15" t="str">
        <f>IFERROR(IF(B400="","",VLOOKUP(B400,LISTAS!$F$5:$G$1004,2,0)),"0")</f>
        <v/>
      </c>
      <c r="D400" s="15" t="str">
        <f>IF(H398&lt;3,"",IF(H398=3,IF(D404&lt;&gt;"",IF(H404&lt;&gt;"",IF(D404&lt;&gt;H404,IF(D404&gt;H404,"D","V"),""),""),"")))</f>
        <v/>
      </c>
      <c r="E400" s="15" t="str">
        <f>IF(H398&lt;3,"",IF(H398=3,IF(D405&lt;&gt;"",IF(H405&lt;&gt;"",IF(D405&lt;&gt;H405,IF(D405&gt;H405,"D","V"),""),""),"")))</f>
        <v/>
      </c>
      <c r="F400" s="15" t="s">
        <v>81</v>
      </c>
      <c r="G400" s="15" t="s">
        <v>81</v>
      </c>
      <c r="H400" s="115"/>
      <c r="I400" s="15" t="str">
        <f>IF(B400&lt;&gt;"",3,"")</f>
        <v/>
      </c>
      <c r="J400" s="15" t="str">
        <f>IF(I400&lt;&gt;"",P400,"")</f>
        <v/>
      </c>
      <c r="K400" s="15" t="str">
        <f>IFERROR(IF(J400="","",VLOOKUP(J400,LISTAS!$F$5:$G$1004,2,0)),"0")</f>
        <v/>
      </c>
      <c r="L400" s="119" t="str">
        <f>IF(H398=3,"BRONZE",IF(H398=4,"PRATA",IF(H398=5,"OURO","")))</f>
        <v/>
      </c>
      <c r="M400" s="20" t="str">
        <f>IF(B400&lt;&gt;"",COUNTIF(D400:G400,"V")+(SUMIF(B404:B406,B400,D404:E406)/1000)+(SUMIF(J404:J406,B400,H404:I406)/1000)-(SUMIF(B404:B406,B400,H404:I406)/1000)-(SUMIF(J404:J406,B400,D404:E406)/1000)+0.001,"")</f>
        <v/>
      </c>
      <c r="N400" s="20" t="str">
        <f>IF(B400="","",B400)</f>
        <v/>
      </c>
      <c r="O400" s="20" t="str">
        <f>IF(B400&lt;&gt;"",LARGE(M398:M400,3),"")</f>
        <v/>
      </c>
      <c r="P400" s="20" t="str">
        <f>VLOOKUP(O400,M398:N400,2,0)</f>
        <v/>
      </c>
    </row>
    <row r="401" spans="2:16" ht="18" customHeight="1" x14ac:dyDescent="0.25">
      <c r="B401" s="79"/>
      <c r="C401" s="79"/>
      <c r="D401" s="79"/>
      <c r="E401" s="79"/>
      <c r="F401" s="79"/>
      <c r="G401" s="79"/>
      <c r="I401" s="80"/>
      <c r="J401" s="79"/>
      <c r="K401" s="81"/>
      <c r="L401" s="81"/>
    </row>
    <row r="402" spans="2:16" ht="23.25" customHeight="1" x14ac:dyDescent="0.25">
      <c r="B402" s="82" t="s">
        <v>40</v>
      </c>
      <c r="C402" s="79"/>
      <c r="D402" s="79"/>
      <c r="E402" s="79"/>
      <c r="F402" s="79"/>
      <c r="G402" s="79"/>
      <c r="H402" s="79"/>
      <c r="I402" s="79"/>
      <c r="J402" s="79"/>
      <c r="K402" s="79"/>
      <c r="L402" s="79"/>
    </row>
    <row r="403" spans="2:16" ht="18" customHeight="1" x14ac:dyDescent="0.25">
      <c r="B403" s="9" t="s">
        <v>15</v>
      </c>
      <c r="C403" s="9" t="s">
        <v>0</v>
      </c>
      <c r="D403" s="228" t="s">
        <v>41</v>
      </c>
      <c r="E403" s="229"/>
      <c r="F403" s="229"/>
      <c r="G403" s="229"/>
      <c r="H403" s="229"/>
      <c r="I403" s="230"/>
      <c r="J403" s="9" t="s">
        <v>15</v>
      </c>
      <c r="K403" s="9" t="s">
        <v>0</v>
      </c>
      <c r="L403" s="79"/>
    </row>
    <row r="404" spans="2:16" ht="18" customHeight="1" x14ac:dyDescent="0.25">
      <c r="B404" s="15" t="str">
        <f>IF(H398=3,B398,"")</f>
        <v/>
      </c>
      <c r="C404" s="15" t="str">
        <f>IFERROR(IF(B404="","",VLOOKUP(B404,LISTAS!$F$5:$G$1004,2,0)),"0")</f>
        <v/>
      </c>
      <c r="D404" s="223"/>
      <c r="E404" s="224"/>
      <c r="F404" s="223" t="s">
        <v>38</v>
      </c>
      <c r="G404" s="224"/>
      <c r="H404" s="223"/>
      <c r="I404" s="224"/>
      <c r="J404" s="21" t="str">
        <f>IF(H398=3,B400,"")</f>
        <v/>
      </c>
      <c r="K404" s="15" t="str">
        <f>IFERROR(IF(J404="","",VLOOKUP(J404,LISTAS!$F$5:$G$1004,2,0)),"0")</f>
        <v/>
      </c>
      <c r="L404" s="81"/>
    </row>
    <row r="405" spans="2:16" ht="18" customHeight="1" x14ac:dyDescent="0.25">
      <c r="B405" s="15" t="str">
        <f>IF(H398=3,B399,"")</f>
        <v/>
      </c>
      <c r="C405" s="15" t="str">
        <f>IFERROR(IF(B405="","",VLOOKUP(B405,LISTAS!$F$5:$G$1004,2,0)),"0")</f>
        <v/>
      </c>
      <c r="D405" s="223"/>
      <c r="E405" s="224"/>
      <c r="F405" s="223" t="s">
        <v>38</v>
      </c>
      <c r="G405" s="224"/>
      <c r="H405" s="223"/>
      <c r="I405" s="224"/>
      <c r="J405" s="21" t="str">
        <f>IF(H398=3,B400,"")</f>
        <v/>
      </c>
      <c r="K405" s="15" t="str">
        <f>IFERROR(IF(J405="","",VLOOKUP(J405,LISTAS!$F$5:$G$1004,2,0)),"0")</f>
        <v/>
      </c>
      <c r="L405" s="79"/>
    </row>
    <row r="406" spans="2:16" ht="18" customHeight="1" x14ac:dyDescent="0.25">
      <c r="B406" s="15" t="str">
        <f>IF(H398=3,B398,"")</f>
        <v/>
      </c>
      <c r="C406" s="15" t="str">
        <f>IFERROR(IF(B406="","",VLOOKUP(B406,LISTAS!$F$5:$G$1004,2,0)),"0")</f>
        <v/>
      </c>
      <c r="D406" s="223"/>
      <c r="E406" s="224"/>
      <c r="F406" s="223" t="s">
        <v>38</v>
      </c>
      <c r="G406" s="224"/>
      <c r="H406" s="223"/>
      <c r="I406" s="224"/>
      <c r="J406" s="21" t="str">
        <f>IF(H398=3,B399,"")</f>
        <v/>
      </c>
      <c r="K406" s="15" t="str">
        <f>IFERROR(IF(J406="","",VLOOKUP(J406,LISTAS!$F$5:$G$1004,2,0)),"0")</f>
        <v/>
      </c>
      <c r="L406" s="81"/>
    </row>
    <row r="409" spans="2:16" ht="30" customHeight="1" x14ac:dyDescent="0.25">
      <c r="B409" s="161" t="s">
        <v>75</v>
      </c>
      <c r="C409" s="79"/>
      <c r="D409" s="225" t="s">
        <v>42</v>
      </c>
      <c r="E409" s="226"/>
      <c r="F409" s="226"/>
      <c r="G409" s="227"/>
      <c r="H409" s="113"/>
      <c r="I409" s="225" t="s">
        <v>3</v>
      </c>
      <c r="J409" s="226"/>
      <c r="K409" s="226"/>
      <c r="L409" s="226"/>
    </row>
    <row r="410" spans="2:16" ht="18" customHeight="1" x14ac:dyDescent="0.25">
      <c r="B410" s="9" t="s">
        <v>15</v>
      </c>
      <c r="C410" s="9" t="s">
        <v>0</v>
      </c>
      <c r="D410" s="9" t="s">
        <v>43</v>
      </c>
      <c r="E410" s="9" t="s">
        <v>44</v>
      </c>
      <c r="F410" s="9" t="s">
        <v>77</v>
      </c>
      <c r="G410" s="9" t="s">
        <v>78</v>
      </c>
      <c r="H410" s="114"/>
      <c r="I410" s="9" t="s">
        <v>18</v>
      </c>
      <c r="J410" s="9" t="s">
        <v>15</v>
      </c>
      <c r="K410" s="9" t="s">
        <v>0</v>
      </c>
      <c r="L410" s="9" t="s">
        <v>45</v>
      </c>
    </row>
    <row r="411" spans="2:16" ht="18" customHeight="1" x14ac:dyDescent="0.25">
      <c r="B411" s="15"/>
      <c r="C411" s="15" t="str">
        <f>IFERROR(IF(B411="","",VLOOKUP(B411,LISTAS!$F$5:$G$1004,2,0)),"0")</f>
        <v/>
      </c>
      <c r="D411" s="15" t="str">
        <f>IF(H411&lt;3,"",IF(H411=3,IF(D417&lt;&gt;"",IF(H417&lt;&gt;"",IF(D417&lt;&gt;H417,IF(D417&gt;H417,"V","D"),""),""),"")))</f>
        <v/>
      </c>
      <c r="E411" s="15" t="str">
        <f>IF(H411&lt;3,"",IF(H411=3,IF(D419&lt;&gt;"",IF(H419&lt;&gt;"",IF(D419&lt;&gt;H419,IF(D419&gt;H419,"V","D"),""),""),"")))</f>
        <v/>
      </c>
      <c r="F411" s="15" t="s">
        <v>81</v>
      </c>
      <c r="G411" s="15" t="s">
        <v>81</v>
      </c>
      <c r="H411" s="117">
        <f>COUNTA(B411:B413)</f>
        <v>0</v>
      </c>
      <c r="I411" s="15" t="str">
        <f>IF(B411&lt;&gt;"",1,"")</f>
        <v/>
      </c>
      <c r="J411" s="15" t="str">
        <f>IF(I411&lt;&gt;"",P411,"")</f>
        <v/>
      </c>
      <c r="K411" s="15" t="str">
        <f>IFERROR(IF(J411="","",VLOOKUP(J411,LISTAS!$F$5:$G$1004,2,0)),"0")</f>
        <v/>
      </c>
      <c r="L411" s="119" t="str">
        <f>IF(H411=3,"OURO",IF(H411=4,"OURO",IF(H411=5,"OURO","")))</f>
        <v/>
      </c>
      <c r="M411" s="20" t="str">
        <f>IF(B411&lt;&gt;"",COUNTIF(D411:G411,"V")+(SUMIF(B417:B419,B411,D417:E419)/1000)+(SUMIF(J417:J419,B411,H417:I419)/1000)-(SUMIF(B417:B419,B411,H417:I419)/1000)-(SUMIF(J417:J419,B411,D417:E419)/1000)+0.003,"")</f>
        <v/>
      </c>
      <c r="N411" s="20" t="str">
        <f>IF(B411="","",B411)</f>
        <v/>
      </c>
      <c r="O411" s="20" t="str">
        <f>IF(B411&lt;&gt;"",LARGE(M411:M413,1),"")</f>
        <v/>
      </c>
      <c r="P411" s="20" t="str">
        <f>VLOOKUP(O411,M411:N413,2,0)</f>
        <v/>
      </c>
    </row>
    <row r="412" spans="2:16" ht="18" customHeight="1" x14ac:dyDescent="0.25">
      <c r="B412" s="15"/>
      <c r="C412" s="15" t="str">
        <f>IFERROR(IF(B412="","",VLOOKUP(B412,LISTAS!$F$5:$G$1004,2,0)),"0")</f>
        <v/>
      </c>
      <c r="D412" s="15" t="str">
        <f>IF(H411&lt;3,"",IF(H411=3,IF(D418&lt;&gt;"",IF(H418&lt;&gt;"",IF(D418&lt;&gt;H418,IF(D418&gt;H418,"V","D"),""),""),"")))</f>
        <v/>
      </c>
      <c r="E412" s="15" t="str">
        <f>IF(H411&lt;3,"",IF(H411=3,IF(D419&lt;&gt;"",IF(H419&lt;&gt;"",IF(D419&lt;&gt;H419,IF(D419&gt;H419,"D","V"),""),""),"")))</f>
        <v/>
      </c>
      <c r="F412" s="15" t="s">
        <v>81</v>
      </c>
      <c r="G412" s="15" t="s">
        <v>81</v>
      </c>
      <c r="H412" s="115"/>
      <c r="I412" s="15" t="str">
        <f>IF(B412&lt;&gt;"",2,"")</f>
        <v/>
      </c>
      <c r="J412" s="15" t="str">
        <f>IF(I412&lt;&gt;"",P412,"")</f>
        <v/>
      </c>
      <c r="K412" s="15" t="str">
        <f>IFERROR(IF(J412="","",VLOOKUP(J412,LISTAS!$F$5:$G$1004,2,0)),"0")</f>
        <v/>
      </c>
      <c r="L412" s="119" t="str">
        <f>IF(H411=3,"PRATA",IF(H411=4,"OURO",IF(H411=5,"OURO","")))</f>
        <v/>
      </c>
      <c r="M412" s="20" t="str">
        <f>IF(B412&lt;&gt;"",COUNTIF(D412:G412,"V")+(SUMIF(B417:B419,B412,D417:E419)/1000)+(SUMIF(J417:J419,B412,H417:I419)/1000)-(SUMIF(B417:B419,B412,H417:I419)/1000)-(SUMIF(J417:J419,B412,D417:E419)/1000)+0.002,"")</f>
        <v/>
      </c>
      <c r="N412" s="20" t="str">
        <f t="shared" ref="N412" si="30">IF(B412="","",B412)</f>
        <v/>
      </c>
      <c r="O412" s="20" t="str">
        <f>IF(B412&lt;&gt;"",LARGE(M411:M413,2),"")</f>
        <v/>
      </c>
      <c r="P412" s="20" t="str">
        <f>VLOOKUP(O412,M411:N413,2,0)</f>
        <v/>
      </c>
    </row>
    <row r="413" spans="2:16" ht="18" customHeight="1" x14ac:dyDescent="0.25">
      <c r="B413" s="15"/>
      <c r="C413" s="15" t="str">
        <f>IFERROR(IF(B413="","",VLOOKUP(B413,LISTAS!$F$5:$G$1004,2,0)),"0")</f>
        <v/>
      </c>
      <c r="D413" s="15" t="str">
        <f>IF(H411&lt;3,"",IF(H411=3,IF(D417&lt;&gt;"",IF(H417&lt;&gt;"",IF(D417&lt;&gt;H417,IF(D417&gt;H417,"D","V"),""),""),"")))</f>
        <v/>
      </c>
      <c r="E413" s="15" t="str">
        <f>IF(H411&lt;3,"",IF(H411=3,IF(D418&lt;&gt;"",IF(H418&lt;&gt;"",IF(D418&lt;&gt;H418,IF(D418&gt;H418,"D","V"),""),""),"")))</f>
        <v/>
      </c>
      <c r="F413" s="15" t="s">
        <v>81</v>
      </c>
      <c r="G413" s="15" t="s">
        <v>81</v>
      </c>
      <c r="H413" s="115"/>
      <c r="I413" s="15" t="str">
        <f>IF(B413&lt;&gt;"",3,"")</f>
        <v/>
      </c>
      <c r="J413" s="15" t="str">
        <f>IF(I413&lt;&gt;"",P413,"")</f>
        <v/>
      </c>
      <c r="K413" s="15" t="str">
        <f>IFERROR(IF(J413="","",VLOOKUP(J413,LISTAS!$F$5:$G$1004,2,0)),"0")</f>
        <v/>
      </c>
      <c r="L413" s="119" t="str">
        <f>IF(H411=3,"BRONZE",IF(H411=4,"PRATA",IF(H411=5,"OURO","")))</f>
        <v/>
      </c>
      <c r="M413" s="20" t="str">
        <f>IF(B413&lt;&gt;"",COUNTIF(D413:G413,"V")+(SUMIF(B417:B419,B413,D417:E419)/1000)+(SUMIF(J417:J419,B413,H417:I419)/1000)-(SUMIF(B417:B419,B413,H417:I419)/1000)-(SUMIF(J417:J419,B413,D417:E419)/1000)+0.001,"")</f>
        <v/>
      </c>
      <c r="N413" s="20" t="str">
        <f>IF(B413="","",B413)</f>
        <v/>
      </c>
      <c r="O413" s="20" t="str">
        <f>IF(B413&lt;&gt;"",LARGE(M411:M413,3),"")</f>
        <v/>
      </c>
      <c r="P413" s="20" t="str">
        <f>VLOOKUP(O413,M411:N413,2,0)</f>
        <v/>
      </c>
    </row>
    <row r="414" spans="2:16" ht="18" customHeight="1" x14ac:dyDescent="0.25">
      <c r="B414" s="79"/>
      <c r="C414" s="79"/>
      <c r="D414" s="79"/>
      <c r="E414" s="79"/>
      <c r="F414" s="79"/>
      <c r="G414" s="79"/>
      <c r="I414" s="80"/>
      <c r="J414" s="79"/>
      <c r="K414" s="81"/>
      <c r="L414" s="81"/>
    </row>
    <row r="415" spans="2:16" ht="23.25" customHeight="1" x14ac:dyDescent="0.25">
      <c r="B415" s="82" t="s">
        <v>40</v>
      </c>
      <c r="C415" s="79"/>
      <c r="D415" s="79"/>
      <c r="E415" s="79"/>
      <c r="F415" s="79"/>
      <c r="G415" s="79"/>
      <c r="H415" s="79"/>
      <c r="I415" s="79"/>
      <c r="J415" s="79"/>
      <c r="K415" s="79"/>
      <c r="L415" s="79"/>
    </row>
    <row r="416" spans="2:16" ht="18" customHeight="1" x14ac:dyDescent="0.25">
      <c r="B416" s="9" t="s">
        <v>15</v>
      </c>
      <c r="C416" s="9" t="s">
        <v>0</v>
      </c>
      <c r="D416" s="228" t="s">
        <v>41</v>
      </c>
      <c r="E416" s="229"/>
      <c r="F416" s="229"/>
      <c r="G416" s="229"/>
      <c r="H416" s="229"/>
      <c r="I416" s="230"/>
      <c r="J416" s="9" t="s">
        <v>15</v>
      </c>
      <c r="K416" s="9" t="s">
        <v>0</v>
      </c>
      <c r="L416" s="79"/>
    </row>
    <row r="417" spans="2:16" ht="18" customHeight="1" x14ac:dyDescent="0.25">
      <c r="B417" s="15" t="str">
        <f>IF(H411=3,B411,"")</f>
        <v/>
      </c>
      <c r="C417" s="15" t="str">
        <f>IFERROR(IF(B417="","",VLOOKUP(B417,LISTAS!$F$5:$G$1004,2,0)),"0")</f>
        <v/>
      </c>
      <c r="D417" s="223"/>
      <c r="E417" s="224"/>
      <c r="F417" s="223" t="s">
        <v>38</v>
      </c>
      <c r="G417" s="224"/>
      <c r="H417" s="223"/>
      <c r="I417" s="224"/>
      <c r="J417" s="21" t="str">
        <f>IF(H411=3,B413,"")</f>
        <v/>
      </c>
      <c r="K417" s="15" t="str">
        <f>IFERROR(IF(J417="","",VLOOKUP(J417,LISTAS!$F$5:$G$1004,2,0)),"0")</f>
        <v/>
      </c>
      <c r="L417" s="81"/>
    </row>
    <row r="418" spans="2:16" ht="18" customHeight="1" x14ac:dyDescent="0.25">
      <c r="B418" s="15" t="str">
        <f>IF(H411=3,B412,"")</f>
        <v/>
      </c>
      <c r="C418" s="15" t="str">
        <f>IFERROR(IF(B418="","",VLOOKUP(B418,LISTAS!$F$5:$G$1004,2,0)),"0")</f>
        <v/>
      </c>
      <c r="D418" s="223"/>
      <c r="E418" s="224"/>
      <c r="F418" s="223" t="s">
        <v>38</v>
      </c>
      <c r="G418" s="224"/>
      <c r="H418" s="223"/>
      <c r="I418" s="224"/>
      <c r="J418" s="21" t="str">
        <f>IF(H411=3,B413,"")</f>
        <v/>
      </c>
      <c r="K418" s="15" t="str">
        <f>IFERROR(IF(J418="","",VLOOKUP(J418,LISTAS!$F$5:$G$1004,2,0)),"0")</f>
        <v/>
      </c>
      <c r="L418" s="79"/>
    </row>
    <row r="419" spans="2:16" ht="18" customHeight="1" x14ac:dyDescent="0.25">
      <c r="B419" s="15" t="str">
        <f>IF(H411=3,B411,"")</f>
        <v/>
      </c>
      <c r="C419" s="15" t="str">
        <f>IFERROR(IF(B419="","",VLOOKUP(B419,LISTAS!$F$5:$G$1004,2,0)),"0")</f>
        <v/>
      </c>
      <c r="D419" s="223"/>
      <c r="E419" s="224"/>
      <c r="F419" s="223" t="s">
        <v>38</v>
      </c>
      <c r="G419" s="224"/>
      <c r="H419" s="223"/>
      <c r="I419" s="224"/>
      <c r="J419" s="21" t="str">
        <f>IF(H411=3,B412,"")</f>
        <v/>
      </c>
      <c r="K419" s="15" t="str">
        <f>IFERROR(IF(J419="","",VLOOKUP(J419,LISTAS!$F$5:$G$1004,2,0)),"0")</f>
        <v/>
      </c>
      <c r="L419" s="81"/>
    </row>
    <row r="422" spans="2:16" ht="30" customHeight="1" x14ac:dyDescent="0.25">
      <c r="B422" s="161" t="s">
        <v>76</v>
      </c>
      <c r="C422" s="79"/>
      <c r="D422" s="225" t="s">
        <v>42</v>
      </c>
      <c r="E422" s="226"/>
      <c r="F422" s="226"/>
      <c r="G422" s="227"/>
      <c r="H422" s="113"/>
      <c r="I422" s="225" t="s">
        <v>3</v>
      </c>
      <c r="J422" s="226"/>
      <c r="K422" s="226"/>
      <c r="L422" s="226"/>
    </row>
    <row r="423" spans="2:16" ht="18" customHeight="1" x14ac:dyDescent="0.25">
      <c r="B423" s="9" t="s">
        <v>15</v>
      </c>
      <c r="C423" s="9" t="s">
        <v>0</v>
      </c>
      <c r="D423" s="9" t="s">
        <v>43</v>
      </c>
      <c r="E423" s="9" t="s">
        <v>44</v>
      </c>
      <c r="F423" s="9" t="s">
        <v>77</v>
      </c>
      <c r="G423" s="9" t="s">
        <v>78</v>
      </c>
      <c r="H423" s="114"/>
      <c r="I423" s="9" t="s">
        <v>18</v>
      </c>
      <c r="J423" s="9" t="s">
        <v>15</v>
      </c>
      <c r="K423" s="9" t="s">
        <v>0</v>
      </c>
      <c r="L423" s="9" t="s">
        <v>45</v>
      </c>
    </row>
    <row r="424" spans="2:16" ht="18" customHeight="1" x14ac:dyDescent="0.25">
      <c r="B424" s="15"/>
      <c r="C424" s="15" t="str">
        <f>IFERROR(IF(B424="","",VLOOKUP(B424,LISTAS!$F$5:$G$1004,2,0)),"0")</f>
        <v/>
      </c>
      <c r="D424" s="15" t="str">
        <f>IF(H424&lt;3,"",IF(H424=3,IF(D430&lt;&gt;"",IF(H430&lt;&gt;"",IF(D430&lt;&gt;H430,IF(D430&gt;H430,"V","D"),""),""),"")))</f>
        <v/>
      </c>
      <c r="E424" s="15" t="str">
        <f>IF(H424&lt;3,"",IF(H424=3,IF(D432&lt;&gt;"",IF(H432&lt;&gt;"",IF(D432&lt;&gt;H432,IF(D432&gt;H432,"V","D"),""),""),"")))</f>
        <v/>
      </c>
      <c r="F424" s="15" t="s">
        <v>81</v>
      </c>
      <c r="G424" s="15" t="s">
        <v>81</v>
      </c>
      <c r="H424" s="117">
        <f>COUNTA(B424:B426)</f>
        <v>0</v>
      </c>
      <c r="I424" s="15" t="str">
        <f>IF(B424&lt;&gt;"",1,"")</f>
        <v/>
      </c>
      <c r="J424" s="15" t="str">
        <f>IF(I424&lt;&gt;"",P424,"")</f>
        <v/>
      </c>
      <c r="K424" s="15" t="str">
        <f>IFERROR(IF(J424="","",VLOOKUP(J424,LISTAS!$F$5:$G$1004,2,0)),"0")</f>
        <v/>
      </c>
      <c r="L424" s="119" t="str">
        <f>IF(H424=3,"OURO",IF(H424=4,"OURO",IF(H424=5,"OURO","")))</f>
        <v/>
      </c>
      <c r="M424" s="20" t="str">
        <f>IF(B424&lt;&gt;"",COUNTIF(D424:G424,"V")+(SUMIF(B430:B432,B424,D430:E432)/1000)+(SUMIF(J430:J432,B424,H430:I432)/1000)-(SUMIF(B430:B432,B424,H430:I432)/1000)-(SUMIF(J430:J432,B424,D430:E432)/1000)+0.003,"")</f>
        <v/>
      </c>
      <c r="N424" s="20" t="str">
        <f>IF(B424="","",B424)</f>
        <v/>
      </c>
      <c r="O424" s="20" t="str">
        <f>IF(B424&lt;&gt;"",LARGE(M424:M426,1),"")</f>
        <v/>
      </c>
      <c r="P424" s="20" t="str">
        <f>VLOOKUP(O424,M424:N426,2,0)</f>
        <v/>
      </c>
    </row>
    <row r="425" spans="2:16" ht="18" customHeight="1" x14ac:dyDescent="0.25">
      <c r="B425" s="15"/>
      <c r="C425" s="15" t="str">
        <f>IFERROR(IF(B425="","",VLOOKUP(B425,LISTAS!$F$5:$G$1004,2,0)),"0")</f>
        <v/>
      </c>
      <c r="D425" s="15" t="str">
        <f>IF(H424&lt;3,"",IF(H424=3,IF(D431&lt;&gt;"",IF(H431&lt;&gt;"",IF(D431&lt;&gt;H431,IF(D431&gt;H431,"V","D"),""),""),"")))</f>
        <v/>
      </c>
      <c r="E425" s="15" t="str">
        <f>IF(H424&lt;3,"",IF(H424=3,IF(D432&lt;&gt;"",IF(H432&lt;&gt;"",IF(D432&lt;&gt;H432,IF(D432&gt;H432,"D","V"),""),""),"")))</f>
        <v/>
      </c>
      <c r="F425" s="15" t="s">
        <v>81</v>
      </c>
      <c r="G425" s="15" t="s">
        <v>81</v>
      </c>
      <c r="H425" s="115"/>
      <c r="I425" s="15" t="str">
        <f>IF(B425&lt;&gt;"",2,"")</f>
        <v/>
      </c>
      <c r="J425" s="15" t="str">
        <f>IF(I425&lt;&gt;"",P425,"")</f>
        <v/>
      </c>
      <c r="K425" s="15" t="str">
        <f>IFERROR(IF(J425="","",VLOOKUP(J425,LISTAS!$F$5:$G$1004,2,0)),"0")</f>
        <v/>
      </c>
      <c r="L425" s="119" t="str">
        <f>IF(H424=3,"PRATA",IF(H424=4,"OURO",IF(H424=5,"OURO","")))</f>
        <v/>
      </c>
      <c r="M425" s="20" t="str">
        <f>IF(B425&lt;&gt;"",COUNTIF(D425:G425,"V")+(SUMIF(B430:B432,B425,D430:E432)/1000)+(SUMIF(J430:J432,B425,H430:I432)/1000)-(SUMIF(B430:B432,B425,H430:I432)/1000)-(SUMIF(J430:J432,B425,D430:E432)/1000)+0.002,"")</f>
        <v/>
      </c>
      <c r="N425" s="20" t="str">
        <f t="shared" ref="N425" si="31">IF(B425="","",B425)</f>
        <v/>
      </c>
      <c r="O425" s="20" t="str">
        <f>IF(B425&lt;&gt;"",LARGE(M424:M426,2),"")</f>
        <v/>
      </c>
      <c r="P425" s="20" t="str">
        <f>VLOOKUP(O425,M424:N426,2,0)</f>
        <v/>
      </c>
    </row>
    <row r="426" spans="2:16" ht="18" customHeight="1" x14ac:dyDescent="0.25">
      <c r="B426" s="15"/>
      <c r="C426" s="15" t="str">
        <f>IFERROR(IF(B426="","",VLOOKUP(B426,LISTAS!$F$5:$G$1004,2,0)),"0")</f>
        <v/>
      </c>
      <c r="D426" s="15" t="str">
        <f>IF(H424&lt;3,"",IF(H424=3,IF(D430&lt;&gt;"",IF(H430&lt;&gt;"",IF(D430&lt;&gt;H430,IF(D430&gt;H430,"D","V"),""),""),"")))</f>
        <v/>
      </c>
      <c r="E426" s="15" t="str">
        <f>IF(H424&lt;3,"",IF(H424=3,IF(D431&lt;&gt;"",IF(H431&lt;&gt;"",IF(D431&lt;&gt;H431,IF(D431&gt;H431,"D","V"),""),""),"")))</f>
        <v/>
      </c>
      <c r="F426" s="15" t="s">
        <v>81</v>
      </c>
      <c r="G426" s="15" t="s">
        <v>81</v>
      </c>
      <c r="H426" s="115"/>
      <c r="I426" s="15" t="str">
        <f>IF(B426&lt;&gt;"",3,"")</f>
        <v/>
      </c>
      <c r="J426" s="15" t="str">
        <f>IF(I426&lt;&gt;"",P426,"")</f>
        <v/>
      </c>
      <c r="K426" s="15" t="str">
        <f>IFERROR(IF(J426="","",VLOOKUP(J426,LISTAS!$F$5:$G$1004,2,0)),"0")</f>
        <v/>
      </c>
      <c r="L426" s="119" t="str">
        <f>IF(H424=3,"BRONZE",IF(H424=4,"PRATA",IF(H424=5,"OURO","")))</f>
        <v/>
      </c>
      <c r="M426" s="20" t="str">
        <f>IF(B426&lt;&gt;"",COUNTIF(D426:G426,"V")+(SUMIF(B430:B432,B426,D430:E432)/1000)+(SUMIF(J430:J432,B426,H430:I432)/1000)-(SUMIF(B430:B432,B426,H430:I432)/1000)-(SUMIF(J430:J432,B426,D430:E432)/1000)+0.001,"")</f>
        <v/>
      </c>
      <c r="N426" s="20" t="str">
        <f>IF(B426="","",B426)</f>
        <v/>
      </c>
      <c r="O426" s="20" t="str">
        <f>IF(B426&lt;&gt;"",LARGE(M424:M426,3),"")</f>
        <v/>
      </c>
      <c r="P426" s="20" t="str">
        <f>VLOOKUP(O426,M424:N426,2,0)</f>
        <v/>
      </c>
    </row>
    <row r="427" spans="2:16" ht="18" customHeight="1" x14ac:dyDescent="0.25">
      <c r="B427" s="79"/>
      <c r="C427" s="79"/>
      <c r="D427" s="79"/>
      <c r="E427" s="79"/>
      <c r="F427" s="79"/>
      <c r="G427" s="79"/>
      <c r="I427" s="80"/>
      <c r="J427" s="79"/>
      <c r="K427" s="81"/>
      <c r="L427" s="81"/>
    </row>
    <row r="428" spans="2:16" ht="23.25" customHeight="1" x14ac:dyDescent="0.25">
      <c r="B428" s="82" t="s">
        <v>40</v>
      </c>
      <c r="C428" s="79"/>
      <c r="D428" s="79"/>
      <c r="E428" s="79"/>
      <c r="F428" s="79"/>
      <c r="G428" s="79"/>
      <c r="H428" s="79"/>
      <c r="I428" s="79"/>
      <c r="J428" s="79"/>
      <c r="K428" s="79"/>
      <c r="L428" s="79"/>
    </row>
    <row r="429" spans="2:16" ht="18" customHeight="1" x14ac:dyDescent="0.25">
      <c r="B429" s="9" t="s">
        <v>15</v>
      </c>
      <c r="C429" s="9" t="s">
        <v>0</v>
      </c>
      <c r="D429" s="228" t="s">
        <v>41</v>
      </c>
      <c r="E429" s="229"/>
      <c r="F429" s="229"/>
      <c r="G429" s="229"/>
      <c r="H429" s="229"/>
      <c r="I429" s="230"/>
      <c r="J429" s="9" t="s">
        <v>15</v>
      </c>
      <c r="K429" s="9" t="s">
        <v>0</v>
      </c>
      <c r="L429" s="79"/>
    </row>
    <row r="430" spans="2:16" ht="18" customHeight="1" x14ac:dyDescent="0.25">
      <c r="B430" s="15" t="str">
        <f>IF(H424=3,B424,"")</f>
        <v/>
      </c>
      <c r="C430" s="15" t="str">
        <f>IFERROR(IF(B430="","",VLOOKUP(B430,LISTAS!$F$5:$G$1004,2,0)),"0")</f>
        <v/>
      </c>
      <c r="D430" s="223"/>
      <c r="E430" s="224"/>
      <c r="F430" s="223" t="s">
        <v>38</v>
      </c>
      <c r="G430" s="224"/>
      <c r="H430" s="223"/>
      <c r="I430" s="224"/>
      <c r="J430" s="21" t="str">
        <f>IF(H424=3,B426,"")</f>
        <v/>
      </c>
      <c r="K430" s="15" t="str">
        <f>IFERROR(IF(J430="","",VLOOKUP(J430,LISTAS!$F$5:$G$1004,2,0)),"0")</f>
        <v/>
      </c>
      <c r="L430" s="81"/>
    </row>
    <row r="431" spans="2:16" ht="18" customHeight="1" x14ac:dyDescent="0.25">
      <c r="B431" s="15" t="str">
        <f>IF(H424=3,B425,"")</f>
        <v/>
      </c>
      <c r="C431" s="15" t="str">
        <f>IFERROR(IF(B431="","",VLOOKUP(B431,LISTAS!$F$5:$G$1004,2,0)),"0")</f>
        <v/>
      </c>
      <c r="D431" s="223"/>
      <c r="E431" s="224"/>
      <c r="F431" s="223" t="s">
        <v>38</v>
      </c>
      <c r="G431" s="224"/>
      <c r="H431" s="223"/>
      <c r="I431" s="224"/>
      <c r="J431" s="21" t="str">
        <f>IF(H424=3,B426,"")</f>
        <v/>
      </c>
      <c r="K431" s="15" t="str">
        <f>IFERROR(IF(J431="","",VLOOKUP(J431,LISTAS!$F$5:$G$1004,2,0)),"0")</f>
        <v/>
      </c>
      <c r="L431" s="79"/>
    </row>
    <row r="432" spans="2:16" ht="18" customHeight="1" x14ac:dyDescent="0.25">
      <c r="B432" s="15" t="str">
        <f>IF(H424=3,B424,"")</f>
        <v/>
      </c>
      <c r="C432" s="15" t="str">
        <f>IFERROR(IF(B432="","",VLOOKUP(B432,LISTAS!$F$5:$G$1004,2,0)),"0")</f>
        <v/>
      </c>
      <c r="D432" s="223"/>
      <c r="E432" s="224"/>
      <c r="F432" s="223" t="s">
        <v>38</v>
      </c>
      <c r="G432" s="224"/>
      <c r="H432" s="223"/>
      <c r="I432" s="224"/>
      <c r="J432" s="21" t="str">
        <f>IF(H424=3,B425,"")</f>
        <v/>
      </c>
      <c r="K432" s="15" t="str">
        <f>IFERROR(IF(J432="","",VLOOKUP(J432,LISTAS!$F$5:$G$1004,2,0)),"0")</f>
        <v/>
      </c>
      <c r="L432" s="81"/>
    </row>
  </sheetData>
  <mergeCells count="416">
    <mergeCell ref="B2:L4"/>
    <mergeCell ref="C5:F5"/>
    <mergeCell ref="D6:G6"/>
    <mergeCell ref="I6:L6"/>
    <mergeCell ref="D15:I15"/>
    <mergeCell ref="D16:E16"/>
    <mergeCell ref="F16:G16"/>
    <mergeCell ref="H16:I16"/>
    <mergeCell ref="D19:E19"/>
    <mergeCell ref="F19:G19"/>
    <mergeCell ref="H19:I19"/>
    <mergeCell ref="D20:E20"/>
    <mergeCell ref="F20:G20"/>
    <mergeCell ref="H20:I20"/>
    <mergeCell ref="D17:E17"/>
    <mergeCell ref="F17:G17"/>
    <mergeCell ref="H17:I17"/>
    <mergeCell ref="D18:E18"/>
    <mergeCell ref="F18:G18"/>
    <mergeCell ref="H18:I18"/>
    <mergeCell ref="D23:E23"/>
    <mergeCell ref="F23:G23"/>
    <mergeCell ref="H23:I23"/>
    <mergeCell ref="D24:E24"/>
    <mergeCell ref="F24:G24"/>
    <mergeCell ref="H24:I24"/>
    <mergeCell ref="D21:E21"/>
    <mergeCell ref="F21:G21"/>
    <mergeCell ref="H21:I21"/>
    <mergeCell ref="D22:E22"/>
    <mergeCell ref="F22:G22"/>
    <mergeCell ref="H22:I22"/>
    <mergeCell ref="D37:E37"/>
    <mergeCell ref="F37:G37"/>
    <mergeCell ref="H37:I37"/>
    <mergeCell ref="D38:E38"/>
    <mergeCell ref="F38:G38"/>
    <mergeCell ref="H38:I38"/>
    <mergeCell ref="D25:E25"/>
    <mergeCell ref="F25:G25"/>
    <mergeCell ref="H25:I25"/>
    <mergeCell ref="D28:G28"/>
    <mergeCell ref="I28:L28"/>
    <mergeCell ref="D36:I36"/>
    <mergeCell ref="D41:E41"/>
    <mergeCell ref="F41:G41"/>
    <mergeCell ref="H41:I41"/>
    <mergeCell ref="D42:E42"/>
    <mergeCell ref="F42:G42"/>
    <mergeCell ref="H42:I42"/>
    <mergeCell ref="D39:E39"/>
    <mergeCell ref="F39:G39"/>
    <mergeCell ref="H39:I39"/>
    <mergeCell ref="D40:E40"/>
    <mergeCell ref="F40:G40"/>
    <mergeCell ref="H40:I40"/>
    <mergeCell ref="D54:E54"/>
    <mergeCell ref="F54:G54"/>
    <mergeCell ref="H54:I54"/>
    <mergeCell ref="D55:E55"/>
    <mergeCell ref="F55:G55"/>
    <mergeCell ref="H55:I55"/>
    <mergeCell ref="D45:G45"/>
    <mergeCell ref="I45:L45"/>
    <mergeCell ref="D52:I52"/>
    <mergeCell ref="D53:E53"/>
    <mergeCell ref="F53:G53"/>
    <mergeCell ref="H53:I53"/>
    <mergeCell ref="D67:E67"/>
    <mergeCell ref="F67:G67"/>
    <mergeCell ref="H67:I67"/>
    <mergeCell ref="D68:E68"/>
    <mergeCell ref="F68:G68"/>
    <mergeCell ref="H68:I68"/>
    <mergeCell ref="D58:G58"/>
    <mergeCell ref="I58:L58"/>
    <mergeCell ref="D65:I65"/>
    <mergeCell ref="D66:E66"/>
    <mergeCell ref="F66:G66"/>
    <mergeCell ref="H66:I66"/>
    <mergeCell ref="D80:E80"/>
    <mergeCell ref="F80:G80"/>
    <mergeCell ref="H80:I80"/>
    <mergeCell ref="D81:E81"/>
    <mergeCell ref="F81:G81"/>
    <mergeCell ref="H81:I81"/>
    <mergeCell ref="D71:G71"/>
    <mergeCell ref="I71:L71"/>
    <mergeCell ref="D78:I78"/>
    <mergeCell ref="D79:E79"/>
    <mergeCell ref="F79:G79"/>
    <mergeCell ref="H79:I79"/>
    <mergeCell ref="D93:E93"/>
    <mergeCell ref="F93:G93"/>
    <mergeCell ref="H93:I93"/>
    <mergeCell ref="D94:E94"/>
    <mergeCell ref="F94:G94"/>
    <mergeCell ref="H94:I94"/>
    <mergeCell ref="D84:G84"/>
    <mergeCell ref="I84:L84"/>
    <mergeCell ref="D91:I91"/>
    <mergeCell ref="D92:E92"/>
    <mergeCell ref="F92:G92"/>
    <mergeCell ref="H92:I92"/>
    <mergeCell ref="D106:E106"/>
    <mergeCell ref="F106:G106"/>
    <mergeCell ref="H106:I106"/>
    <mergeCell ref="D107:E107"/>
    <mergeCell ref="F107:G107"/>
    <mergeCell ref="H107:I107"/>
    <mergeCell ref="D97:G97"/>
    <mergeCell ref="I97:L97"/>
    <mergeCell ref="D104:I104"/>
    <mergeCell ref="D105:E105"/>
    <mergeCell ref="F105:G105"/>
    <mergeCell ref="H105:I105"/>
    <mergeCell ref="D119:E119"/>
    <mergeCell ref="F119:G119"/>
    <mergeCell ref="H119:I119"/>
    <mergeCell ref="D120:E120"/>
    <mergeCell ref="F120:G120"/>
    <mergeCell ref="H120:I120"/>
    <mergeCell ref="D110:G110"/>
    <mergeCell ref="I110:L110"/>
    <mergeCell ref="D117:I117"/>
    <mergeCell ref="D118:E118"/>
    <mergeCell ref="F118:G118"/>
    <mergeCell ref="H118:I118"/>
    <mergeCell ref="D132:E132"/>
    <mergeCell ref="F132:G132"/>
    <mergeCell ref="H132:I132"/>
    <mergeCell ref="D133:E133"/>
    <mergeCell ref="F133:G133"/>
    <mergeCell ref="H133:I133"/>
    <mergeCell ref="D123:G123"/>
    <mergeCell ref="I123:L123"/>
    <mergeCell ref="D130:I130"/>
    <mergeCell ref="D131:E131"/>
    <mergeCell ref="F131:G131"/>
    <mergeCell ref="H131:I131"/>
    <mergeCell ref="D145:E145"/>
    <mergeCell ref="F145:G145"/>
    <mergeCell ref="H145:I145"/>
    <mergeCell ref="D146:E146"/>
    <mergeCell ref="F146:G146"/>
    <mergeCell ref="H146:I146"/>
    <mergeCell ref="D136:G136"/>
    <mergeCell ref="I136:L136"/>
    <mergeCell ref="D143:I143"/>
    <mergeCell ref="D144:E144"/>
    <mergeCell ref="F144:G144"/>
    <mergeCell ref="H144:I144"/>
    <mergeCell ref="D158:E158"/>
    <mergeCell ref="F158:G158"/>
    <mergeCell ref="H158:I158"/>
    <mergeCell ref="D159:E159"/>
    <mergeCell ref="F159:G159"/>
    <mergeCell ref="H159:I159"/>
    <mergeCell ref="D149:G149"/>
    <mergeCell ref="I149:L149"/>
    <mergeCell ref="D156:I156"/>
    <mergeCell ref="D157:E157"/>
    <mergeCell ref="F157:G157"/>
    <mergeCell ref="H157:I157"/>
    <mergeCell ref="D171:E171"/>
    <mergeCell ref="F171:G171"/>
    <mergeCell ref="H171:I171"/>
    <mergeCell ref="D172:E172"/>
    <mergeCell ref="F172:G172"/>
    <mergeCell ref="H172:I172"/>
    <mergeCell ref="D162:G162"/>
    <mergeCell ref="I162:L162"/>
    <mergeCell ref="D169:I169"/>
    <mergeCell ref="D170:E170"/>
    <mergeCell ref="F170:G170"/>
    <mergeCell ref="H170:I170"/>
    <mergeCell ref="D184:E184"/>
    <mergeCell ref="F184:G184"/>
    <mergeCell ref="H184:I184"/>
    <mergeCell ref="D185:E185"/>
    <mergeCell ref="F185:G185"/>
    <mergeCell ref="H185:I185"/>
    <mergeCell ref="D175:G175"/>
    <mergeCell ref="I175:L175"/>
    <mergeCell ref="D182:I182"/>
    <mergeCell ref="D183:E183"/>
    <mergeCell ref="F183:G183"/>
    <mergeCell ref="H183:I183"/>
    <mergeCell ref="D197:E197"/>
    <mergeCell ref="F197:G197"/>
    <mergeCell ref="H197:I197"/>
    <mergeCell ref="D198:E198"/>
    <mergeCell ref="F198:G198"/>
    <mergeCell ref="H198:I198"/>
    <mergeCell ref="D188:G188"/>
    <mergeCell ref="I188:L188"/>
    <mergeCell ref="D195:I195"/>
    <mergeCell ref="D196:E196"/>
    <mergeCell ref="F196:G196"/>
    <mergeCell ref="H196:I196"/>
    <mergeCell ref="D210:E210"/>
    <mergeCell ref="F210:G210"/>
    <mergeCell ref="H210:I210"/>
    <mergeCell ref="D211:E211"/>
    <mergeCell ref="F211:G211"/>
    <mergeCell ref="H211:I211"/>
    <mergeCell ref="D201:G201"/>
    <mergeCell ref="I201:L201"/>
    <mergeCell ref="D208:I208"/>
    <mergeCell ref="D209:E209"/>
    <mergeCell ref="F209:G209"/>
    <mergeCell ref="H209:I209"/>
    <mergeCell ref="D223:E223"/>
    <mergeCell ref="F223:G223"/>
    <mergeCell ref="H223:I223"/>
    <mergeCell ref="D224:E224"/>
    <mergeCell ref="F224:G224"/>
    <mergeCell ref="H224:I224"/>
    <mergeCell ref="D214:G214"/>
    <mergeCell ref="I214:L214"/>
    <mergeCell ref="D221:I221"/>
    <mergeCell ref="D222:E222"/>
    <mergeCell ref="F222:G222"/>
    <mergeCell ref="H222:I222"/>
    <mergeCell ref="D236:E236"/>
    <mergeCell ref="F236:G236"/>
    <mergeCell ref="H236:I236"/>
    <mergeCell ref="D237:E237"/>
    <mergeCell ref="F237:G237"/>
    <mergeCell ref="H237:I237"/>
    <mergeCell ref="D227:G227"/>
    <mergeCell ref="I227:L227"/>
    <mergeCell ref="D234:I234"/>
    <mergeCell ref="D235:E235"/>
    <mergeCell ref="F235:G235"/>
    <mergeCell ref="H235:I235"/>
    <mergeCell ref="D249:E249"/>
    <mergeCell ref="F249:G249"/>
    <mergeCell ref="H249:I249"/>
    <mergeCell ref="D250:E250"/>
    <mergeCell ref="F250:G250"/>
    <mergeCell ref="H250:I250"/>
    <mergeCell ref="D240:G240"/>
    <mergeCell ref="I240:L240"/>
    <mergeCell ref="D247:I247"/>
    <mergeCell ref="D248:E248"/>
    <mergeCell ref="F248:G248"/>
    <mergeCell ref="H248:I248"/>
    <mergeCell ref="D262:E262"/>
    <mergeCell ref="F262:G262"/>
    <mergeCell ref="H262:I262"/>
    <mergeCell ref="D263:E263"/>
    <mergeCell ref="F263:G263"/>
    <mergeCell ref="H263:I263"/>
    <mergeCell ref="D253:G253"/>
    <mergeCell ref="I253:L253"/>
    <mergeCell ref="D260:I260"/>
    <mergeCell ref="D261:E261"/>
    <mergeCell ref="F261:G261"/>
    <mergeCell ref="H261:I261"/>
    <mergeCell ref="D275:E275"/>
    <mergeCell ref="F275:G275"/>
    <mergeCell ref="H275:I275"/>
    <mergeCell ref="D276:E276"/>
    <mergeCell ref="F276:G276"/>
    <mergeCell ref="H276:I276"/>
    <mergeCell ref="D266:G266"/>
    <mergeCell ref="I266:L266"/>
    <mergeCell ref="D273:I273"/>
    <mergeCell ref="D274:E274"/>
    <mergeCell ref="F274:G274"/>
    <mergeCell ref="H274:I274"/>
    <mergeCell ref="D288:E288"/>
    <mergeCell ref="F288:G288"/>
    <mergeCell ref="H288:I288"/>
    <mergeCell ref="D289:E289"/>
    <mergeCell ref="F289:G289"/>
    <mergeCell ref="H289:I289"/>
    <mergeCell ref="D279:G279"/>
    <mergeCell ref="I279:L279"/>
    <mergeCell ref="D286:I286"/>
    <mergeCell ref="D287:E287"/>
    <mergeCell ref="F287:G287"/>
    <mergeCell ref="H287:I287"/>
    <mergeCell ref="D301:E301"/>
    <mergeCell ref="F301:G301"/>
    <mergeCell ref="H301:I301"/>
    <mergeCell ref="D302:E302"/>
    <mergeCell ref="F302:G302"/>
    <mergeCell ref="H302:I302"/>
    <mergeCell ref="D292:G292"/>
    <mergeCell ref="I292:L292"/>
    <mergeCell ref="D299:I299"/>
    <mergeCell ref="D300:E300"/>
    <mergeCell ref="F300:G300"/>
    <mergeCell ref="H300:I300"/>
    <mergeCell ref="D314:E314"/>
    <mergeCell ref="F314:G314"/>
    <mergeCell ref="H314:I314"/>
    <mergeCell ref="D315:E315"/>
    <mergeCell ref="F315:G315"/>
    <mergeCell ref="H315:I315"/>
    <mergeCell ref="D305:G305"/>
    <mergeCell ref="I305:L305"/>
    <mergeCell ref="D312:I312"/>
    <mergeCell ref="D313:E313"/>
    <mergeCell ref="F313:G313"/>
    <mergeCell ref="H313:I313"/>
    <mergeCell ref="D327:E327"/>
    <mergeCell ref="F327:G327"/>
    <mergeCell ref="H327:I327"/>
    <mergeCell ref="D328:E328"/>
    <mergeCell ref="F328:G328"/>
    <mergeCell ref="H328:I328"/>
    <mergeCell ref="D318:G318"/>
    <mergeCell ref="I318:L318"/>
    <mergeCell ref="D325:I325"/>
    <mergeCell ref="D326:E326"/>
    <mergeCell ref="F326:G326"/>
    <mergeCell ref="H326:I326"/>
    <mergeCell ref="D340:E340"/>
    <mergeCell ref="F340:G340"/>
    <mergeCell ref="H340:I340"/>
    <mergeCell ref="D341:E341"/>
    <mergeCell ref="F341:G341"/>
    <mergeCell ref="H341:I341"/>
    <mergeCell ref="D331:G331"/>
    <mergeCell ref="I331:L331"/>
    <mergeCell ref="D338:I338"/>
    <mergeCell ref="D339:E339"/>
    <mergeCell ref="F339:G339"/>
    <mergeCell ref="H339:I339"/>
    <mergeCell ref="D353:E353"/>
    <mergeCell ref="F353:G353"/>
    <mergeCell ref="H353:I353"/>
    <mergeCell ref="D354:E354"/>
    <mergeCell ref="F354:G354"/>
    <mergeCell ref="H354:I354"/>
    <mergeCell ref="D344:G344"/>
    <mergeCell ref="I344:L344"/>
    <mergeCell ref="D351:I351"/>
    <mergeCell ref="D352:E352"/>
    <mergeCell ref="F352:G352"/>
    <mergeCell ref="H352:I352"/>
    <mergeCell ref="D366:E366"/>
    <mergeCell ref="F366:G366"/>
    <mergeCell ref="H366:I366"/>
    <mergeCell ref="D367:E367"/>
    <mergeCell ref="F367:G367"/>
    <mergeCell ref="H367:I367"/>
    <mergeCell ref="D357:G357"/>
    <mergeCell ref="I357:L357"/>
    <mergeCell ref="D364:I364"/>
    <mergeCell ref="D365:E365"/>
    <mergeCell ref="F365:G365"/>
    <mergeCell ref="H365:I365"/>
    <mergeCell ref="D379:E379"/>
    <mergeCell ref="F379:G379"/>
    <mergeCell ref="H379:I379"/>
    <mergeCell ref="D380:E380"/>
    <mergeCell ref="F380:G380"/>
    <mergeCell ref="H380:I380"/>
    <mergeCell ref="D370:G370"/>
    <mergeCell ref="I370:L370"/>
    <mergeCell ref="D377:I377"/>
    <mergeCell ref="D378:E378"/>
    <mergeCell ref="F378:G378"/>
    <mergeCell ref="H378:I378"/>
    <mergeCell ref="D392:E392"/>
    <mergeCell ref="F392:G392"/>
    <mergeCell ref="H392:I392"/>
    <mergeCell ref="D393:E393"/>
    <mergeCell ref="F393:G393"/>
    <mergeCell ref="H393:I393"/>
    <mergeCell ref="D383:G383"/>
    <mergeCell ref="I383:L383"/>
    <mergeCell ref="D390:I390"/>
    <mergeCell ref="D391:E391"/>
    <mergeCell ref="F391:G391"/>
    <mergeCell ref="H391:I391"/>
    <mergeCell ref="D405:E405"/>
    <mergeCell ref="F405:G405"/>
    <mergeCell ref="H405:I405"/>
    <mergeCell ref="D406:E406"/>
    <mergeCell ref="F406:G406"/>
    <mergeCell ref="H406:I406"/>
    <mergeCell ref="D396:G396"/>
    <mergeCell ref="I396:L396"/>
    <mergeCell ref="D403:I403"/>
    <mergeCell ref="D404:E404"/>
    <mergeCell ref="F404:G404"/>
    <mergeCell ref="H404:I404"/>
    <mergeCell ref="D418:E418"/>
    <mergeCell ref="F418:G418"/>
    <mergeCell ref="H418:I418"/>
    <mergeCell ref="D419:E419"/>
    <mergeCell ref="F419:G419"/>
    <mergeCell ref="H419:I419"/>
    <mergeCell ref="D409:G409"/>
    <mergeCell ref="I409:L409"/>
    <mergeCell ref="D416:I416"/>
    <mergeCell ref="D417:E417"/>
    <mergeCell ref="F417:G417"/>
    <mergeCell ref="H417:I417"/>
    <mergeCell ref="D431:E431"/>
    <mergeCell ref="F431:G431"/>
    <mergeCell ref="H431:I431"/>
    <mergeCell ref="D432:E432"/>
    <mergeCell ref="F432:G432"/>
    <mergeCell ref="H432:I432"/>
    <mergeCell ref="D422:G422"/>
    <mergeCell ref="I422:L422"/>
    <mergeCell ref="D429:I429"/>
    <mergeCell ref="D430:E430"/>
    <mergeCell ref="F430:G430"/>
    <mergeCell ref="H430:I430"/>
  </mergeCells>
  <conditionalFormatting sqref="L8:L12">
    <cfRule type="cellIs" dxfId="191" priority="94" operator="equal">
      <formula>"BRONZE"</formula>
    </cfRule>
    <cfRule type="cellIs" dxfId="190" priority="95" operator="equal">
      <formula>"PRATA"</formula>
    </cfRule>
    <cfRule type="containsText" dxfId="189" priority="96" operator="containsText" text="OURO">
      <formula>NOT(ISERROR(SEARCH("OURO",L8)))</formula>
    </cfRule>
  </conditionalFormatting>
  <conditionalFormatting sqref="L30:L33">
    <cfRule type="cellIs" dxfId="188" priority="1" operator="equal">
      <formula>"BRONZE"</formula>
    </cfRule>
    <cfRule type="cellIs" dxfId="187" priority="2" operator="equal">
      <formula>"PRATA"</formula>
    </cfRule>
    <cfRule type="containsText" dxfId="186" priority="3" operator="containsText" text="OURO">
      <formula>NOT(ISERROR(SEARCH("OURO",L30)))</formula>
    </cfRule>
  </conditionalFormatting>
  <conditionalFormatting sqref="L47:L49">
    <cfRule type="cellIs" dxfId="185" priority="91" operator="equal">
      <formula>"BRONZE"</formula>
    </cfRule>
    <cfRule type="cellIs" dxfId="184" priority="92" operator="equal">
      <formula>"PRATA"</formula>
    </cfRule>
    <cfRule type="containsText" dxfId="183" priority="93" operator="containsText" text="OURO">
      <formula>NOT(ISERROR(SEARCH("OURO",L47)))</formula>
    </cfRule>
  </conditionalFormatting>
  <conditionalFormatting sqref="L60:L62">
    <cfRule type="cellIs" dxfId="182" priority="88" operator="equal">
      <formula>"BRONZE"</formula>
    </cfRule>
    <cfRule type="cellIs" dxfId="181" priority="89" operator="equal">
      <formula>"PRATA"</formula>
    </cfRule>
    <cfRule type="containsText" dxfId="180" priority="90" operator="containsText" text="OURO">
      <formula>NOT(ISERROR(SEARCH("OURO",L60)))</formula>
    </cfRule>
  </conditionalFormatting>
  <conditionalFormatting sqref="L73:L75">
    <cfRule type="cellIs" dxfId="179" priority="85" operator="equal">
      <formula>"BRONZE"</formula>
    </cfRule>
    <cfRule type="cellIs" dxfId="178" priority="86" operator="equal">
      <formula>"PRATA"</formula>
    </cfRule>
    <cfRule type="containsText" dxfId="177" priority="87" operator="containsText" text="OURO">
      <formula>NOT(ISERROR(SEARCH("OURO",L73)))</formula>
    </cfRule>
  </conditionalFormatting>
  <conditionalFormatting sqref="L86:L88">
    <cfRule type="cellIs" dxfId="176" priority="82" operator="equal">
      <formula>"BRONZE"</formula>
    </cfRule>
    <cfRule type="cellIs" dxfId="175" priority="83" operator="equal">
      <formula>"PRATA"</formula>
    </cfRule>
    <cfRule type="containsText" dxfId="174" priority="84" operator="containsText" text="OURO">
      <formula>NOT(ISERROR(SEARCH("OURO",L86)))</formula>
    </cfRule>
  </conditionalFormatting>
  <conditionalFormatting sqref="L99:L101">
    <cfRule type="cellIs" dxfId="173" priority="79" operator="equal">
      <formula>"BRONZE"</formula>
    </cfRule>
    <cfRule type="cellIs" dxfId="172" priority="80" operator="equal">
      <formula>"PRATA"</formula>
    </cfRule>
    <cfRule type="containsText" dxfId="171" priority="81" operator="containsText" text="OURO">
      <formula>NOT(ISERROR(SEARCH("OURO",L99)))</formula>
    </cfRule>
  </conditionalFormatting>
  <conditionalFormatting sqref="L112:L114">
    <cfRule type="cellIs" dxfId="170" priority="76" operator="equal">
      <formula>"BRONZE"</formula>
    </cfRule>
    <cfRule type="cellIs" dxfId="169" priority="77" operator="equal">
      <formula>"PRATA"</formula>
    </cfRule>
    <cfRule type="containsText" dxfId="168" priority="78" operator="containsText" text="OURO">
      <formula>NOT(ISERROR(SEARCH("OURO",L112)))</formula>
    </cfRule>
  </conditionalFormatting>
  <conditionalFormatting sqref="L125:L127">
    <cfRule type="cellIs" dxfId="167" priority="73" operator="equal">
      <formula>"BRONZE"</formula>
    </cfRule>
    <cfRule type="cellIs" dxfId="166" priority="74" operator="equal">
      <formula>"PRATA"</formula>
    </cfRule>
    <cfRule type="containsText" dxfId="165" priority="75" operator="containsText" text="OURO">
      <formula>NOT(ISERROR(SEARCH("OURO",L125)))</formula>
    </cfRule>
  </conditionalFormatting>
  <conditionalFormatting sqref="L138:L140">
    <cfRule type="cellIs" dxfId="164" priority="70" operator="equal">
      <formula>"BRONZE"</formula>
    </cfRule>
    <cfRule type="cellIs" dxfId="163" priority="71" operator="equal">
      <formula>"PRATA"</formula>
    </cfRule>
    <cfRule type="containsText" dxfId="162" priority="72" operator="containsText" text="OURO">
      <formula>NOT(ISERROR(SEARCH("OURO",L138)))</formula>
    </cfRule>
  </conditionalFormatting>
  <conditionalFormatting sqref="L151:L153">
    <cfRule type="cellIs" dxfId="161" priority="67" operator="equal">
      <formula>"BRONZE"</formula>
    </cfRule>
    <cfRule type="cellIs" dxfId="160" priority="68" operator="equal">
      <formula>"PRATA"</formula>
    </cfRule>
    <cfRule type="containsText" dxfId="159" priority="69" operator="containsText" text="OURO">
      <formula>NOT(ISERROR(SEARCH("OURO",L151)))</formula>
    </cfRule>
  </conditionalFormatting>
  <conditionalFormatting sqref="L164:L166">
    <cfRule type="cellIs" dxfId="158" priority="64" operator="equal">
      <formula>"BRONZE"</formula>
    </cfRule>
    <cfRule type="cellIs" dxfId="157" priority="65" operator="equal">
      <formula>"PRATA"</formula>
    </cfRule>
    <cfRule type="containsText" dxfId="156" priority="66" operator="containsText" text="OURO">
      <formula>NOT(ISERROR(SEARCH("OURO",L164)))</formula>
    </cfRule>
  </conditionalFormatting>
  <conditionalFormatting sqref="L177:L179">
    <cfRule type="cellIs" dxfId="155" priority="61" operator="equal">
      <formula>"BRONZE"</formula>
    </cfRule>
    <cfRule type="cellIs" dxfId="154" priority="62" operator="equal">
      <formula>"PRATA"</formula>
    </cfRule>
    <cfRule type="containsText" dxfId="153" priority="63" operator="containsText" text="OURO">
      <formula>NOT(ISERROR(SEARCH("OURO",L177)))</formula>
    </cfRule>
  </conditionalFormatting>
  <conditionalFormatting sqref="L190:L192">
    <cfRule type="cellIs" dxfId="152" priority="58" operator="equal">
      <formula>"BRONZE"</formula>
    </cfRule>
    <cfRule type="cellIs" dxfId="151" priority="59" operator="equal">
      <formula>"PRATA"</formula>
    </cfRule>
    <cfRule type="containsText" dxfId="150" priority="60" operator="containsText" text="OURO">
      <formula>NOT(ISERROR(SEARCH("OURO",L190)))</formula>
    </cfRule>
  </conditionalFormatting>
  <conditionalFormatting sqref="L203:L205">
    <cfRule type="cellIs" dxfId="149" priority="55" operator="equal">
      <formula>"BRONZE"</formula>
    </cfRule>
    <cfRule type="cellIs" dxfId="148" priority="56" operator="equal">
      <formula>"PRATA"</formula>
    </cfRule>
    <cfRule type="containsText" dxfId="147" priority="57" operator="containsText" text="OURO">
      <formula>NOT(ISERROR(SEARCH("OURO",L203)))</formula>
    </cfRule>
  </conditionalFormatting>
  <conditionalFormatting sqref="L216:L218">
    <cfRule type="cellIs" dxfId="146" priority="52" operator="equal">
      <formula>"BRONZE"</formula>
    </cfRule>
    <cfRule type="cellIs" dxfId="145" priority="53" operator="equal">
      <formula>"PRATA"</formula>
    </cfRule>
    <cfRule type="containsText" dxfId="144" priority="54" operator="containsText" text="OURO">
      <formula>NOT(ISERROR(SEARCH("OURO",L216)))</formula>
    </cfRule>
  </conditionalFormatting>
  <conditionalFormatting sqref="L229:L231">
    <cfRule type="cellIs" dxfId="143" priority="49" operator="equal">
      <formula>"BRONZE"</formula>
    </cfRule>
    <cfRule type="cellIs" dxfId="142" priority="50" operator="equal">
      <formula>"PRATA"</formula>
    </cfRule>
    <cfRule type="containsText" dxfId="141" priority="51" operator="containsText" text="OURO">
      <formula>NOT(ISERROR(SEARCH("OURO",L229)))</formula>
    </cfRule>
  </conditionalFormatting>
  <conditionalFormatting sqref="L242:L244">
    <cfRule type="cellIs" dxfId="140" priority="46" operator="equal">
      <formula>"BRONZE"</formula>
    </cfRule>
    <cfRule type="cellIs" dxfId="139" priority="47" operator="equal">
      <formula>"PRATA"</formula>
    </cfRule>
    <cfRule type="containsText" dxfId="138" priority="48" operator="containsText" text="OURO">
      <formula>NOT(ISERROR(SEARCH("OURO",L242)))</formula>
    </cfRule>
  </conditionalFormatting>
  <conditionalFormatting sqref="L255:L257">
    <cfRule type="cellIs" dxfId="137" priority="43" operator="equal">
      <formula>"BRONZE"</formula>
    </cfRule>
    <cfRule type="cellIs" dxfId="136" priority="44" operator="equal">
      <formula>"PRATA"</formula>
    </cfRule>
    <cfRule type="containsText" dxfId="135" priority="45" operator="containsText" text="OURO">
      <formula>NOT(ISERROR(SEARCH("OURO",L255)))</formula>
    </cfRule>
  </conditionalFormatting>
  <conditionalFormatting sqref="L268:L270">
    <cfRule type="cellIs" dxfId="134" priority="40" operator="equal">
      <formula>"BRONZE"</formula>
    </cfRule>
    <cfRule type="cellIs" dxfId="133" priority="41" operator="equal">
      <formula>"PRATA"</formula>
    </cfRule>
    <cfRule type="containsText" dxfId="132" priority="42" operator="containsText" text="OURO">
      <formula>NOT(ISERROR(SEARCH("OURO",L268)))</formula>
    </cfRule>
  </conditionalFormatting>
  <conditionalFormatting sqref="L281:L283">
    <cfRule type="cellIs" dxfId="131" priority="37" operator="equal">
      <formula>"BRONZE"</formula>
    </cfRule>
    <cfRule type="cellIs" dxfId="130" priority="38" operator="equal">
      <formula>"PRATA"</formula>
    </cfRule>
    <cfRule type="containsText" dxfId="129" priority="39" operator="containsText" text="OURO">
      <formula>NOT(ISERROR(SEARCH("OURO",L281)))</formula>
    </cfRule>
  </conditionalFormatting>
  <conditionalFormatting sqref="L294:L296">
    <cfRule type="cellIs" dxfId="128" priority="34" operator="equal">
      <formula>"BRONZE"</formula>
    </cfRule>
    <cfRule type="cellIs" dxfId="127" priority="35" operator="equal">
      <formula>"PRATA"</formula>
    </cfRule>
    <cfRule type="containsText" dxfId="126" priority="36" operator="containsText" text="OURO">
      <formula>NOT(ISERROR(SEARCH("OURO",L294)))</formula>
    </cfRule>
  </conditionalFormatting>
  <conditionalFormatting sqref="L307:L309">
    <cfRule type="cellIs" dxfId="125" priority="31" operator="equal">
      <formula>"BRONZE"</formula>
    </cfRule>
    <cfRule type="cellIs" dxfId="124" priority="32" operator="equal">
      <formula>"PRATA"</formula>
    </cfRule>
    <cfRule type="containsText" dxfId="123" priority="33" operator="containsText" text="OURO">
      <formula>NOT(ISERROR(SEARCH("OURO",L307)))</formula>
    </cfRule>
  </conditionalFormatting>
  <conditionalFormatting sqref="L320:L322">
    <cfRule type="cellIs" dxfId="122" priority="28" operator="equal">
      <formula>"BRONZE"</formula>
    </cfRule>
    <cfRule type="cellIs" dxfId="121" priority="29" operator="equal">
      <formula>"PRATA"</formula>
    </cfRule>
    <cfRule type="containsText" dxfId="120" priority="30" operator="containsText" text="OURO">
      <formula>NOT(ISERROR(SEARCH("OURO",L320)))</formula>
    </cfRule>
  </conditionalFormatting>
  <conditionalFormatting sqref="L333:L335">
    <cfRule type="cellIs" dxfId="119" priority="25" operator="equal">
      <formula>"BRONZE"</formula>
    </cfRule>
    <cfRule type="cellIs" dxfId="118" priority="26" operator="equal">
      <formula>"PRATA"</formula>
    </cfRule>
    <cfRule type="containsText" dxfId="117" priority="27" operator="containsText" text="OURO">
      <formula>NOT(ISERROR(SEARCH("OURO",L333)))</formula>
    </cfRule>
  </conditionalFormatting>
  <conditionalFormatting sqref="L346:L348">
    <cfRule type="cellIs" dxfId="116" priority="22" operator="equal">
      <formula>"BRONZE"</formula>
    </cfRule>
    <cfRule type="cellIs" dxfId="115" priority="23" operator="equal">
      <formula>"PRATA"</formula>
    </cfRule>
    <cfRule type="containsText" dxfId="114" priority="24" operator="containsText" text="OURO">
      <formula>NOT(ISERROR(SEARCH("OURO",L346)))</formula>
    </cfRule>
  </conditionalFormatting>
  <conditionalFormatting sqref="L359:L361">
    <cfRule type="cellIs" dxfId="113" priority="19" operator="equal">
      <formula>"BRONZE"</formula>
    </cfRule>
    <cfRule type="cellIs" dxfId="112" priority="20" operator="equal">
      <formula>"PRATA"</formula>
    </cfRule>
    <cfRule type="containsText" dxfId="111" priority="21" operator="containsText" text="OURO">
      <formula>NOT(ISERROR(SEARCH("OURO",L359)))</formula>
    </cfRule>
  </conditionalFormatting>
  <conditionalFormatting sqref="L372:L374">
    <cfRule type="cellIs" dxfId="110" priority="16" operator="equal">
      <formula>"BRONZE"</formula>
    </cfRule>
    <cfRule type="cellIs" dxfId="109" priority="17" operator="equal">
      <formula>"PRATA"</formula>
    </cfRule>
    <cfRule type="containsText" dxfId="108" priority="18" operator="containsText" text="OURO">
      <formula>NOT(ISERROR(SEARCH("OURO",L372)))</formula>
    </cfRule>
  </conditionalFormatting>
  <conditionalFormatting sqref="L385:L387">
    <cfRule type="cellIs" dxfId="107" priority="13" operator="equal">
      <formula>"BRONZE"</formula>
    </cfRule>
    <cfRule type="cellIs" dxfId="106" priority="14" operator="equal">
      <formula>"PRATA"</formula>
    </cfRule>
    <cfRule type="containsText" dxfId="105" priority="15" operator="containsText" text="OURO">
      <formula>NOT(ISERROR(SEARCH("OURO",L385)))</formula>
    </cfRule>
  </conditionalFormatting>
  <conditionalFormatting sqref="L398:L400">
    <cfRule type="cellIs" dxfId="104" priority="10" operator="equal">
      <formula>"BRONZE"</formula>
    </cfRule>
    <cfRule type="cellIs" dxfId="103" priority="11" operator="equal">
      <formula>"PRATA"</formula>
    </cfRule>
    <cfRule type="containsText" dxfId="102" priority="12" operator="containsText" text="OURO">
      <formula>NOT(ISERROR(SEARCH("OURO",L398)))</formula>
    </cfRule>
  </conditionalFormatting>
  <conditionalFormatting sqref="L411:L413">
    <cfRule type="cellIs" dxfId="101" priority="7" operator="equal">
      <formula>"BRONZE"</formula>
    </cfRule>
    <cfRule type="cellIs" dxfId="100" priority="8" operator="equal">
      <formula>"PRATA"</formula>
    </cfRule>
    <cfRule type="containsText" dxfId="99" priority="9" operator="containsText" text="OURO">
      <formula>NOT(ISERROR(SEARCH("OURO",L411)))</formula>
    </cfRule>
  </conditionalFormatting>
  <conditionalFormatting sqref="L424:L426">
    <cfRule type="cellIs" dxfId="98" priority="4" operator="equal">
      <formula>"BRONZE"</formula>
    </cfRule>
    <cfRule type="cellIs" dxfId="97" priority="5" operator="equal">
      <formula>"PRATA"</formula>
    </cfRule>
    <cfRule type="containsText" dxfId="96" priority="6" operator="containsText" text="OURO">
      <formula>NOT(ISERROR(SEARCH("OURO",L424)))</formula>
    </cfRule>
  </conditionalFormatting>
  <pageMargins left="0.51181102362204722" right="0.51181102362204722" top="0.78740157480314965" bottom="0.78740157480314965" header="0.31496062992125984" footer="0.31496062992125984"/>
  <pageSetup paperSize="9" scale="60" orientation="landscape"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0000000}">
          <x14:formula1>
            <xm:f>LISTAS!$D$10:$D$41</xm:f>
          </x14:formula1>
          <xm:sqref>G5</xm:sqref>
        </x14:dataValidation>
        <x14:dataValidation type="list" allowBlank="1" showInputMessage="1" showErrorMessage="1" xr:uid="{00000000-0002-0000-1000-000001000000}">
          <x14:formula1>
            <xm:f>LISTAS!$F$5:$F$1004</xm:f>
          </x14:formula1>
          <xm:sqref>B424:B426 B30:B33 B47:B49 B60:B62 B73:B75 B86:B88 B99:B101 B112:B114 B125:B127 B138:B140 B151:B153 B164:B166 B177:B179 B190:B192 B203:B205 B216:B218 B229:B231 B242:B244 B255:B257 B268:B270 B281:B283 B294:B296 B307:B309 B320:B322 B333:B335 B346:B348 B359:B361 B372:B374 B385:B387 B398:B400 B411:B413 B8:B9 B11:B12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28">
    <tabColor rgb="FFFF66FF"/>
    <pageSetUpPr fitToPage="1"/>
  </sheetPr>
  <dimension ref="B1:AW200"/>
  <sheetViews>
    <sheetView showGridLines="0" topLeftCell="E88" zoomScale="85" zoomScaleNormal="85" workbookViewId="0">
      <selection activeCell="Y163" sqref="Y163"/>
    </sheetView>
  </sheetViews>
  <sheetFormatPr defaultColWidth="25.28515625" defaultRowHeight="16.5" x14ac:dyDescent="0.25"/>
  <cols>
    <col min="1" max="1" width="1.140625" style="1" customWidth="1"/>
    <col min="2" max="2" width="3.140625" style="1" customWidth="1"/>
    <col min="3" max="3" width="18.7109375" style="163" customWidth="1"/>
    <col min="4" max="4" width="5" style="1" customWidth="1"/>
    <col min="5" max="6" width="3.7109375" style="1" customWidth="1"/>
    <col min="7" max="7" width="18.7109375" style="173" customWidth="1"/>
    <col min="8" max="8" width="5" style="1" customWidth="1"/>
    <col min="9" max="9" width="3.7109375" style="1" customWidth="1"/>
    <col min="10" max="10" width="3.85546875" style="1" customWidth="1"/>
    <col min="11" max="11" width="40.85546875" style="173" customWidth="1"/>
    <col min="12" max="12" width="5" style="1" customWidth="1"/>
    <col min="13" max="14" width="3.7109375" style="1" customWidth="1"/>
    <col min="15" max="15" width="18.7109375" style="173" customWidth="1"/>
    <col min="16" max="16" width="5" style="1" customWidth="1"/>
    <col min="17" max="17" width="6.28515625" style="23" customWidth="1"/>
    <col min="18" max="18" width="18.7109375" style="183" customWidth="1"/>
    <col min="19" max="21" width="3.7109375" style="23" customWidth="1"/>
    <col min="22" max="22" width="18.5703125" style="183" customWidth="1"/>
    <col min="23" max="23" width="6.28515625" style="1" customWidth="1"/>
    <col min="24" max="24" width="5" style="2" customWidth="1"/>
    <col min="25" max="25" width="18.7109375" style="173" customWidth="1"/>
    <col min="26" max="27" width="3.7109375" style="1" customWidth="1"/>
    <col min="28" max="28" width="5" style="1" customWidth="1"/>
    <col min="29" max="29" width="38.42578125" style="173" customWidth="1"/>
    <col min="30" max="31" width="3.7109375" style="1" customWidth="1"/>
    <col min="32" max="32" width="5" style="1" customWidth="1"/>
    <col min="33" max="33" width="18.85546875" style="173" customWidth="1"/>
    <col min="34" max="34" width="3.7109375" style="1" customWidth="1"/>
    <col min="35" max="35" width="3.5703125" style="1" customWidth="1"/>
    <col min="36" max="36" width="5" style="1" customWidth="1"/>
    <col min="37" max="37" width="18.7109375" style="173" customWidth="1"/>
    <col min="38" max="38" width="3.28515625" style="23" customWidth="1"/>
    <col min="39" max="41" width="1.42578125" style="20" customWidth="1"/>
    <col min="42" max="42" width="9.7109375" style="1" customWidth="1"/>
    <col min="43" max="43" width="15.5703125" style="1" customWidth="1"/>
    <col min="44" max="44" width="57.28515625" style="1" customWidth="1"/>
    <col min="45" max="16384" width="25.28515625" style="1"/>
  </cols>
  <sheetData>
    <row r="1" spans="2:49" ht="6" customHeight="1" x14ac:dyDescent="0.25"/>
    <row r="2" spans="2:49" s="3" customFormat="1" ht="60.75" customHeight="1" x14ac:dyDescent="0.25">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5"/>
      <c r="AN2" s="25"/>
      <c r="AO2" s="25"/>
      <c r="AP2" s="233"/>
      <c r="AQ2" s="233"/>
      <c r="AR2" s="233"/>
      <c r="AS2" s="233"/>
      <c r="AT2" s="233"/>
      <c r="AU2" s="233"/>
    </row>
    <row r="3" spans="2:49" s="3" customFormat="1" ht="60.75" customHeight="1" x14ac:dyDescent="0.25">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5"/>
      <c r="AN3" s="25"/>
      <c r="AO3" s="25"/>
      <c r="AP3" s="233"/>
      <c r="AQ3" s="233"/>
      <c r="AR3" s="233"/>
      <c r="AS3" s="233"/>
      <c r="AT3" s="233"/>
      <c r="AU3" s="233"/>
      <c r="AV3" s="1"/>
      <c r="AW3" s="1"/>
    </row>
    <row r="4" spans="2:49" s="3" customFormat="1" ht="13.5" customHeight="1" x14ac:dyDescent="0.25">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5"/>
      <c r="AN4" s="25"/>
      <c r="AO4" s="25"/>
      <c r="AP4" s="4"/>
      <c r="AQ4" s="4"/>
      <c r="AR4" s="4"/>
      <c r="AS4" s="4"/>
      <c r="AT4" s="4"/>
      <c r="AU4" s="4"/>
    </row>
    <row r="5" spans="2:49" s="3" customFormat="1" ht="30" customHeight="1" x14ac:dyDescent="0.25">
      <c r="B5" s="242" t="s">
        <v>33</v>
      </c>
      <c r="C5" s="242"/>
      <c r="D5" s="243"/>
      <c r="E5" s="40"/>
      <c r="G5" s="174"/>
      <c r="H5" s="4"/>
      <c r="K5" s="178"/>
      <c r="O5" s="178"/>
      <c r="Q5" s="24"/>
      <c r="R5" s="184"/>
      <c r="S5" s="24"/>
      <c r="T5" s="24"/>
      <c r="U5" s="24"/>
      <c r="V5" s="184"/>
      <c r="W5" s="24"/>
      <c r="X5" s="24"/>
      <c r="Y5" s="184"/>
      <c r="Z5" s="5"/>
      <c r="AB5" s="4"/>
      <c r="AC5" s="174"/>
      <c r="AG5" s="178"/>
      <c r="AK5" s="178"/>
      <c r="AL5" s="24"/>
      <c r="AM5" s="25"/>
      <c r="AN5" s="25"/>
      <c r="AO5" s="25"/>
      <c r="AP5" s="244" t="s">
        <v>33</v>
      </c>
      <c r="AQ5" s="245"/>
      <c r="AR5" s="6" t="s">
        <v>13</v>
      </c>
      <c r="AS5" s="7" t="s">
        <v>14</v>
      </c>
      <c r="AT5" s="4"/>
      <c r="AU5" s="4"/>
    </row>
    <row r="6" spans="2:49" ht="30" customHeight="1" x14ac:dyDescent="0.25">
      <c r="B6" s="247" t="s">
        <v>21</v>
      </c>
      <c r="C6" s="248"/>
      <c r="D6" s="248"/>
      <c r="E6" s="248"/>
      <c r="F6" s="248"/>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P6" s="246" t="s">
        <v>21</v>
      </c>
      <c r="AQ6" s="246"/>
      <c r="AR6" s="246"/>
      <c r="AS6" s="246"/>
      <c r="AT6" s="246"/>
      <c r="AU6" s="246"/>
    </row>
    <row r="7" spans="2:49" ht="28.5" customHeight="1" thickBot="1" x14ac:dyDescent="0.3">
      <c r="B7" s="73"/>
      <c r="C7" s="164"/>
      <c r="D7" s="61"/>
      <c r="E7" s="61"/>
      <c r="F7" s="61"/>
      <c r="G7" s="175"/>
      <c r="H7" s="61"/>
      <c r="I7" s="61"/>
      <c r="J7" s="61"/>
      <c r="K7" s="179"/>
      <c r="L7" s="61"/>
      <c r="M7" s="61"/>
      <c r="N7" s="61"/>
      <c r="O7" s="179"/>
      <c r="P7" s="61"/>
      <c r="Q7" s="61"/>
      <c r="R7" s="179"/>
      <c r="S7" s="61"/>
      <c r="T7" s="61"/>
      <c r="U7" s="61"/>
      <c r="V7" s="179"/>
      <c r="W7" s="61"/>
      <c r="X7" s="74"/>
      <c r="Y7" s="179"/>
      <c r="Z7" s="61"/>
      <c r="AA7" s="61"/>
      <c r="AB7" s="75"/>
      <c r="AC7" s="179"/>
      <c r="AD7" s="61"/>
      <c r="AE7" s="61"/>
      <c r="AF7" s="61"/>
      <c r="AG7" s="186"/>
      <c r="AH7" s="129"/>
      <c r="AI7" s="129"/>
      <c r="AJ7" s="61"/>
      <c r="AK7" s="179"/>
      <c r="AL7" s="61"/>
      <c r="AP7" s="228" t="s">
        <v>3</v>
      </c>
      <c r="AQ7" s="230"/>
      <c r="AR7" s="9" t="s">
        <v>15</v>
      </c>
      <c r="AS7" s="9" t="s">
        <v>0</v>
      </c>
      <c r="AT7" s="9" t="s">
        <v>16</v>
      </c>
      <c r="AU7" s="9" t="s">
        <v>17</v>
      </c>
    </row>
    <row r="8" spans="2:49" ht="18" customHeight="1" x14ac:dyDescent="0.25">
      <c r="B8" s="10">
        <v>1</v>
      </c>
      <c r="C8" s="162" t="str">
        <f>IF('17F GRP'!G5&gt;=3,'17F GRP'!J8,IF('17F GRP'!G5=2,'17F GRP'!J8,IF('17F GRP'!G5=1,'17F GRP'!J8,"")))</f>
        <v>AMANDA DE ALBUQUERQUE RIBEIRO</v>
      </c>
      <c r="D8" s="234">
        <v>2</v>
      </c>
      <c r="E8" s="51">
        <f>IF(D8&lt;&gt;"",D8,"")</f>
        <v>2</v>
      </c>
      <c r="F8" s="51" t="str">
        <f>IF(D8&lt;&gt;"",IF(C8="","",C8),"")</f>
        <v>AMANDA DE ALBUQUERQUE RIBEIRO</v>
      </c>
      <c r="G8" s="176">
        <f>IF(E8&lt;&gt;"",IF(E10&lt;&gt;"",SMALL(E8:E10,1),""),"")</f>
        <v>0</v>
      </c>
      <c r="H8" s="11"/>
      <c r="I8" s="11"/>
      <c r="J8" s="11"/>
      <c r="K8" s="166"/>
      <c r="L8" s="11"/>
      <c r="M8" s="12"/>
      <c r="N8" s="12"/>
      <c r="O8" s="180"/>
      <c r="P8" s="12"/>
      <c r="Q8" s="8"/>
      <c r="R8" s="182"/>
      <c r="S8" s="8"/>
      <c r="T8" s="8"/>
      <c r="U8" s="8"/>
      <c r="V8" s="182"/>
      <c r="W8" s="8"/>
      <c r="X8" s="62"/>
      <c r="Y8" s="182"/>
      <c r="Z8" s="8"/>
      <c r="AA8" s="8"/>
      <c r="AB8" s="11"/>
      <c r="AC8" s="182"/>
      <c r="AD8" s="8"/>
      <c r="AE8" s="8"/>
      <c r="AF8" s="8"/>
      <c r="AG8" s="181">
        <f>IF(AJ8&lt;&gt;"",AJ8,"")</f>
        <v>2</v>
      </c>
      <c r="AH8" s="78" t="str">
        <f>IF(AJ8&lt;&gt;"",IF(AK8="","",AK8),"")</f>
        <v>JULIA MIKI OTIAI</v>
      </c>
      <c r="AI8" s="51">
        <f>IF(AG8&lt;&gt;"",IF(AG10&lt;&gt;"",SMALL(AG8:AG10,1),""),"")</f>
        <v>0</v>
      </c>
      <c r="AJ8" s="234">
        <v>2</v>
      </c>
      <c r="AK8" s="162" t="str">
        <f>IF('17F GRP'!G5&gt;=3,'17F GRP'!J47,IF('17F GRP'!G5=2,IF('17F GRP'!H8=3,"",'17F GRP'!J9),IF('17F GRP'!G5=1,'17F GRP'!J10,"")))</f>
        <v>JULIA MIKI OTIAI</v>
      </c>
      <c r="AL8" s="63">
        <v>3</v>
      </c>
      <c r="AP8" s="13">
        <f>IF(AR8&lt;&gt;"",1,"")</f>
        <v>1</v>
      </c>
      <c r="AQ8" s="14" t="str">
        <f>IF(AP8&lt;&gt;"","LUGAR","")</f>
        <v>LUGAR</v>
      </c>
      <c r="AR8" s="15" t="str">
        <f>IF(S36&lt;&gt;"",IF(U36&lt;&gt;"",IF(S36=U36,"",IF(S36&gt;U36,R36,V36)),""),"")</f>
        <v>LUIZA CRISTINA URTADO BRAZ</v>
      </c>
      <c r="AS8" s="15" t="str">
        <f>IFERROR(IF(AR8="","",VLOOKUP(AR8,LISTAS!$F$5:$G$1004,2,0)),"0")</f>
        <v>COLÉGIO ARBOS SÃO CAETANO DO SUL</v>
      </c>
      <c r="AT8" s="15">
        <f t="shared" ref="AT8:AT38" si="0">IF(AP8="","",IF(AP8=1,400,IF(AP8=2,340,IF(AP8=3,300,IF(AP8=4,280,IF(AP8=5,270,IF(AP8=6,260,IF(AP8=7,250,IF(AP8=8,240,IF(AP8=9,200,IF(AP8=10,200,IF(AP8=11,200,IF(AP8=12,200,IF(AP8=13,200,IF(AP8=14,200,IF(AP8=15,200,IF(AP8=16,200,IF(AP8&gt;16,"",""))))))))))))))))))</f>
        <v>400</v>
      </c>
      <c r="AU8" s="15">
        <f>IF(AP8="","",IF($AS$5="NÃO","",IF(AP8=1,400,IF(AP8=2,340,IF(AP8=3,300,IF(AP8=4,280,IF(AP8=5,270,IF(AP8=6,260,IF(AP8=7,250,IF(AP8=8,240,IF(AP8=9,200,IF(AP8=10,200,IF(AP8=11,200,IF(AP8=12,200,IF(AP8=13,200,IF(AP8=14,200,IF(AP8=15,200,IF(AP8=16,200,IF(AP8&gt;16,"","")))))))))))))))))))</f>
        <v>400</v>
      </c>
    </row>
    <row r="9" spans="2:49" ht="18" customHeight="1" thickBot="1" x14ac:dyDescent="0.3">
      <c r="B9" s="10"/>
      <c r="C9" s="165" t="str">
        <f>IFERROR(IF(C8="","",VLOOKUP(C8,LISTAS!$F$5:$G$1004,2,0)),"0")</f>
        <v>COLÉGIO ENGENHEIRO SALVADOR ARENA</v>
      </c>
      <c r="D9" s="235"/>
      <c r="E9" s="51"/>
      <c r="F9" s="51"/>
      <c r="G9" s="176"/>
      <c r="H9" s="11"/>
      <c r="I9" s="11"/>
      <c r="J9" s="11"/>
      <c r="K9" s="166"/>
      <c r="L9" s="11"/>
      <c r="M9" s="12"/>
      <c r="N9" s="12"/>
      <c r="O9" s="180"/>
      <c r="P9" s="12"/>
      <c r="Q9" s="8"/>
      <c r="R9" s="182"/>
      <c r="S9" s="8"/>
      <c r="T9" s="8"/>
      <c r="U9" s="8"/>
      <c r="V9" s="182"/>
      <c r="W9" s="8"/>
      <c r="X9" s="62"/>
      <c r="Y9" s="182"/>
      <c r="Z9" s="8"/>
      <c r="AA9" s="8"/>
      <c r="AB9" s="11"/>
      <c r="AC9" s="182"/>
      <c r="AD9" s="8"/>
      <c r="AE9" s="8"/>
      <c r="AF9" s="8"/>
      <c r="AG9" s="181"/>
      <c r="AH9" s="78"/>
      <c r="AI9" s="51"/>
      <c r="AJ9" s="235"/>
      <c r="AK9" s="165" t="str">
        <f>IFERROR(IF(AK8="","",VLOOKUP(AK8,LISTAS!$F$5:$G$1004,2,0)),"0")</f>
        <v>COLÉGIO ENGENHEIRO SALVADOR ARENA</v>
      </c>
      <c r="AL9" s="63"/>
      <c r="AP9" s="13">
        <f>IF(AR9&lt;&gt;"",1+COUNTIF(AP8,"1"),"")</f>
        <v>2</v>
      </c>
      <c r="AQ9" s="14" t="str">
        <f t="shared" ref="AQ9:AQ39" si="1">IF(AP9&lt;&gt;"","LUGAR","")</f>
        <v>LUGAR</v>
      </c>
      <c r="AR9" s="15" t="str">
        <f>IF(S36&lt;&gt;"",IF(U36&lt;&gt;"",IF(S36=U36,"",IF(S36&lt;U36,R36,V36)),""),"")</f>
        <v>JULIA MIKI OTIAI</v>
      </c>
      <c r="AS9" s="15" t="str">
        <f>IFERROR(IF(AR9="","",VLOOKUP(AR9,LISTAS!$F$5:$G$1004,2,0)),"0")</f>
        <v>COLÉGIO ENGENHEIRO SALVADOR ARENA</v>
      </c>
      <c r="AT9" s="15">
        <f t="shared" si="0"/>
        <v>340</v>
      </c>
      <c r="AU9" s="15">
        <f t="shared" ref="AU9:AU38" si="2">IF(AP9="","",IF($AS$5="NÃO","",IF(AP9=1,400,IF(AP9=2,340,IF(AP9=3,300,IF(AP9=4,280,IF(AP9=5,270,IF(AP9=6,260,IF(AP9=7,250,IF(AP9=8,240,IF(AP9=9,200,IF(AP9=10,200,IF(AP9=11,200,IF(AP9=12,200,IF(AP9=13,200,IF(AP9=14,200,IF(AP9=15,200,IF(AP9=16,200,IF(AP9&gt;16,"","")))))))))))))))))))</f>
        <v>340</v>
      </c>
    </row>
    <row r="10" spans="2:49" ht="18" customHeight="1" x14ac:dyDescent="0.25">
      <c r="B10" s="16">
        <v>32</v>
      </c>
      <c r="C10" s="162" t="str">
        <f>IF('17F GRP'!G5&gt;=3,'17F GRP'!J424,IF('17F GRP'!G5=2,"",IF('17F GRP'!G5=1,"","")))</f>
        <v/>
      </c>
      <c r="D10" s="234">
        <v>0</v>
      </c>
      <c r="E10" s="52">
        <f>IF(D10&lt;&gt;"",D10,"")</f>
        <v>0</v>
      </c>
      <c r="F10" s="51" t="str">
        <f>IF(D10&lt;&gt;"",IF(C10="","",C10),"")</f>
        <v/>
      </c>
      <c r="G10" s="176" t="str">
        <f>VLOOKUP(G8,E8:F10,2,0)</f>
        <v/>
      </c>
      <c r="H10" s="11"/>
      <c r="I10" s="11"/>
      <c r="J10" s="11"/>
      <c r="K10" s="166"/>
      <c r="L10" s="11"/>
      <c r="M10" s="12"/>
      <c r="N10" s="12"/>
      <c r="O10" s="180"/>
      <c r="P10" s="12"/>
      <c r="Q10" s="8"/>
      <c r="R10" s="182"/>
      <c r="S10" s="8"/>
      <c r="T10" s="8"/>
      <c r="U10" s="8"/>
      <c r="V10" s="182"/>
      <c r="W10" s="8"/>
      <c r="X10" s="62"/>
      <c r="Y10" s="182"/>
      <c r="Z10" s="8"/>
      <c r="AA10" s="8"/>
      <c r="AB10" s="11"/>
      <c r="AC10" s="182"/>
      <c r="AD10" s="8"/>
      <c r="AE10" s="8"/>
      <c r="AF10" s="8"/>
      <c r="AG10" s="181">
        <f>IF(AJ10&lt;&gt;"",AJ10,"")</f>
        <v>0</v>
      </c>
      <c r="AH10" s="78" t="str">
        <f>IF(AJ10&lt;&gt;"",IF(AK10="","",AK10),"")</f>
        <v/>
      </c>
      <c r="AI10" s="55" t="str">
        <f>VLOOKUP(AI8,AG8:AH10,2,0)</f>
        <v/>
      </c>
      <c r="AJ10" s="234">
        <v>0</v>
      </c>
      <c r="AK10" s="162" t="str">
        <f>IF('17F GRP'!G5&gt;=3,'17F GRP'!J398,IF('17F GRP'!G5=2,"",IF('17F GRP'!G5=1,"","")))</f>
        <v/>
      </c>
      <c r="AL10" s="11">
        <v>30</v>
      </c>
      <c r="AP10" s="13">
        <f>IF(AR10&lt;&gt;"",1+COUNTIF(AP8:AP9,"1")+COUNTIF(AP8:AP9,"2"),"")</f>
        <v>3</v>
      </c>
      <c r="AQ10" s="14" t="str">
        <f t="shared" si="1"/>
        <v>LUGAR</v>
      </c>
      <c r="AR10" s="21" t="str">
        <f>IF(AR8&lt;&gt;"",IF(O35=AR8,O37,IF(O37=AR8,O35,IF(Y35=AR8,Y37,IF(Y37=AR8,Y35)))),"")</f>
        <v>AMANDA DE ALBUQUERQUE RIBEIRO</v>
      </c>
      <c r="AS10" s="15" t="str">
        <f>IFERROR(IF(AR10="","",VLOOKUP(AR10,LISTAS!$F$5:$G$1004,2,0)),"0")</f>
        <v>COLÉGIO ENGENHEIRO SALVADOR ARENA</v>
      </c>
      <c r="AT10" s="15">
        <f t="shared" si="0"/>
        <v>300</v>
      </c>
      <c r="AU10" s="15">
        <f t="shared" si="2"/>
        <v>300</v>
      </c>
    </row>
    <row r="11" spans="2:49" ht="18" customHeight="1" thickBot="1" x14ac:dyDescent="0.3">
      <c r="B11" s="16"/>
      <c r="C11" s="165" t="str">
        <f>IF($C10="","",VLOOKUP($C10,LISTAS!$F$5:$G$964,2,0))</f>
        <v/>
      </c>
      <c r="D11" s="235"/>
      <c r="E11" s="128"/>
      <c r="F11" s="51"/>
      <c r="G11" s="176"/>
      <c r="H11" s="11"/>
      <c r="I11" s="11"/>
      <c r="J11" s="11"/>
      <c r="K11" s="166"/>
      <c r="L11" s="11"/>
      <c r="M11" s="12"/>
      <c r="N11" s="12"/>
      <c r="O11" s="180"/>
      <c r="P11" s="12"/>
      <c r="Q11" s="8"/>
      <c r="R11" s="182"/>
      <c r="S11" s="8"/>
      <c r="T11" s="8"/>
      <c r="U11" s="8"/>
      <c r="V11" s="182"/>
      <c r="W11" s="8"/>
      <c r="X11" s="62"/>
      <c r="Y11" s="182"/>
      <c r="Z11" s="8"/>
      <c r="AA11" s="8"/>
      <c r="AB11" s="11"/>
      <c r="AC11" s="182"/>
      <c r="AD11" s="8"/>
      <c r="AE11" s="8"/>
      <c r="AF11" s="8"/>
      <c r="AG11" s="181"/>
      <c r="AH11" s="78"/>
      <c r="AI11" s="123"/>
      <c r="AJ11" s="235"/>
      <c r="AK11" s="165" t="str">
        <f>IFERROR(IF(AK10="","",VLOOKUP(AK10,LISTAS!$F$5:$G$1004,2,0)),"0")</f>
        <v/>
      </c>
      <c r="AL11" s="11"/>
      <c r="AP11" s="13">
        <f>IF(AR11&lt;&gt;"",1+COUNTIF(AP8:AP10,"1")+COUNTIF(AP8:AP10,"2")+COUNTIF(AP8:AP10,"3"),"")</f>
        <v>4</v>
      </c>
      <c r="AQ11" s="14" t="str">
        <f t="shared" si="1"/>
        <v>LUGAR</v>
      </c>
      <c r="AR11" s="21" t="str">
        <f>IF(AR9&lt;&gt;"",IF(O35=AR9,O37,IF(O37=AR9,O35,IF(Y35=AR9,Y37,IF(Y37=AR9,Y35)))),"")</f>
        <v>LARISSA REGINI GRIZANTE</v>
      </c>
      <c r="AS11" s="15" t="str">
        <f>IFERROR(IF(AR11="","",VLOOKUP(AR11,LISTAS!$F$5:$G$1004,2,0)),"0")</f>
        <v>COLÉGIO ARBOS SÃO CAETANO DO SUL</v>
      </c>
      <c r="AT11" s="15">
        <f t="shared" si="0"/>
        <v>280</v>
      </c>
      <c r="AU11" s="15">
        <f t="shared" si="2"/>
        <v>280</v>
      </c>
    </row>
    <row r="12" spans="2:49" ht="18" customHeight="1" x14ac:dyDescent="0.25">
      <c r="B12" s="16"/>
      <c r="C12" s="166"/>
      <c r="D12" s="11"/>
      <c r="E12" s="11"/>
      <c r="F12" s="17"/>
      <c r="G12" s="162" t="str">
        <f>IF(D8&lt;&gt;"",IF(D10&lt;&gt;"",IF(D8=D10,"",IF(D8&gt;D10,C8,C10)),""),"")</f>
        <v>AMANDA DE ALBUQUERQUE RIBEIRO</v>
      </c>
      <c r="H12" s="234">
        <v>2</v>
      </c>
      <c r="I12" s="51">
        <f>IF(H12&lt;&gt;"",H12,"")</f>
        <v>2</v>
      </c>
      <c r="J12" s="51" t="str">
        <f>IF(H12&lt;&gt;"",IF(G12="","",G12),"")</f>
        <v>AMANDA DE ALBUQUERQUE RIBEIRO</v>
      </c>
      <c r="K12" s="176">
        <f>IF(I12&lt;&gt;"",IF(I14&lt;&gt;"",SMALL(I12:J14,1),""),"")</f>
        <v>0</v>
      </c>
      <c r="L12" s="11"/>
      <c r="M12" s="11"/>
      <c r="N12" s="11"/>
      <c r="O12" s="166"/>
      <c r="P12" s="11"/>
      <c r="Q12" s="8"/>
      <c r="R12" s="182"/>
      <c r="S12" s="8"/>
      <c r="T12" s="8"/>
      <c r="U12" s="8"/>
      <c r="V12" s="182"/>
      <c r="W12" s="8"/>
      <c r="X12" s="62"/>
      <c r="Y12" s="182"/>
      <c r="Z12" s="8"/>
      <c r="AA12" s="8"/>
      <c r="AB12" s="11"/>
      <c r="AC12" s="182"/>
      <c r="AD12" s="8"/>
      <c r="AE12" s="67"/>
      <c r="AF12" s="234">
        <v>2</v>
      </c>
      <c r="AG12" s="162" t="str">
        <f>IF(AJ8&lt;&gt;"",IF(AJ10&lt;&gt;"",IF(AJ8=AJ10,"",IF(AJ8&gt;AJ10,AK8,AK10)),""),"")</f>
        <v>JULIA MIKI OTIAI</v>
      </c>
      <c r="AH12" s="65"/>
      <c r="AI12" s="8"/>
      <c r="AJ12" s="11"/>
      <c r="AK12" s="166"/>
      <c r="AL12" s="11"/>
      <c r="AP12" s="13">
        <f>IF(AR12&lt;&gt;"",1+COUNTIF(AP8:AP11,"1")+COUNTIF(AP8:AP11,"2")+COUNTIF(AP8:AP11,"3")+COUNTIF(AP8:AP11,"4"),"")</f>
        <v>5</v>
      </c>
      <c r="AQ12" s="14" t="str">
        <f t="shared" si="1"/>
        <v>LUGAR</v>
      </c>
      <c r="AR12" s="21" t="str">
        <f>IF(AR8&lt;&gt;"",IF(K20=AR8,K22,IF(K22=AR8,K20,IF(K50=AR8,K52,IF(K52=AR8,K50,IF(AC20=AR8,AC22,IF(AC22=AR8,AC20,IF(AC50=AR8,AC52,IF(AC52=AR8,AC50)))))))),"")</f>
        <v>ERINA KIKUCHI</v>
      </c>
      <c r="AS12" s="15" t="str">
        <f>IFERROR(IF(AR12="","",VLOOKUP(AR12,LISTAS!$F$5:$G$1004,2,0)),"0")</f>
        <v>LICEU JARDIM</v>
      </c>
      <c r="AT12" s="15">
        <f t="shared" si="0"/>
        <v>270</v>
      </c>
      <c r="AU12" s="15">
        <f t="shared" si="2"/>
        <v>270</v>
      </c>
    </row>
    <row r="13" spans="2:49" ht="18" customHeight="1" thickBot="1" x14ac:dyDescent="0.3">
      <c r="B13" s="16"/>
      <c r="C13" s="166"/>
      <c r="D13" s="11"/>
      <c r="E13" s="11"/>
      <c r="F13" s="17"/>
      <c r="G13" s="165" t="str">
        <f>IFERROR(IF(G12="","",VLOOKUP(G12,LISTAS!$F$5:$G$1004,2,0)),"0")</f>
        <v>COLÉGIO ENGENHEIRO SALVADOR ARENA</v>
      </c>
      <c r="H13" s="235"/>
      <c r="I13" s="51"/>
      <c r="J13" s="51"/>
      <c r="K13" s="176"/>
      <c r="L13" s="11"/>
      <c r="M13" s="11"/>
      <c r="N13" s="11"/>
      <c r="O13" s="166"/>
      <c r="P13" s="11"/>
      <c r="Q13" s="8"/>
      <c r="R13" s="182"/>
      <c r="S13" s="8"/>
      <c r="T13" s="8"/>
      <c r="U13" s="8"/>
      <c r="V13" s="182"/>
      <c r="W13" s="8"/>
      <c r="X13" s="62"/>
      <c r="Y13" s="182"/>
      <c r="Z13" s="8"/>
      <c r="AA13" s="8"/>
      <c r="AB13" s="11"/>
      <c r="AC13" s="182"/>
      <c r="AD13" s="8"/>
      <c r="AE13" s="67"/>
      <c r="AF13" s="235"/>
      <c r="AG13" s="165" t="str">
        <f>IFERROR(IF(AG12="","",VLOOKUP(AG12,LISTAS!$F$5:$G$1004,2,0)),"0")</f>
        <v>COLÉGIO ENGENHEIRO SALVADOR ARENA</v>
      </c>
      <c r="AH13" s="65"/>
      <c r="AI13" s="8"/>
      <c r="AJ13" s="11"/>
      <c r="AK13" s="166"/>
      <c r="AL13" s="11"/>
      <c r="AP13" s="13" t="str">
        <f>IF(AR13&lt;&gt;"",1+COUNTIF(AP8:AP12,"1")+COUNTIF(AP8:AP12,"2")+COUNTIF(AP8:AP12,"3")+COUNTIF(AP8:AP12,"4")+COUNTIF(AP8:AP12,"5"),"")</f>
        <v/>
      </c>
      <c r="AQ13" s="14" t="str">
        <f t="shared" si="1"/>
        <v/>
      </c>
      <c r="AR13" s="21" t="str">
        <f>IF(AR9&lt;&gt;"",IF(K20=AR9,K22,IF(K22=AR9,K20,IF(K50=AR9,K52,IF(K52=AR9,K50,IF(AC20=AR9,AC22,IF(AC22=AR9,AC20,IF(AC50=AR9,AC52,IF(AC52=AR9,AC50)))))))),"")</f>
        <v/>
      </c>
      <c r="AS13" s="15" t="str">
        <f>IFERROR(IF(AR13="","",VLOOKUP(AR13,LISTAS!$F$5:$G$1004,2,0)),"0")</f>
        <v/>
      </c>
      <c r="AT13" s="15" t="str">
        <f t="shared" si="0"/>
        <v/>
      </c>
      <c r="AU13" s="15" t="str">
        <f t="shared" si="2"/>
        <v/>
      </c>
    </row>
    <row r="14" spans="2:49" ht="18" customHeight="1" x14ac:dyDescent="0.25">
      <c r="B14" s="16"/>
      <c r="C14" s="166"/>
      <c r="D14" s="11"/>
      <c r="E14" s="18"/>
      <c r="F14" s="19"/>
      <c r="G14" s="162" t="str">
        <f>IF(D16&lt;&gt;"",IF(D18&lt;&gt;"",IF(D16=D18,"",IF(D16&gt;D18,C16,C18)),""),"")</f>
        <v/>
      </c>
      <c r="H14" s="234">
        <v>0</v>
      </c>
      <c r="I14" s="52">
        <f>IF(H14&lt;&gt;"",H14,"")</f>
        <v>0</v>
      </c>
      <c r="J14" s="51" t="str">
        <f>IF(H14&lt;&gt;"",IF(G14="","",G14),"")</f>
        <v/>
      </c>
      <c r="K14" s="176" t="str">
        <f>VLOOKUP(K12,I12:J14,2,0)</f>
        <v/>
      </c>
      <c r="L14" s="11"/>
      <c r="M14" s="11"/>
      <c r="N14" s="11"/>
      <c r="O14" s="166"/>
      <c r="P14" s="11"/>
      <c r="Q14" s="8"/>
      <c r="R14" s="182"/>
      <c r="S14" s="8"/>
      <c r="T14" s="8"/>
      <c r="U14" s="8"/>
      <c r="V14" s="182"/>
      <c r="W14" s="8"/>
      <c r="X14" s="62"/>
      <c r="Y14" s="182"/>
      <c r="Z14" s="8"/>
      <c r="AA14" s="8"/>
      <c r="AB14" s="11"/>
      <c r="AC14" s="182"/>
      <c r="AD14" s="65"/>
      <c r="AE14" s="68"/>
      <c r="AF14" s="234">
        <v>0</v>
      </c>
      <c r="AG14" s="162" t="str">
        <f>IF(AJ16&lt;&gt;"",IF(AJ18&lt;&gt;"",IF(AJ16=AJ18,"",IF(AJ16&gt;AJ18,AK16,AK18)),""),"")</f>
        <v/>
      </c>
      <c r="AH14" s="66"/>
      <c r="AI14" s="8"/>
      <c r="AJ14" s="11"/>
      <c r="AK14" s="166"/>
      <c r="AL14" s="11"/>
      <c r="AP14" s="13" t="str">
        <f>IF(AR14&lt;&gt;"",1+COUNTIF(AP8:AP13,"1")+COUNTIF(AP8:AP13,"2")+COUNTIF(AP8:AP13,"3")+COUNTIF(AP8:AP13,"4")+COUNTIF(AP8:AP13,"5")+COUNTIF(AP8:AP13,"6"),"")</f>
        <v/>
      </c>
      <c r="AQ14" s="14" t="str">
        <f t="shared" si="1"/>
        <v/>
      </c>
      <c r="AR14" s="21" t="str">
        <f>IF(AR10&lt;&gt;"",IF(K20=AR10,K22,IF(K22=AR10,K20,IF(K50=AR10,K52,IF(K52=AR10,K50,IF(AC20=AR10,AC22,IF(AC22=AR10,AC20,IF(AC50=AR10,AC52,IF(AC52=AR10,AC50)))))))),"")</f>
        <v/>
      </c>
      <c r="AS14" s="15" t="str">
        <f>IFERROR(IF(AR14="","",VLOOKUP(AR14,LISTAS!$F$5:$G$1004,2,0)),"0")</f>
        <v/>
      </c>
      <c r="AT14" s="15" t="str">
        <f t="shared" si="0"/>
        <v/>
      </c>
      <c r="AU14" s="15" t="str">
        <f t="shared" si="2"/>
        <v/>
      </c>
    </row>
    <row r="15" spans="2:49" ht="18" customHeight="1" thickBot="1" x14ac:dyDescent="0.3">
      <c r="B15" s="16"/>
      <c r="C15" s="166"/>
      <c r="D15" s="11"/>
      <c r="E15" s="18"/>
      <c r="F15" s="11"/>
      <c r="G15" s="165" t="str">
        <f>IFERROR(IF(G14="","",VLOOKUP(G14,LISTAS!$F$5:$G$1004,2,0)),"0")</f>
        <v/>
      </c>
      <c r="H15" s="235"/>
      <c r="I15" s="54"/>
      <c r="J15" s="51"/>
      <c r="K15" s="176"/>
      <c r="L15" s="11"/>
      <c r="M15" s="11"/>
      <c r="N15" s="11"/>
      <c r="O15" s="166"/>
      <c r="P15" s="11"/>
      <c r="Q15" s="8"/>
      <c r="R15" s="182"/>
      <c r="S15" s="8"/>
      <c r="T15" s="8"/>
      <c r="U15" s="8"/>
      <c r="V15" s="182"/>
      <c r="W15" s="8"/>
      <c r="X15" s="62"/>
      <c r="Y15" s="182"/>
      <c r="Z15" s="8"/>
      <c r="AA15" s="8"/>
      <c r="AB15" s="11"/>
      <c r="AC15" s="182"/>
      <c r="AD15" s="65"/>
      <c r="AE15" s="8"/>
      <c r="AF15" s="235"/>
      <c r="AG15" s="165" t="str">
        <f>IFERROR(IF(AG14="","",VLOOKUP(AG14,LISTAS!$F$5:$G$1004,2,0)),"0")</f>
        <v/>
      </c>
      <c r="AH15" s="8"/>
      <c r="AI15" s="69"/>
      <c r="AJ15" s="11"/>
      <c r="AK15" s="166"/>
      <c r="AL15" s="11"/>
      <c r="AP15" s="13" t="str">
        <f>IF(AR15&lt;&gt;"",1+COUNTIF(AP8:AP14,"1")+COUNTIF(AP8:AP14,"2")+COUNTIF(AP8:AP14,"3")+COUNTIF(AP8:AP14,"4")+COUNTIF(AP8:AP14,"5")+COUNTIF(AP8:AP14,"6")+COUNTIF(AP8:AP14,"7"),"")</f>
        <v/>
      </c>
      <c r="AQ15" s="14" t="str">
        <f t="shared" si="1"/>
        <v/>
      </c>
      <c r="AR15" s="21" t="str">
        <f>IF(AR11&lt;&gt;"",IF(K20=AR11,K22,IF(K22=AR11,K20,IF(K50=AR11,K52,IF(K52=AR11,K50,IF(AC20=AR11,AC22,IF(AC22=AR11,AC20,IF(AC50=AR11,AC52,IF(AC52=AR11,AC50)))))))),"")</f>
        <v/>
      </c>
      <c r="AS15" s="15" t="str">
        <f>IFERROR(IF(AR15="","",VLOOKUP(AR15,LISTAS!$F$5:$G$1004,2,0)),"0")</f>
        <v/>
      </c>
      <c r="AT15" s="15" t="str">
        <f t="shared" si="0"/>
        <v/>
      </c>
      <c r="AU15" s="15" t="str">
        <f t="shared" si="2"/>
        <v/>
      </c>
    </row>
    <row r="16" spans="2:49" ht="18" customHeight="1" x14ac:dyDescent="0.25">
      <c r="B16" s="16">
        <v>17</v>
      </c>
      <c r="C16" s="162" t="str">
        <f>IF('17F GRP'!G5&gt;=3,'17F GRP'!J229,IF('17F GRP'!G5=2,"",IF('17F GRP'!G5=1,"","")))</f>
        <v/>
      </c>
      <c r="D16" s="234">
        <v>0</v>
      </c>
      <c r="E16" s="56">
        <f>IF(D16&lt;&gt;"",D16,"")</f>
        <v>0</v>
      </c>
      <c r="F16" s="51" t="str">
        <f>IF(D16&lt;&gt;"",IF(C16="","",C16),"")</f>
        <v/>
      </c>
      <c r="G16" s="176">
        <f>IF(E16&lt;&gt;"",IF(E18&lt;&gt;"",SMALL(E16:E18,1),""),"")</f>
        <v>0</v>
      </c>
      <c r="H16" s="11"/>
      <c r="I16" s="18"/>
      <c r="J16" s="11"/>
      <c r="K16" s="166"/>
      <c r="L16" s="11"/>
      <c r="M16" s="11"/>
      <c r="N16" s="11"/>
      <c r="O16" s="166"/>
      <c r="P16" s="11"/>
      <c r="Q16" s="8"/>
      <c r="R16" s="182"/>
      <c r="S16" s="8"/>
      <c r="T16" s="8"/>
      <c r="U16" s="8"/>
      <c r="V16" s="182"/>
      <c r="W16" s="8"/>
      <c r="X16" s="62"/>
      <c r="Y16" s="182"/>
      <c r="Z16" s="8"/>
      <c r="AA16" s="8"/>
      <c r="AB16" s="11"/>
      <c r="AC16" s="182"/>
      <c r="AD16" s="65"/>
      <c r="AE16" s="8"/>
      <c r="AF16" s="8"/>
      <c r="AG16" s="181">
        <f>IF(AJ16&lt;&gt;"",AJ16,"")</f>
        <v>0</v>
      </c>
      <c r="AH16" s="78" t="str">
        <f>IF(AJ16&lt;&gt;"",IF(AK16="","",AK16),"")</f>
        <v/>
      </c>
      <c r="AI16" s="53">
        <f>IF(AG16&lt;&gt;"",IF(AG18&lt;&gt;"",SMALL(AG16:AG18,1),""),"")</f>
        <v>0</v>
      </c>
      <c r="AJ16" s="234">
        <v>0</v>
      </c>
      <c r="AK16" s="162" t="str">
        <f>IF('17F GRP'!G5&gt;=3,'17F GRP'!J190,IF('17F GRP'!G5=2,"",IF('17F GRP'!G5=1,"","")))</f>
        <v/>
      </c>
      <c r="AL16" s="11">
        <v>14</v>
      </c>
      <c r="AP16" s="13" t="str">
        <f>IF(AR16&lt;&gt;"",1+COUNTIF(AP8:AP15,"1")+COUNTIF(AP8:AP15,"2")+COUNTIF(AP8:AP15,"3")+COUNTIF(AP8:AP15,"4")+COUNTIF(AP8:AP15,"5")+COUNTIF(AP8:AP15,"6")+COUNTIF(AP8:AP15,"7")+COUNTIF(AP8:AP15,"8"),"")</f>
        <v/>
      </c>
      <c r="AQ16" s="14" t="str">
        <f t="shared" si="1"/>
        <v/>
      </c>
      <c r="AR16" s="21" t="str">
        <f>IF(AR8&lt;&gt;"",IF(G12=AR8,G14,IF(G14=AR8,G12,IF(G28=AR8,G30,IF(G30=AR8,G28,IF(AG12=AR8,AG14,IF(AG14=AR8,AG12,IF(AG28=AR8,AG30,IF(AG30=AR8,AG28,IF(G42=AR8,G44,IF(G44=AR8,G42,IF(G58=AR8,G60,IF(G60=AR8,G58,IF(AG42=AR8,AG44,IF(AG44=AR8,AG42,IF(AG58=AR8,AG60,IF(AG60=AR8,AG58)))))))))))))))),"")</f>
        <v/>
      </c>
      <c r="AS16" s="15" t="str">
        <f>IFERROR(IF(AR16="","",VLOOKUP(AR16,LISTAS!$F$5:$G$1004,2,0)),"0")</f>
        <v/>
      </c>
      <c r="AT16" s="15" t="str">
        <f t="shared" si="0"/>
        <v/>
      </c>
      <c r="AU16" s="15" t="str">
        <f t="shared" si="2"/>
        <v/>
      </c>
    </row>
    <row r="17" spans="2:47" ht="18" customHeight="1" thickBot="1" x14ac:dyDescent="0.3">
      <c r="B17" s="16"/>
      <c r="C17" s="165" t="str">
        <f>IFERROR(IF(C16="","",VLOOKUP(C16,LISTAS!$F$5:$G$1004,2,0)),"0")</f>
        <v/>
      </c>
      <c r="D17" s="235"/>
      <c r="E17" s="57"/>
      <c r="F17" s="51"/>
      <c r="G17" s="176"/>
      <c r="H17" s="11"/>
      <c r="I17" s="18"/>
      <c r="J17" s="11"/>
      <c r="K17" s="166"/>
      <c r="L17" s="11"/>
      <c r="M17" s="11"/>
      <c r="N17" s="11"/>
      <c r="O17" s="166"/>
      <c r="P17" s="11"/>
      <c r="Q17" s="8"/>
      <c r="R17" s="182"/>
      <c r="S17" s="8"/>
      <c r="T17" s="8"/>
      <c r="U17" s="8"/>
      <c r="V17" s="182"/>
      <c r="W17" s="8"/>
      <c r="X17" s="62"/>
      <c r="Y17" s="182"/>
      <c r="Z17" s="8"/>
      <c r="AA17" s="8"/>
      <c r="AB17" s="11"/>
      <c r="AC17" s="182"/>
      <c r="AD17" s="65"/>
      <c r="AE17" s="8"/>
      <c r="AF17" s="8"/>
      <c r="AG17" s="181"/>
      <c r="AH17" s="78"/>
      <c r="AI17" s="124"/>
      <c r="AJ17" s="235"/>
      <c r="AK17" s="165" t="str">
        <f>IFERROR(IF(AK16="","",VLOOKUP(AK16,LISTAS!$F$5:$G$1004,2,0)),"0")</f>
        <v/>
      </c>
      <c r="AL17" s="11"/>
      <c r="AP17" s="13" t="str">
        <f>IF(AR17&lt;&gt;"",1+COUNTIF(AP8:AP16,"1")+COUNTIF(AP8:AP16,"2")+COUNTIF(AP8:AP16,"3")+COUNTIF(AP8:AP16,"4")+COUNTIF(AP8:AP16,"5")+COUNTIF(AP8:AP16,"6")+COUNTIF(AP8:AP16,"7")+COUNTIF(AP8:AP16,"8")+COUNTIF(AP8:AP16,"9"),"")</f>
        <v/>
      </c>
      <c r="AQ17" s="14" t="str">
        <f t="shared" si="1"/>
        <v/>
      </c>
      <c r="AR17" s="21" t="str">
        <f>IF(AR9&lt;&gt;"",IF(G12=AR9,G14,IF(G14=AR9,G12,IF(G28=AR9,G30,IF(G30=AR9,G28,IF(AG12=AR9,AG14,IF(AG14=AR9,AG12,IF(AG28=AR9,AG30,IF(AG30=AR9,AG28,IF(G42=AR9,G44,IF(G44=AR9,G42,IF(G58=AR9,G60,IF(G60=AR9,G58,IF(AG42=AR9,AG44,IF(AG44=AR9,AG42,IF(AG58=AR9,AG60,IF(AG60=AR9,AG58)))))))))))))))),"")</f>
        <v/>
      </c>
      <c r="AS17" s="15" t="str">
        <f>IFERROR(IF(AR17="","",VLOOKUP(AR17,LISTAS!$F$5:$G$1004,2,0)),"0")</f>
        <v/>
      </c>
      <c r="AT17" s="15" t="str">
        <f t="shared" si="0"/>
        <v/>
      </c>
      <c r="AU17" s="15" t="str">
        <f t="shared" si="2"/>
        <v/>
      </c>
    </row>
    <row r="18" spans="2:47" ht="18" customHeight="1" x14ac:dyDescent="0.25">
      <c r="B18" s="16">
        <v>16</v>
      </c>
      <c r="C18" s="162" t="str">
        <f>IF('17F GRP'!G5&gt;=3,'17F GRP'!J216,IF('17F GRP'!G5=2,"",IF('17F GRP'!G5=1,"","")))</f>
        <v/>
      </c>
      <c r="D18" s="234">
        <v>0</v>
      </c>
      <c r="E18" s="57">
        <f>IF(D18&lt;&gt;"",D18,"")</f>
        <v>0</v>
      </c>
      <c r="F18" s="51" t="str">
        <f>IF(D18&lt;&gt;"",IF(C18="","",C18),"")</f>
        <v/>
      </c>
      <c r="G18" s="176" t="str">
        <f>VLOOKUP(G16,E16:F18,2,0)</f>
        <v/>
      </c>
      <c r="H18" s="11"/>
      <c r="I18" s="18"/>
      <c r="J18" s="11"/>
      <c r="K18" s="166"/>
      <c r="L18" s="11"/>
      <c r="M18" s="11"/>
      <c r="N18" s="11"/>
      <c r="O18" s="166"/>
      <c r="P18" s="11"/>
      <c r="Q18" s="8"/>
      <c r="R18" s="182"/>
      <c r="S18" s="8"/>
      <c r="T18" s="8"/>
      <c r="U18" s="8"/>
      <c r="V18" s="182"/>
      <c r="W18" s="8"/>
      <c r="X18" s="62"/>
      <c r="Y18" s="182"/>
      <c r="Z18" s="8"/>
      <c r="AA18" s="8"/>
      <c r="AB18" s="11"/>
      <c r="AC18" s="182"/>
      <c r="AD18" s="65"/>
      <c r="AE18" s="8"/>
      <c r="AF18" s="8"/>
      <c r="AG18" s="181">
        <f>IF(AJ18&lt;&gt;"",AJ18,"")</f>
        <v>0</v>
      </c>
      <c r="AH18" s="78" t="str">
        <f>IF(AJ18&lt;&gt;"",IF(AK18="","",AK18),"")</f>
        <v/>
      </c>
      <c r="AI18" s="76" t="str">
        <f>VLOOKUP(AI16,AG16:AH18,2,0)</f>
        <v/>
      </c>
      <c r="AJ18" s="234">
        <v>0</v>
      </c>
      <c r="AK18" s="162" t="str">
        <f>IF('17F GRP'!G5&gt;=3,'17F GRP'!J255,IF('17F GRP'!G5=2,"",IF('17F GRP'!G5=1,"","")))</f>
        <v/>
      </c>
      <c r="AL18" s="11">
        <v>19</v>
      </c>
      <c r="AP18" s="13" t="str">
        <f>IF(AR18&lt;&gt;"",1+COUNTIF(AP8:AP17,"1")+COUNTIF(AP8:AP17,"2")+COUNTIF(AP8:AP17,"3")+COUNTIF(AP8:AP17,"4")+COUNTIF(AP8:AP17,"5")+COUNTIF(AP8:AP17,"6")+COUNTIF(AP8:AP17,"7")+COUNTIF(AP8:AP17,"8")+COUNTIF(AP8:AP17,"9")+COUNTIF(AP8:AP17,"10"),"")</f>
        <v/>
      </c>
      <c r="AQ18" s="14" t="str">
        <f t="shared" si="1"/>
        <v/>
      </c>
      <c r="AR18" s="21" t="str">
        <f>IF(AR10&lt;&gt;"",IF(G12=AR10,G14,IF(G14=AR10,G12,IF(G28=AR10,G30,IF(G30=AR10,G28,IF(AG12=AR10,AG14,IF(AG14=AR10,AG12,IF(AG28=AR10,AG30,IF(AG30=AR10,AG28,IF(G42=AR10,G44,IF(G44=AR10,G42,IF(G58=AR10,G60,IF(G60=AR10,G58,IF(AG42=AR10,AG44,IF(AG44=AR10,AG42,IF(AG58=AR10,AG60,IF(AG60=AR10,AG58)))))))))))))))),"")</f>
        <v/>
      </c>
      <c r="AS18" s="15" t="str">
        <f>IFERROR(IF(AR18="","",VLOOKUP(AR18,LISTAS!$F$5:$G$1004,2,0)),"0")</f>
        <v/>
      </c>
      <c r="AT18" s="15" t="str">
        <f t="shared" si="0"/>
        <v/>
      </c>
      <c r="AU18" s="15" t="str">
        <f t="shared" si="2"/>
        <v/>
      </c>
    </row>
    <row r="19" spans="2:47" ht="18" customHeight="1" thickBot="1" x14ac:dyDescent="0.3">
      <c r="B19" s="16"/>
      <c r="C19" s="165" t="str">
        <f>IFERROR(IF(C18="","",VLOOKUP(C18,LISTAS!$F$5:$G$1004,2,0)),"0")</f>
        <v/>
      </c>
      <c r="D19" s="235"/>
      <c r="E19" s="51"/>
      <c r="F19" s="51"/>
      <c r="G19" s="176"/>
      <c r="H19" s="11"/>
      <c r="I19" s="18"/>
      <c r="J19" s="11"/>
      <c r="K19" s="166"/>
      <c r="L19" s="11"/>
      <c r="M19" s="11"/>
      <c r="N19" s="11"/>
      <c r="O19" s="166"/>
      <c r="P19" s="11"/>
      <c r="Q19" s="8"/>
      <c r="R19" s="182"/>
      <c r="S19" s="8"/>
      <c r="T19" s="8"/>
      <c r="U19" s="8"/>
      <c r="V19" s="182"/>
      <c r="W19" s="8"/>
      <c r="X19" s="62"/>
      <c r="Y19" s="182"/>
      <c r="Z19" s="8"/>
      <c r="AA19" s="8"/>
      <c r="AB19" s="11"/>
      <c r="AC19" s="182"/>
      <c r="AD19" s="65"/>
      <c r="AE19" s="8"/>
      <c r="AF19" s="8"/>
      <c r="AG19" s="181"/>
      <c r="AH19" s="78"/>
      <c r="AI19" s="51"/>
      <c r="AJ19" s="235"/>
      <c r="AK19" s="165" t="str">
        <f>IFERROR(IF(AK18="","",VLOOKUP(AK18,LISTAS!$F$5:$G$1004,2,0)),"0")</f>
        <v/>
      </c>
      <c r="AL19" s="11"/>
      <c r="AP19" s="13" t="str">
        <f>IF(AR19&lt;&gt;"",1+COUNTIF(AP8:AP18,"1")+COUNTIF(AP8:AP18,"2")+COUNTIF(AP8:AP18,"3")+COUNTIF(AP8:AP18,"4")+COUNTIF(AP8:AP18,"5")+COUNTIF(AP8:AP18,"6")+COUNTIF(AP8:AP18,"7")+COUNTIF(AP8:AP18,"8")+COUNTIF(AP8:AP18,"9")+COUNTIF(AP8:AP18,"10")+COUNTIF(AP8:AP18,"11"),"")</f>
        <v/>
      </c>
      <c r="AQ19" s="14" t="str">
        <f t="shared" si="1"/>
        <v/>
      </c>
      <c r="AR19" s="21" t="str">
        <f>IF(AR11&lt;&gt;"",IF(G12=AR11,G14,IF(G14=AR11,G12,IF(G28=AR11,G30,IF(G30=AR11,G28,IF(AG12=AR11,AG14,IF(AG14=AR11,AG12,IF(AG28=AR11,AG30,IF(AG30=AR11,AG28,IF(G42=AR11,G44,IF(G44=AR11,G42,IF(G58=AR11,G60,IF(G60=AR11,G58,IF(AG42=AR11,AG44,IF(AG44=AR11,AG42,IF(AG58=AR11,AG60,IF(AG60=AR11,AG58)))))))))))))))),"")</f>
        <v/>
      </c>
      <c r="AS19" s="15" t="str">
        <f>IFERROR(IF(AR19="","",VLOOKUP(AR19,LISTAS!$F$5:$G$1004,2,0)),"0")</f>
        <v/>
      </c>
      <c r="AT19" s="15" t="str">
        <f t="shared" si="0"/>
        <v/>
      </c>
      <c r="AU19" s="15" t="str">
        <f t="shared" si="2"/>
        <v/>
      </c>
    </row>
    <row r="20" spans="2:47" ht="18" customHeight="1" x14ac:dyDescent="0.25">
      <c r="B20" s="16"/>
      <c r="C20" s="166"/>
      <c r="D20" s="11"/>
      <c r="E20" s="51"/>
      <c r="F20" s="51"/>
      <c r="G20" s="176"/>
      <c r="H20" s="11"/>
      <c r="I20" s="18"/>
      <c r="J20" s="11"/>
      <c r="K20" s="162" t="str">
        <f>IF(H12&lt;&gt;"",IF(H14&lt;&gt;"",IF(H12=H14,"",IF(H12&gt;H14,G12,G14)),""),"")</f>
        <v>AMANDA DE ALBUQUERQUE RIBEIRO</v>
      </c>
      <c r="L20" s="234">
        <v>2</v>
      </c>
      <c r="M20" s="51">
        <f>IF(L20&lt;&gt;"",L20,"")</f>
        <v>2</v>
      </c>
      <c r="N20" s="51" t="str">
        <f>IF(L20&lt;&gt;"",IF(K20="","",K20),"")</f>
        <v>AMANDA DE ALBUQUERQUE RIBEIRO</v>
      </c>
      <c r="O20" s="176">
        <f>IF(M20&lt;&gt;"",IF(M22&lt;&gt;"",SMALL(M20:N22,1),""),"")</f>
        <v>0</v>
      </c>
      <c r="P20" s="11"/>
      <c r="Q20" s="8"/>
      <c r="R20" s="202"/>
      <c r="S20" s="202"/>
      <c r="T20" s="202" t="s">
        <v>21</v>
      </c>
      <c r="U20" s="202"/>
      <c r="V20" s="202"/>
      <c r="W20" s="8"/>
      <c r="X20" s="62"/>
      <c r="Y20" s="182"/>
      <c r="Z20" s="8"/>
      <c r="AA20" s="8"/>
      <c r="AB20" s="234">
        <v>2</v>
      </c>
      <c r="AC20" s="162" t="str">
        <f>IF(AF12&lt;&gt;"",IF(AF14&lt;&gt;"",IF(AF12=AF14,"",IF(AF12&gt;AF14,AG12,AG14)),""),"")</f>
        <v>JULIA MIKI OTIAI</v>
      </c>
      <c r="AD20" s="112"/>
      <c r="AE20" s="8"/>
      <c r="AF20" s="8"/>
      <c r="AG20" s="182"/>
      <c r="AH20" s="8"/>
      <c r="AI20" s="8"/>
      <c r="AJ20" s="11"/>
      <c r="AK20" s="166"/>
      <c r="AL20" s="11"/>
      <c r="AM20" s="23"/>
      <c r="AN20" s="23"/>
      <c r="AO20" s="23"/>
      <c r="AP20" s="13" t="str">
        <f>IF(AR20&lt;&gt;"",1+COUNTIF(AP8:AP19,"1")+COUNTIF(AP8:AP19,"2")+COUNTIF(AP8:AP19,"3")+COUNTIF(AP8:AP19,"4")+COUNTIF(AP8:AP19,"5")+COUNTIF(AP8:AP19,"6")+COUNTIF(AP8:AP19,"7")+COUNTIF(AP8:AP19,"8")+COUNTIF(AP8:AP19,"9")+COUNTIF(AP8:AP19,"10")+COUNTIF(AP8:AP19,"11")+COUNTIF(AP8:AP19,"12"),"")</f>
        <v/>
      </c>
      <c r="AQ20" s="14" t="str">
        <f t="shared" si="1"/>
        <v/>
      </c>
      <c r="AR20" s="21" t="str">
        <f>IF(AR12&lt;&gt;"",IF(G12=AR12,G14,IF(G14=AR12,G12,IF(G28=AR12,G30,IF(G30=AR12,G28,IF(AG12=AR12,AG14,IF(AG14=AR12,AG12,IF(AG28=AR12,AG30,IF(AG30=AR12,AG28,IF(G42=AR12,G44,IF(G44=AR12,G42,IF(G58=AR12,G60,IF(G60=AR12,G58,IF(AG42=AR12,AG44,IF(AG44=AR12,AG42,IF(AG58=AR12,AG60,IF(AG60=AR12,AG58)))))))))))))))),"")</f>
        <v/>
      </c>
      <c r="AS20" s="15" t="str">
        <f>IFERROR(IF(AR20="","",VLOOKUP(AR20,LISTAS!$F$5:$G$1004,2,0)),"0")</f>
        <v/>
      </c>
      <c r="AT20" s="15" t="str">
        <f t="shared" si="0"/>
        <v/>
      </c>
      <c r="AU20" s="15" t="str">
        <f t="shared" si="2"/>
        <v/>
      </c>
    </row>
    <row r="21" spans="2:47" ht="18" customHeight="1" thickBot="1" x14ac:dyDescent="0.3">
      <c r="B21" s="16"/>
      <c r="C21" s="166"/>
      <c r="D21" s="11"/>
      <c r="E21" s="11"/>
      <c r="F21" s="11"/>
      <c r="G21" s="166"/>
      <c r="H21" s="11"/>
      <c r="I21" s="18"/>
      <c r="J21" s="11"/>
      <c r="K21" s="165" t="str">
        <f>IFERROR(IF(K20="","",VLOOKUP(K20,LISTAS!$F$5:$G$1004,2,0)),"0")</f>
        <v>COLÉGIO ENGENHEIRO SALVADOR ARENA</v>
      </c>
      <c r="L21" s="235"/>
      <c r="M21" s="51"/>
      <c r="N21" s="51"/>
      <c r="O21" s="176"/>
      <c r="P21" s="11"/>
      <c r="Q21" s="8"/>
      <c r="R21" s="202"/>
      <c r="S21" s="202"/>
      <c r="T21" s="202" t="s">
        <v>33</v>
      </c>
      <c r="U21" s="202"/>
      <c r="V21" s="202"/>
      <c r="W21" s="8"/>
      <c r="X21" s="62"/>
      <c r="Y21" s="182"/>
      <c r="Z21" s="8"/>
      <c r="AA21" s="8"/>
      <c r="AB21" s="235"/>
      <c r="AC21" s="165" t="str">
        <f>IFERROR(IF(AC20="","",VLOOKUP(AC20,LISTAS!$F$5:$G$1004,2,0)),"0")</f>
        <v>COLÉGIO ENGENHEIRO SALVADOR ARENA</v>
      </c>
      <c r="AD21" s="8"/>
      <c r="AE21" s="69"/>
      <c r="AF21" s="8"/>
      <c r="AG21" s="182"/>
      <c r="AH21" s="8"/>
      <c r="AI21" s="8"/>
      <c r="AJ21" s="11"/>
      <c r="AK21" s="166"/>
      <c r="AL21" s="11"/>
      <c r="AM21" s="23"/>
      <c r="AN21" s="23"/>
      <c r="AO21" s="23"/>
      <c r="AP21" s="13" t="str">
        <f>IF(AR21&lt;&gt;"",1+COUNTIF(AP8:AP20,"1")+COUNTIF(AP8:AP20,"2")+COUNTIF(AP8:AP20,"3")+COUNTIF(AP8:AP20,"4")+COUNTIF(AP8:AP20,"5")+COUNTIF(AP8:AP20,"6")+COUNTIF(AP8:AP20,"7")+COUNTIF(AP8:AP20,"8")+COUNTIF(AP8:AP20,"9")+COUNTIF(AP8:AP20,"10")+COUNTIF(AP8:AP20,"11")+COUNTIF(AP8:AP20,"12")+COUNTIF(AP8:AP20,"13"),"")</f>
        <v/>
      </c>
      <c r="AQ21" s="14" t="str">
        <f t="shared" si="1"/>
        <v/>
      </c>
      <c r="AR21" s="21" t="str">
        <f>IF(AR13&lt;&gt;"",IF(G12=AR13,G14,IF(G14=AR13,G12,IF(G28=AR13,G30,IF(G30=AR13,G28,IF(AG12=AR13,AG14,IF(AG14=AR13,AG12,IF(AG28=AR13,AG30,IF(AG30=AR13,AG28,IF(G42=AR13,G44,IF(G44=AR13,G42,IF(G58=AR13,G60,IF(G60=AR13,G58,IF(AG42=AR13,AG44,IF(AG44=AR13,AG42,IF(AG58=AR13,AG60,IF(AG60=AR13,AG58)))))))))))))))),"")</f>
        <v/>
      </c>
      <c r="AS21" s="15" t="str">
        <f>IFERROR(IF(AR21="","",VLOOKUP(AR21,LISTAS!$F$5:$G$1004,2,0)),"0")</f>
        <v/>
      </c>
      <c r="AT21" s="15" t="str">
        <f t="shared" si="0"/>
        <v/>
      </c>
      <c r="AU21" s="15" t="str">
        <f t="shared" si="2"/>
        <v/>
      </c>
    </row>
    <row r="22" spans="2:47" ht="18" customHeight="1" x14ac:dyDescent="0.25">
      <c r="B22" s="16"/>
      <c r="C22" s="166"/>
      <c r="D22" s="11"/>
      <c r="E22" s="11"/>
      <c r="F22" s="11"/>
      <c r="G22" s="166"/>
      <c r="H22" s="11"/>
      <c r="I22" s="18"/>
      <c r="J22" s="19"/>
      <c r="K22" s="162" t="str">
        <f>IF(H28&lt;&gt;"",IF(H30&lt;&gt;"",IF(H28=H30,"",IF(H28&gt;H30,G28,G30)),""),"")</f>
        <v/>
      </c>
      <c r="L22" s="234">
        <v>0</v>
      </c>
      <c r="M22" s="52">
        <f>IF(L22&lt;&gt;"",L22,"")</f>
        <v>0</v>
      </c>
      <c r="N22" s="51" t="str">
        <f>IF(L22&lt;&gt;"",IF(K22="","",K22),"")</f>
        <v/>
      </c>
      <c r="O22" s="176" t="str">
        <f>VLOOKUP(O20,M20:N22,2,0)</f>
        <v/>
      </c>
      <c r="P22" s="11"/>
      <c r="Q22" s="8"/>
      <c r="R22" s="182"/>
      <c r="S22" s="8"/>
      <c r="T22" s="8"/>
      <c r="U22" s="8"/>
      <c r="V22" s="182"/>
      <c r="W22" s="8"/>
      <c r="X22" s="62"/>
      <c r="Y22" s="182"/>
      <c r="Z22" s="65"/>
      <c r="AA22" s="68"/>
      <c r="AB22" s="234">
        <v>0</v>
      </c>
      <c r="AC22" s="162" t="str">
        <f>IF(AF28&lt;&gt;"",IF(AF30&lt;&gt;"",IF(AF28=AF30,"",IF(AF28&gt;AF30,AG28,AG30)),""),"")</f>
        <v/>
      </c>
      <c r="AD22" s="8"/>
      <c r="AE22" s="69"/>
      <c r="AF22" s="8"/>
      <c r="AG22" s="182"/>
      <c r="AH22" s="8"/>
      <c r="AI22" s="8"/>
      <c r="AJ22" s="11"/>
      <c r="AK22" s="166"/>
      <c r="AL22" s="11"/>
      <c r="AP22" s="13" t="str">
        <f>IF(AR22&lt;&gt;"",1+COUNTIF(AP8:AP21,"1")+COUNTIF(AP8:AP21,"2")+COUNTIF(AP8:AP21,"3")+COUNTIF(AP8:AP21,"4")+COUNTIF(AP8:AP21,"5")+COUNTIF(AP8:AP21,"6")+COUNTIF(AP8:AP21,"7")+COUNTIF(AP8:AP21,"8")+COUNTIF(AP8:AP21,"9")+COUNTIF(AP8:AP21,"10")+COUNTIF(AP8:AP21,"11")+COUNTIF(AP8:AP21,"12")+COUNTIF(AP8:AP21,"13")+COUNTIF(AP8:AP21,"14"),"")</f>
        <v/>
      </c>
      <c r="AQ22" s="14" t="str">
        <f t="shared" si="1"/>
        <v/>
      </c>
      <c r="AR22" s="21" t="str">
        <f>IF(AR14&lt;&gt;"",IF(G12=AR14,G14,IF(G14=AR14,G12,IF(G28=AR14,G30,IF(G30=AR14,G28,IF(AG12=AR14,AG14,IF(AG14=AR14,AG12,IF(AG28=AR14,AG30,IF(AG30=AR14,AG28,IF(G42=AR14,G44,IF(G44=AR14,G42,IF(G58=AR14,G60,IF(G60=AR14,G58,IF(AG42=AR14,AG44,IF(AG44=AR14,AG42,IF(AG58=AR14,AG60,IF(AG60=AR14,AG58)))))))))))))))),"")</f>
        <v/>
      </c>
      <c r="AS22" s="15" t="str">
        <f>IFERROR(IF(AR22="","",VLOOKUP(AR22,LISTAS!$F$5:$G$1004,2,0)),"0")</f>
        <v/>
      </c>
      <c r="AT22" s="15" t="str">
        <f t="shared" si="0"/>
        <v/>
      </c>
      <c r="AU22" s="15" t="str">
        <f t="shared" si="2"/>
        <v/>
      </c>
    </row>
    <row r="23" spans="2:47" ht="18" customHeight="1" thickBot="1" x14ac:dyDescent="0.3">
      <c r="B23" s="16"/>
      <c r="C23" s="166"/>
      <c r="D23" s="11"/>
      <c r="E23" s="11"/>
      <c r="F23" s="11"/>
      <c r="G23" s="166"/>
      <c r="H23" s="11"/>
      <c r="I23" s="18"/>
      <c r="J23" s="11"/>
      <c r="K23" s="165" t="str">
        <f>IFERROR(IF(K22="","",VLOOKUP(K22,LISTAS!$F$5:$G$1004,2,0)),"0")</f>
        <v/>
      </c>
      <c r="L23" s="235"/>
      <c r="M23" s="54"/>
      <c r="N23" s="51"/>
      <c r="O23" s="176"/>
      <c r="P23" s="11"/>
      <c r="Q23" s="8"/>
      <c r="R23" s="182"/>
      <c r="S23" s="8"/>
      <c r="T23" s="8"/>
      <c r="U23" s="8"/>
      <c r="V23" s="182"/>
      <c r="W23" s="8"/>
      <c r="X23" s="62"/>
      <c r="Y23" s="182"/>
      <c r="Z23" s="65"/>
      <c r="AA23" s="8"/>
      <c r="AB23" s="235"/>
      <c r="AC23" s="165" t="str">
        <f>IFERROR(IF(AC22="","",VLOOKUP(AC22,LISTAS!$F$5:$G$1004,2,0)),"0")</f>
        <v/>
      </c>
      <c r="AD23" s="8"/>
      <c r="AE23" s="69"/>
      <c r="AF23" s="8"/>
      <c r="AG23" s="182"/>
      <c r="AH23" s="8"/>
      <c r="AI23" s="8"/>
      <c r="AJ23" s="11"/>
      <c r="AK23" s="166"/>
      <c r="AL23" s="11"/>
      <c r="AP23" s="13" t="str">
        <f>IF(AR23&lt;&gt;"",1+COUNTIF(AP8:AP22,"1")+COUNTIF(AP8:AP22,"2")+COUNTIF(AP8:AP22,"3")+COUNTIF(AP8:AP22,"4")+COUNTIF(AP8:AP22,"5")+COUNTIF(AP8:AP22,"6")+COUNTIF(AP8:AP22,"7")+COUNTIF(AP8:AP22,"8")+COUNTIF(AP8:AP22,"9")+COUNTIF(AP8:AP22,"10")+COUNTIF(AP8:AP22,"11")+COUNTIF(AP8:AP22,"12")+COUNTIF(AP8:AP22,"13")+COUNTIF(AP8:AP22,"14")+COUNTIF(AP8:AP22,"15"),"")</f>
        <v/>
      </c>
      <c r="AQ23" s="14" t="str">
        <f t="shared" si="1"/>
        <v/>
      </c>
      <c r="AR23" s="21" t="str">
        <f>IF(AR15&lt;&gt;"",IF(G12=AR15,G14,IF(G14=AR15,G12,IF(G28=AR15,G30,IF(G30=AR15,G28,IF(AG12=AR15,AG14,IF(AG14=AR15,AG12,IF(AG28=AR15,AG30,IF(AG30=AR15,AG28,IF(G42=AR15,G44,IF(G44=AR15,G42,IF(G58=AR15,G60,IF(G60=AR15,G58,IF(AG42=AR15,AG44,IF(AG44=AR15,AG42,IF(AG58=AR15,AG60,IF(AG60=AR15,AG58)))))))))))))))),"")</f>
        <v/>
      </c>
      <c r="AS23" s="15" t="str">
        <f>IFERROR(IF(AR23="","",VLOOKUP(AR23,LISTAS!$F$5:$G$1004,2,0)),"0")</f>
        <v/>
      </c>
      <c r="AT23" s="15" t="str">
        <f t="shared" si="0"/>
        <v/>
      </c>
      <c r="AU23" s="15" t="str">
        <f t="shared" si="2"/>
        <v/>
      </c>
    </row>
    <row r="24" spans="2:47" ht="18" customHeight="1" x14ac:dyDescent="0.25">
      <c r="B24" s="16">
        <v>9</v>
      </c>
      <c r="C24" s="162" t="str">
        <f>IF('17F GRP'!G5&gt;=3,'17F GRP'!J125,IF('17F GRP'!G5=2,"",IF('17F GRP'!G5=1,"","")))</f>
        <v/>
      </c>
      <c r="D24" s="234">
        <v>0</v>
      </c>
      <c r="E24" s="51">
        <f>IF(D24&lt;&gt;"",D24,"")</f>
        <v>0</v>
      </c>
      <c r="F24" s="51" t="str">
        <f>IF(D24&lt;&gt;"",IF(C24="","",C24),"")</f>
        <v/>
      </c>
      <c r="G24" s="176">
        <f>IF(E24&lt;&gt;"",IF(E26&lt;&gt;"",SMALL(E24:E26,1),""),"")</f>
        <v>0</v>
      </c>
      <c r="H24" s="11"/>
      <c r="I24" s="18"/>
      <c r="J24" s="11"/>
      <c r="K24" s="166"/>
      <c r="L24" s="11"/>
      <c r="M24" s="54"/>
      <c r="N24" s="51"/>
      <c r="O24" s="176"/>
      <c r="P24" s="11"/>
      <c r="Q24" s="8"/>
      <c r="R24" s="182"/>
      <c r="S24" s="8"/>
      <c r="T24" s="8"/>
      <c r="U24" s="8"/>
      <c r="V24" s="182"/>
      <c r="W24" s="8"/>
      <c r="X24" s="62"/>
      <c r="Y24" s="182"/>
      <c r="Z24" s="65"/>
      <c r="AA24" s="8"/>
      <c r="AB24" s="11"/>
      <c r="AC24" s="182"/>
      <c r="AD24" s="8"/>
      <c r="AE24" s="69"/>
      <c r="AF24" s="8"/>
      <c r="AG24" s="181">
        <f>IF(AJ24&lt;&gt;"",AJ24,"")</f>
        <v>0</v>
      </c>
      <c r="AH24" s="78" t="str">
        <f>IF(AJ24&lt;&gt;"",IF(AK24="","",AK24),"")</f>
        <v/>
      </c>
      <c r="AI24" s="51">
        <f>IF(AG24&lt;&gt;"",IF(AG26&lt;&gt;"",SMALL(AG24:AG26,1),""),"")</f>
        <v>0</v>
      </c>
      <c r="AJ24" s="234">
        <v>0</v>
      </c>
      <c r="AK24" s="162" t="str">
        <f>IF('17F GRP'!G5&gt;=3,'17F GRP'!J294,IF('17F GRP'!G5=2,"",IF('17F GRP'!G5=1,"","")))</f>
        <v/>
      </c>
      <c r="AL24" s="11">
        <v>22</v>
      </c>
      <c r="AP24" s="13" t="str">
        <f>IF(AR24&lt;&gt;"",1+COUNTIF(AP8:AP23,"1")+COUNTIF(AP8:AP23,"2")+COUNTIF(AP8:AP23,"3")+COUNTIF(AP8:AP23,"4")+COUNTIF(AP8:AP23,"5")+COUNTIF(AP8:AP23,"6")+COUNTIF(AP8:AP23,"7")+COUNTIF(AP8:AP23,"8")+COUNTIF(AP8:AP23,"9")+COUNTIF(AP8:AP23,"10")+COUNTIF(AP8:AP23,"11")+COUNTIF(AP8:AP23,"12")+COUNTIF(AP8:AP23,"13")+COUNTIF(AP8:AP23,"14")+COUNTIF(AP8:AP23,"15")+COUNTIF(AP8:AP23,"16"),"")</f>
        <v/>
      </c>
      <c r="AQ24" s="14" t="str">
        <f t="shared" si="1"/>
        <v/>
      </c>
      <c r="AR24" s="21" t="str">
        <f>IF(AR8&lt;&gt;"",IF(C8=AR8,G10,IF(C10=AR8,G10,IF(C16=AR8,G18,IF(C18=AR8,G18,IF(C38=AR8,G40,IF(C40=AR8,G40,IF(C46=AR8,G48,IF(C48=AR8,G48,IF(C24=AR8,G26,IF(C26=AR8,G26,IF(C32=AR8,G34,IF(C34=AR8,G34,IF(C54=AR8,G56,IF(C56=AR8,G56,IF(C62=AR8,G64,IF(C64=AR8,G64,IF(AK8=AR8,AI10,IF(AK10=AR8,AI10,IF(AK16=AR8,AI18,IF(AK18=AR8,AI18,IF(AK38=AR8,AI40,IF(AK40=AR8,AI40,IF(AK46=AR8,AI48,IF(AK48=AR8,AI48,IF(AK24=AR8,AI26,IF(AK26=AR8,AI26,IF(AK32=AR8,AI34,IF(AK34=AR8,AI34,IF(AK54=AR8,AI56,IF(AK56=AR8,AI56,IF(AK62=AR8,AI64,IF(AK64=AR8,AI64)))))))))))))))))))))))))))))))),"")</f>
        <v/>
      </c>
      <c r="AS24" s="15" t="str">
        <f>IFERROR(IF(AR24="","",VLOOKUP(AR24,LISTAS!$F$5:$G$1004,2,0)),"0")</f>
        <v/>
      </c>
      <c r="AT24" s="15" t="str">
        <f t="shared" si="0"/>
        <v/>
      </c>
      <c r="AU24" s="15" t="str">
        <f t="shared" si="2"/>
        <v/>
      </c>
    </row>
    <row r="25" spans="2:47" ht="18" customHeight="1" thickBot="1" x14ac:dyDescent="0.3">
      <c r="B25" s="16"/>
      <c r="C25" s="165" t="str">
        <f>IFERROR(IF(C24="","",VLOOKUP(C24,LISTAS!$F$5:$G$1004,2,0)),"0")</f>
        <v/>
      </c>
      <c r="D25" s="235"/>
      <c r="E25" s="51"/>
      <c r="F25" s="51"/>
      <c r="G25" s="176"/>
      <c r="H25" s="11"/>
      <c r="I25" s="18"/>
      <c r="J25" s="11"/>
      <c r="K25" s="166"/>
      <c r="L25" s="11"/>
      <c r="M25" s="18"/>
      <c r="N25" s="11"/>
      <c r="O25" s="166"/>
      <c r="P25" s="11"/>
      <c r="Q25" s="8"/>
      <c r="R25" s="182"/>
      <c r="S25" s="8"/>
      <c r="T25" s="8"/>
      <c r="U25" s="8"/>
      <c r="V25" s="182"/>
      <c r="W25" s="8"/>
      <c r="X25" s="62"/>
      <c r="Y25" s="182"/>
      <c r="Z25" s="65"/>
      <c r="AA25" s="8"/>
      <c r="AB25" s="11"/>
      <c r="AC25" s="182"/>
      <c r="AD25" s="8"/>
      <c r="AE25" s="69"/>
      <c r="AF25" s="8"/>
      <c r="AG25" s="181"/>
      <c r="AH25" s="78"/>
      <c r="AI25" s="51"/>
      <c r="AJ25" s="235"/>
      <c r="AK25" s="165" t="str">
        <f>IFERROR(IF(AK24="","",VLOOKUP(AK24,LISTAS!$F$5:$G$1004,2,0)),"0")</f>
        <v/>
      </c>
      <c r="AL25" s="11"/>
      <c r="AP25" s="13" t="str">
        <f>IF(AR25&lt;&gt;"",1+COUNTIF(AP8:AP24,"1")+COUNTIF(AP8:AP24,"2")+COUNTIF(AP8:AP24,"3")+COUNTIF(AP8:AP24,"4")+COUNTIF(AP8:AP24,"5")+COUNTIF(AP8:AP24,"6")+COUNTIF(AP8:AP24,"7")+COUNTIF(AP8:AP24,"8")+COUNTIF(AP8:AP24,"9")+COUNTIF(AP8:AP24,"10")+COUNTIF(AP8:AP24,"11")+COUNTIF(AP8:AP24,"12")+COUNTIF(AP8:AP24,"13")+COUNTIF(AP8:AP24,"14")+COUNTIF(AP8:AP24,"15")+COUNTIF(AP8:AP24,"16")+COUNTIF(AP8:AP24,"17"),"")</f>
        <v/>
      </c>
      <c r="AQ25" s="14" t="str">
        <f t="shared" si="1"/>
        <v/>
      </c>
      <c r="AR25" s="21" t="str">
        <f>IF(AR9&lt;&gt;"",IF(C8=AR9,G10,IF(C10=AR9,G10,IF(C16=AR9,G18,IF(C18=AR9,G18,IF(C38=AR9,G40,IF(C40=AR9,G40,IF(C46=AR9,G48,IF(C48=AR9,G48,IF(C24=AR9,G26,IF(C26=AR9,G26,IF(C32=AR9,G34,IF(C34=AR9,G34,IF(C54=AR9,G56,IF(C56=AR9,G56,IF(C62=AR9,G64,IF(C64=AR9,G64,IF(AK8=AR9,AI10,IF(AK10=AR9,AI10,IF(AK16=AR9,AI18,IF(AK18=AR9,AI18,IF(AK38=AR9,AI40,IF(AK40=AR9,AI40,IF(AK46=AR9,AI48,IF(AK48=AR9,AI48,IF(AK24=AR9,AI26,IF(AK26=AR9,AI26,IF(AK32=AR9,AI34,IF(AK34=AR9,AI34,IF(AK54=AR9,AI56,IF(AK56=AR9,AI56,IF(AK62=AR9,AI64,IF(AK64=AR9,AI64)))))))))))))))))))))))))))))))),"")</f>
        <v/>
      </c>
      <c r="AS25" s="15" t="str">
        <f>IFERROR(IF(AR25="","",VLOOKUP(AR25,LISTAS!$F$5:$G$1004,2,0)),"0")</f>
        <v/>
      </c>
      <c r="AT25" s="15" t="str">
        <f t="shared" si="0"/>
        <v/>
      </c>
      <c r="AU25" s="15" t="str">
        <f t="shared" si="2"/>
        <v/>
      </c>
    </row>
    <row r="26" spans="2:47" ht="18" customHeight="1" x14ac:dyDescent="0.25">
      <c r="B26" s="16">
        <v>24</v>
      </c>
      <c r="C26" s="162" t="str">
        <f>IF('17F GRP'!G5&gt;=3,'17F GRP'!J320,IF('17F GRP'!G5=2,"",IF('17F GRP'!G5=1,"","")))</f>
        <v/>
      </c>
      <c r="D26" s="234">
        <v>0</v>
      </c>
      <c r="E26" s="52">
        <f>IF(D26&lt;&gt;"",D26,"")</f>
        <v>0</v>
      </c>
      <c r="F26" s="51" t="str">
        <f>IF(D26&lt;&gt;"",IF(C26="","",C26),"")</f>
        <v/>
      </c>
      <c r="G26" s="176" t="str">
        <f>VLOOKUP(G24,E24:F26,2,0)</f>
        <v/>
      </c>
      <c r="H26" s="11"/>
      <c r="I26" s="18"/>
      <c r="J26" s="11"/>
      <c r="K26" s="166"/>
      <c r="L26" s="11"/>
      <c r="M26" s="18"/>
      <c r="N26" s="11"/>
      <c r="O26" s="166"/>
      <c r="P26" s="11"/>
      <c r="Q26" s="8"/>
      <c r="R26" s="182"/>
      <c r="S26" s="8"/>
      <c r="T26" s="8"/>
      <c r="U26" s="8"/>
      <c r="V26" s="182"/>
      <c r="W26" s="8"/>
      <c r="X26" s="62"/>
      <c r="Y26" s="182"/>
      <c r="Z26" s="65"/>
      <c r="AA26" s="8"/>
      <c r="AB26" s="11"/>
      <c r="AC26" s="182"/>
      <c r="AD26" s="8"/>
      <c r="AE26" s="69"/>
      <c r="AF26" s="8"/>
      <c r="AG26" s="181">
        <f>IF(AJ26&lt;&gt;"",AJ26,"")</f>
        <v>0</v>
      </c>
      <c r="AH26" s="78" t="str">
        <f>IF(AJ26&lt;&gt;"",IF(AK26="","",AK26),"")</f>
        <v/>
      </c>
      <c r="AI26" s="55" t="str">
        <f>VLOOKUP(AI24,AG24:AH26,2,0)</f>
        <v/>
      </c>
      <c r="AJ26" s="234">
        <v>0</v>
      </c>
      <c r="AK26" s="162" t="str">
        <f>IF('17F GRP'!G5&gt;=3,'17F GRP'!J151,IF('17F GRP'!G5=2,"",IF('17F GRP'!G5=1,"","")))</f>
        <v/>
      </c>
      <c r="AL26" s="11">
        <v>11</v>
      </c>
      <c r="AM26" s="23"/>
      <c r="AN26" s="23"/>
      <c r="AO26" s="23"/>
      <c r="AP26" s="13" t="str">
        <f>IF(AR26&lt;&gt;"",1+COUNTIF(AP8:AP25,"1")+COUNTIF(AP8:AP25,"2")+COUNTIF(AP8:AP25,"3")+COUNTIF(AP8:AP25,"4")+COUNTIF(AP8:AP25,"5")+COUNTIF(AP8:AP25,"6")+COUNTIF(AP8:AP25,"7")+COUNTIF(AP8:AP25,"8")+COUNTIF(AP8:AP25,"9")+COUNTIF(AP8:AP25,"10")+COUNTIF(AP8:AP25,"11")+COUNTIF(AP8:AP25,"12")+COUNTIF(AP8:AP25,"13")+COUNTIF(AP8:AP25,"14")+COUNTIF(AP8:AP25,"15")+COUNTIF(AP8:AP25,"16")+COUNTIF(AP8:AP25,"17")+COUNTIF(AP8:AP25,"18"),"")</f>
        <v/>
      </c>
      <c r="AQ26" s="14" t="str">
        <f t="shared" si="1"/>
        <v/>
      </c>
      <c r="AR26" s="21" t="str">
        <f>IF(AR10&lt;&gt;"",IF(C8=AR10,G10,IF(C10=AR10,G10,IF(C16=AR10,G18,IF(C18=AR10,G18,IF(C38=AR10,G40,IF(C40=AR10,G40,IF(C46=AR10,G48,IF(C48=AR10,G48,IF(C24=AR10,G26,IF(C26=AR10,G26,IF(C32=AR10,G34,IF(C34=AR10,G34,IF(C54=AR10,G56,IF(C56=AR10,G56,IF(C62=AR10,G64,IF(C64=AR10,G64,IF(AK8=AR10,AI10,IF(AK10=AR10,AI10,IF(AK16=AR10,AI18,IF(AK18=AR10,AI18,IF(AK38=AR10,AI40,IF(AK40=AR10,AI40,IF(AK46=AR10,AI48,IF(AK48=AR10,AI48,IF(AK24=AR10,AI26,IF(AK26=AR10,AI26,IF(AK32=AR10,AI34,IF(AK34=AR10,AI34,IF(AK54=AR10,AI56,IF(AK56=AR10,AI56,IF(AK62=AR10,AI64,IF(AK64=AR10,AI64)))))))))))))))))))))))))))))))),"")</f>
        <v/>
      </c>
      <c r="AS26" s="15" t="str">
        <f>IFERROR(IF(AR26="","",VLOOKUP(AR26,LISTAS!$F$5:$G$1004,2,0)),"0")</f>
        <v/>
      </c>
      <c r="AT26" s="15" t="str">
        <f t="shared" si="0"/>
        <v/>
      </c>
      <c r="AU26" s="15" t="str">
        <f t="shared" si="2"/>
        <v/>
      </c>
    </row>
    <row r="27" spans="2:47" ht="18" customHeight="1" thickBot="1" x14ac:dyDescent="0.3">
      <c r="B27" s="16"/>
      <c r="C27" s="165" t="str">
        <f>IFERROR(IF(C26="","",VLOOKUP(C26,LISTAS!$F$5:$G$1004,2,0)),"0")</f>
        <v/>
      </c>
      <c r="D27" s="235"/>
      <c r="E27" s="128"/>
      <c r="F27" s="51"/>
      <c r="G27" s="176"/>
      <c r="H27" s="11"/>
      <c r="I27" s="18"/>
      <c r="J27" s="11"/>
      <c r="K27" s="166"/>
      <c r="L27" s="11"/>
      <c r="M27" s="18"/>
      <c r="N27" s="11"/>
      <c r="O27" s="166"/>
      <c r="P27" s="11"/>
      <c r="Q27" s="8"/>
      <c r="R27" s="182"/>
      <c r="S27" s="8"/>
      <c r="T27" s="8"/>
      <c r="U27" s="8"/>
      <c r="V27" s="182"/>
      <c r="W27" s="8"/>
      <c r="X27" s="62"/>
      <c r="Y27" s="182"/>
      <c r="Z27" s="65"/>
      <c r="AA27" s="8"/>
      <c r="AB27" s="11"/>
      <c r="AC27" s="182"/>
      <c r="AD27" s="8"/>
      <c r="AE27" s="69"/>
      <c r="AF27" s="8"/>
      <c r="AG27" s="181"/>
      <c r="AH27" s="78"/>
      <c r="AI27" s="123"/>
      <c r="AJ27" s="235"/>
      <c r="AK27" s="165" t="str">
        <f>IFERROR(IF(AK26="","",VLOOKUP(AK26,LISTAS!$F$5:$G$1004,2,0)),"0")</f>
        <v/>
      </c>
      <c r="AL27" s="11"/>
      <c r="AP27" s="13" t="str">
        <f>IF(AR27&lt;&gt;"",1+COUNTIF(AP8:AP26,"1")+COUNTIF(AP8:AP26,"2")+COUNTIF(AP8:AP26,"3")+COUNTIF(AP8:AP26,"4")+COUNTIF(AP8:AP26,"5")+COUNTIF(AP8:AP26,"6")+COUNTIF(AP8:AP26,"7")+COUNTIF(AP8:AP26,"8")+COUNTIF(AP8:AP26,"9")+COUNTIF(AP8:AP26,"10")+COUNTIF(AP8:AP26,"11")+COUNTIF(AP8:AP26,"12")+COUNTIF(AP8:AP26,"13")+COUNTIF(AP8:AP26,"14")+COUNTIF(AP8:AP26,"15")+COUNTIF(AP8:AP26,"16")+COUNTIF(AP8:AP26,"17")+COUNTIF(AP8:AP26,"18")+COUNTIF(AP8:AP26,"19"),"")</f>
        <v/>
      </c>
      <c r="AQ27" s="14" t="str">
        <f t="shared" si="1"/>
        <v/>
      </c>
      <c r="AR27" s="21" t="str">
        <f>IF(AR11&lt;&gt;"",IF(C8=AR11,G10,IF(C10=AR11,G10,IF(C16=AR11,G18,IF(C18=AR11,G18,IF(C38=AR11,G40,IF(C40=AR11,G40,IF(C46=AR11,G48,IF(C48=AR11,G48,IF(C24=AR11,G26,IF(C26=AR11,G26,IF(C32=AR11,G34,IF(C34=AR11,G34,IF(C54=AR11,G56,IF(C56=AR11,G56,IF(C62=AR11,G64,IF(C64=AR11,G64,IF(AK8=AR11,AI10,IF(AK10=AR11,AI10,IF(AK16=AR11,AI18,IF(AK18=AR11,AI18,IF(AK38=AR11,AI40,IF(AK40=AR11,AI40,IF(AK46=AR11,AI48,IF(AK48=AR11,AI48,IF(AK24=AR11,AI26,IF(AK26=AR11,AI26,IF(AK32=AR11,AI34,IF(AK34=AR11,AI34,IF(AK54=AR11,AI56,IF(AK56=AR11,AI56,IF(AK62=AR11,AI64,IF(AK64=AR11,AI64)))))))))))))))))))))))))))))))),"")</f>
        <v/>
      </c>
      <c r="AS27" s="15" t="str">
        <f>IFERROR(IF(AR27="","",VLOOKUP(AR27,LISTAS!$F$5:$G$1004,2,0)),"0")</f>
        <v/>
      </c>
      <c r="AT27" s="15" t="str">
        <f t="shared" si="0"/>
        <v/>
      </c>
      <c r="AU27" s="15" t="str">
        <f t="shared" si="2"/>
        <v/>
      </c>
    </row>
    <row r="28" spans="2:47" ht="18" customHeight="1" x14ac:dyDescent="0.25">
      <c r="B28" s="16"/>
      <c r="C28" s="166"/>
      <c r="D28" s="11"/>
      <c r="E28" s="11"/>
      <c r="F28" s="17"/>
      <c r="G28" s="162" t="str">
        <f>IF(D24&lt;&gt;"",IF(D26&lt;&gt;"",IF(D24=D26,"",IF(D24&gt;D26,C24,C26)),""),"")</f>
        <v/>
      </c>
      <c r="H28" s="234">
        <v>0</v>
      </c>
      <c r="I28" s="56">
        <f>IF(H28&lt;&gt;"",H28,"")</f>
        <v>0</v>
      </c>
      <c r="J28" s="51" t="str">
        <f>IF(H28&lt;&gt;"",IF(G28="","",G28),"")</f>
        <v/>
      </c>
      <c r="K28" s="176">
        <f>IF(I28&lt;&gt;"",IF(I30&lt;&gt;"",SMALL(I28:J30,1),""),"")</f>
        <v>0</v>
      </c>
      <c r="L28" s="11"/>
      <c r="M28" s="18"/>
      <c r="N28" s="11"/>
      <c r="O28" s="166"/>
      <c r="P28" s="11"/>
      <c r="Q28" s="8"/>
      <c r="R28" s="182"/>
      <c r="S28" s="8"/>
      <c r="T28" s="8"/>
      <c r="U28" s="8"/>
      <c r="V28" s="182"/>
      <c r="W28" s="8"/>
      <c r="X28" s="62"/>
      <c r="Y28" s="182"/>
      <c r="Z28" s="65"/>
      <c r="AA28" s="8"/>
      <c r="AB28" s="11"/>
      <c r="AC28" s="182"/>
      <c r="AD28" s="8"/>
      <c r="AE28" s="17"/>
      <c r="AF28" s="234">
        <v>0</v>
      </c>
      <c r="AG28" s="162" t="str">
        <f>IF(AJ24&lt;&gt;"",IF(AJ26&lt;&gt;"",IF(AJ24=AJ26,"",IF(AJ24&gt;AJ26,AK24,AK26)),""),"")</f>
        <v/>
      </c>
      <c r="AH28" s="65"/>
      <c r="AI28" s="8"/>
      <c r="AJ28" s="11"/>
      <c r="AK28" s="166"/>
      <c r="AL28" s="11"/>
      <c r="AP28" s="13" t="str">
        <f>IF(AR28&lt;&gt;"",1+COUNTIF(AP8:AP27,"1")+COUNTIF(AP8:AP27,"2")+COUNTIF(AP8:AP27,"3")+COUNTIF(AP8:AP27,"4")+COUNTIF(AP8:AP27,"5")+COUNTIF(AP8:AP27,"6")+COUNTIF(AP8:AP27,"7")+COUNTIF(AP8:AP27,"8")+COUNTIF(AP8:AP27,"9")+COUNTIF(AP8:AP27,"10")+COUNTIF(AP8:AP27,"11")+COUNTIF(AP8:AP27,"12")+COUNTIF(AP8:AP27,"13")+COUNTIF(AP8:AP27,"14")+COUNTIF(AP8:AP27,"15")+COUNTIF(AP8:AP27,"16")+COUNTIF(AP8:AP27,"17")+COUNTIF(AP8:AP27,"18")+COUNTIF(AP8:AP27,"19")+COUNTIF(AP8:AP27,"20"),"")</f>
        <v/>
      </c>
      <c r="AQ28" s="14" t="str">
        <f t="shared" si="1"/>
        <v/>
      </c>
      <c r="AR28" s="21" t="str">
        <f>IF(AR12&lt;&gt;"",IF(C8=AR12,G10,IF(C10=AR12,G10,IF(C16=AR12,G18,IF(C18=AR12,G18,IF(C38=AR12,G40,IF(C40=AR12,G40,IF(C46=AR12,G48,IF(C48=AR12,G48,IF(C24=AR12,G26,IF(C26=AR12,G26,IF(C32=AR12,G34,IF(C34=AR12,G34,IF(C54=AR12,G56,IF(C56=AR12,G56,IF(C62=AR12,G64,IF(C64=AR12,G64,IF(AK8=AR12,AI10,IF(AK10=AR12,AI10,IF(AK16=AR12,AI18,IF(AK18=AR12,AI18,IF(AK38=AR12,AI40,IF(AK40=AR12,AI40,IF(AK46=AR12,AI48,IF(AK48=AR12,AI48,IF(AK24=AR12,AI26,IF(AK26=AR12,AI26,IF(AK32=AR12,AI34,IF(AK34=AR12,AI34,IF(AK54=AR12,AI56,IF(AK56=AR12,AI56,IF(AK62=AR12,AI64,IF(AK64=AR12,AI64)))))))))))))))))))))))))))))))),"")</f>
        <v/>
      </c>
      <c r="AS28" s="15" t="str">
        <f>IFERROR(IF(AR28="","",VLOOKUP(AR28,LISTAS!$F$5:$G$1004,2,0)),"0")</f>
        <v/>
      </c>
      <c r="AT28" s="15" t="str">
        <f t="shared" si="0"/>
        <v/>
      </c>
      <c r="AU28" s="15" t="str">
        <f t="shared" si="2"/>
        <v/>
      </c>
    </row>
    <row r="29" spans="2:47" ht="18" customHeight="1" thickBot="1" x14ac:dyDescent="0.3">
      <c r="B29" s="16"/>
      <c r="C29" s="166"/>
      <c r="D29" s="11"/>
      <c r="E29" s="11"/>
      <c r="F29" s="17"/>
      <c r="G29" s="165" t="str">
        <f>IFERROR(IF(G28="","",VLOOKUP(G28,LISTAS!$F$5:$G$1004,2,0)),"0")</f>
        <v/>
      </c>
      <c r="H29" s="235"/>
      <c r="I29" s="57"/>
      <c r="J29" s="51"/>
      <c r="K29" s="176"/>
      <c r="L29" s="11"/>
      <c r="M29" s="18"/>
      <c r="N29" s="11"/>
      <c r="O29" s="166"/>
      <c r="P29" s="11"/>
      <c r="Q29" s="8"/>
      <c r="R29" s="182"/>
      <c r="S29" s="8"/>
      <c r="T29" s="8"/>
      <c r="U29" s="8"/>
      <c r="V29" s="182"/>
      <c r="W29" s="8"/>
      <c r="X29" s="62"/>
      <c r="Y29" s="182"/>
      <c r="Z29" s="65"/>
      <c r="AA29" s="8"/>
      <c r="AB29" s="11"/>
      <c r="AC29" s="182"/>
      <c r="AD29" s="8"/>
      <c r="AE29" s="122"/>
      <c r="AF29" s="235"/>
      <c r="AG29" s="165" t="str">
        <f>IFERROR(IF(AG28="","",VLOOKUP(AG28,LISTAS!$F$5:$G$1004,2,0)),"0")</f>
        <v/>
      </c>
      <c r="AH29" s="65"/>
      <c r="AI29" s="8"/>
      <c r="AJ29" s="11"/>
      <c r="AK29" s="166"/>
      <c r="AL29" s="11"/>
      <c r="AP29" s="13" t="str">
        <f>IF(AR29&lt;&gt;"",1+COUNTIF(AP8:AP28,"1")+COUNTIF(AP8:AP28,"2")+COUNTIF(AP8:AP28,"3")+COUNTIF(AP8:AP28,"4")+COUNTIF(AP8:AP28,"5")+COUNTIF(AP8:AP28,"6")+COUNTIF(AP8:AP28,"7")+COUNTIF(AP8:AP28,"8")+COUNTIF(AP8:AP28,"9")+COUNTIF(AP8:AP28,"10")+COUNTIF(AP8:AP28,"11")+COUNTIF(AP8:AP28,"12")+COUNTIF(AP8:AP28,"13")+COUNTIF(AP8:AP28,"14")+COUNTIF(AP8:AP28,"15")+COUNTIF(AP8:AP28,"16")+COUNTIF(AP8:AP28,"17")+COUNTIF(AP8:AP28,"18")+COUNTIF(AP8:AP28,"19")+COUNTIF(AP8:AP28,"20")+COUNTIF(AP8:AP28,"21"),"")</f>
        <v/>
      </c>
      <c r="AQ29" s="14" t="str">
        <f t="shared" si="1"/>
        <v/>
      </c>
      <c r="AR29" s="21" t="str">
        <f>IF(AR13&lt;&gt;"",IF(C8=AR13,G10,IF(C10=AR13,G10,IF(C16=AR13,G18,IF(C18=AR13,G18,IF(C38=AR13,G40,IF(C40=AR13,G40,IF(C46=AR13,G48,IF(C48=AR13,G48,IF(C24=AR13,G26,IF(C26=AR13,G26,IF(C32=AR13,G34,IF(C34=AR13,G34,IF(C54=AR13,G56,IF(C56=AR13,G56,IF(C62=AR13,G64,IF(C64=AR13,G64,IF(AK8=AR13,AI10,IF(AK10=AR13,AI10,IF(AK16=AR13,AI18,IF(AK18=AR13,AI18,IF(AK38=AR13,AI40,IF(AK40=AR13,AI40,IF(AK46=AR13,AI48,IF(AK48=AR13,AI48,IF(AK24=AR13,AI26,IF(AK26=AR13,AI26,IF(AK32=AR13,AI34,IF(AK34=AR13,AI34,IF(AK54=AR13,AI56,IF(AK56=AR13,AI56,IF(AK62=AR13,AI64,IF(AK64=AR13,AI64)))))))))))))))))))))))))))))))),"")</f>
        <v/>
      </c>
      <c r="AS29" s="15" t="str">
        <f>IFERROR(IF(AR29="","",VLOOKUP(AR29,LISTAS!$F$5:$G$1004,2,0)),"0")</f>
        <v/>
      </c>
      <c r="AT29" s="15" t="str">
        <f t="shared" si="0"/>
        <v/>
      </c>
      <c r="AU29" s="15" t="str">
        <f t="shared" si="2"/>
        <v/>
      </c>
    </row>
    <row r="30" spans="2:47" ht="18" customHeight="1" x14ac:dyDescent="0.25">
      <c r="B30" s="16"/>
      <c r="C30" s="166"/>
      <c r="D30" s="11"/>
      <c r="E30" s="18"/>
      <c r="F30" s="19"/>
      <c r="G30" s="162" t="str">
        <f>IF(D32&lt;&gt;"",IF(D34&lt;&gt;"",IF(D32=D34,"",IF(D32&gt;D34,C32,C34)),""),"")</f>
        <v/>
      </c>
      <c r="H30" s="234">
        <v>0</v>
      </c>
      <c r="I30" s="57">
        <f>IF(H30&lt;&gt;"",H30,"")</f>
        <v>0</v>
      </c>
      <c r="J30" s="51" t="str">
        <f>IF(H30&lt;&gt;"",IF(G30="","",G30),"")</f>
        <v/>
      </c>
      <c r="K30" s="176" t="str">
        <f>VLOOKUP(K28,I28:J30,2,0)</f>
        <v/>
      </c>
      <c r="L30" s="11"/>
      <c r="M30" s="18"/>
      <c r="N30" s="11"/>
      <c r="O30" s="166"/>
      <c r="P30" s="11"/>
      <c r="Q30" s="8"/>
      <c r="R30" s="182"/>
      <c r="S30" s="8"/>
      <c r="T30" s="8"/>
      <c r="U30" s="8"/>
      <c r="V30" s="182"/>
      <c r="W30" s="8"/>
      <c r="X30" s="62"/>
      <c r="Y30" s="182"/>
      <c r="Z30" s="65"/>
      <c r="AA30" s="8"/>
      <c r="AB30" s="11"/>
      <c r="AC30" s="182"/>
      <c r="AD30" s="8"/>
      <c r="AE30" s="64"/>
      <c r="AF30" s="234">
        <v>0</v>
      </c>
      <c r="AG30" s="162" t="str">
        <f>IF(AJ32&lt;&gt;"",IF(AJ34&lt;&gt;"",IF(AJ32=AJ34,"",IF(AJ32&gt;AJ34,AK32,AK34)),""),"")</f>
        <v/>
      </c>
      <c r="AH30" s="66"/>
      <c r="AI30" s="8"/>
      <c r="AJ30" s="11"/>
      <c r="AK30" s="166"/>
      <c r="AL30" s="11"/>
      <c r="AP30" s="13" t="str">
        <f>IF(AR30&lt;&gt;"",1+COUNTIF(AP8:AP29,"1")+COUNTIF(AP8:AP29,"2")+COUNTIF(AP8:AP29,"3")+COUNTIF(AP8:AP29,"4")+COUNTIF(AP8:AP29,"5")+COUNTIF(AP8:AP29,"6")+COUNTIF(AP8:AP29,"7")+COUNTIF(AP8:AP29,"8")+COUNTIF(AP8:AP29,"9")+COUNTIF(AP8:AP29,"10")+COUNTIF(AP8:AP29,"11")+COUNTIF(AP8:AP29,"12")+COUNTIF(AP8:AP29,"13")+COUNTIF(AP8:AP29,"14")+COUNTIF(AP8:AP29,"15")+COUNTIF(AP8:AP29,"16")+COUNTIF(AP8:AP29,"17")+COUNTIF(AP8:AP29,"18")+COUNTIF(AP8:AP29,"19")+COUNTIF(AP8:AP29,"20")+COUNTIF(AP8:AP29,"21")+COUNTIF(AP8:AP29,"22"),"")</f>
        <v/>
      </c>
      <c r="AQ30" s="14" t="str">
        <f t="shared" si="1"/>
        <v/>
      </c>
      <c r="AR30" s="21" t="str">
        <f>IF(AR14&lt;&gt;"",IF(C8=AR14,G10,IF(C10=AR14,G10,IF(C16=AR14,G18,IF(C18=AR14,G18,IF(C38=AR14,G40,IF(C40=AR14,G40,IF(C46=AR14,G48,IF(C48=AR14,G48,IF(C24=AR14,G26,IF(C26=AR14,G26,IF(C32=AR14,G34,IF(C34=AR14,G34,IF(C54=AR14,G56,IF(C56=AR14,G56,IF(C62=AR14,G64,IF(C64=AR14,G64,IF(AK8=AR14,AI10,IF(AK10=AR14,AI10,IF(AK16=AR14,AI18,IF(AK18=AR14,AI18,IF(AK38=AR14,AI40,IF(AK40=AR14,AI40,IF(AK46=AR14,AI48,IF(AK48=AR14,AI48,IF(AK24=AR14,AI26,IF(AK26=AR14,AI26,IF(AK32=AR14,AI34,IF(AK34=AR14,AI34,IF(AK54=AR14,AI56,IF(AK56=AR14,AI56,IF(AK62=AR14,AI64,IF(AK64=AR14,AI64)))))))))))))))))))))))))))))))),"")</f>
        <v/>
      </c>
      <c r="AS30" s="15" t="str">
        <f>IFERROR(IF(AR30="","",VLOOKUP(AR30,LISTAS!$F$5:$G$1004,2,0)),"0")</f>
        <v/>
      </c>
      <c r="AT30" s="15" t="str">
        <f t="shared" si="0"/>
        <v/>
      </c>
      <c r="AU30" s="15" t="str">
        <f t="shared" si="2"/>
        <v/>
      </c>
    </row>
    <row r="31" spans="2:47" ht="18" customHeight="1" thickBot="1" x14ac:dyDescent="0.3">
      <c r="B31" s="16"/>
      <c r="C31" s="166"/>
      <c r="D31" s="11"/>
      <c r="E31" s="18"/>
      <c r="F31" s="11"/>
      <c r="G31" s="165" t="str">
        <f>IFERROR(IF(G30="","",VLOOKUP(G30,LISTAS!$F$5:$G$1004,2,0)),"0")</f>
        <v/>
      </c>
      <c r="H31" s="235"/>
      <c r="I31" s="51"/>
      <c r="J31" s="51"/>
      <c r="K31" s="176"/>
      <c r="L31" s="11"/>
      <c r="M31" s="18"/>
      <c r="N31" s="11"/>
      <c r="O31" s="166"/>
      <c r="P31" s="11"/>
      <c r="Q31" s="8"/>
      <c r="R31" s="182"/>
      <c r="S31" s="8"/>
      <c r="T31" s="8"/>
      <c r="U31" s="8"/>
      <c r="V31" s="182"/>
      <c r="W31" s="8"/>
      <c r="X31" s="62"/>
      <c r="Y31" s="182"/>
      <c r="Z31" s="65"/>
      <c r="AA31" s="8"/>
      <c r="AB31" s="11"/>
      <c r="AC31" s="182"/>
      <c r="AD31" s="8"/>
      <c r="AE31" s="8"/>
      <c r="AF31" s="235"/>
      <c r="AG31" s="165" t="str">
        <f>IFERROR(IF(AG30="","",VLOOKUP(AG30,LISTAS!$F$5:$G$1004,2,0)),"0")</f>
        <v/>
      </c>
      <c r="AH31" s="8"/>
      <c r="AI31" s="69"/>
      <c r="AJ31" s="11"/>
      <c r="AK31" s="166"/>
      <c r="AL31" s="11"/>
      <c r="AP31" s="13" t="str">
        <f>IF(AR31&lt;&gt;"",1+COUNTIF(AP8:AP30,"1")+COUNTIF(AP8:AP30,"2")+COUNTIF(AP8:AP30,"3")+COUNTIF(AP8:AP30,"4")+COUNTIF(AP8:AP30,"5")+COUNTIF(AP8:AP30,"6")+COUNTIF(AP8:AP30,"7")+COUNTIF(AP8:AP30,"8")+COUNTIF(AP8:AP30,"9")+COUNTIF(AP8:AP30,"10")+COUNTIF(AP8:AP30,"11")+COUNTIF(AP8:AP30,"12")+COUNTIF(AP8:AP30,"13")+COUNTIF(AP8:AP30,"14")+COUNTIF(AP8:AP30,"15")+COUNTIF(AP8:AP30,"16")+COUNTIF(AP8:AP30,"17")+COUNTIF(AP8:AP30,"18")+COUNTIF(AP8:AP30,"19")+COUNTIF(AP8:AP30,"20")+COUNTIF(AP8:AP30,"21")+COUNTIF(AP8:AP30,"22")+COUNTIF(AP8:AP30,"23"),"")</f>
        <v/>
      </c>
      <c r="AQ31" s="14" t="str">
        <f t="shared" si="1"/>
        <v/>
      </c>
      <c r="AR31" s="21" t="str">
        <f>IF(AR15&lt;&gt;"",IF(C8=AR15,G10,IF(C10=AR15,G10,IF(C16=AR15,G18,IF(C18=AR15,G18,IF(C38=AR15,G40,IF(C40=AR15,G40,IF(C46=AR15,G48,IF(C48=AR15,G48,IF(C24=AR15,G26,IF(C26=AR15,G26,IF(C32=AR15,G34,IF(C34=AR15,G34,IF(C54=AR15,G56,IF(C56=AR15,G56,IF(C62=AR15,G64,IF(C64=AR15,G64,IF(AK8=AR15,AI10,IF(AK10=AR15,AI10,IF(AK16=AR15,AI18,IF(AK18=AR15,AI18,IF(AK38=AR15,AI40,IF(AK40=AR15,AI40,IF(AK46=AR15,AI48,IF(AK48=AR15,AI48,IF(AK24=AR15,AI26,IF(AK26=AR15,AI26,IF(AK32=AR15,AI34,IF(AK34=AR15,AI34,IF(AK54=AR15,AI56,IF(AK56=AR15,AI56,IF(AK62=AR15,AI64,IF(AK64=AR15,AI64)))))))))))))))))))))))))))))))),"")</f>
        <v/>
      </c>
      <c r="AS31" s="15" t="str">
        <f>IFERROR(IF(AR31="","",VLOOKUP(AR31,LISTAS!$F$5:$G$1004,2,0)),"0")</f>
        <v/>
      </c>
      <c r="AT31" s="15" t="str">
        <f t="shared" si="0"/>
        <v/>
      </c>
      <c r="AU31" s="15" t="str">
        <f t="shared" si="2"/>
        <v/>
      </c>
    </row>
    <row r="32" spans="2:47" ht="18" customHeight="1" x14ac:dyDescent="0.25">
      <c r="B32" s="16">
        <v>25</v>
      </c>
      <c r="C32" s="162" t="str">
        <f>IF('17F GRP'!G5&gt;=3,'17F GRP'!J333,IF('17F GRP'!G5=2,"",IF('17F GRP'!G5=1,"","")))</f>
        <v/>
      </c>
      <c r="D32" s="234">
        <v>0</v>
      </c>
      <c r="E32" s="56">
        <f>IF(D32&lt;&gt;"",D32,"")</f>
        <v>0</v>
      </c>
      <c r="F32" s="51" t="str">
        <f>IF(D32&lt;&gt;"",IF(C32="","",C32),"")</f>
        <v/>
      </c>
      <c r="G32" s="176">
        <f>IF(E32&lt;&gt;"",IF(E34&lt;&gt;"",SMALL(E32:E34,1),""),"")</f>
        <v>0</v>
      </c>
      <c r="H32" s="11"/>
      <c r="I32" s="11"/>
      <c r="J32" s="11"/>
      <c r="K32" s="166"/>
      <c r="L32" s="11"/>
      <c r="M32" s="18"/>
      <c r="N32" s="11"/>
      <c r="O32" s="166"/>
      <c r="P32" s="11"/>
      <c r="Q32" s="8"/>
      <c r="R32" s="182"/>
      <c r="S32" s="8"/>
      <c r="T32" s="8"/>
      <c r="U32" s="8"/>
      <c r="V32" s="182"/>
      <c r="W32" s="8"/>
      <c r="X32" s="62"/>
      <c r="Y32" s="182"/>
      <c r="Z32" s="65"/>
      <c r="AA32" s="8"/>
      <c r="AB32" s="11"/>
      <c r="AC32" s="182"/>
      <c r="AD32" s="8"/>
      <c r="AE32" s="8"/>
      <c r="AF32" s="8"/>
      <c r="AG32" s="181">
        <f>IF(AJ32&lt;&gt;"",AJ32,"")</f>
        <v>0</v>
      </c>
      <c r="AH32" s="78" t="str">
        <f>IF(AJ32&lt;&gt;"",IF(AK32="","",AK32),"")</f>
        <v/>
      </c>
      <c r="AI32" s="53">
        <f>IF(AG32&lt;&gt;"",IF(AG34&lt;&gt;"",SMALL(AG32:AG34,1),""),"")</f>
        <v>0</v>
      </c>
      <c r="AJ32" s="234">
        <v>0</v>
      </c>
      <c r="AK32" s="162" t="str">
        <f>IF('17F GRP'!G5&gt;=3,'17F GRP'!J359,IF('17F GRP'!G5=2,"",IF('17F GRP'!G5=1,"","")))</f>
        <v/>
      </c>
      <c r="AL32" s="11">
        <v>27</v>
      </c>
      <c r="AP32" s="13" t="str">
        <f>IF(AR32&lt;&gt;"",1+COUNTIF(AP8:AP31,"1")+COUNTIF(AP8:AP31,"2")+COUNTIF(AP8:AP31,"3")+COUNTIF(AP8:AP31,"4")+COUNTIF(AP8:AP31,"5")+COUNTIF(AP8:AP31,"6")+COUNTIF(AP8:AP31,"7")+COUNTIF(AP8:AP31,"8")+COUNTIF(AP8:AP31,"9")+COUNTIF(AP8:AP31,"10")+COUNTIF(AP8:AP31,"11")+COUNTIF(AP8:AP31,"12")+COUNTIF(AP8:AP31,"13")+COUNTIF(AP8:AP31,"14")+COUNTIF(AP8:AP31,"15")+COUNTIF(AP8:AP31,"16")+COUNTIF(AP8:AP31,"17")+COUNTIF(AP8:AP31,"18")+COUNTIF(AP8:AP31,"19")+COUNTIF(AP8:AP31,"20")+COUNTIF(AP8:AP31,"21")+COUNTIF(AP8:AP31,"22")+COUNTIF(AP8:AP31,"23")+COUNTIF(AP8:AP31,"24"),"")</f>
        <v/>
      </c>
      <c r="AQ32" s="14" t="str">
        <f t="shared" si="1"/>
        <v/>
      </c>
      <c r="AR32" s="21" t="str">
        <f>IF(AR16&lt;&gt;"",IF(C8=AR16,G10,IF(C10=AR16,G10,IF(C16=AR16,G18,IF(C18=AR16,G18,IF(C38=AR16,G40,IF(C40=AR16,G40,IF(C46=AR16,G48,IF(C48=AR16,G48,IF(C24=AR16,G26,IF(C26=AR16,G26,IF(C32=AR16,G34,IF(C34=AR16,G34,IF(C54=AR16,G56,IF(C56=AR16,G56,IF(C62=AR16,G64,IF(C64=AR16,G64,IF(AK8=AR16,AI10,IF(AK10=AR16,AI10,IF(AK16=AR16,AI18,IF(AK18=AR16,AI18,IF(AK38=AR16,AI40,IF(AK40=AR16,AI40,IF(AK46=AR16,AI48,IF(AK48=AR16,AI48,IF(AK24=AR16,AI26,IF(AK26=AR16,AI26,IF(AK32=AR16,AI34,IF(AK34=AR16,AI34,IF(AK54=AR16,AI56,IF(AK56=AR16,AI56,IF(AK62=AR16,AI64,IF(AK64=AR16,AI64)))))))))))))))))))))))))))))))),"")</f>
        <v/>
      </c>
      <c r="AS32" s="15" t="str">
        <f>IFERROR(IF(AR32="","",VLOOKUP(AR32,LISTAS!$F$5:$G$1004,2,0)),"0")</f>
        <v/>
      </c>
      <c r="AT32" s="15" t="str">
        <f t="shared" si="0"/>
        <v/>
      </c>
      <c r="AU32" s="15" t="str">
        <f t="shared" si="2"/>
        <v/>
      </c>
    </row>
    <row r="33" spans="2:47" ht="18" customHeight="1" thickBot="1" x14ac:dyDescent="0.3">
      <c r="B33" s="16"/>
      <c r="C33" s="165" t="str">
        <f>IFERROR(IF(C32="","",VLOOKUP(C32,LISTAS!$F$5:$G$1004,2,0)),"0")</f>
        <v/>
      </c>
      <c r="D33" s="235"/>
      <c r="E33" s="57"/>
      <c r="F33" s="51"/>
      <c r="G33" s="176"/>
      <c r="H33" s="11"/>
      <c r="I33" s="11"/>
      <c r="J33" s="11"/>
      <c r="K33" s="166"/>
      <c r="L33" s="11"/>
      <c r="M33" s="18"/>
      <c r="N33" s="11"/>
      <c r="O33" s="166"/>
      <c r="P33" s="11"/>
      <c r="Q33" s="8"/>
      <c r="R33" s="182"/>
      <c r="S33" s="8"/>
      <c r="T33" s="8"/>
      <c r="U33" s="8"/>
      <c r="V33" s="182"/>
      <c r="W33" s="8"/>
      <c r="X33" s="62"/>
      <c r="Y33" s="182"/>
      <c r="Z33" s="65"/>
      <c r="AA33" s="8"/>
      <c r="AB33" s="11"/>
      <c r="AC33" s="182"/>
      <c r="AD33" s="8"/>
      <c r="AE33" s="8"/>
      <c r="AF33" s="8"/>
      <c r="AG33" s="181"/>
      <c r="AH33" s="78"/>
      <c r="AI33" s="124"/>
      <c r="AJ33" s="235"/>
      <c r="AK33" s="165" t="str">
        <f>IFERROR(IF(AK32="","",VLOOKUP(AK32,LISTAS!$F$5:$G$1004,2,0)),"0")</f>
        <v/>
      </c>
      <c r="AL33" s="11"/>
      <c r="AP33" s="13" t="str">
        <f>IF(AR33&lt;&gt;"",1+COUNTIF(AP8:AP32,"1")+COUNTIF(AP8:AP32,"2")+COUNTIF(AP8:AP32,"3")+COUNTIF(AP8:AP32,"4")+COUNTIF(AP8:AP32,"5")+COUNTIF(AP8:AP32,"6")+COUNTIF(AP8:AP32,"7")+COUNTIF(AP8:AP32,"8")+COUNTIF(AP8:AP32,"9")+COUNTIF(AP8:AP32,"10")+COUNTIF(AP8:AP32,"11")+COUNTIF(AP8:AP32,"12")+COUNTIF(AP8:AP32,"13")+COUNTIF(AP8:AP32,"14")+COUNTIF(AP8:AP32,"15")+COUNTIF(AP8:AP32,"16")+COUNTIF(AP8:AP32,"17")+COUNTIF(AP8:AP32,"18")+COUNTIF(AP8:AP32,"19")+COUNTIF(AP8:AP32,"20")+COUNTIF(AP8:AP32,"21")+COUNTIF(AP8:AP32,"22")+COUNTIF(AP8:AP32,"23")+COUNTIF(AP8:AP32,"24")+COUNTIF(AP8:AP32,"25"),"")</f>
        <v/>
      </c>
      <c r="AQ33" s="14" t="str">
        <f t="shared" si="1"/>
        <v/>
      </c>
      <c r="AR33" s="21" t="str">
        <f>IF(AR17&lt;&gt;"",IF(C8=AR17,G10,IF(C10=AR17,G10,IF(C16=AR17,G18,IF(C18=AR17,G18,IF(C38=AR17,G40,IF(C40=AR17,G40,IF(C46=AR17,G48,IF(C48=AR17,G48,IF(C24=AR17,G26,IF(C26=AR17,G26,IF(C32=AR17,G34,IF(C34=AR17,G34,IF(C54=AR17,G56,IF(C56=AR17,G56,IF(C62=AR17,G64,IF(C64=AR17,G64,IF(AK8=AR17,AI10,IF(AK10=AR17,AI10,IF(AK16=AR17,AI18,IF(AK18=AR17,AI18,IF(AK38=AR17,AI40,IF(AK40=AR17,AI40,IF(AK46=AR17,AI48,IF(AK48=AR17,AI48,IF(AK24=AR17,AI26,IF(AK26=AR17,AI26,IF(AK32=AR17,AI34,IF(AK34=AR17,AI34,IF(AK54=AR17,AI56,IF(AK56=AR17,AI56,IF(AK62=AR17,AI64,IF(AK64=AR17,AI64)))))))))))))))))))))))))))))))),"")</f>
        <v/>
      </c>
      <c r="AS33" s="15" t="str">
        <f>IFERROR(IF(AR33="","",VLOOKUP(AR33,LISTAS!$F$5:$G$1004,2,0)),"0")</f>
        <v/>
      </c>
      <c r="AT33" s="15" t="str">
        <f t="shared" si="0"/>
        <v/>
      </c>
      <c r="AU33" s="15" t="str">
        <f t="shared" si="2"/>
        <v/>
      </c>
    </row>
    <row r="34" spans="2:47" ht="18" customHeight="1" thickBot="1" x14ac:dyDescent="0.3">
      <c r="B34" s="16">
        <v>8</v>
      </c>
      <c r="C34" s="162" t="str">
        <f>IF('17F GRP'!G5&gt;=3,'17F GRP'!J112,IF('17F GRP'!G5=2,"",IF('17F GRP'!G5=1,"","")))</f>
        <v/>
      </c>
      <c r="D34" s="234">
        <v>0</v>
      </c>
      <c r="E34" s="57">
        <f>IF(D34&lt;&gt;"",D34,"")</f>
        <v>0</v>
      </c>
      <c r="F34" s="51" t="str">
        <f>IF(D34&lt;&gt;"",IF(C34="","",C34),"")</f>
        <v/>
      </c>
      <c r="G34" s="176" t="str">
        <f>VLOOKUP(G32,E32:F34,2,0)</f>
        <v/>
      </c>
      <c r="H34" s="11"/>
      <c r="I34" s="11"/>
      <c r="J34" s="11"/>
      <c r="K34" s="166"/>
      <c r="L34" s="11"/>
      <c r="M34" s="18"/>
      <c r="N34" s="11"/>
      <c r="O34" s="166"/>
      <c r="P34" s="11"/>
      <c r="Q34" s="8"/>
      <c r="R34" s="236" t="s">
        <v>37</v>
      </c>
      <c r="S34" s="236"/>
      <c r="T34" s="236"/>
      <c r="U34" s="236"/>
      <c r="V34" s="236"/>
      <c r="W34" s="8"/>
      <c r="X34" s="62"/>
      <c r="Y34" s="182"/>
      <c r="Z34" s="65"/>
      <c r="AA34" s="8"/>
      <c r="AB34" s="11"/>
      <c r="AC34" s="182"/>
      <c r="AD34" s="8"/>
      <c r="AE34" s="8"/>
      <c r="AF34" s="8"/>
      <c r="AG34" s="181">
        <f>IF(AJ34&lt;&gt;"",AJ34,"")</f>
        <v>0</v>
      </c>
      <c r="AH34" s="78" t="str">
        <f>IF(AJ34&lt;&gt;"",IF(AK34="","",AK34),"")</f>
        <v/>
      </c>
      <c r="AI34" s="125" t="str">
        <f>VLOOKUP(AI32,AG32:AH34,2,0)</f>
        <v/>
      </c>
      <c r="AJ34" s="234">
        <v>0</v>
      </c>
      <c r="AK34" s="162" t="str">
        <f>IF('17F GRP'!G5&gt;=3,'17F GRP'!J86,IF('17F GRP'!G5=2,"",IF('17F GRP'!G5=1,"","")))</f>
        <v/>
      </c>
      <c r="AL34" s="11">
        <v>6</v>
      </c>
      <c r="AP34" s="13" t="str">
        <f>IF(AR34&lt;&gt;"",1+COUNTIF(AP8:AP33,"1")+COUNTIF(AP8:AP33,"2")+COUNTIF(AP8:AP33,"3")+COUNTIF(AP8:AP33,"4")+COUNTIF(AP8:AP33,"5")+COUNTIF(AP8:AP33,"6")+COUNTIF(AP8:AP33,"7")+COUNTIF(AP8:AP33,"8")+COUNTIF(AP8:AP33,"9")+COUNTIF(AP8:AP33,"10")+COUNTIF(AP8:AP33,"11")+COUNTIF(AP8:AP33,"12")+COUNTIF(AP8:AP33,"13")+COUNTIF(AP8:AP33,"14")+COUNTIF(AP8:AP33,"15")+COUNTIF(AP8:AP33,"16")+COUNTIF(AP8:AP33,"17")+COUNTIF(AP8:AP33,"18")+COUNTIF(AP8:AP33,"19")+COUNTIF(AP8:AP33,"20")+COUNTIF(AP8:AP33,"21")+COUNTIF(AP8:AP33,"22")+COUNTIF(AP8:AP33,"23")+COUNTIF(AP8:AP33,"24")+COUNTIF(AP8:AP33,"25")+COUNTIF(AP8:AP33,"26"),"")</f>
        <v/>
      </c>
      <c r="AQ34" s="14" t="str">
        <f t="shared" si="1"/>
        <v/>
      </c>
      <c r="AR34" s="21" t="str">
        <f>IF(AR18&lt;&gt;"",IF(C8=AR18,G10,IF(C10=AR18,G10,IF(C16=AR18,G18,IF(C18=AR18,G18,IF(C38=AR18,G40,IF(C40=AR18,G40,IF(C46=AR18,G48,IF(C48=AR18,G48,IF(C24=AR18,G26,IF(C26=AR18,G26,IF(C32=AR18,G34,IF(C34=AR18,G34,IF(C54=AR18,G56,IF(C56=AR18,G56,IF(C62=AR18,G64,IF(C64=AR18,G64,IF(AK8=AR18,AI10,IF(AK10=AR18,AI10,IF(AK16=AR18,AI18,IF(AK18=AR18,AI18,IF(AK38=AR18,AI40,IF(AK40=AR18,AI40,IF(AK46=AR18,AI48,IF(AK48=AR18,AI48,IF(AK24=AR18,AI26,IF(AK26=AR18,AI26,IF(AK32=AR18,AI34,IF(AK34=AR18,AI34,IF(AK54=AR18,AI56,IF(AK56=AR18,AI56,IF(AK62=AR18,AI64,IF(AK64=AR18,AI64)))))))))))))))))))))))))))))))),"")</f>
        <v/>
      </c>
      <c r="AS34" s="15" t="str">
        <f>IFERROR(IF(AR34="","",VLOOKUP(AR34,LISTAS!$F$5:$G$1004,2,0)),"0")</f>
        <v/>
      </c>
      <c r="AT34" s="15" t="str">
        <f t="shared" si="0"/>
        <v/>
      </c>
      <c r="AU34" s="15" t="str">
        <f t="shared" si="2"/>
        <v/>
      </c>
    </row>
    <row r="35" spans="2:47" ht="18" customHeight="1" thickBot="1" x14ac:dyDescent="0.3">
      <c r="B35" s="16"/>
      <c r="C35" s="165" t="str">
        <f>IFERROR(IF(C34="","",VLOOKUP(C34,LISTAS!$F$5:$G$1004,2,0)),"0")</f>
        <v/>
      </c>
      <c r="D35" s="235"/>
      <c r="E35" s="51"/>
      <c r="F35" s="51"/>
      <c r="G35" s="176"/>
      <c r="H35" s="11"/>
      <c r="I35" s="11"/>
      <c r="J35" s="11"/>
      <c r="K35" s="166"/>
      <c r="L35" s="11"/>
      <c r="M35" s="18"/>
      <c r="N35" s="11"/>
      <c r="O35" s="162" t="str">
        <f>IF(L20&lt;&gt;"",IF(L22&lt;&gt;"",IF(L20=L22,"",IF(L20&gt;L22,K20,K22)),""),"")</f>
        <v>AMANDA DE ALBUQUERQUE RIBEIRO</v>
      </c>
      <c r="P35" s="234">
        <v>0</v>
      </c>
      <c r="Q35" s="8"/>
      <c r="R35" s="167"/>
      <c r="S35" s="71"/>
      <c r="T35" s="71"/>
      <c r="U35" s="71"/>
      <c r="V35" s="167"/>
      <c r="W35" s="8"/>
      <c r="X35" s="234">
        <v>1</v>
      </c>
      <c r="Y35" s="162" t="str">
        <f>IF(AB20&lt;&gt;"",IF(AB22&lt;&gt;"",IF(AB20=AB22,"",IF(AB20&gt;AB22,AC20,AC22)),""),"")</f>
        <v>JULIA MIKI OTIAI</v>
      </c>
      <c r="Z35" s="65"/>
      <c r="AA35" s="8"/>
      <c r="AB35" s="11"/>
      <c r="AC35" s="182"/>
      <c r="AD35" s="8"/>
      <c r="AE35" s="8"/>
      <c r="AF35" s="8"/>
      <c r="AG35" s="181"/>
      <c r="AH35" s="78"/>
      <c r="AI35" s="51"/>
      <c r="AJ35" s="235"/>
      <c r="AK35" s="165" t="str">
        <f>IFERROR(IF(AK34="","",VLOOKUP(AK34,LISTAS!$F$5:$G$1004,2,0)),"0")</f>
        <v/>
      </c>
      <c r="AL35" s="11"/>
      <c r="AP35" s="13" t="str">
        <f>IF(AR35&lt;&gt;"",1+COUNTIF(AP8:AP34,"1")+COUNTIF(AP8:AP34,"2")+COUNTIF(AP8:AP34,"3")+COUNTIF(AP8:AP34,"4")+COUNTIF(AP8:AP34,"5")+COUNTIF(AP8:AP34,"6")+COUNTIF(AP8:AP34,"7")+COUNTIF(AP8:AP34,"8")+COUNTIF(AP8:AP34,"9")+COUNTIF(AP8:AP34,"10")+COUNTIF(AP8:AP34,"11")+COUNTIF(AP8:AP34,"12")+COUNTIF(AP8:AP34,"13")+COUNTIF(AP8:AP34,"14")+COUNTIF(AP8:AP34,"15")+COUNTIF(AP8:AP34,"16")+COUNTIF(AP8:AP34,"17")+COUNTIF(AP8:AP34,"18")+COUNTIF(AP8:AP34,"19")+COUNTIF(AP8:AP34,"20")+COUNTIF(AP8:AP34,"21")+COUNTIF(AP8:AP34,"22")+COUNTIF(AP8:AP34,"23")+COUNTIF(AP8:AP34,"24")+COUNTIF(AP8:AP34,"25")+COUNTIF(AP8:AP34,"26")+COUNTIF(AP8:AP34,"27"),"")</f>
        <v/>
      </c>
      <c r="AQ35" s="14" t="str">
        <f t="shared" si="1"/>
        <v/>
      </c>
      <c r="AR35" s="21" t="str">
        <f>IF(AR19&lt;&gt;"",IF(C8=AR19,G10,IF(C10=AR19,G10,IF(C16=AR19,G18,IF(C18=AR19,G18,IF(C38=AR19,G40,IF(C40=AR19,G40,IF(C46=AR19,G48,IF(C48=AR19,G48,IF(C24=AR19,G26,IF(C26=AR19,G26,IF(C32=AR19,G34,IF(C34=AR19,G34,IF(C54=AR19,G56,IF(C56=AR19,G56,IF(C62=AR19,G64,IF(C64=AR19,G64,IF(AK8=AR19,AI10,IF(AK10=AR19,AI10,IF(AK16=AR19,AI18,IF(AK18=AR19,AI18,IF(AK38=AR19,AI40,IF(AK40=AR19,AI40,IF(AK46=AR19,AI48,IF(AK48=AR19,AI48,IF(AK24=AR19,AI26,IF(AK26=AR19,AI26,IF(AK32=AR19,AI34,IF(AK34=AR19,AI34,IF(AK54=AR19,AI56,IF(AK56=AR19,AI56,IF(AK62=AR19,AI64,IF(AK64=AR19,AI64)))))))))))))))))))))))))))))))),"")</f>
        <v/>
      </c>
      <c r="AS35" s="15" t="str">
        <f>IFERROR(IF(AR35="","",VLOOKUP(AR35,LISTAS!$F$5:$G$1004,2,0)),"0")</f>
        <v/>
      </c>
      <c r="AT35" s="15" t="str">
        <f t="shared" si="0"/>
        <v/>
      </c>
      <c r="AU35" s="15" t="str">
        <f t="shared" si="2"/>
        <v/>
      </c>
    </row>
    <row r="36" spans="2:47" ht="18" customHeight="1" thickBot="1" x14ac:dyDescent="0.3">
      <c r="B36" s="16"/>
      <c r="C36" s="166"/>
      <c r="D36" s="11"/>
      <c r="E36" s="11"/>
      <c r="F36" s="11"/>
      <c r="G36" s="166"/>
      <c r="H36" s="11"/>
      <c r="I36" s="11"/>
      <c r="J36" s="11"/>
      <c r="K36" s="166"/>
      <c r="L36" s="11"/>
      <c r="M36" s="18"/>
      <c r="N36" s="11"/>
      <c r="O36" s="165" t="str">
        <f>IFERROR(IF(O35="","",VLOOKUP(O35,LISTAS!$F$5:$G$1004,2,0)),"0")</f>
        <v>COLÉGIO ENGENHEIRO SALVADOR ARENA</v>
      </c>
      <c r="P36" s="235"/>
      <c r="Q36" s="8"/>
      <c r="R36" s="162" t="str">
        <f>IF(P35&lt;&gt;"",IF(P37&lt;&gt;"",IF(P35=P37,"",IF(P35&gt;P37,O35,O37)),""),"")</f>
        <v>LUIZA CRISTINA URTADO BRAZ</v>
      </c>
      <c r="S36" s="234">
        <v>1</v>
      </c>
      <c r="T36" s="237" t="s">
        <v>38</v>
      </c>
      <c r="U36" s="234">
        <v>0</v>
      </c>
      <c r="V36" s="162" t="str">
        <f>IF(X35&lt;&gt;"",IF(X37&lt;&gt;"",IF(X35=X37,"",IF(X35&gt;X37,Y35,Y37)),""),"")</f>
        <v>JULIA MIKI OTIAI</v>
      </c>
      <c r="W36" s="112"/>
      <c r="X36" s="235"/>
      <c r="Y36" s="165" t="str">
        <f>IFERROR(IF(Y35="","",VLOOKUP(Y35,LISTAS!$F$5:$G$1004,2,0)),"0")</f>
        <v>COLÉGIO ENGENHEIRO SALVADOR ARENA</v>
      </c>
      <c r="Z36" s="112"/>
      <c r="AA36" s="8"/>
      <c r="AB36" s="11"/>
      <c r="AC36" s="182"/>
      <c r="AD36" s="8"/>
      <c r="AE36" s="8"/>
      <c r="AF36" s="8"/>
      <c r="AG36" s="182"/>
      <c r="AH36" s="8"/>
      <c r="AI36" s="8"/>
      <c r="AJ36" s="11"/>
      <c r="AK36" s="166"/>
      <c r="AL36" s="11"/>
      <c r="AP36" s="13" t="str">
        <f>IF(AR36&lt;&gt;"",1+COUNTIF(AP8:AP35,"1")+COUNTIF(AP8:AP35,"2")+COUNTIF(AP8:AP35,"3")+COUNTIF(AP8:AP35,"4")+COUNTIF(AP8:AP35,"5")+COUNTIF(AP8:AP35,"6")+COUNTIF(AP8:AP35,"7")+COUNTIF(AP8:AP35,"8")+COUNTIF(AP8:AP35,"9")+COUNTIF(AP8:AP35,"10")+COUNTIF(AP8:AP35,"11")+COUNTIF(AP8:AP35,"12")+COUNTIF(AP8:AP35,"13")+COUNTIF(AP8:AP35,"14")+COUNTIF(AP8:AP35,"15")+COUNTIF(AP8:AP35,"16")+COUNTIF(AP8:AP35,"17")+COUNTIF(AP8:AP35,"18")+COUNTIF(AP8:AP35,"19")+COUNTIF(AP8:AP35,"20")+COUNTIF(AP8:AP35,"21")+COUNTIF(AP8:AP35,"22")+COUNTIF(AP8:AP35,"23")+COUNTIF(AP8:AP35,"24")+COUNTIF(AP8:AP35,"25")+COUNTIF(AP8:AP35,"26")+COUNTIF(AP8:AP35,"27")+COUNTIF(AP8:AP35,"28"),"")</f>
        <v/>
      </c>
      <c r="AQ36" s="14" t="str">
        <f t="shared" si="1"/>
        <v/>
      </c>
      <c r="AR36" s="21" t="str">
        <f>IF(AR20&lt;&gt;"",IF(C8=AR20,G10,IF(C10=AR20,G10,IF(C16=AR20,G18,IF(C18=AR20,G18,IF(C38=AR20,G40,IF(C40=AR20,G40,IF(C46=AR20,G48,IF(C48=AR20,G48,IF(C24=AR20,G26,IF(C26=AR20,G26,IF(C32=AR20,G34,IF(C34=AR20,G34,IF(C54=AR20,G56,IF(C56=AR20,G56,IF(C62=AR20,G64,IF(C64=AR20,G64,IF(AK8=AR20,AI10,IF(AK10=AR20,AI10,IF(AK16=AR20,AI18,IF(AK18=AR20,AI18,IF(AK38=AR20,AI40,IF(AK40=AR20,AI40,IF(AK46=AR20,AI48,IF(AK48=AR20,AI48,IF(AK24=AR20,AI26,IF(AK26=AR20,AI26,IF(AK32=AR20,AI34,IF(AK34=AR20,AI34,IF(AK54=AR20,AI56,IF(AK56=AR20,AI56,IF(AK62=AR20,AI64,IF(AK64=AR20,AI64)))))))))))))))))))))))))))))))),"")</f>
        <v/>
      </c>
      <c r="AS36" s="15" t="str">
        <f>IFERROR(IF(AR36="","",VLOOKUP(AR36,LISTAS!$F$5:$G$1004,2,0)),"0")</f>
        <v/>
      </c>
      <c r="AT36" s="15" t="str">
        <f t="shared" si="0"/>
        <v/>
      </c>
      <c r="AU36" s="15" t="str">
        <f t="shared" si="2"/>
        <v/>
      </c>
    </row>
    <row r="37" spans="2:47" ht="18" customHeight="1" thickBot="1" x14ac:dyDescent="0.3">
      <c r="B37" s="16"/>
      <c r="C37" s="166"/>
      <c r="D37" s="11"/>
      <c r="E37" s="11"/>
      <c r="F37" s="11"/>
      <c r="G37" s="166"/>
      <c r="H37" s="11"/>
      <c r="I37" s="11"/>
      <c r="J37" s="11"/>
      <c r="K37" s="166"/>
      <c r="L37" s="11"/>
      <c r="M37" s="18"/>
      <c r="N37" s="19"/>
      <c r="O37" s="162" t="str">
        <f>IF(L50&lt;&gt;"",IF(L52&lt;&gt;"",IF(L50=L52,"",IF(L50&gt;L52,K50,K52)),""),"")</f>
        <v>LUIZA CRISTINA URTADO BRAZ</v>
      </c>
      <c r="P37" s="234">
        <v>1</v>
      </c>
      <c r="Q37" s="72"/>
      <c r="R37" s="165" t="str">
        <f>IFERROR(IF(R36="","",VLOOKUP(R36,LISTAS!$F$5:$G$1004,2,0)),"0")</f>
        <v>COLÉGIO ARBOS SÃO CAETANO DO SUL</v>
      </c>
      <c r="S37" s="235"/>
      <c r="T37" s="237"/>
      <c r="U37" s="235"/>
      <c r="V37" s="165" t="str">
        <f>IFERROR(IF(V36="","",VLOOKUP(V36,LISTAS!$F$5:$G$1004,2,0)),"0")</f>
        <v>COLÉGIO ENGENHEIRO SALVADOR ARENA</v>
      </c>
      <c r="W37" s="66"/>
      <c r="X37" s="234">
        <v>0</v>
      </c>
      <c r="Y37" s="162" t="str">
        <f>IF(AB50&lt;&gt;"",IF(AB52&lt;&gt;"",IF(AB50=AB52,"",IF(AB50&gt;AB52,AC50,AC52)),""),"")</f>
        <v>LARISSA REGINI GRIZANTE</v>
      </c>
      <c r="Z37" s="66"/>
      <c r="AA37" s="8"/>
      <c r="AB37" s="11"/>
      <c r="AC37" s="182"/>
      <c r="AD37" s="8"/>
      <c r="AE37" s="8"/>
      <c r="AF37" s="8"/>
      <c r="AG37" s="182"/>
      <c r="AH37" s="8"/>
      <c r="AI37" s="8"/>
      <c r="AJ37" s="11"/>
      <c r="AK37" s="166"/>
      <c r="AL37" s="11"/>
      <c r="AP37" s="13" t="str">
        <f>IF(AR37&lt;&gt;"",1+COUNTIF(AP8:AP36,"1")+COUNTIF(AP8:AP36,"2")+COUNTIF(AP8:AP36,"3")+COUNTIF(AP8:AP36,"4")+COUNTIF(AP8:AP36,"5")+COUNTIF(AP8:AP36,"6")+COUNTIF(AP8:AP36,"7")+COUNTIF(AP8:AP36,"8")+COUNTIF(AP8:AP36,"9")+COUNTIF(AP8:AP36,"10")+COUNTIF(AP8:AP36,"11")+COUNTIF(AP8:AP36,"12")+COUNTIF(AP8:AP36,"13")+COUNTIF(AP8:AP36,"14")+COUNTIF(AP8:AP36,"15")+COUNTIF(AP8:AP36,"16")+COUNTIF(AP8:AP36,"17")+COUNTIF(AP8:AP36,"18")+COUNTIF(AP8:AP36,"19")+COUNTIF(AP8:AP36,"20")+COUNTIF(AP8:AP36,"21")+COUNTIF(AP8:AP36,"22")+COUNTIF(AP8:AP36,"23")+COUNTIF(AP8:AP36,"24")+COUNTIF(AP8:AP36,"25")+COUNTIF(AP8:AP36,"26")+COUNTIF(AP8:AP36,"27")+COUNTIF(AP8:AP36,"28")+COUNTIF(AP8:AP36,"29"),"")</f>
        <v/>
      </c>
      <c r="AQ37" s="14" t="str">
        <f t="shared" si="1"/>
        <v/>
      </c>
      <c r="AR37" s="21" t="str">
        <f>IF(AR21&lt;&gt;"",IF(C8=AR21,G10,IF(C10=AR21,G10,IF(C16=AR21,G18,IF(C18=AR21,G18,IF(C38=AR21,G40,IF(C40=AR21,G40,IF(C46=AR21,G48,IF(C48=AR21,G48,IF(C24=AR21,G26,IF(C26=AR21,G26,IF(C32=AR21,G34,IF(C34=AR21,G34,IF(C54=AR21,G56,IF(C56=AR21,G56,IF(C62=AR21,G64,IF(C64=AR21,G64,IF(AK8=AR21,AI10,IF(AK10=AR21,AI10,IF(AK16=AR21,AI18,IF(AK18=AR21,AI18,IF(AK38=AR21,AI40,IF(AK40=AR21,AI40,IF(AK46=AR21,AI48,IF(AK48=AR21,AI48,IF(AK24=AR21,AI26,IF(AK26=AR21,AI26,IF(AK32=AR21,AI34,IF(AK34=AR21,AI34,IF(AK54=AR21,AI56,IF(AK56=AR21,AI56,IF(AK62=AR21,AI64,IF(AK64=AR21,AI64)))))))))))))))))))))))))))))))),"")</f>
        <v/>
      </c>
      <c r="AS37" s="15" t="str">
        <f>IFERROR(IF(AR37="","",VLOOKUP(AR37,LISTAS!$F$5:$G$1004,2,0)),"0")</f>
        <v/>
      </c>
      <c r="AT37" s="15" t="str">
        <f t="shared" si="0"/>
        <v/>
      </c>
      <c r="AU37" s="15" t="str">
        <f t="shared" si="2"/>
        <v/>
      </c>
    </row>
    <row r="38" spans="2:47" ht="18" customHeight="1" thickBot="1" x14ac:dyDescent="0.3">
      <c r="B38" s="16">
        <v>5</v>
      </c>
      <c r="C38" s="162" t="str">
        <f>IF('17F GRP'!G5&gt;=3,'17F GRP'!J73,IF('17F GRP'!G5=2,"",IF('17F GRP'!G5=1,'17F GRP'!J12,"")))</f>
        <v>ERINA KIKUCHI</v>
      </c>
      <c r="D38" s="234">
        <v>2</v>
      </c>
      <c r="E38" s="51">
        <f>IF(D38&lt;&gt;"",D38,"")</f>
        <v>2</v>
      </c>
      <c r="F38" s="51" t="str">
        <f>IF(D38&lt;&gt;"",IF(C38="","",C38),"")</f>
        <v>ERINA KIKUCHI</v>
      </c>
      <c r="G38" s="176">
        <f>IF(E38&lt;&gt;"",IF(E40&lt;&gt;"",SMALL(E38:E40,1),""),"")</f>
        <v>0</v>
      </c>
      <c r="H38" s="11"/>
      <c r="I38" s="11"/>
      <c r="J38" s="11"/>
      <c r="K38" s="166"/>
      <c r="L38" s="11"/>
      <c r="M38" s="18"/>
      <c r="N38" s="8"/>
      <c r="O38" s="165" t="str">
        <f>IFERROR(IF(O37="","",VLOOKUP(O37,LISTAS!$F$5:$G$1004,2,0)),"0")</f>
        <v>COLÉGIO ARBOS SÃO CAETANO DO SUL</v>
      </c>
      <c r="P38" s="235"/>
      <c r="Q38" s="60"/>
      <c r="R38" s="182"/>
      <c r="S38" s="8"/>
      <c r="T38" s="8"/>
      <c r="U38" s="8"/>
      <c r="V38" s="182"/>
      <c r="W38" s="8"/>
      <c r="X38" s="235"/>
      <c r="Y38" s="165" t="str">
        <f>IFERROR(IF(Y37="","",VLOOKUP(Y37,LISTAS!$F$5:$G$1004,2,0)),"0")</f>
        <v>COLÉGIO ARBOS SÃO CAETANO DO SUL</v>
      </c>
      <c r="Z38" s="65"/>
      <c r="AA38" s="8"/>
      <c r="AB38" s="11"/>
      <c r="AC38" s="182"/>
      <c r="AD38" s="8"/>
      <c r="AE38" s="8"/>
      <c r="AF38" s="8"/>
      <c r="AG38" s="181">
        <f>IF(AJ38&lt;&gt;"",AJ38,"")</f>
        <v>0</v>
      </c>
      <c r="AH38" s="78" t="str">
        <f>IF(AJ38&lt;&gt;"",IF(AK38="","",AK38),"")</f>
        <v/>
      </c>
      <c r="AI38" s="51">
        <f>IF(AG38&lt;&gt;"",IF(AG40&lt;&gt;"",SMALL(AG38:AG40,1),""),"")</f>
        <v>0</v>
      </c>
      <c r="AJ38" s="234">
        <v>0</v>
      </c>
      <c r="AK38" s="162" t="str">
        <f>IF('17F GRP'!G5&gt;=3,'17F GRP'!J99,IF('17F GRP'!G5=2,"",IF('17F GRP'!G5=1,"","")))</f>
        <v/>
      </c>
      <c r="AL38" s="11">
        <v>7</v>
      </c>
      <c r="AP38" s="13" t="str">
        <f>IF(AR38&lt;&gt;"",1+COUNTIF(AP8:AP37,"1")+COUNTIF(AP8:AP37,"2")+COUNTIF(AP8:AP37,"3")+COUNTIF(AP8:AP37,"4")+COUNTIF(AP8:AP37,"5")+COUNTIF(AP8:AP37,"6")+COUNTIF(AP8:AP37,"7")+COUNTIF(AP8:AP37,"8")+COUNTIF(AP8:AP37,"9")+COUNTIF(AP8:AP37,"10")+COUNTIF(AP8:AP37,"11")+COUNTIF(AP8:AP37,"12")+COUNTIF(AP8:AP37,"13")+COUNTIF(AP8:AP37,"14")+COUNTIF(AP8:AP37,"15")+COUNTIF(AP8:AP37,"16")+COUNTIF(AP8:AP37,"17")+COUNTIF(AP8:AP37,"18")+COUNTIF(AP8:AP37,"19")+COUNTIF(AP8:AP37,"20")+COUNTIF(AP8:AP37,"21")+COUNTIF(AP8:AP37,"22")+COUNTIF(AP8:AP37,"23")+COUNTIF(AP8:AP37,"24")+COUNTIF(AP8:AP37,"25")+COUNTIF(AP8:AP37,"26")+COUNTIF(AP8:AP37,"27")+COUNTIF(AP8:AP37,"28")+COUNTIF(AP8:AP37,"29")+COUNTIF(AP8:AP37,"30"),"")</f>
        <v/>
      </c>
      <c r="AQ38" s="14" t="str">
        <f t="shared" si="1"/>
        <v/>
      </c>
      <c r="AR38" s="21" t="str">
        <f>IF(AR22&lt;&gt;"",IF(C8=AR22,G10,IF(C10=AR22,G10,IF(C16=AR22,G18,IF(C18=AR22,G18,IF(C38=AR22,G40,IF(C40=AR22,G40,IF(C46=AR22,G48,IF(C48=AR22,G48,IF(C24=AR22,G26,IF(C26=AR22,G26,IF(C32=AR22,G34,IF(C34=AR22,G34,IF(C54=AR22,G56,IF(C56=AR22,G56,IF(C62=AR22,G64,IF(C64=AR22,G64,IF(AK8=AR22,AI10,IF(AK10=AR22,AI10,IF(AK16=AR22,AI18,IF(AK18=AR22,AI18,IF(AK38=AR22,AI40,IF(AK40=AR22,AI40,IF(AK46=AR22,AI48,IF(AK48=AR22,AI48,IF(AK24=AR22,AI26,IF(AK26=AR22,AI26,IF(AK32=AR22,AI34,IF(AK34=AR22,AI34,IF(AK54=AR22,AI56,IF(AK56=AR22,AI56,IF(AK62=AR22,AI64,IF(AK64=AR22,AI64)))))))))))))))))))))))))))))))),"")</f>
        <v/>
      </c>
      <c r="AS38" s="15" t="str">
        <f>IFERROR(IF(AR38="","",VLOOKUP(AR38,LISTAS!$F$5:$G$1004,2,0)),"0")</f>
        <v/>
      </c>
      <c r="AT38" s="15" t="str">
        <f t="shared" si="0"/>
        <v/>
      </c>
      <c r="AU38" s="15" t="str">
        <f t="shared" si="2"/>
        <v/>
      </c>
    </row>
    <row r="39" spans="2:47" ht="18" customHeight="1" thickBot="1" x14ac:dyDescent="0.3">
      <c r="B39" s="16"/>
      <c r="C39" s="165" t="str">
        <f>IFERROR(IF(C38="","",VLOOKUP(C38,LISTAS!$F$5:$G$1004,2,0)),"0")</f>
        <v>LICEU JARDIM</v>
      </c>
      <c r="D39" s="235"/>
      <c r="E39" s="51"/>
      <c r="F39" s="51"/>
      <c r="G39" s="176"/>
      <c r="H39" s="11"/>
      <c r="I39" s="11"/>
      <c r="J39" s="11"/>
      <c r="K39" s="166"/>
      <c r="L39" s="11"/>
      <c r="M39" s="54"/>
      <c r="N39" s="78"/>
      <c r="O39" s="181"/>
      <c r="P39" s="78"/>
      <c r="Q39" s="78"/>
      <c r="R39" s="182"/>
      <c r="S39" s="8"/>
      <c r="T39" s="8"/>
      <c r="U39" s="8"/>
      <c r="V39" s="182"/>
      <c r="W39" s="8"/>
      <c r="X39" s="62"/>
      <c r="Y39" s="182"/>
      <c r="Z39" s="65"/>
      <c r="AA39" s="8"/>
      <c r="AB39" s="11"/>
      <c r="AC39" s="182"/>
      <c r="AD39" s="8"/>
      <c r="AE39" s="8"/>
      <c r="AF39" s="8"/>
      <c r="AG39" s="181"/>
      <c r="AH39" s="78"/>
      <c r="AI39" s="51"/>
      <c r="AJ39" s="235"/>
      <c r="AK39" s="165" t="str">
        <f>IFERROR(IF(AK38="","",VLOOKUP(AK38,LISTAS!$F$5:$G$1004,2,0)),"0")</f>
        <v/>
      </c>
      <c r="AL39" s="11"/>
      <c r="AP39" s="13" t="str">
        <f>IF(AR39&lt;&gt;"",1+COUNTIF(AP8:AP38,"1")+COUNTIF(AP8:AP38,"2")+COUNTIF(AP8:AP38,"3")+COUNTIF(AP8:AP38,"4")+COUNTIF(AP8:AP38,"5")+COUNTIF(AP8:AP38,"6")+COUNTIF(AP8:AP38,"7")+COUNTIF(AP8:AP38,"8")+COUNTIF(AP8:AP38,"9")+COUNTIF(AP8:AP38,"10")+COUNTIF(AP8:AP38,"11")+COUNTIF(AP8:AP38,"12")+COUNTIF(AP8:AP38,"13")+COUNTIF(AP8:AP38,"14")+COUNTIF(AP8:AP38,"15")+COUNTIF(AP8:AP38,"16")+COUNTIF(AP8:AP38,"17")+COUNTIF(AP8:AP38,"18")+COUNTIF(AP8:AP38,"19")+COUNTIF(AP8:AP38,"20")+COUNTIF(AP8:AP38,"21")+COUNTIF(AP8:AP38,"22")+COUNTIF(AP8:AP38,"23")+COUNTIF(AP8:AP38,"24")+COUNTIF(AP8:AP38,"25")+COUNTIF(AP8:AP38,"26")+COUNTIF(AP8:AP38,"27")+COUNTIF(AP8:AP38,"28")+COUNTIF(AP8:AP38,"29")+COUNTIF(AP8:AP38,"30")+COUNTIF(AP8:AP38,"31"),"")</f>
        <v/>
      </c>
      <c r="AQ39" s="14" t="str">
        <f t="shared" si="1"/>
        <v/>
      </c>
      <c r="AR39" s="21" t="str">
        <f>IF(AR23&lt;&gt;"",IF(C8=AR23,G10,IF(C10=AR23,G10,IF(C16=AR23,G18,IF(C18=AR23,G18,IF(C38=AR23,G40,IF(C40=AR23,G40,IF(C46=AR23,G48,IF(C48=AR23,G48,IF(C24=AR23,G26,IF(C26=AR23,G26,IF(C32=AR23,G34,IF(C34=AR23,G34,IF(C54=AR23,G56,IF(C56=AR23,G56,IF(C62=AR23,G64,IF(C64=AR23,G64,IF(AK8=AR23,AI10,IF(AK10=AR23,AI10,IF(AK16=AR23,AI18,IF(AK18=AR23,AI18,IF(AK38=AR23,AI40,IF(AK40=AR23,AI40,IF(AK46=AR23,AI48,IF(AK48=AR23,AI48,IF(AK24=AR23,AI26,IF(AK26=AR23,AI26,IF(AK32=AR23,AI34,IF(AK34=AR23,AI34,IF(AK54=AR23,AI56,IF(AK56=AR23,AI56,IF(AK62=AR23,AI64,IF(AK64=AR23,AI64)))))))))))))))))))))))))))))))),"")</f>
        <v/>
      </c>
      <c r="AS39" s="15" t="str">
        <f>IFERROR(IF(AR39="","",VLOOKUP(AR39,LISTAS!$F$5:$G$1004,2,0)),"0")</f>
        <v/>
      </c>
      <c r="AT39" s="15" t="str">
        <f>IF(AP39="","",IF(AP39=1,400,IF(AP39=2,340,IF(AP39=3,300,IF(AP39=4,280,IF(AP39=5,270,IF(AP39=6,260,IF(AP39=7,250,IF(AP39=8,240,IF(AP39=9,200,IF(AP39=10,200,IF(AP39=11,200,IF(AP39=12,200,IF(AP39=13,200,IF(AP39=14,200,IF(AP39=15,200,IF(AP39=16,200,IF(AP39&gt;16,"",""))))))))))))))))))</f>
        <v/>
      </c>
      <c r="AU39" s="15" t="str">
        <f>IF(AP39="","",IF($AS$5="NÃO","",IF(AP39=1,400,IF(AP39=2,340,IF(AP39=3,300,IF(AP39=4,280,IF(AP39=5,270,IF(AP39=6,260,IF(AP39=7,250,IF(AP39=8,240,IF(AP39=9,200,IF(AP39=10,200,IF(AP39=11,200,IF(AP39=12,200,IF(AP39=13,200,IF(AP39=14,200,IF(AP39=15,200,IF(AP39=16,200,IF(AP39&gt;16,"","")))))))))))))))))))</f>
        <v/>
      </c>
    </row>
    <row r="40" spans="2:47" ht="18" customHeight="1" x14ac:dyDescent="0.25">
      <c r="B40" s="16">
        <v>28</v>
      </c>
      <c r="C40" s="162" t="str">
        <f>IF('17F GRP'!G5&gt;=3,'17F GRP'!J372,IF('17F GRP'!G5=2,"",IF('17F GRP'!G5=1,"","")))</f>
        <v/>
      </c>
      <c r="D40" s="234">
        <v>0</v>
      </c>
      <c r="E40" s="52">
        <f>IF(D40&lt;&gt;"",D40,"")</f>
        <v>0</v>
      </c>
      <c r="F40" s="51" t="str">
        <f>IF(D40&lt;&gt;"",IF(C40="","",C40),"")</f>
        <v/>
      </c>
      <c r="G40" s="176" t="str">
        <f>VLOOKUP(G38,E38:F40,2,0)</f>
        <v/>
      </c>
      <c r="H40" s="11"/>
      <c r="I40" s="11"/>
      <c r="J40" s="11"/>
      <c r="K40" s="166"/>
      <c r="L40" s="11"/>
      <c r="M40" s="54"/>
      <c r="N40" s="51">
        <f>IF(P35&lt;&gt;"",P35,"")</f>
        <v>0</v>
      </c>
      <c r="O40" s="176" t="str">
        <f>IF(P35&lt;&gt;"",O35,"")</f>
        <v>AMANDA DE ALBUQUERQUE RIBEIRO</v>
      </c>
      <c r="P40" s="51">
        <f>IF(N40&lt;&gt;"",IF(N42&lt;&gt;"",LARGE(N40:N42,1),""),"")</f>
        <v>1</v>
      </c>
      <c r="Q40" s="78"/>
      <c r="R40" s="182"/>
      <c r="S40" s="8"/>
      <c r="T40" s="8"/>
      <c r="U40" s="8"/>
      <c r="V40" s="182"/>
      <c r="W40" s="8"/>
      <c r="X40" s="62"/>
      <c r="Y40" s="182"/>
      <c r="Z40" s="65"/>
      <c r="AA40" s="8"/>
      <c r="AB40" s="11"/>
      <c r="AC40" s="182"/>
      <c r="AD40" s="8"/>
      <c r="AE40" s="8"/>
      <c r="AF40" s="8"/>
      <c r="AG40" s="181">
        <f>IF(AJ40&lt;&gt;"",AJ40,"")</f>
        <v>0</v>
      </c>
      <c r="AH40" s="78" t="str">
        <f>IF(AJ40&lt;&gt;"",IF(AK40="","",AK40),"")</f>
        <v/>
      </c>
      <c r="AI40" s="55" t="str">
        <f>VLOOKUP(AI38,AG38:AH40,2,0)</f>
        <v/>
      </c>
      <c r="AJ40" s="234">
        <v>0</v>
      </c>
      <c r="AK40" s="162" t="str">
        <f>IF('17F GRP'!G5&gt;=3,'17F GRP'!J346,IF('17F GRP'!G5=2,"",IF('17F GRP'!G5=1,"","")))</f>
        <v/>
      </c>
      <c r="AL40" s="11">
        <v>26</v>
      </c>
    </row>
    <row r="41" spans="2:47" ht="18" customHeight="1" thickBot="1" x14ac:dyDescent="0.3">
      <c r="B41" s="16"/>
      <c r="C41" s="165" t="str">
        <f>IFERROR(IF(C40="","",VLOOKUP(C40,LISTAS!$F$5:$G$1004,2,0)),"0")</f>
        <v/>
      </c>
      <c r="D41" s="235"/>
      <c r="E41" s="128"/>
      <c r="F41" s="51"/>
      <c r="G41" s="176"/>
      <c r="H41" s="11"/>
      <c r="I41" s="11"/>
      <c r="J41" s="11"/>
      <c r="K41" s="166"/>
      <c r="L41" s="11"/>
      <c r="M41" s="54"/>
      <c r="N41" s="51"/>
      <c r="O41" s="176"/>
      <c r="P41" s="51"/>
      <c r="Q41" s="78"/>
      <c r="R41" s="182"/>
      <c r="S41" s="8"/>
      <c r="T41" s="8"/>
      <c r="U41" s="8"/>
      <c r="V41" s="182"/>
      <c r="W41" s="8"/>
      <c r="X41" s="62"/>
      <c r="Y41" s="182"/>
      <c r="Z41" s="65"/>
      <c r="AA41" s="8"/>
      <c r="AB41" s="11"/>
      <c r="AC41" s="182"/>
      <c r="AD41" s="8"/>
      <c r="AE41" s="8"/>
      <c r="AF41" s="8"/>
      <c r="AG41" s="181"/>
      <c r="AH41" s="78"/>
      <c r="AI41" s="123"/>
      <c r="AJ41" s="235"/>
      <c r="AK41" s="165" t="str">
        <f>IFERROR(IF(AK40="","",VLOOKUP(AK40,LISTAS!$F$5:$G$1004,2,0)),"0")</f>
        <v/>
      </c>
      <c r="AL41" s="11"/>
    </row>
    <row r="42" spans="2:47" ht="30" x14ac:dyDescent="0.25">
      <c r="B42" s="16"/>
      <c r="C42" s="166"/>
      <c r="D42" s="11"/>
      <c r="E42" s="11"/>
      <c r="F42" s="17"/>
      <c r="G42" s="162" t="str">
        <f>IF(D38&lt;&gt;"",IF(D40&lt;&gt;"",IF(D38=D40,"",IF(D38&gt;D40,C38,C40)),""),"")</f>
        <v>ERINA KIKUCHI</v>
      </c>
      <c r="H42" s="234">
        <v>2</v>
      </c>
      <c r="I42" s="51">
        <f>IF(H42&lt;&gt;"",H42,"")</f>
        <v>2</v>
      </c>
      <c r="J42" s="51" t="str">
        <f>IF(H42&lt;&gt;"",IF(G42="","",G42),"")</f>
        <v>ERINA KIKUCHI</v>
      </c>
      <c r="K42" s="176">
        <f>IF(I42&lt;&gt;"",IF(I44&lt;&gt;"",SMALL(I42:J44,1),""),"")</f>
        <v>0</v>
      </c>
      <c r="L42" s="11"/>
      <c r="M42" s="54"/>
      <c r="N42" s="51">
        <f>IF(P37&lt;&gt;"",P37,"")</f>
        <v>1</v>
      </c>
      <c r="O42" s="176" t="str">
        <f>IF(P37&lt;&gt;"",O37,"")</f>
        <v>LUIZA CRISTINA URTADO BRAZ</v>
      </c>
      <c r="P42" s="51" t="str">
        <f>VLOOKUP(P40,N40:O42,2,0)</f>
        <v>LUIZA CRISTINA URTADO BRAZ</v>
      </c>
      <c r="Q42" s="78"/>
      <c r="R42" s="182"/>
      <c r="S42" s="8"/>
      <c r="T42" s="8"/>
      <c r="U42" s="8"/>
      <c r="V42" s="182"/>
      <c r="W42" s="8"/>
      <c r="X42" s="62"/>
      <c r="Y42" s="182"/>
      <c r="Z42" s="65"/>
      <c r="AA42" s="8"/>
      <c r="AB42" s="11"/>
      <c r="AC42" s="182"/>
      <c r="AD42" s="8"/>
      <c r="AE42" s="67"/>
      <c r="AF42" s="234">
        <v>0</v>
      </c>
      <c r="AG42" s="162" t="str">
        <f>IF(AJ38&lt;&gt;"",IF(AJ40&lt;&gt;"",IF(AJ38=AJ40,"",IF(AJ38&gt;AJ40,AK38,AK40)),""),"")</f>
        <v/>
      </c>
      <c r="AH42" s="65"/>
      <c r="AI42" s="8"/>
      <c r="AJ42" s="11"/>
      <c r="AK42" s="166"/>
      <c r="AL42" s="11"/>
    </row>
    <row r="43" spans="2:47" ht="17.25" thickBot="1" x14ac:dyDescent="0.3">
      <c r="B43" s="16"/>
      <c r="C43" s="166"/>
      <c r="D43" s="11"/>
      <c r="E43" s="11"/>
      <c r="F43" s="17"/>
      <c r="G43" s="165" t="str">
        <f>IFERROR(IF(G42="","",VLOOKUP(G42,LISTAS!$F$5:$G$1004,2,0)),"0")</f>
        <v>LICEU JARDIM</v>
      </c>
      <c r="H43" s="235"/>
      <c r="I43" s="51"/>
      <c r="J43" s="51"/>
      <c r="K43" s="176"/>
      <c r="L43" s="11"/>
      <c r="M43" s="54"/>
      <c r="N43" s="51"/>
      <c r="O43" s="176"/>
      <c r="P43" s="51"/>
      <c r="Q43" s="78"/>
      <c r="R43" s="182"/>
      <c r="S43" s="8"/>
      <c r="T43" s="8"/>
      <c r="U43" s="8"/>
      <c r="V43" s="182"/>
      <c r="W43" s="8"/>
      <c r="X43" s="62"/>
      <c r="Y43" s="182"/>
      <c r="Z43" s="65"/>
      <c r="AA43" s="8"/>
      <c r="AB43" s="11"/>
      <c r="AC43" s="182"/>
      <c r="AD43" s="8"/>
      <c r="AE43" s="67"/>
      <c r="AF43" s="235"/>
      <c r="AG43" s="165" t="str">
        <f>IFERROR(IF(AG42="","",VLOOKUP(AG42,LISTAS!$F$5:$G$1004,2,0)),"0")</f>
        <v/>
      </c>
      <c r="AH43" s="65"/>
      <c r="AI43" s="8"/>
      <c r="AJ43" s="11"/>
      <c r="AK43" s="166"/>
      <c r="AL43" s="11"/>
    </row>
    <row r="44" spans="2:47" ht="18" customHeight="1" x14ac:dyDescent="0.25">
      <c r="B44" s="16"/>
      <c r="C44" s="166"/>
      <c r="D44" s="11"/>
      <c r="E44" s="18"/>
      <c r="F44" s="19"/>
      <c r="G44" s="162" t="str">
        <f>IF(D46&lt;&gt;"",IF(D48&lt;&gt;"",IF(D46=D48,"",IF(D46&gt;D48,C46,C48)),""),"")</f>
        <v/>
      </c>
      <c r="H44" s="234">
        <v>0</v>
      </c>
      <c r="I44" s="52">
        <f>IF(H44&lt;&gt;"",H44,"")</f>
        <v>0</v>
      </c>
      <c r="J44" s="51" t="str">
        <f>IF(H44&lt;&gt;"",IF(G44="","",G44),"")</f>
        <v/>
      </c>
      <c r="K44" s="176" t="str">
        <f>VLOOKUP(K42,I42:J44,2,0)</f>
        <v/>
      </c>
      <c r="L44" s="11"/>
      <c r="M44" s="54"/>
      <c r="N44" s="51">
        <f>IF(P35&lt;&gt;"",P35,"")</f>
        <v>0</v>
      </c>
      <c r="O44" s="176" t="str">
        <f>IF(P35&lt;&gt;"",O35,"")</f>
        <v>AMANDA DE ALBUQUERQUE RIBEIRO</v>
      </c>
      <c r="P44" s="51">
        <f>IF(N44&lt;&gt;"",IF(N46&lt;&gt;"",SMALL(N44:N46,1),""),"")</f>
        <v>0</v>
      </c>
      <c r="Q44" s="78"/>
      <c r="R44" s="182"/>
      <c r="S44" s="8"/>
      <c r="T44" s="8"/>
      <c r="U44" s="8"/>
      <c r="V44" s="182"/>
      <c r="W44" s="8"/>
      <c r="X44" s="62"/>
      <c r="Y44" s="182"/>
      <c r="Z44" s="65"/>
      <c r="AA44" s="8"/>
      <c r="AB44" s="11"/>
      <c r="AC44" s="182"/>
      <c r="AD44" s="65"/>
      <c r="AE44" s="68"/>
      <c r="AF44" s="234">
        <v>0</v>
      </c>
      <c r="AG44" s="162" t="str">
        <f>IF(AJ46&lt;&gt;"",IF(AJ48&lt;&gt;"",IF(AJ46=AJ48,"",IF(AJ46&gt;AJ48,AK46,AK48)),""),"")</f>
        <v/>
      </c>
      <c r="AH44" s="66"/>
      <c r="AI44" s="8"/>
      <c r="AJ44" s="11"/>
      <c r="AK44" s="166"/>
      <c r="AL44" s="11"/>
    </row>
    <row r="45" spans="2:47" ht="18" customHeight="1" thickBot="1" x14ac:dyDescent="0.3">
      <c r="B45" s="16"/>
      <c r="C45" s="166"/>
      <c r="D45" s="11"/>
      <c r="E45" s="18"/>
      <c r="F45" s="11"/>
      <c r="G45" s="165" t="str">
        <f>IFERROR(IF(G44="","",VLOOKUP(G44,LISTAS!$F$5:$G$1004,2,0)),"0")</f>
        <v/>
      </c>
      <c r="H45" s="235"/>
      <c r="I45" s="54"/>
      <c r="J45" s="51"/>
      <c r="K45" s="176"/>
      <c r="L45" s="11"/>
      <c r="M45" s="54"/>
      <c r="N45" s="51"/>
      <c r="O45" s="176"/>
      <c r="P45" s="51"/>
      <c r="Q45" s="78"/>
      <c r="R45" s="182"/>
      <c r="S45" s="8"/>
      <c r="T45" s="8"/>
      <c r="U45" s="8"/>
      <c r="V45" s="182"/>
      <c r="W45" s="8"/>
      <c r="X45" s="62"/>
      <c r="Y45" s="182"/>
      <c r="Z45" s="8"/>
      <c r="AA45" s="69"/>
      <c r="AB45" s="11"/>
      <c r="AC45" s="182"/>
      <c r="AD45" s="65"/>
      <c r="AE45" s="8"/>
      <c r="AF45" s="235"/>
      <c r="AG45" s="165" t="str">
        <f>IFERROR(IF(AG44="","",VLOOKUP(AG44,LISTAS!$F$5:$G$1004,2,0)),"0")</f>
        <v/>
      </c>
      <c r="AH45" s="8"/>
      <c r="AI45" s="69"/>
      <c r="AJ45" s="11"/>
      <c r="AK45" s="166"/>
      <c r="AL45" s="11"/>
    </row>
    <row r="46" spans="2:47" ht="18" customHeight="1" x14ac:dyDescent="0.25">
      <c r="B46" s="16">
        <v>12</v>
      </c>
      <c r="C46" s="162" t="str">
        <f>IF('17F GRP'!G5&gt;=3,'17F GRP'!J164,IF('17F GRP'!G5=2,"",IF('17F GRP'!G5=1,"","")))</f>
        <v/>
      </c>
      <c r="D46" s="234">
        <v>0</v>
      </c>
      <c r="E46" s="56">
        <f>IF(D46&lt;&gt;"",D46,"")</f>
        <v>0</v>
      </c>
      <c r="F46" s="51" t="str">
        <f>IF(D46&lt;&gt;"",IF(C46="","",C46),"")</f>
        <v/>
      </c>
      <c r="G46" s="176">
        <f>IF(E46&lt;&gt;"",IF(E48&lt;&gt;"",SMALL(E46:E48,1),""),"")</f>
        <v>0</v>
      </c>
      <c r="H46" s="51"/>
      <c r="I46" s="54"/>
      <c r="J46" s="51"/>
      <c r="K46" s="176"/>
      <c r="L46" s="11"/>
      <c r="M46" s="54"/>
      <c r="N46" s="51">
        <f>IF(P37&lt;&gt;"",P37,"")</f>
        <v>1</v>
      </c>
      <c r="O46" s="176" t="str">
        <f>IF(P37&lt;&gt;"",O37,"")</f>
        <v>LUIZA CRISTINA URTADO BRAZ</v>
      </c>
      <c r="P46" s="51" t="str">
        <f>VLOOKUP(P44,N44:O46,2,0)</f>
        <v>AMANDA DE ALBUQUERQUE RIBEIRO</v>
      </c>
      <c r="Q46" s="78"/>
      <c r="R46" s="182"/>
      <c r="S46" s="8"/>
      <c r="T46" s="8"/>
      <c r="U46" s="8"/>
      <c r="V46" s="182"/>
      <c r="W46" s="8"/>
      <c r="X46" s="62"/>
      <c r="Y46" s="182"/>
      <c r="Z46" s="8"/>
      <c r="AA46" s="69"/>
      <c r="AB46" s="11"/>
      <c r="AC46" s="182"/>
      <c r="AD46" s="65"/>
      <c r="AE46" s="8"/>
      <c r="AF46" s="8"/>
      <c r="AG46" s="181">
        <f>IF(AJ46&lt;&gt;"",AJ46,"")</f>
        <v>0</v>
      </c>
      <c r="AH46" s="78" t="str">
        <f>IF(AJ46&lt;&gt;"",IF(AK46="","",AK46),"")</f>
        <v/>
      </c>
      <c r="AI46" s="53">
        <f>IF(AG46&lt;&gt;"",IF(AG48&lt;&gt;"",SMALL(AG46:AG48,1),""),"")</f>
        <v>0</v>
      </c>
      <c r="AJ46" s="234">
        <v>0</v>
      </c>
      <c r="AK46" s="162" t="str">
        <f>IF('17F GRP'!G5&gt;=3,'17F GRP'!J138,IF('17F GRP'!G5=2,"",IF('17F GRP'!G5=1,"","")))</f>
        <v/>
      </c>
      <c r="AL46" s="11">
        <v>10</v>
      </c>
    </row>
    <row r="47" spans="2:47" ht="18" customHeight="1" thickBot="1" x14ac:dyDescent="0.3">
      <c r="B47" s="16"/>
      <c r="C47" s="165" t="str">
        <f>IFERROR(IF(C46="","",VLOOKUP(C46,LISTAS!$F$5:$G$1004,2,0)),"0")</f>
        <v/>
      </c>
      <c r="D47" s="235"/>
      <c r="E47" s="57"/>
      <c r="F47" s="51"/>
      <c r="G47" s="176"/>
      <c r="H47" s="51"/>
      <c r="I47" s="54"/>
      <c r="J47" s="11"/>
      <c r="K47" s="166"/>
      <c r="L47" s="11"/>
      <c r="M47" s="54"/>
      <c r="N47" s="51"/>
      <c r="O47" s="176"/>
      <c r="P47" s="51"/>
      <c r="Q47" s="78"/>
      <c r="R47" s="182"/>
      <c r="S47" s="8"/>
      <c r="T47" s="8"/>
      <c r="U47" s="8"/>
      <c r="V47" s="182"/>
      <c r="W47" s="8"/>
      <c r="X47" s="62"/>
      <c r="Y47" s="182"/>
      <c r="Z47" s="8"/>
      <c r="AA47" s="69"/>
      <c r="AB47" s="11"/>
      <c r="AC47" s="182"/>
      <c r="AD47" s="65"/>
      <c r="AE47" s="8"/>
      <c r="AF47" s="8"/>
      <c r="AG47" s="181"/>
      <c r="AH47" s="78"/>
      <c r="AI47" s="124"/>
      <c r="AJ47" s="235"/>
      <c r="AK47" s="165" t="str">
        <f>IFERROR(IF(AK46="","",VLOOKUP(AK46,LISTAS!$F$5:$G$1004,2,0)),"0")</f>
        <v/>
      </c>
      <c r="AL47" s="11"/>
    </row>
    <row r="48" spans="2:47" ht="18" customHeight="1" x14ac:dyDescent="0.25">
      <c r="B48" s="16">
        <v>21</v>
      </c>
      <c r="C48" s="162" t="str">
        <f>IF('17F GRP'!G5&gt;=3,'17F GRP'!J281,IF('17F GRP'!G5=2,"",IF('17F GRP'!G5=1,"","")))</f>
        <v/>
      </c>
      <c r="D48" s="234">
        <v>0</v>
      </c>
      <c r="E48" s="57">
        <f>IF(D48&lt;&gt;"",D48,"")</f>
        <v>0</v>
      </c>
      <c r="F48" s="51" t="str">
        <f>IF(D48&lt;&gt;"",IF(C48="","",C48),"")</f>
        <v/>
      </c>
      <c r="G48" s="176" t="str">
        <f>VLOOKUP(G46,E46:F48,2,0)</f>
        <v/>
      </c>
      <c r="H48" s="51"/>
      <c r="I48" s="54"/>
      <c r="J48" s="11"/>
      <c r="K48" s="166"/>
      <c r="L48" s="11"/>
      <c r="M48" s="54"/>
      <c r="N48" s="51"/>
      <c r="O48" s="176"/>
      <c r="P48" s="51"/>
      <c r="Q48" s="78"/>
      <c r="R48" s="182"/>
      <c r="S48" s="8"/>
      <c r="T48" s="8"/>
      <c r="U48" s="8"/>
      <c r="V48" s="182"/>
      <c r="W48" s="8"/>
      <c r="X48" s="62"/>
      <c r="Y48" s="182"/>
      <c r="Z48" s="8"/>
      <c r="AA48" s="69"/>
      <c r="AB48" s="11"/>
      <c r="AC48" s="182"/>
      <c r="AD48" s="65"/>
      <c r="AE48" s="8"/>
      <c r="AF48" s="8"/>
      <c r="AG48" s="181">
        <f>IF(AJ48&lt;&gt;"",AJ48,"")</f>
        <v>0</v>
      </c>
      <c r="AH48" s="78" t="str">
        <f>IF(AJ48&lt;&gt;"",IF(AK48="","",AK48),"")</f>
        <v/>
      </c>
      <c r="AI48" s="125" t="str">
        <f>VLOOKUP(AI46,AG46:AH48,2,0)</f>
        <v/>
      </c>
      <c r="AJ48" s="234">
        <v>0</v>
      </c>
      <c r="AK48" s="162" t="str">
        <f>IF('17F GRP'!G5&gt;=3,'17F GRP'!J307,IF('17F GRP'!G5=2,"",IF('17F GRP'!G5=1,"","")))</f>
        <v/>
      </c>
      <c r="AL48" s="11">
        <v>23</v>
      </c>
    </row>
    <row r="49" spans="2:41" ht="18" customHeight="1" thickBot="1" x14ac:dyDescent="0.3">
      <c r="B49" s="16"/>
      <c r="C49" s="165" t="str">
        <f>IFERROR(IF(C48="","",VLOOKUP(C48,LISTAS!$F$5:$G$1004,2,0)),"0")</f>
        <v/>
      </c>
      <c r="D49" s="235"/>
      <c r="E49" s="51"/>
      <c r="F49" s="51"/>
      <c r="G49" s="176"/>
      <c r="H49" s="51"/>
      <c r="I49" s="54"/>
      <c r="J49" s="11"/>
      <c r="K49" s="166"/>
      <c r="L49" s="11"/>
      <c r="M49" s="54"/>
      <c r="N49" s="51"/>
      <c r="O49" s="176"/>
      <c r="P49" s="51"/>
      <c r="Q49" s="78"/>
      <c r="R49" s="182"/>
      <c r="S49" s="8"/>
      <c r="T49" s="8"/>
      <c r="U49" s="8"/>
      <c r="V49" s="182"/>
      <c r="W49" s="8"/>
      <c r="X49" s="62"/>
      <c r="Y49" s="182"/>
      <c r="Z49" s="8"/>
      <c r="AA49" s="69"/>
      <c r="AB49" s="11"/>
      <c r="AC49" s="182"/>
      <c r="AD49" s="65"/>
      <c r="AE49" s="8"/>
      <c r="AF49" s="8"/>
      <c r="AG49" s="181"/>
      <c r="AH49" s="78"/>
      <c r="AI49" s="51"/>
      <c r="AJ49" s="235"/>
      <c r="AK49" s="165" t="str">
        <f>IFERROR(IF(AK48="","",VLOOKUP(AK48,LISTAS!$F$5:$G$1004,2,0)),"0")</f>
        <v/>
      </c>
      <c r="AL49" s="11"/>
    </row>
    <row r="50" spans="2:41" ht="18" customHeight="1" x14ac:dyDescent="0.25">
      <c r="B50" s="16"/>
      <c r="C50" s="166"/>
      <c r="D50" s="11"/>
      <c r="E50" s="11"/>
      <c r="F50" s="11"/>
      <c r="G50" s="166"/>
      <c r="H50" s="11"/>
      <c r="I50" s="18"/>
      <c r="J50" s="11"/>
      <c r="K50" s="162" t="str">
        <f>IF(H42&lt;&gt;"",IF(H44&lt;&gt;"",IF(H42=H44,"",IF(H42&gt;H44,G42,G44)),""),"")</f>
        <v>ERINA KIKUCHI</v>
      </c>
      <c r="L50" s="234">
        <v>0</v>
      </c>
      <c r="M50" s="56">
        <f>IF(L50&lt;&gt;"",L50,"")</f>
        <v>0</v>
      </c>
      <c r="N50" s="51" t="str">
        <f>IF(L50&lt;&gt;"",IF(K50="","",K50),"")</f>
        <v>ERINA KIKUCHI</v>
      </c>
      <c r="O50" s="176">
        <f>IF(M50&lt;&gt;"",IF(M52&lt;&gt;"",SMALL(M50:N52,1),""),"")</f>
        <v>0</v>
      </c>
      <c r="P50" s="51"/>
      <c r="Q50" s="78"/>
      <c r="R50" s="182"/>
      <c r="S50" s="8"/>
      <c r="T50" s="8"/>
      <c r="U50" s="8"/>
      <c r="V50" s="182"/>
      <c r="W50" s="8"/>
      <c r="X50" s="62"/>
      <c r="Y50" s="182"/>
      <c r="Z50" s="8"/>
      <c r="AA50" s="70"/>
      <c r="AB50" s="234">
        <v>0</v>
      </c>
      <c r="AC50" s="162" t="str">
        <f>IF(AF42&lt;&gt;"",IF(AF44&lt;&gt;"",IF(AF42=AF44,"",IF(AF42&gt;AF44,AG42,AG44)),""),"")</f>
        <v/>
      </c>
      <c r="AD50" s="112"/>
      <c r="AE50" s="8"/>
      <c r="AF50" s="8"/>
      <c r="AG50" s="182"/>
      <c r="AH50" s="8"/>
      <c r="AI50" s="8"/>
      <c r="AJ50" s="11"/>
      <c r="AK50" s="166"/>
      <c r="AL50" s="11"/>
    </row>
    <row r="51" spans="2:41" ht="18" customHeight="1" thickBot="1" x14ac:dyDescent="0.3">
      <c r="B51" s="16"/>
      <c r="C51" s="166"/>
      <c r="D51" s="11"/>
      <c r="E51" s="11"/>
      <c r="F51" s="11"/>
      <c r="G51" s="166"/>
      <c r="H51" s="11"/>
      <c r="I51" s="18"/>
      <c r="J51" s="11"/>
      <c r="K51" s="165" t="str">
        <f>IFERROR(IF(K50="","",VLOOKUP(K50,LISTAS!$F$5:$G$1004,2,0)),"0")</f>
        <v>LICEU JARDIM</v>
      </c>
      <c r="L51" s="235"/>
      <c r="M51" s="57"/>
      <c r="N51" s="51"/>
      <c r="O51" s="176"/>
      <c r="P51" s="51"/>
      <c r="Q51" s="78"/>
      <c r="R51" s="182"/>
      <c r="S51" s="8"/>
      <c r="T51" s="8"/>
      <c r="U51" s="8"/>
      <c r="V51" s="182"/>
      <c r="W51" s="8"/>
      <c r="X51" s="62"/>
      <c r="Y51" s="182"/>
      <c r="Z51" s="8"/>
      <c r="AA51" s="8"/>
      <c r="AB51" s="235"/>
      <c r="AC51" s="165" t="str">
        <f>IFERROR(IF(AC50="","",VLOOKUP(AC50,LISTAS!$F$5:$G$1004,2,0)),"0")</f>
        <v/>
      </c>
      <c r="AD51" s="8"/>
      <c r="AE51" s="69"/>
      <c r="AF51" s="8"/>
      <c r="AG51" s="182"/>
      <c r="AH51" s="8"/>
      <c r="AI51" s="8"/>
      <c r="AJ51" s="11"/>
      <c r="AK51" s="166"/>
      <c r="AL51" s="11"/>
    </row>
    <row r="52" spans="2:41" ht="18" customHeight="1" x14ac:dyDescent="0.25">
      <c r="B52" s="16"/>
      <c r="C52" s="166"/>
      <c r="D52" s="11"/>
      <c r="E52" s="11"/>
      <c r="F52" s="11"/>
      <c r="G52" s="166"/>
      <c r="H52" s="11"/>
      <c r="I52" s="18"/>
      <c r="J52" s="19"/>
      <c r="K52" s="162" t="str">
        <f>IF(H58&lt;&gt;"",IF(H60&lt;&gt;"",IF(H58=H60,"",IF(H58&gt;H60,G58,G60)),""),"")</f>
        <v>LUIZA CRISTINA URTADO BRAZ</v>
      </c>
      <c r="L52" s="234">
        <v>1</v>
      </c>
      <c r="M52" s="57">
        <f>IF(L52&lt;&gt;"",L52,"")</f>
        <v>1</v>
      </c>
      <c r="N52" s="51" t="str">
        <f>IF(L52&lt;&gt;"",IF(K52="","",K52),"")</f>
        <v>LUIZA CRISTINA URTADO BRAZ</v>
      </c>
      <c r="O52" s="176" t="str">
        <f>VLOOKUP(O50,M50:N52,2,0)</f>
        <v>ERINA KIKUCHI</v>
      </c>
      <c r="P52" s="51"/>
      <c r="Q52" s="78"/>
      <c r="R52" s="182"/>
      <c r="S52" s="8"/>
      <c r="T52" s="8"/>
      <c r="U52" s="8"/>
      <c r="V52" s="182"/>
      <c r="W52" s="8"/>
      <c r="X52" s="62"/>
      <c r="Y52" s="182"/>
      <c r="Z52" s="8"/>
      <c r="AA52" s="8"/>
      <c r="AB52" s="234">
        <v>2</v>
      </c>
      <c r="AC52" s="162" t="str">
        <f>IF(AF58&lt;&gt;"",IF(AF60&lt;&gt;"",IF(AF58=AF60,"",IF(AF58&gt;AF60,AG58,AG60)),""),"")</f>
        <v>LARISSA REGINI GRIZANTE</v>
      </c>
      <c r="AD52" s="8"/>
      <c r="AE52" s="69"/>
      <c r="AF52" s="8"/>
      <c r="AG52" s="182"/>
      <c r="AH52" s="8"/>
      <c r="AI52" s="8"/>
      <c r="AJ52" s="11"/>
      <c r="AK52" s="166"/>
      <c r="AL52" s="11"/>
    </row>
    <row r="53" spans="2:41" ht="18" customHeight="1" thickBot="1" x14ac:dyDescent="0.3">
      <c r="B53" s="16"/>
      <c r="C53" s="166"/>
      <c r="D53" s="11"/>
      <c r="E53" s="11"/>
      <c r="F53" s="11"/>
      <c r="G53" s="166"/>
      <c r="H53" s="11"/>
      <c r="I53" s="18"/>
      <c r="J53" s="11"/>
      <c r="K53" s="165" t="str">
        <f>IFERROR(IF(K52="","",VLOOKUP(K52,LISTAS!$F$5:$G$1004,2,0)),"0")</f>
        <v>COLÉGIO ARBOS SÃO CAETANO DO SUL</v>
      </c>
      <c r="L53" s="235"/>
      <c r="M53" s="51"/>
      <c r="N53" s="51"/>
      <c r="O53" s="176"/>
      <c r="P53" s="51"/>
      <c r="Q53" s="78"/>
      <c r="R53" s="182"/>
      <c r="S53" s="8"/>
      <c r="T53" s="8"/>
      <c r="U53" s="8"/>
      <c r="V53" s="182"/>
      <c r="W53" s="8"/>
      <c r="X53" s="62"/>
      <c r="Y53" s="182"/>
      <c r="Z53" s="8"/>
      <c r="AA53" s="8"/>
      <c r="AB53" s="235"/>
      <c r="AC53" s="165" t="str">
        <f>IFERROR(IF(AC52="","",VLOOKUP(AC52,LISTAS!$F$5:$G$1004,2,0)),"0")</f>
        <v>COLÉGIO ARBOS SÃO CAETANO DO SUL</v>
      </c>
      <c r="AD53" s="8"/>
      <c r="AE53" s="69"/>
      <c r="AF53" s="8"/>
      <c r="AG53" s="182"/>
      <c r="AH53" s="8"/>
      <c r="AI53" s="8"/>
      <c r="AJ53" s="11"/>
      <c r="AK53" s="166"/>
      <c r="AL53" s="11"/>
    </row>
    <row r="54" spans="2:41" ht="18" customHeight="1" x14ac:dyDescent="0.25">
      <c r="B54" s="16">
        <v>20</v>
      </c>
      <c r="C54" s="162" t="str">
        <f>IF('17F GRP'!G5&gt;=3,'17F GRP'!J268,IF('17F GRP'!G5=2,"",IF('17F GRP'!G5=1,"","")))</f>
        <v/>
      </c>
      <c r="D54" s="234">
        <v>0</v>
      </c>
      <c r="E54" s="51">
        <f>IF(D54&lt;&gt;"",D54,"")</f>
        <v>0</v>
      </c>
      <c r="F54" s="51" t="str">
        <f>IF(D54&lt;&gt;"",IF(C54="","",C54),"")</f>
        <v/>
      </c>
      <c r="G54" s="176">
        <f>IF(E54&lt;&gt;"",IF(E56&lt;&gt;"",SMALL(E54:E56,1),""),"")</f>
        <v>0</v>
      </c>
      <c r="H54" s="51"/>
      <c r="I54" s="54"/>
      <c r="J54" s="51"/>
      <c r="K54" s="176"/>
      <c r="L54" s="51"/>
      <c r="M54" s="51"/>
      <c r="N54" s="11"/>
      <c r="O54" s="166"/>
      <c r="P54" s="11"/>
      <c r="Q54" s="8"/>
      <c r="R54" s="182"/>
      <c r="S54" s="8"/>
      <c r="T54" s="8"/>
      <c r="U54" s="8"/>
      <c r="V54" s="182"/>
      <c r="W54" s="8"/>
      <c r="X54" s="62"/>
      <c r="Y54" s="182"/>
      <c r="Z54" s="8"/>
      <c r="AA54" s="8"/>
      <c r="AB54" s="11"/>
      <c r="AC54" s="182"/>
      <c r="AD54" s="8"/>
      <c r="AE54" s="69"/>
      <c r="AF54" s="8"/>
      <c r="AG54" s="181">
        <f>IF(AJ54&lt;&gt;"",AJ54,"")</f>
        <v>0</v>
      </c>
      <c r="AH54" s="78" t="str">
        <f>IF(AJ54&lt;&gt;"",IF(AK54="","",AK54),"")</f>
        <v/>
      </c>
      <c r="AI54" s="51">
        <f>IF(AG54&lt;&gt;"",IF(AG56&lt;&gt;"",SMALL(AG54:AG56,1),""),"")</f>
        <v>0</v>
      </c>
      <c r="AJ54" s="234">
        <v>0</v>
      </c>
      <c r="AK54" s="162" t="str">
        <f>IF('17F GRP'!G5&gt;=3,'17F GRP'!J203,IF('17F GRP'!G5=2,"",IF('17F GRP'!G5=1,"","")))</f>
        <v/>
      </c>
      <c r="AL54" s="11">
        <v>15</v>
      </c>
    </row>
    <row r="55" spans="2:41" ht="18" customHeight="1" thickBot="1" x14ac:dyDescent="0.3">
      <c r="B55" s="16"/>
      <c r="C55" s="165" t="str">
        <f>IFERROR(IF(C54="","",VLOOKUP(C54,LISTAS!$F$5:$G$1004,2,0)),"0")</f>
        <v/>
      </c>
      <c r="D55" s="235"/>
      <c r="E55" s="51"/>
      <c r="F55" s="51"/>
      <c r="G55" s="176"/>
      <c r="H55" s="51"/>
      <c r="I55" s="54"/>
      <c r="J55" s="51"/>
      <c r="K55" s="176"/>
      <c r="L55" s="51"/>
      <c r="M55" s="51"/>
      <c r="N55" s="11"/>
      <c r="O55" s="166"/>
      <c r="P55" s="11"/>
      <c r="Q55" s="8"/>
      <c r="R55" s="182"/>
      <c r="S55" s="8"/>
      <c r="T55" s="8"/>
      <c r="U55" s="8"/>
      <c r="V55" s="182"/>
      <c r="W55" s="8"/>
      <c r="X55" s="62"/>
      <c r="Y55" s="182"/>
      <c r="Z55" s="8"/>
      <c r="AA55" s="8"/>
      <c r="AB55" s="11"/>
      <c r="AC55" s="182"/>
      <c r="AD55" s="8"/>
      <c r="AE55" s="69"/>
      <c r="AF55" s="8"/>
      <c r="AG55" s="181"/>
      <c r="AH55" s="78"/>
      <c r="AI55" s="51"/>
      <c r="AJ55" s="235"/>
      <c r="AK55" s="165" t="str">
        <f>IFERROR(IF(AK54="","",VLOOKUP(AK54,LISTAS!$F$5:$G$1004,2,0)),"0")</f>
        <v/>
      </c>
      <c r="AL55" s="11"/>
    </row>
    <row r="56" spans="2:41" ht="18" customHeight="1" x14ac:dyDescent="0.25">
      <c r="B56" s="16">
        <v>13</v>
      </c>
      <c r="C56" s="162" t="str">
        <f>IF('17F GRP'!G5&gt;=3,'17F GRP'!J177,IF('17F GRP'!G5=2,"",IF('17F GRP'!G5=1,"","")))</f>
        <v/>
      </c>
      <c r="D56" s="234">
        <v>0</v>
      </c>
      <c r="E56" s="52">
        <f>IF(D56&lt;&gt;"",D56,"")</f>
        <v>0</v>
      </c>
      <c r="F56" s="51" t="str">
        <f>IF(D56&lt;&gt;"",IF(C56="","",C56),"")</f>
        <v/>
      </c>
      <c r="G56" s="176" t="str">
        <f>VLOOKUP(G54,E54:F56,2,0)</f>
        <v/>
      </c>
      <c r="H56" s="51"/>
      <c r="I56" s="54"/>
      <c r="J56" s="51"/>
      <c r="K56" s="176"/>
      <c r="L56" s="51"/>
      <c r="M56" s="51"/>
      <c r="N56" s="11"/>
      <c r="O56" s="166"/>
      <c r="P56" s="11"/>
      <c r="Q56" s="8"/>
      <c r="R56" s="182"/>
      <c r="S56" s="8"/>
      <c r="T56" s="8"/>
      <c r="U56" s="8"/>
      <c r="V56" s="182"/>
      <c r="W56" s="8"/>
      <c r="X56" s="62"/>
      <c r="Y56" s="182"/>
      <c r="Z56" s="8"/>
      <c r="AA56" s="8"/>
      <c r="AB56" s="11"/>
      <c r="AC56" s="182"/>
      <c r="AD56" s="8"/>
      <c r="AE56" s="69"/>
      <c r="AF56" s="8"/>
      <c r="AG56" s="181">
        <f>IF(AJ56&lt;&gt;"",AJ56,"")</f>
        <v>0</v>
      </c>
      <c r="AH56" s="78" t="str">
        <f>IF(AJ56&lt;&gt;"",IF(AK56="","",AK56),"")</f>
        <v/>
      </c>
      <c r="AI56" s="55" t="str">
        <f>VLOOKUP(AI54,AG54:AH56,2,0)</f>
        <v/>
      </c>
      <c r="AJ56" s="234">
        <v>0</v>
      </c>
      <c r="AK56" s="162" t="str">
        <f>IF('17F GRP'!G5&gt;=3,'17F GRP'!J242,IF('17F GRP'!G5=2,"",IF('17F GRP'!G5=1,"","")))</f>
        <v/>
      </c>
      <c r="AL56" s="11">
        <v>18</v>
      </c>
      <c r="AN56" s="23"/>
      <c r="AO56" s="23"/>
    </row>
    <row r="57" spans="2:41" ht="18" customHeight="1" thickBot="1" x14ac:dyDescent="0.3">
      <c r="B57" s="16"/>
      <c r="C57" s="165" t="str">
        <f>IFERROR(IF(C56="","",VLOOKUP(C56,LISTAS!$F$5:$G$1004,2,0)),"0")</f>
        <v/>
      </c>
      <c r="D57" s="235"/>
      <c r="E57" s="128"/>
      <c r="F57" s="51"/>
      <c r="G57" s="176"/>
      <c r="H57" s="51"/>
      <c r="I57" s="54"/>
      <c r="J57" s="51"/>
      <c r="K57" s="176"/>
      <c r="L57" s="51"/>
      <c r="M57" s="51"/>
      <c r="N57" s="11"/>
      <c r="O57" s="166"/>
      <c r="P57" s="11"/>
      <c r="Q57" s="8"/>
      <c r="R57" s="182"/>
      <c r="S57" s="8"/>
      <c r="T57" s="8"/>
      <c r="U57" s="8"/>
      <c r="V57" s="182"/>
      <c r="W57" s="8"/>
      <c r="X57" s="62"/>
      <c r="Y57" s="182"/>
      <c r="Z57" s="8"/>
      <c r="AA57" s="8"/>
      <c r="AB57" s="11"/>
      <c r="AC57" s="182"/>
      <c r="AD57" s="8"/>
      <c r="AE57" s="69"/>
      <c r="AF57" s="8"/>
      <c r="AG57" s="181"/>
      <c r="AH57" s="126"/>
      <c r="AI57" s="51"/>
      <c r="AJ57" s="235"/>
      <c r="AK57" s="165" t="str">
        <f>IFERROR(IF(AK56="","",VLOOKUP(AK56,LISTAS!$F$5:$G$1004,2,0)),"0")</f>
        <v/>
      </c>
      <c r="AL57" s="11"/>
      <c r="AM57" s="23"/>
      <c r="AN57" s="23"/>
      <c r="AO57" s="23"/>
    </row>
    <row r="58" spans="2:41" ht="18" customHeight="1" x14ac:dyDescent="0.25">
      <c r="B58" s="16"/>
      <c r="C58" s="166"/>
      <c r="D58" s="11"/>
      <c r="E58" s="11"/>
      <c r="F58" s="17"/>
      <c r="G58" s="162" t="str">
        <f>IF(D54&lt;&gt;"",IF(D56&lt;&gt;"",IF(D54=D56,"",IF(D54&gt;D56,C54,C56)),""),"")</f>
        <v/>
      </c>
      <c r="H58" s="234">
        <v>0</v>
      </c>
      <c r="I58" s="56">
        <f>IF(H58&lt;&gt;"",H58,"")</f>
        <v>0</v>
      </c>
      <c r="J58" s="51" t="str">
        <f>IF(H58&lt;&gt;"",IF(G58="","",G58),"")</f>
        <v/>
      </c>
      <c r="K58" s="176">
        <f>IF(I58&lt;&gt;"",IF(I60&lt;&gt;"",SMALL(I58:J60,1),""),"")</f>
        <v>0</v>
      </c>
      <c r="L58" s="51"/>
      <c r="M58" s="51"/>
      <c r="N58" s="11"/>
      <c r="O58" s="166"/>
      <c r="P58" s="11"/>
      <c r="Q58" s="8"/>
      <c r="R58" s="182"/>
      <c r="S58" s="8"/>
      <c r="T58" s="8"/>
      <c r="U58" s="8"/>
      <c r="V58" s="182"/>
      <c r="W58" s="8"/>
      <c r="X58" s="62"/>
      <c r="Y58" s="182"/>
      <c r="Z58" s="8"/>
      <c r="AA58" s="8"/>
      <c r="AB58" s="11"/>
      <c r="AC58" s="182"/>
      <c r="AD58" s="8"/>
      <c r="AE58" s="69"/>
      <c r="AF58" s="234">
        <v>0</v>
      </c>
      <c r="AG58" s="162" t="str">
        <f>IF(AJ54&lt;&gt;"",IF(AJ56&lt;&gt;"",IF(AJ54=AJ56,"",IF(AJ54&gt;AJ56,AK54,AK56)),""),"")</f>
        <v/>
      </c>
      <c r="AH58" s="65"/>
      <c r="AI58" s="8"/>
      <c r="AJ58" s="11"/>
      <c r="AK58" s="166"/>
      <c r="AL58" s="11"/>
      <c r="AM58" s="23"/>
    </row>
    <row r="59" spans="2:41" ht="18" customHeight="1" thickBot="1" x14ac:dyDescent="0.3">
      <c r="B59" s="16"/>
      <c r="C59" s="166"/>
      <c r="D59" s="11"/>
      <c r="E59" s="11"/>
      <c r="F59" s="17"/>
      <c r="G59" s="165" t="str">
        <f>IFERROR(IF(G58="","",VLOOKUP(G58,LISTAS!$F$5:$G$1004,2,0)),"0")</f>
        <v/>
      </c>
      <c r="H59" s="235"/>
      <c r="I59" s="57"/>
      <c r="J59" s="51"/>
      <c r="K59" s="176"/>
      <c r="L59" s="51"/>
      <c r="M59" s="51"/>
      <c r="N59" s="11"/>
      <c r="O59" s="166"/>
      <c r="P59" s="11"/>
      <c r="Q59" s="8"/>
      <c r="R59" s="182"/>
      <c r="S59" s="8"/>
      <c r="T59" s="8"/>
      <c r="U59" s="8"/>
      <c r="V59" s="182"/>
      <c r="W59" s="8"/>
      <c r="X59" s="62"/>
      <c r="Y59" s="182"/>
      <c r="Z59" s="8"/>
      <c r="AA59" s="8"/>
      <c r="AB59" s="11"/>
      <c r="AC59" s="182"/>
      <c r="AD59" s="8"/>
      <c r="AE59" s="70"/>
      <c r="AF59" s="235"/>
      <c r="AG59" s="165" t="str">
        <f>IFERROR(IF(AG58="","",VLOOKUP(AG58,LISTAS!$F$5:$G$1004,2,0)),"0")</f>
        <v/>
      </c>
      <c r="AH59" s="65"/>
      <c r="AI59" s="8"/>
      <c r="AJ59" s="11"/>
      <c r="AK59" s="166"/>
      <c r="AL59" s="11"/>
    </row>
    <row r="60" spans="2:41" ht="18" customHeight="1" x14ac:dyDescent="0.25">
      <c r="B60" s="16"/>
      <c r="C60" s="166"/>
      <c r="D60" s="11"/>
      <c r="E60" s="18"/>
      <c r="F60" s="19"/>
      <c r="G60" s="162" t="str">
        <f>IF(D62&lt;&gt;"",IF(D64&lt;&gt;"",IF(D62=D64,"",IF(D62&gt;D64,C62,C64)),""),"")</f>
        <v>LUIZA CRISTINA URTADO BRAZ</v>
      </c>
      <c r="H60" s="234">
        <v>2</v>
      </c>
      <c r="I60" s="57">
        <f>IF(H60&lt;&gt;"",H60,"")</f>
        <v>2</v>
      </c>
      <c r="J60" s="51" t="str">
        <f>IF(H60&lt;&gt;"",IF(G60="","",G60),"")</f>
        <v>LUIZA CRISTINA URTADO BRAZ</v>
      </c>
      <c r="K60" s="176" t="str">
        <f>VLOOKUP(K58,I58:J60,2,0)</f>
        <v/>
      </c>
      <c r="L60" s="51"/>
      <c r="M60" s="51"/>
      <c r="N60" s="11"/>
      <c r="O60" s="166"/>
      <c r="P60" s="11"/>
      <c r="Q60" s="8"/>
      <c r="R60" s="182"/>
      <c r="S60" s="8"/>
      <c r="T60" s="8"/>
      <c r="U60" s="8"/>
      <c r="V60" s="182"/>
      <c r="W60" s="8"/>
      <c r="X60" s="62"/>
      <c r="Y60" s="182"/>
      <c r="Z60" s="8"/>
      <c r="AA60" s="8"/>
      <c r="AB60" s="11"/>
      <c r="AC60" s="182"/>
      <c r="AD60" s="8"/>
      <c r="AE60" s="64"/>
      <c r="AF60" s="234">
        <v>2</v>
      </c>
      <c r="AG60" s="162" t="str">
        <f>IF(AJ62&lt;&gt;"",IF(AJ64&lt;&gt;"",IF(AJ62=AJ64,"",IF(AJ62&gt;AJ64,AK62,AK64)),""),"")</f>
        <v>LARISSA REGINI GRIZANTE</v>
      </c>
      <c r="AH60" s="66"/>
      <c r="AI60" s="8"/>
      <c r="AJ60" s="11"/>
      <c r="AK60" s="166"/>
      <c r="AL60" s="11"/>
    </row>
    <row r="61" spans="2:41" ht="18" customHeight="1" thickBot="1" x14ac:dyDescent="0.3">
      <c r="B61" s="16"/>
      <c r="C61" s="166"/>
      <c r="D61" s="11"/>
      <c r="E61" s="18"/>
      <c r="F61" s="11"/>
      <c r="G61" s="165" t="str">
        <f>IFERROR(IF(G60="","",VLOOKUP(G60,LISTAS!$F$5:$G$1004,2,0)),"0")</f>
        <v>COLÉGIO ARBOS SÃO CAETANO DO SUL</v>
      </c>
      <c r="H61" s="235"/>
      <c r="I61" s="51"/>
      <c r="J61" s="51"/>
      <c r="K61" s="176"/>
      <c r="L61" s="51"/>
      <c r="M61" s="51"/>
      <c r="N61" s="11"/>
      <c r="O61" s="166"/>
      <c r="P61" s="11"/>
      <c r="Q61" s="8"/>
      <c r="R61" s="182"/>
      <c r="S61" s="8"/>
      <c r="T61" s="8"/>
      <c r="U61" s="8"/>
      <c r="V61" s="182"/>
      <c r="W61" s="8"/>
      <c r="X61" s="62"/>
      <c r="Y61" s="182"/>
      <c r="Z61" s="8"/>
      <c r="AA61" s="8"/>
      <c r="AB61" s="11"/>
      <c r="AC61" s="182"/>
      <c r="AD61" s="8"/>
      <c r="AE61" s="8"/>
      <c r="AF61" s="235"/>
      <c r="AG61" s="165" t="str">
        <f>IFERROR(IF(AG60="","",VLOOKUP(AG60,LISTAS!$F$5:$G$1004,2,0)),"0")</f>
        <v>COLÉGIO ARBOS SÃO CAETANO DO SUL</v>
      </c>
      <c r="AH61" s="8"/>
      <c r="AI61" s="69"/>
      <c r="AJ61" s="11"/>
      <c r="AK61" s="166"/>
      <c r="AL61" s="11"/>
    </row>
    <row r="62" spans="2:41" ht="18" customHeight="1" x14ac:dyDescent="0.25">
      <c r="B62" s="16">
        <v>29</v>
      </c>
      <c r="C62" s="162" t="str">
        <f>IF('17F GRP'!G5&gt;=3,'17F GRP'!J385,IF('17F GRP'!G5=2,"",IF('17F GRP'!G5=1,"","")))</f>
        <v/>
      </c>
      <c r="D62" s="234">
        <v>0</v>
      </c>
      <c r="E62" s="56">
        <f>IF(D62&lt;&gt;"",D62,"")</f>
        <v>0</v>
      </c>
      <c r="F62" s="51" t="str">
        <f>IF(D62&lt;&gt;"",IF(C62="","",C62),"")</f>
        <v/>
      </c>
      <c r="G62" s="176">
        <f>IF(E62&lt;&gt;"",IF(E64&lt;&gt;"",SMALL(E62:E64,1),""),"")</f>
        <v>0</v>
      </c>
      <c r="H62" s="51"/>
      <c r="I62" s="51"/>
      <c r="J62" s="51"/>
      <c r="K62" s="176"/>
      <c r="L62" s="51"/>
      <c r="M62" s="51"/>
      <c r="N62" s="11"/>
      <c r="O62" s="166"/>
      <c r="P62" s="11"/>
      <c r="Q62" s="8"/>
      <c r="R62" s="182"/>
      <c r="S62" s="8"/>
      <c r="T62" s="8"/>
      <c r="U62" s="8"/>
      <c r="V62" s="182"/>
      <c r="W62" s="8"/>
      <c r="X62" s="62"/>
      <c r="Y62" s="182"/>
      <c r="Z62" s="8"/>
      <c r="AA62" s="8"/>
      <c r="AB62" s="11"/>
      <c r="AC62" s="182"/>
      <c r="AD62" s="8"/>
      <c r="AE62" s="8"/>
      <c r="AF62" s="8"/>
      <c r="AG62" s="181">
        <f>IF(AJ62&lt;&gt;"",AJ62,"")</f>
        <v>0</v>
      </c>
      <c r="AH62" s="78" t="str">
        <f>IF(AJ62&lt;&gt;"",IF(AK62="","",AK62),"")</f>
        <v/>
      </c>
      <c r="AI62" s="53">
        <f>IF(AG62&lt;&gt;"",IF(AG64&lt;&gt;"",SMALL(AG62:AG64,1),""),"")</f>
        <v>0</v>
      </c>
      <c r="AJ62" s="234">
        <v>0</v>
      </c>
      <c r="AK62" s="185" t="str">
        <f>IF('17F GRP'!G5&gt;=3,'17F GRP'!J411,IF('17F GRP'!G5=2,"",IF('17F GRP'!G5=1,"","")))</f>
        <v/>
      </c>
      <c r="AL62" s="11">
        <v>31</v>
      </c>
    </row>
    <row r="63" spans="2:41" ht="18" customHeight="1" thickBot="1" x14ac:dyDescent="0.3">
      <c r="B63" s="16"/>
      <c r="C63" s="165" t="str">
        <f>IFERROR(IF(C62="","",VLOOKUP(C62,LISTAS!$F$5:$G$1004,2,0)),"0")</f>
        <v/>
      </c>
      <c r="D63" s="235"/>
      <c r="E63" s="57"/>
      <c r="F63" s="51"/>
      <c r="G63" s="176"/>
      <c r="H63" s="51"/>
      <c r="I63" s="51"/>
      <c r="J63" s="51"/>
      <c r="K63" s="166"/>
      <c r="L63" s="11"/>
      <c r="M63" s="11"/>
      <c r="N63" s="11"/>
      <c r="O63" s="166"/>
      <c r="P63" s="11"/>
      <c r="Q63" s="8"/>
      <c r="R63" s="182"/>
      <c r="S63" s="8"/>
      <c r="T63" s="8"/>
      <c r="U63" s="8"/>
      <c r="V63" s="182"/>
      <c r="W63" s="8"/>
      <c r="X63" s="62"/>
      <c r="Y63" s="182"/>
      <c r="Z63" s="8"/>
      <c r="AA63" s="8"/>
      <c r="AB63" s="11"/>
      <c r="AC63" s="182"/>
      <c r="AD63" s="8"/>
      <c r="AE63" s="8"/>
      <c r="AF63" s="8"/>
      <c r="AG63" s="181"/>
      <c r="AH63" s="78"/>
      <c r="AI63" s="77"/>
      <c r="AJ63" s="235"/>
      <c r="AK63" s="165" t="str">
        <f>IFERROR(IF(AK62="","",VLOOKUP(AK62,LISTAS!$F$5:$G$1004,2,0)),"0")</f>
        <v/>
      </c>
      <c r="AL63" s="11"/>
    </row>
    <row r="64" spans="2:41" ht="18" customHeight="1" x14ac:dyDescent="0.25">
      <c r="B64" s="16">
        <v>4</v>
      </c>
      <c r="C64" s="162" t="str">
        <f>IF('17F GRP'!G5&gt;=3,'17F GRP'!J60,IF('17F GRP'!G5=2,IF('17F GRP'!H8=3,"",'17F GRP'!J31),IF('17F GRP'!G5=1,'17F GRP'!J11,"")))</f>
        <v>LUIZA CRISTINA URTADO BRAZ</v>
      </c>
      <c r="D64" s="234">
        <v>2</v>
      </c>
      <c r="E64" s="57">
        <f>IF(D64&lt;&gt;"",D64,"")</f>
        <v>2</v>
      </c>
      <c r="F64" s="51" t="str">
        <f>IF(D64&lt;&gt;"",IF(C64="","",C64),"")</f>
        <v>LUIZA CRISTINA URTADO BRAZ</v>
      </c>
      <c r="G64" s="176" t="str">
        <f>VLOOKUP(G62,E62:F64,2,0)</f>
        <v/>
      </c>
      <c r="H64" s="51"/>
      <c r="I64" s="51"/>
      <c r="J64" s="51"/>
      <c r="K64" s="166"/>
      <c r="L64" s="11"/>
      <c r="M64" s="11"/>
      <c r="N64" s="11"/>
      <c r="O64" s="166"/>
      <c r="P64" s="11"/>
      <c r="Q64" s="8"/>
      <c r="R64" s="182"/>
      <c r="S64" s="8"/>
      <c r="T64" s="8"/>
      <c r="U64" s="8"/>
      <c r="V64" s="182"/>
      <c r="W64" s="8"/>
      <c r="X64" s="62"/>
      <c r="Y64" s="182"/>
      <c r="Z64" s="8"/>
      <c r="AA64" s="8"/>
      <c r="AB64" s="11"/>
      <c r="AC64" s="182"/>
      <c r="AD64" s="8"/>
      <c r="AE64" s="8"/>
      <c r="AF64" s="8"/>
      <c r="AG64" s="181">
        <f>IF(AJ64&lt;&gt;"",AJ64,"")</f>
        <v>2</v>
      </c>
      <c r="AH64" s="78" t="str">
        <f>IF(AJ64&lt;&gt;"",IF(AK64="","",AK64),"")</f>
        <v>LARISSA REGINI GRIZANTE</v>
      </c>
      <c r="AI64" s="76" t="str">
        <f>VLOOKUP(AI62,AG62:AH64,2,0)</f>
        <v/>
      </c>
      <c r="AJ64" s="234">
        <v>2</v>
      </c>
      <c r="AK64" s="162" t="str">
        <f>IF('17F GRP'!G5&gt;=3,'17F GRP'!J30,IF('17F GRP'!G5=2,IF('17F GRP'!H8=3,'17F GRP'!J30,'17F GRP'!J30),IF('17F GRP'!G5=1,'17F GRP'!J9,"")))</f>
        <v>LARISSA REGINI GRIZANTE</v>
      </c>
      <c r="AL64" s="11">
        <v>2</v>
      </c>
    </row>
    <row r="65" spans="2:47" ht="18" customHeight="1" thickBot="1" x14ac:dyDescent="0.3">
      <c r="B65" s="16"/>
      <c r="C65" s="165" t="str">
        <f>IFERROR(IF(C64="","",VLOOKUP(C64,LISTAS!$F$5:$G$1004,2,0)),"0")</f>
        <v>COLÉGIO ARBOS SÃO CAETANO DO SUL</v>
      </c>
      <c r="D65" s="235"/>
      <c r="E65" s="51"/>
      <c r="F65" s="51"/>
      <c r="G65" s="176"/>
      <c r="H65" s="51"/>
      <c r="I65" s="51"/>
      <c r="J65" s="51"/>
      <c r="K65" s="166"/>
      <c r="L65" s="11"/>
      <c r="M65" s="11"/>
      <c r="N65" s="11"/>
      <c r="O65" s="166"/>
      <c r="P65" s="11"/>
      <c r="Q65" s="8"/>
      <c r="R65" s="182"/>
      <c r="S65" s="8"/>
      <c r="T65" s="8"/>
      <c r="U65" s="8"/>
      <c r="V65" s="182"/>
      <c r="W65" s="8"/>
      <c r="X65" s="62"/>
      <c r="Y65" s="182"/>
      <c r="Z65" s="8"/>
      <c r="AA65" s="8"/>
      <c r="AB65" s="11"/>
      <c r="AC65" s="182"/>
      <c r="AD65" s="8"/>
      <c r="AE65" s="8"/>
      <c r="AF65" s="8"/>
      <c r="AG65" s="181"/>
      <c r="AH65" s="78"/>
      <c r="AI65" s="51"/>
      <c r="AJ65" s="235"/>
      <c r="AK65" s="165" t="str">
        <f>IFERROR(IF(AK64="","",VLOOKUP(AK64,LISTAS!$F$5:$G$1004,2,0)),"0")</f>
        <v>COLÉGIO ARBOS SÃO CAETANO DO SUL</v>
      </c>
      <c r="AL65" s="11"/>
    </row>
    <row r="66" spans="2:47" ht="18" customHeight="1" x14ac:dyDescent="0.25">
      <c r="B66" s="16"/>
      <c r="C66" s="167"/>
      <c r="D66" s="71"/>
      <c r="E66" s="127"/>
      <c r="F66" s="127"/>
      <c r="G66" s="177"/>
      <c r="H66" s="127"/>
      <c r="I66" s="127"/>
      <c r="J66" s="127"/>
      <c r="K66" s="167"/>
      <c r="L66" s="71"/>
      <c r="M66" s="71"/>
      <c r="N66" s="71"/>
      <c r="O66" s="167"/>
      <c r="P66" s="71"/>
      <c r="Q66" s="8"/>
      <c r="R66" s="182"/>
      <c r="S66" s="8"/>
      <c r="T66" s="8"/>
      <c r="U66" s="8"/>
      <c r="V66" s="182"/>
      <c r="W66" s="8"/>
      <c r="X66" s="62"/>
      <c r="Y66" s="182"/>
      <c r="Z66" s="8"/>
      <c r="AA66" s="8"/>
      <c r="AB66" s="11"/>
      <c r="AC66" s="182"/>
      <c r="AD66" s="8"/>
      <c r="AE66" s="8"/>
      <c r="AF66" s="8"/>
      <c r="AG66" s="181"/>
      <c r="AH66" s="78"/>
      <c r="AI66" s="78"/>
      <c r="AJ66" s="71"/>
      <c r="AK66" s="167"/>
      <c r="AL66" s="11"/>
    </row>
    <row r="67" spans="2:47" ht="18" customHeight="1" x14ac:dyDescent="0.25">
      <c r="B67" s="11"/>
      <c r="C67" s="167"/>
      <c r="D67" s="71"/>
      <c r="E67" s="71"/>
      <c r="F67" s="71"/>
      <c r="G67" s="167"/>
      <c r="H67" s="71"/>
      <c r="I67" s="71"/>
      <c r="J67" s="71"/>
      <c r="K67" s="167"/>
      <c r="L67" s="71"/>
      <c r="M67" s="71"/>
      <c r="N67" s="71"/>
      <c r="O67" s="167"/>
      <c r="P67" s="71"/>
      <c r="Q67" s="8"/>
      <c r="R67" s="182"/>
      <c r="S67" s="8"/>
      <c r="T67" s="8"/>
      <c r="U67" s="8"/>
      <c r="V67" s="182"/>
      <c r="W67" s="8"/>
      <c r="X67" s="62"/>
      <c r="Y67" s="182"/>
      <c r="Z67" s="8"/>
      <c r="AA67" s="8"/>
      <c r="AB67" s="11"/>
      <c r="AC67" s="182"/>
      <c r="AD67" s="8"/>
      <c r="AE67" s="8"/>
      <c r="AF67" s="8"/>
      <c r="AG67" s="182"/>
      <c r="AH67" s="8"/>
      <c r="AI67" s="8"/>
      <c r="AJ67" s="71"/>
      <c r="AK67" s="167"/>
      <c r="AL67" s="11"/>
    </row>
    <row r="68" spans="2:47" ht="18" customHeight="1" x14ac:dyDescent="0.25">
      <c r="B68" s="22"/>
      <c r="C68" s="168"/>
      <c r="D68" s="22"/>
      <c r="E68" s="22"/>
      <c r="F68" s="22"/>
      <c r="G68" s="168"/>
      <c r="H68" s="22"/>
      <c r="I68" s="22"/>
      <c r="J68" s="22"/>
      <c r="K68" s="168"/>
      <c r="L68" s="22"/>
      <c r="M68" s="22"/>
      <c r="N68" s="22"/>
      <c r="O68" s="168"/>
      <c r="P68" s="22"/>
      <c r="W68" s="22"/>
      <c r="X68" s="22"/>
      <c r="Y68" s="168"/>
      <c r="Z68" s="22"/>
      <c r="AA68" s="22"/>
      <c r="AB68" s="22"/>
      <c r="AC68" s="168"/>
      <c r="AD68" s="22"/>
      <c r="AE68" s="22"/>
      <c r="AF68" s="22"/>
      <c r="AG68" s="168"/>
      <c r="AH68" s="22"/>
      <c r="AI68" s="22"/>
      <c r="AJ68" s="22"/>
      <c r="AK68" s="168"/>
    </row>
    <row r="69" spans="2:47" ht="18" customHeight="1" x14ac:dyDescent="0.25">
      <c r="B69" s="22"/>
      <c r="C69" s="168"/>
      <c r="D69" s="22"/>
      <c r="E69" s="22"/>
      <c r="F69" s="22"/>
      <c r="G69" s="168"/>
      <c r="H69" s="22"/>
      <c r="I69" s="22"/>
      <c r="J69" s="22"/>
      <c r="K69" s="168"/>
      <c r="L69" s="22"/>
      <c r="M69" s="22"/>
      <c r="N69" s="22"/>
      <c r="O69" s="168"/>
      <c r="P69" s="22"/>
      <c r="W69" s="22"/>
      <c r="X69" s="22"/>
      <c r="Y69" s="168"/>
      <c r="Z69" s="22"/>
      <c r="AA69" s="22"/>
      <c r="AB69" s="22"/>
      <c r="AC69" s="168"/>
      <c r="AD69" s="22"/>
      <c r="AE69" s="22"/>
      <c r="AF69" s="22"/>
      <c r="AG69" s="168"/>
      <c r="AH69" s="22"/>
      <c r="AI69" s="22"/>
      <c r="AJ69" s="22"/>
      <c r="AK69" s="168"/>
    </row>
    <row r="70" spans="2:47" ht="30" customHeight="1" x14ac:dyDescent="0.25">
      <c r="B70" s="249" t="s">
        <v>20</v>
      </c>
      <c r="C70" s="250"/>
      <c r="D70" s="250"/>
      <c r="E70" s="250"/>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0"/>
      <c r="AI70" s="250"/>
      <c r="AJ70" s="250"/>
      <c r="AK70" s="250"/>
      <c r="AL70" s="250"/>
      <c r="AP70" s="240" t="s">
        <v>4</v>
      </c>
      <c r="AQ70" s="240"/>
      <c r="AR70" s="240"/>
      <c r="AS70" s="240"/>
      <c r="AT70" s="240"/>
      <c r="AU70" s="240"/>
    </row>
    <row r="71" spans="2:47" ht="18" customHeight="1" thickBot="1" x14ac:dyDescent="0.3">
      <c r="B71" s="73"/>
      <c r="C71" s="164"/>
      <c r="D71" s="61"/>
      <c r="E71" s="61"/>
      <c r="F71" s="61"/>
      <c r="G71" s="175"/>
      <c r="H71" s="61"/>
      <c r="I71" s="61"/>
      <c r="J71" s="61"/>
      <c r="K71" s="179"/>
      <c r="L71" s="61"/>
      <c r="M71" s="61"/>
      <c r="N71" s="61"/>
      <c r="O71" s="179"/>
      <c r="P71" s="61"/>
      <c r="Q71" s="61"/>
      <c r="R71" s="179"/>
      <c r="S71" s="61"/>
      <c r="T71" s="61"/>
      <c r="U71" s="61"/>
      <c r="V71" s="179"/>
      <c r="W71" s="61"/>
      <c r="X71" s="74"/>
      <c r="Y71" s="179"/>
      <c r="Z71" s="61"/>
      <c r="AA71" s="61"/>
      <c r="AB71" s="75"/>
      <c r="AC71" s="179"/>
      <c r="AD71" s="61"/>
      <c r="AE71" s="61"/>
      <c r="AF71" s="61"/>
      <c r="AG71" s="179"/>
      <c r="AH71" s="61"/>
      <c r="AI71" s="61"/>
      <c r="AJ71" s="61"/>
      <c r="AK71" s="179"/>
      <c r="AL71" s="61"/>
      <c r="AP71" s="228" t="s">
        <v>3</v>
      </c>
      <c r="AQ71" s="230"/>
      <c r="AR71" s="9" t="s">
        <v>15</v>
      </c>
      <c r="AS71" s="9" t="s">
        <v>0</v>
      </c>
      <c r="AT71" s="9" t="s">
        <v>16</v>
      </c>
      <c r="AU71" s="9" t="s">
        <v>17</v>
      </c>
    </row>
    <row r="72" spans="2:47" ht="18" customHeight="1" x14ac:dyDescent="0.25">
      <c r="B72" s="10">
        <v>1</v>
      </c>
      <c r="C72" s="169" t="str">
        <f>IF('17F GRP'!G5&gt;=3,'17F GRP'!J9,IF('17F GRP'!G5=2,IF('17F GRP'!H8=3,'17F GRP'!J9,'17F GRP'!J10),IF('17F GRP'!G5=1,"","")))</f>
        <v>ASHLEY DIAS OLIVEIRA</v>
      </c>
      <c r="D72" s="234">
        <v>2</v>
      </c>
      <c r="E72" s="51">
        <f>IF(D72&lt;&gt;"",D72,"")</f>
        <v>2</v>
      </c>
      <c r="F72" s="51" t="str">
        <f>IF(D72&lt;&gt;"",IF(C72="","",C72),"")</f>
        <v>ASHLEY DIAS OLIVEIRA</v>
      </c>
      <c r="G72" s="176">
        <f>IF(E72&lt;&gt;"",IF(E74&lt;&gt;"",SMALL(E72:E74,1),""),"")</f>
        <v>0</v>
      </c>
      <c r="H72" s="11"/>
      <c r="I72" s="11"/>
      <c r="J72" s="11"/>
      <c r="K72" s="166"/>
      <c r="L72" s="11"/>
      <c r="M72" s="12"/>
      <c r="N72" s="12"/>
      <c r="O72" s="180"/>
      <c r="P72" s="12"/>
      <c r="Q72" s="8"/>
      <c r="R72" s="182"/>
      <c r="S72" s="8"/>
      <c r="T72" s="8"/>
      <c r="U72" s="8"/>
      <c r="V72" s="182"/>
      <c r="W72" s="8"/>
      <c r="X72" s="62"/>
      <c r="Y72" s="182"/>
      <c r="Z72" s="8"/>
      <c r="AA72" s="8"/>
      <c r="AB72" s="11"/>
      <c r="AC72" s="182"/>
      <c r="AD72" s="8"/>
      <c r="AE72" s="8"/>
      <c r="AF72" s="8"/>
      <c r="AG72" s="181">
        <f>IF(AJ72&lt;&gt;"",AJ72,"")</f>
        <v>2</v>
      </c>
      <c r="AH72" s="78" t="str">
        <f>IF(AJ72&lt;&gt;"",IF(AK72="","",AK72),"")</f>
        <v>ASHLEY NATSUMI KUMANO MAEGAWA</v>
      </c>
      <c r="AI72" s="51">
        <f>IF(AG72&lt;&gt;"",IF(AG74&lt;&gt;"",SMALL(AG72:AG74,1),""),"")</f>
        <v>0</v>
      </c>
      <c r="AJ72" s="234">
        <v>2</v>
      </c>
      <c r="AK72" s="169" t="str">
        <f>IF('17F GRP'!G5&gt;=3,'17F GRP'!J48,IF('17F GRP'!G5=2,IF('17F GRP'!H8=3,"",'17F GRP'!J11),IF('17F GRP'!G5=1,"","")))</f>
        <v>ASHLEY NATSUMI KUMANO MAEGAWA</v>
      </c>
      <c r="AL72" s="63">
        <v>3</v>
      </c>
      <c r="AP72" s="13">
        <f>IF(AR72&lt;&gt;"",1,"")</f>
        <v>1</v>
      </c>
      <c r="AQ72" s="14" t="str">
        <f>IF(AP72&lt;&gt;"","LUGAR","")</f>
        <v>LUGAR</v>
      </c>
      <c r="AR72" s="15" t="str">
        <f>IF(S100&lt;&gt;"",IF(U100&lt;&gt;"",IF(S100=U100,"",IF(S100&gt;U100,R100,V100)),""),"")</f>
        <v>ASHLEY NATSUMI KUMANO MAEGAWA</v>
      </c>
      <c r="AS72" s="15" t="str">
        <f>IFERROR(IF(AR72="","",VLOOKUP(AR72,LISTAS!$F$5:$G$1004,2,0)),"0")</f>
        <v>COLÉGIO ARBOS SÃO CAETANO DO SUL</v>
      </c>
      <c r="AT72" s="15">
        <f>IF(AP72="","",IF(AP72=1,180,IF(AP72=2,170,IF(AP72=3,150,IF(AP72=4,140,IF(AP72=5,135,IF(AP72=6,130,IF(AP72=7,120,IF(AP72=8,110,IF(AP72=9,105,IF(AP72=10,105,IF(AP72=11,105,IF(AP72=12,105,IF(AP72=13,105,IF(AP72=14,105,IF(AP72=15,105,IF(AP72=16,105,IF(AP72&gt;16,"",""))))))))))))))))))</f>
        <v>180</v>
      </c>
      <c r="AU72" s="15">
        <f>IF(AP72="","",IF($AS$5="NÃO","",IF(AP72=1,180,IF(AP72=2,170,IF(AP72=3,150,IF(AP72=4,140,IF(AP72=5,135,IF(AP72=6,130,IF(AP72=7,120,IF(AP72=8,110,IF(AP72=9,105,IF(AP72=10,105,IF(AP72=11,105,IF(AP72=12,105,IF(AP72=13,105,IF(AP72=14,105,IF(AP72=15,105,IF(AP72=16,105,IF(AP72&gt;16,"","")))))))))))))))))))</f>
        <v>180</v>
      </c>
    </row>
    <row r="73" spans="2:47" ht="18" customHeight="1" thickBot="1" x14ac:dyDescent="0.3">
      <c r="B73" s="10"/>
      <c r="C73" s="170" t="str">
        <f>IFERROR(IF(C72="","",VLOOKUP(C72,LISTAS!$F$5:$G$1004,2,0)),"0")</f>
        <v>COLÉGIO ENGENHEIRO SALVADOR ARENA</v>
      </c>
      <c r="D73" s="235"/>
      <c r="E73" s="51"/>
      <c r="F73" s="51"/>
      <c r="G73" s="176"/>
      <c r="H73" s="11"/>
      <c r="I73" s="11"/>
      <c r="J73" s="11"/>
      <c r="K73" s="166"/>
      <c r="L73" s="11"/>
      <c r="M73" s="12"/>
      <c r="N73" s="12"/>
      <c r="O73" s="180"/>
      <c r="P73" s="12"/>
      <c r="Q73" s="8"/>
      <c r="R73" s="182"/>
      <c r="S73" s="8"/>
      <c r="T73" s="8"/>
      <c r="U73" s="8"/>
      <c r="V73" s="182"/>
      <c r="W73" s="8"/>
      <c r="X73" s="62"/>
      <c r="Y73" s="182"/>
      <c r="Z73" s="8"/>
      <c r="AA73" s="8"/>
      <c r="AB73" s="11"/>
      <c r="AC73" s="182"/>
      <c r="AD73" s="8"/>
      <c r="AE73" s="8"/>
      <c r="AF73" s="8"/>
      <c r="AG73" s="181"/>
      <c r="AH73" s="78"/>
      <c r="AI73" s="51"/>
      <c r="AJ73" s="235"/>
      <c r="AK73" s="170" t="str">
        <f>IFERROR(IF(AK72="","",VLOOKUP(AK72,LISTAS!$F$5:$G$1004,2,0)),"0")</f>
        <v>COLÉGIO ARBOS SÃO CAETANO DO SUL</v>
      </c>
      <c r="AL73" s="63"/>
      <c r="AP73" s="13">
        <f>IF(AR73&lt;&gt;"",1+COUNTIF(AP72,"1"),"")</f>
        <v>2</v>
      </c>
      <c r="AQ73" s="14" t="str">
        <f t="shared" ref="AQ73:AQ103" si="3">IF(AP73&lt;&gt;"","LUGAR","")</f>
        <v>LUGAR</v>
      </c>
      <c r="AR73" s="15" t="str">
        <f>IF(S100&lt;&gt;"",IF(U100&lt;&gt;"",IF(S100=U100,"",IF(S100&lt;U100,R100,V100)),""),"")</f>
        <v>ASHLEY DIAS OLIVEIRA</v>
      </c>
      <c r="AS73" s="15" t="str">
        <f>IFERROR(IF(AR73="","",VLOOKUP(AR73,LISTAS!$F$5:$G$1004,2,0)),"0")</f>
        <v>COLÉGIO ENGENHEIRO SALVADOR ARENA</v>
      </c>
      <c r="AT73" s="15">
        <f t="shared" ref="AT73:AT102" si="4">IF(AP73="","",IF(AP73=1,180,IF(AP73=2,170,IF(AP73=3,150,IF(AP73=4,140,IF(AP73=5,135,IF(AP73=6,130,IF(AP73=7,120,IF(AP73=8,110,IF(AP73=9,105,IF(AP73=10,105,IF(AP73=11,105,IF(AP73=12,105,IF(AP73=13,105,IF(AP73=14,105,IF(AP73=15,105,IF(AP73=16,105,IF(AP73&gt;16,"",""))))))))))))))))))</f>
        <v>170</v>
      </c>
      <c r="AU73" s="15">
        <f t="shared" ref="AU73:AU102" si="5">IF(AP73="","",IF($AS$5="NÃO","",IF(AP73=1,180,IF(AP73=2,170,IF(AP73=3,150,IF(AP73=4,140,IF(AP73=5,135,IF(AP73=6,130,IF(AP73=7,120,IF(AP73=8,110,IF(AP73=9,105,IF(AP73=10,105,IF(AP73=11,105,IF(AP73=12,105,IF(AP73=13,105,IF(AP73=14,105,IF(AP73=15,105,IF(AP73=16,105,IF(AP73&gt;16,"","")))))))))))))))))))</f>
        <v>170</v>
      </c>
    </row>
    <row r="74" spans="2:47" ht="18" customHeight="1" x14ac:dyDescent="0.25">
      <c r="B74" s="16">
        <v>32</v>
      </c>
      <c r="C74" s="169" t="str">
        <f>IF('17F GRP'!G5&gt;=3,'17F GRP'!J425,IF('17F GRP'!G5=2,"",IF('17F GRP'!G5=1,"","")))</f>
        <v/>
      </c>
      <c r="D74" s="234">
        <v>0</v>
      </c>
      <c r="E74" s="52">
        <f>IF(D74&lt;&gt;"",D74,"")</f>
        <v>0</v>
      </c>
      <c r="F74" s="51" t="str">
        <f>IF(D74&lt;&gt;"",IF(C74="","",C74),"")</f>
        <v/>
      </c>
      <c r="G74" s="176" t="str">
        <f>VLOOKUP(G72,E72:F74,2,0)</f>
        <v/>
      </c>
      <c r="H74" s="11"/>
      <c r="I74" s="11"/>
      <c r="J74" s="11"/>
      <c r="K74" s="166"/>
      <c r="L74" s="11"/>
      <c r="M74" s="12"/>
      <c r="N74" s="12"/>
      <c r="O74" s="180"/>
      <c r="P74" s="12"/>
      <c r="Q74" s="8"/>
      <c r="R74" s="182"/>
      <c r="S74" s="8"/>
      <c r="T74" s="8"/>
      <c r="U74" s="8"/>
      <c r="V74" s="182"/>
      <c r="W74" s="8"/>
      <c r="X74" s="62"/>
      <c r="Y74" s="182"/>
      <c r="Z74" s="8"/>
      <c r="AA74" s="8"/>
      <c r="AB74" s="11"/>
      <c r="AC74" s="182"/>
      <c r="AD74" s="8"/>
      <c r="AE74" s="8"/>
      <c r="AF74" s="8"/>
      <c r="AG74" s="181">
        <f>IF(AJ74&lt;&gt;"",AJ74,"")</f>
        <v>0</v>
      </c>
      <c r="AH74" s="78" t="str">
        <f>IF(AJ74&lt;&gt;"",IF(AK74="","",AK74),"")</f>
        <v/>
      </c>
      <c r="AI74" s="55" t="str">
        <f>VLOOKUP(AI72,AG72:AH74,2,0)</f>
        <v/>
      </c>
      <c r="AJ74" s="234">
        <v>0</v>
      </c>
      <c r="AK74" s="169" t="str">
        <f>IF('17F GRP'!G5&gt;=3,'17F GRP'!J399,IF('17F GRP'!G5=2,"",IF('17F GRP'!G5=1,"","")))</f>
        <v/>
      </c>
      <c r="AL74" s="11">
        <v>30</v>
      </c>
      <c r="AP74" s="13">
        <f>IF(AR74&lt;&gt;"",1+COUNTIF(AP72:AP73,"1")+COUNTIF(AP72:AP73,"2"),"")</f>
        <v>3</v>
      </c>
      <c r="AQ74" s="14" t="str">
        <f t="shared" si="3"/>
        <v>LUGAR</v>
      </c>
      <c r="AR74" s="21" t="str">
        <f>IF(AR72&lt;&gt;"",IF(O99=AR72,O101,IF(O101=AR72,O99,IF(Y99=AR72,Y101,IF(Y101=AR72,Y99)))),"")</f>
        <v>IZABELLY VIEIRA SCHLOZ</v>
      </c>
      <c r="AS74" s="15" t="str">
        <f>IFERROR(IF(AR74="","",VLOOKUP(AR74,LISTAS!$F$5:$G$1004,2,0)),"0")</f>
        <v>COLÉGIO ENGENHEIRO SALVADOR ARENA</v>
      </c>
      <c r="AT74" s="15">
        <f t="shared" si="4"/>
        <v>150</v>
      </c>
      <c r="AU74" s="15">
        <f t="shared" si="5"/>
        <v>150</v>
      </c>
    </row>
    <row r="75" spans="2:47" ht="18" customHeight="1" thickBot="1" x14ac:dyDescent="0.3">
      <c r="B75" s="16"/>
      <c r="C75" s="170" t="str">
        <f>IFERROR(IF(C74="","",VLOOKUP(C74,LISTAS!$F$5:$G$1004,2,0)),"0")</f>
        <v/>
      </c>
      <c r="D75" s="235"/>
      <c r="E75" s="128"/>
      <c r="F75" s="51"/>
      <c r="G75" s="176"/>
      <c r="H75" s="11"/>
      <c r="I75" s="11"/>
      <c r="J75" s="11"/>
      <c r="K75" s="166"/>
      <c r="L75" s="11"/>
      <c r="M75" s="12"/>
      <c r="N75" s="12"/>
      <c r="O75" s="180"/>
      <c r="P75" s="12"/>
      <c r="Q75" s="8"/>
      <c r="R75" s="182"/>
      <c r="S75" s="8"/>
      <c r="T75" s="8"/>
      <c r="U75" s="8"/>
      <c r="V75" s="182"/>
      <c r="W75" s="8"/>
      <c r="X75" s="62"/>
      <c r="Y75" s="182"/>
      <c r="Z75" s="8"/>
      <c r="AA75" s="8"/>
      <c r="AB75" s="11"/>
      <c r="AC75" s="182"/>
      <c r="AD75" s="8"/>
      <c r="AE75" s="8"/>
      <c r="AF75" s="8"/>
      <c r="AG75" s="181"/>
      <c r="AH75" s="78"/>
      <c r="AI75" s="123"/>
      <c r="AJ75" s="235"/>
      <c r="AK75" s="170" t="str">
        <f>IFERROR(IF(AK74="","",VLOOKUP(AK74,LISTAS!$F$5:$G$1004,2,0)),"0")</f>
        <v/>
      </c>
      <c r="AL75" s="11"/>
      <c r="AP75" s="13">
        <f>IF(AR75&lt;&gt;"",1+COUNTIF(AP72:AP74,"1")+COUNTIF(AP72:AP74,"2")+COUNTIF(AP72:AP74,"3"),"")</f>
        <v>4</v>
      </c>
      <c r="AQ75" s="14" t="str">
        <f t="shared" si="3"/>
        <v>LUGAR</v>
      </c>
      <c r="AR75" s="21" t="str">
        <f>IF(AR73&lt;&gt;"",IF(O99=AR73,O101,IF(O101=AR73,O99,IF(Y99=AR73,Y101,IF(Y101=AR73,Y99)))),"")</f>
        <v>MARIA ISABEL CHIRATA</v>
      </c>
      <c r="AS75" s="15" t="str">
        <f>IFERROR(IF(AR75="","",VLOOKUP(AR75,LISTAS!$F$5:$G$1004,2,0)),"0")</f>
        <v>COLÉGIO SÃO MAURO</v>
      </c>
      <c r="AT75" s="15">
        <f t="shared" si="4"/>
        <v>140</v>
      </c>
      <c r="AU75" s="15">
        <f t="shared" si="5"/>
        <v>140</v>
      </c>
    </row>
    <row r="76" spans="2:47" ht="18" customHeight="1" x14ac:dyDescent="0.25">
      <c r="B76" s="16"/>
      <c r="C76" s="166"/>
      <c r="D76" s="11"/>
      <c r="E76" s="11"/>
      <c r="F76" s="17"/>
      <c r="G76" s="169" t="str">
        <f>IF(D72&lt;&gt;"",IF(D74&lt;&gt;"",IF(D72=D74,"",IF(D72&gt;D74,C72,C74)),""),"")</f>
        <v>ASHLEY DIAS OLIVEIRA</v>
      </c>
      <c r="H76" s="234">
        <v>2</v>
      </c>
      <c r="I76" s="51">
        <f>IF(H76&lt;&gt;"",H76,"")</f>
        <v>2</v>
      </c>
      <c r="J76" s="51" t="str">
        <f>IF(H76&lt;&gt;"",IF(G76="","",G76),"")</f>
        <v>ASHLEY DIAS OLIVEIRA</v>
      </c>
      <c r="K76" s="176">
        <f>IF(I76&lt;&gt;"",IF(I78&lt;&gt;"",SMALL(I76:J78,1),""),"")</f>
        <v>0</v>
      </c>
      <c r="L76" s="11"/>
      <c r="M76" s="11"/>
      <c r="N76" s="11"/>
      <c r="O76" s="166"/>
      <c r="P76" s="11"/>
      <c r="Q76" s="8"/>
      <c r="R76" s="182"/>
      <c r="S76" s="8"/>
      <c r="T76" s="8"/>
      <c r="U76" s="8"/>
      <c r="V76" s="182"/>
      <c r="W76" s="8"/>
      <c r="X76" s="62"/>
      <c r="Y76" s="182"/>
      <c r="Z76" s="8"/>
      <c r="AA76" s="8"/>
      <c r="AB76" s="11"/>
      <c r="AC76" s="182"/>
      <c r="AD76" s="8"/>
      <c r="AE76" s="67"/>
      <c r="AF76" s="234">
        <v>2</v>
      </c>
      <c r="AG76" s="169" t="str">
        <f>IF(AJ72&lt;&gt;"",IF(AJ74&lt;&gt;"",IF(AJ72=AJ74,"",IF(AJ72&gt;AJ74,AK72,AK74)),""),"")</f>
        <v>ASHLEY NATSUMI KUMANO MAEGAWA</v>
      </c>
      <c r="AH76" s="65"/>
      <c r="AI76" s="8"/>
      <c r="AJ76" s="11"/>
      <c r="AK76" s="166"/>
      <c r="AL76" s="11"/>
      <c r="AP76" s="13" t="str">
        <f>IF(AR76&lt;&gt;"",1+COUNTIF(AP72:AP75,"1")+COUNTIF(AP72:AP75,"2")+COUNTIF(AP72:AP75,"3")+COUNTIF(AP72:AP75,"4"),"")</f>
        <v/>
      </c>
      <c r="AQ76" s="14" t="str">
        <f t="shared" si="3"/>
        <v/>
      </c>
      <c r="AR76" s="21" t="str">
        <f>IF(AR72&lt;&gt;"",IF(K84=AR72,K86,IF(K86=AR72,K84,IF(K114=AR72,K116,IF(K116=AR72,K114,IF(AC84=AR72,AC86,IF(AC86=AR72,AC84,IF(AC114=AR72,AC116,IF(AC116=AR72,AC114)))))))),"")</f>
        <v/>
      </c>
      <c r="AS76" s="15" t="str">
        <f>IFERROR(IF(AR76="","",VLOOKUP(AR76,LISTAS!$F$5:$G$1004,2,0)),"0")</f>
        <v/>
      </c>
      <c r="AT76" s="15" t="str">
        <f t="shared" si="4"/>
        <v/>
      </c>
      <c r="AU76" s="15" t="str">
        <f t="shared" si="5"/>
        <v/>
      </c>
    </row>
    <row r="77" spans="2:47" ht="18" customHeight="1" thickBot="1" x14ac:dyDescent="0.3">
      <c r="B77" s="16"/>
      <c r="C77" s="166"/>
      <c r="D77" s="11"/>
      <c r="E77" s="11"/>
      <c r="F77" s="17"/>
      <c r="G77" s="170" t="str">
        <f>IFERROR(IF(G76="","",VLOOKUP(G76,LISTAS!$F$5:$G$1004,2,0)),"0")</f>
        <v>COLÉGIO ENGENHEIRO SALVADOR ARENA</v>
      </c>
      <c r="H77" s="235"/>
      <c r="I77" s="51"/>
      <c r="J77" s="51"/>
      <c r="K77" s="176"/>
      <c r="L77" s="11"/>
      <c r="M77" s="11"/>
      <c r="N77" s="11"/>
      <c r="O77" s="166"/>
      <c r="P77" s="11"/>
      <c r="Q77" s="8"/>
      <c r="R77" s="182"/>
      <c r="S77" s="8"/>
      <c r="T77" s="8"/>
      <c r="U77" s="8"/>
      <c r="V77" s="182"/>
      <c r="W77" s="8"/>
      <c r="X77" s="62"/>
      <c r="Y77" s="182"/>
      <c r="Z77" s="8"/>
      <c r="AA77" s="8"/>
      <c r="AB77" s="11"/>
      <c r="AC77" s="182"/>
      <c r="AD77" s="8"/>
      <c r="AE77" s="67"/>
      <c r="AF77" s="235"/>
      <c r="AG77" s="170" t="str">
        <f>IFERROR(IF(AG76="","",VLOOKUP(AG76,LISTAS!$F$5:$G$1004,2,0)),"0")</f>
        <v>COLÉGIO ARBOS SÃO CAETANO DO SUL</v>
      </c>
      <c r="AH77" s="65"/>
      <c r="AI77" s="8"/>
      <c r="AJ77" s="11"/>
      <c r="AK77" s="166"/>
      <c r="AL77" s="11"/>
      <c r="AP77" s="13" t="str">
        <f>IF(AR77&lt;&gt;"",1+COUNTIF(AP72:AP76,"1")+COUNTIF(AP72:AP76,"2")+COUNTIF(AP72:AP76,"3")+COUNTIF(AP72:AP76,"4")+COUNTIF(AP72:AP76,"5"),"")</f>
        <v/>
      </c>
      <c r="AQ77" s="14" t="str">
        <f t="shared" si="3"/>
        <v/>
      </c>
      <c r="AR77" s="21" t="str">
        <f>IF(AR73&lt;&gt;"",IF(K84=AR73,K86,IF(K86=AR73,K84,IF(K114=AR73,K116,IF(K116=AR73,K114,IF(AC84=AR73,AC86,IF(AC86=AR73,AC84,IF(AC114=AR73,AC116,IF(AC116=AR73,AC114)))))))),"")</f>
        <v/>
      </c>
      <c r="AS77" s="15" t="str">
        <f>IFERROR(IF(AR77="","",VLOOKUP(AR77,LISTAS!$F$5:$G$1004,2,0)),"0")</f>
        <v/>
      </c>
      <c r="AT77" s="15" t="str">
        <f t="shared" si="4"/>
        <v/>
      </c>
      <c r="AU77" s="15" t="str">
        <f t="shared" si="5"/>
        <v/>
      </c>
    </row>
    <row r="78" spans="2:47" x14ac:dyDescent="0.25">
      <c r="B78" s="16"/>
      <c r="C78" s="166"/>
      <c r="D78" s="11"/>
      <c r="E78" s="18"/>
      <c r="F78" s="19"/>
      <c r="G78" s="169" t="str">
        <f>IF(D80&lt;&gt;"",IF(D82&lt;&gt;"",IF(D80=D82,"",IF(D80&gt;D82,C80,C82)),""),"")</f>
        <v/>
      </c>
      <c r="H78" s="234">
        <v>0</v>
      </c>
      <c r="I78" s="52">
        <f>IF(H78&lt;&gt;"",H78,"")</f>
        <v>0</v>
      </c>
      <c r="J78" s="51" t="str">
        <f>IF(H78&lt;&gt;"",IF(G78="","",G78),"")</f>
        <v/>
      </c>
      <c r="K78" s="176" t="str">
        <f>VLOOKUP(K76,I76:J78,2,0)</f>
        <v/>
      </c>
      <c r="L78" s="11"/>
      <c r="M78" s="11"/>
      <c r="N78" s="11"/>
      <c r="O78" s="166"/>
      <c r="P78" s="11"/>
      <c r="Q78" s="8"/>
      <c r="R78" s="182"/>
      <c r="S78" s="8"/>
      <c r="T78" s="8"/>
      <c r="U78" s="8"/>
      <c r="V78" s="182"/>
      <c r="W78" s="8"/>
      <c r="X78" s="62"/>
      <c r="Y78" s="182"/>
      <c r="Z78" s="8"/>
      <c r="AA78" s="8"/>
      <c r="AB78" s="11"/>
      <c r="AC78" s="182"/>
      <c r="AD78" s="65"/>
      <c r="AE78" s="68"/>
      <c r="AF78" s="234">
        <v>0</v>
      </c>
      <c r="AG78" s="169" t="str">
        <f>IF(AJ80&lt;&gt;"",IF(AJ82&lt;&gt;"",IF(AJ80=AJ82,"",IF(AJ80&gt;AJ82,AK80,AK82)),""),"")</f>
        <v/>
      </c>
      <c r="AH78" s="66"/>
      <c r="AI78" s="8"/>
      <c r="AJ78" s="11"/>
      <c r="AK78" s="166"/>
      <c r="AL78" s="11"/>
      <c r="AP78" s="13" t="str">
        <f>IF(AR78&lt;&gt;"",1+COUNTIF(AP72:AP77,"1")+COUNTIF(AP72:AP77,"2")+COUNTIF(AP72:AP77,"3")+COUNTIF(AP72:AP77,"4")+COUNTIF(AP72:AP77,"5")+COUNTIF(AP72:AP77,"6"),"")</f>
        <v/>
      </c>
      <c r="AQ78" s="14" t="str">
        <f t="shared" si="3"/>
        <v/>
      </c>
      <c r="AR78" s="21" t="str">
        <f>IF(AR74&lt;&gt;"",IF(K84=AR74,K86,IF(K86=AR74,K84,IF(K114=AR74,K116,IF(K116=AR74,K114,IF(AC84=AR74,AC86,IF(AC86=AR74,AC84,IF(AC114=AR74,AC116,IF(AC116=AR74,AC114)))))))),"")</f>
        <v/>
      </c>
      <c r="AS78" s="15" t="str">
        <f>IFERROR(IF(AR78="","",VLOOKUP(AR78,LISTAS!$F$5:$G$1004,2,0)),"0")</f>
        <v/>
      </c>
      <c r="AT78" s="15" t="str">
        <f t="shared" si="4"/>
        <v/>
      </c>
      <c r="AU78" s="15" t="str">
        <f t="shared" si="5"/>
        <v/>
      </c>
    </row>
    <row r="79" spans="2:47" ht="17.25" thickBot="1" x14ac:dyDescent="0.3">
      <c r="B79" s="16"/>
      <c r="C79" s="166"/>
      <c r="D79" s="11"/>
      <c r="E79" s="18"/>
      <c r="F79" s="11"/>
      <c r="G79" s="170" t="str">
        <f>IFERROR(IF(G78="","",VLOOKUP(G78,LISTAS!$F$5:$G$1004,2,0)),"0")</f>
        <v/>
      </c>
      <c r="H79" s="235"/>
      <c r="I79" s="54"/>
      <c r="J79" s="51"/>
      <c r="K79" s="176"/>
      <c r="L79" s="11"/>
      <c r="M79" s="11"/>
      <c r="N79" s="11"/>
      <c r="O79" s="166"/>
      <c r="P79" s="11"/>
      <c r="Q79" s="8"/>
      <c r="R79" s="182"/>
      <c r="S79" s="8"/>
      <c r="T79" s="8"/>
      <c r="U79" s="8"/>
      <c r="V79" s="182"/>
      <c r="W79" s="8"/>
      <c r="X79" s="62"/>
      <c r="Y79" s="182"/>
      <c r="Z79" s="8"/>
      <c r="AA79" s="8"/>
      <c r="AB79" s="11"/>
      <c r="AC79" s="182"/>
      <c r="AD79" s="65"/>
      <c r="AE79" s="8"/>
      <c r="AF79" s="235"/>
      <c r="AG79" s="170" t="str">
        <f>IFERROR(IF(AG78="","",VLOOKUP(AG78,LISTAS!$F$5:$G$1004,2,0)),"0")</f>
        <v/>
      </c>
      <c r="AH79" s="8"/>
      <c r="AI79" s="69"/>
      <c r="AJ79" s="11"/>
      <c r="AK79" s="166"/>
      <c r="AL79" s="11"/>
      <c r="AP79" s="13">
        <f>IF(AR79&lt;&gt;"",1+COUNTIF(AP72:AP78,"1")+COUNTIF(AP72:AP78,"2")+COUNTIF(AP72:AP78,"3")+COUNTIF(AP72:AP78,"4")+COUNTIF(AP72:AP78,"5")+COUNTIF(AP72:AP78,"6")+COUNTIF(AP72:AP78,"7"),"")</f>
        <v>5</v>
      </c>
      <c r="AQ79" s="14" t="str">
        <f t="shared" si="3"/>
        <v>LUGAR</v>
      </c>
      <c r="AR79" s="21" t="str">
        <f>IF(AR75&lt;&gt;"",IF(K84=AR75,K86,IF(K86=AR75,K84,IF(K114=AR75,K116,IF(K116=AR75,K114,IF(AC84=AR75,AC86,IF(AC86=AR75,AC84,IF(AC114=AR75,AC116,IF(AC116=AR75,AC114)))))))),"")</f>
        <v>SARA DE MELO ZANUNI</v>
      </c>
      <c r="AS79" s="15" t="str">
        <f>IFERROR(IF(AR79="","",VLOOKUP(AR79,LISTAS!$F$5:$G$1004,2,0)),"0")</f>
        <v>COLÉGIO ENGENHEIRO SALVADOR ARENA</v>
      </c>
      <c r="AT79" s="15">
        <f t="shared" si="4"/>
        <v>135</v>
      </c>
      <c r="AU79" s="15">
        <f t="shared" si="5"/>
        <v>135</v>
      </c>
    </row>
    <row r="80" spans="2:47" ht="18" customHeight="1" x14ac:dyDescent="0.25">
      <c r="B80" s="16">
        <v>17</v>
      </c>
      <c r="C80" s="169" t="str">
        <f>IF('17F GRP'!G5&gt;=3,'17F GRP'!J230,IF('17F GRP'!G5=2,"",IF('17F GRP'!G5=1,"","")))</f>
        <v/>
      </c>
      <c r="D80" s="234">
        <v>0</v>
      </c>
      <c r="E80" s="56">
        <f>IF(D80&lt;&gt;"",D80,"")</f>
        <v>0</v>
      </c>
      <c r="F80" s="51" t="str">
        <f>IF(D80&lt;&gt;"",IF(C80="","",C80),"")</f>
        <v/>
      </c>
      <c r="G80" s="176">
        <f>IF(E80&lt;&gt;"",IF(E82&lt;&gt;"",SMALL(E80:E82,1),""),"")</f>
        <v>0</v>
      </c>
      <c r="H80" s="11"/>
      <c r="I80" s="18"/>
      <c r="J80" s="11"/>
      <c r="K80" s="166"/>
      <c r="L80" s="11"/>
      <c r="M80" s="11"/>
      <c r="N80" s="11"/>
      <c r="O80" s="166"/>
      <c r="P80" s="11"/>
      <c r="Q80" s="8"/>
      <c r="R80" s="182"/>
      <c r="S80" s="8"/>
      <c r="T80" s="8"/>
      <c r="U80" s="8"/>
      <c r="V80" s="182"/>
      <c r="W80" s="8"/>
      <c r="X80" s="62"/>
      <c r="Y80" s="182"/>
      <c r="Z80" s="8"/>
      <c r="AA80" s="8"/>
      <c r="AB80" s="11"/>
      <c r="AC80" s="182"/>
      <c r="AD80" s="65"/>
      <c r="AE80" s="8"/>
      <c r="AF80" s="8"/>
      <c r="AG80" s="181">
        <f>IF(AJ80&lt;&gt;"",AJ80,"")</f>
        <v>0</v>
      </c>
      <c r="AH80" s="78" t="str">
        <f>IF(AJ80&lt;&gt;"",IF(AK80="","",AK80),"")</f>
        <v/>
      </c>
      <c r="AI80" s="53">
        <f>IF(AG80&lt;&gt;"",IF(AG82&lt;&gt;"",SMALL(AG80:AG82,1),""),"")</f>
        <v>0</v>
      </c>
      <c r="AJ80" s="234">
        <v>0</v>
      </c>
      <c r="AK80" s="169" t="str">
        <f>IF('17F GRP'!G5&gt;=3,'17F GRP'!J191,IF('17F GRP'!G5=2,"",IF('17F GRP'!G5=1,"","")))</f>
        <v/>
      </c>
      <c r="AL80" s="11">
        <v>14</v>
      </c>
      <c r="AP80" s="13" t="str">
        <f>IF(AR80&lt;&gt;"",1+COUNTIF(AP72:AP79,"1")+COUNTIF(AP72:AP79,"2")+COUNTIF(AP72:AP79,"3")+COUNTIF(AP72:AP79,"4")+COUNTIF(AP72:AP79,"5")+COUNTIF(AP72:AP79,"6")+COUNTIF(AP72:AP79,"7")+COUNTIF(AP72:AP79,"8"),"")</f>
        <v/>
      </c>
      <c r="AQ80" s="14" t="str">
        <f t="shared" si="3"/>
        <v/>
      </c>
      <c r="AR80" s="21" t="str">
        <f>IF(AR72&lt;&gt;"",IF(G76=AR72,G78,IF(G78=AR72,G76,IF(G92=AR72,G94,IF(G94=AR72,G92,IF(AG76=AR72,AG78,IF(AG78=AR72,AG76,IF(AG92=AR72,AG94,IF(AG94=AR72,AG92,IF(G106=AR72,G108,IF(G108=AR72,G106,IF(G122=AR72,G124,IF(G124=AR72,G122,IF(AG106=AR72,AG108,IF(AG108=AR72,AG106,IF(AG122=AR72,AG124,IF(AG124=AR72,AG122)))))))))))))))),"")</f>
        <v/>
      </c>
      <c r="AS80" s="15" t="str">
        <f>IFERROR(IF(AR80="","",VLOOKUP(AR80,LISTAS!$F$5:$G$1004,2,0)),"0")</f>
        <v/>
      </c>
      <c r="AT80" s="15" t="str">
        <f t="shared" si="4"/>
        <v/>
      </c>
      <c r="AU80" s="15" t="str">
        <f t="shared" si="5"/>
        <v/>
      </c>
    </row>
    <row r="81" spans="2:47" ht="18" customHeight="1" thickBot="1" x14ac:dyDescent="0.3">
      <c r="B81" s="16"/>
      <c r="C81" s="170" t="str">
        <f>IFERROR(IF(C80="","",VLOOKUP(C80,LISTAS!$F$5:$G$1004,2,0)),"0")</f>
        <v/>
      </c>
      <c r="D81" s="235"/>
      <c r="E81" s="57"/>
      <c r="F81" s="51"/>
      <c r="G81" s="176"/>
      <c r="H81" s="11"/>
      <c r="I81" s="18"/>
      <c r="J81" s="11"/>
      <c r="K81" s="166"/>
      <c r="L81" s="11"/>
      <c r="M81" s="11"/>
      <c r="N81" s="11"/>
      <c r="O81" s="166"/>
      <c r="P81" s="11"/>
      <c r="Q81" s="8"/>
      <c r="R81" s="182"/>
      <c r="S81" s="8"/>
      <c r="T81" s="8"/>
      <c r="U81" s="8"/>
      <c r="V81" s="182"/>
      <c r="W81" s="8"/>
      <c r="X81" s="62"/>
      <c r="Y81" s="182"/>
      <c r="Z81" s="8"/>
      <c r="AA81" s="8"/>
      <c r="AB81" s="11"/>
      <c r="AC81" s="182"/>
      <c r="AD81" s="65"/>
      <c r="AE81" s="8"/>
      <c r="AF81" s="8"/>
      <c r="AG81" s="181"/>
      <c r="AH81" s="78"/>
      <c r="AI81" s="124"/>
      <c r="AJ81" s="235"/>
      <c r="AK81" s="170" t="str">
        <f>IFERROR(IF(AK80="","",VLOOKUP(AK80,LISTAS!$F$5:$G$1004,2,0)),"0")</f>
        <v/>
      </c>
      <c r="AL81" s="11"/>
      <c r="AP81" s="13" t="str">
        <f>IF(AR81&lt;&gt;"",1+COUNTIF(AP72:AP80,"1")+COUNTIF(AP72:AP80,"2")+COUNTIF(AP72:AP80,"3")+COUNTIF(AP72:AP80,"4")+COUNTIF(AP72:AP80,"5")+COUNTIF(AP72:AP80,"6")+COUNTIF(AP72:AP80,"7")+COUNTIF(AP72:AP80,"8")+COUNTIF(AP72:AP80,"9"),"")</f>
        <v/>
      </c>
      <c r="AQ81" s="14" t="str">
        <f t="shared" si="3"/>
        <v/>
      </c>
      <c r="AR81" s="21" t="str">
        <f>IF(AR73&lt;&gt;"",IF(G76=AR73,G78,IF(G78=AR73,G76,IF(G92=AR73,G94,IF(G94=AR73,G92,IF(AG76=AR73,AG78,IF(AG78=AR73,AG76,IF(AG92=AR73,AG94,IF(AG94=AR73,AG92,IF(G106=AR73,G108,IF(G108=AR73,G106,IF(G122=AR73,G124,IF(G124=AR73,G122,IF(AG106=AR73,AG108,IF(AG108=AR73,AG106,IF(AG122=AR73,AG124,IF(AG124=AR73,AG122)))))))))))))))),"")</f>
        <v/>
      </c>
      <c r="AS81" s="15" t="str">
        <f>IFERROR(IF(AR81="","",VLOOKUP(AR81,LISTAS!$F$5:$G$1004,2,0)),"0")</f>
        <v/>
      </c>
      <c r="AT81" s="15" t="str">
        <f t="shared" si="4"/>
        <v/>
      </c>
      <c r="AU81" s="15" t="str">
        <f t="shared" si="5"/>
        <v/>
      </c>
    </row>
    <row r="82" spans="2:47" ht="18" customHeight="1" x14ac:dyDescent="0.25">
      <c r="B82" s="16">
        <v>16</v>
      </c>
      <c r="C82" s="169" t="str">
        <f>IF('17F GRP'!G5&gt;=3,'17F GRP'!J217,IF('17F GRP'!G5=2,"",IF('17F GRP'!G5=1,"","")))</f>
        <v/>
      </c>
      <c r="D82" s="234">
        <v>0</v>
      </c>
      <c r="E82" s="57">
        <f>IF(D82&lt;&gt;"",D82,"")</f>
        <v>0</v>
      </c>
      <c r="F82" s="51" t="str">
        <f>IF(D82&lt;&gt;"",IF(C82="","",C82),"")</f>
        <v/>
      </c>
      <c r="G82" s="176" t="str">
        <f>VLOOKUP(G80,E80:F82,2,0)</f>
        <v/>
      </c>
      <c r="H82" s="11"/>
      <c r="I82" s="18"/>
      <c r="J82" s="11"/>
      <c r="K82" s="166"/>
      <c r="L82" s="11"/>
      <c r="M82" s="11"/>
      <c r="N82" s="11"/>
      <c r="O82" s="166"/>
      <c r="P82" s="11"/>
      <c r="Q82" s="8"/>
      <c r="R82" s="182"/>
      <c r="S82" s="8"/>
      <c r="T82" s="8"/>
      <c r="U82" s="8"/>
      <c r="V82" s="182"/>
      <c r="W82" s="8"/>
      <c r="X82" s="62"/>
      <c r="Y82" s="182"/>
      <c r="Z82" s="8"/>
      <c r="AA82" s="8"/>
      <c r="AB82" s="11"/>
      <c r="AC82" s="182"/>
      <c r="AD82" s="65"/>
      <c r="AE82" s="8"/>
      <c r="AF82" s="8"/>
      <c r="AG82" s="181">
        <f>IF(AJ82&lt;&gt;"",AJ82,"")</f>
        <v>0</v>
      </c>
      <c r="AH82" s="78" t="str">
        <f>IF(AJ82&lt;&gt;"",IF(AK82="","",AK82),"")</f>
        <v/>
      </c>
      <c r="AI82" s="76" t="str">
        <f>VLOOKUP(AI80,AG80:AH82,2,0)</f>
        <v/>
      </c>
      <c r="AJ82" s="234">
        <v>0</v>
      </c>
      <c r="AK82" s="169" t="str">
        <f>IF('17F GRP'!G5&gt;=3,'17F GRP'!J256,IF('17F GRP'!G5=2,"",IF('17F GRP'!G5=1,"","")))</f>
        <v/>
      </c>
      <c r="AL82" s="11">
        <v>19</v>
      </c>
      <c r="AP82" s="13" t="str">
        <f>IF(AR82&lt;&gt;"",1+COUNTIF(AP72:AP81,"1")+COUNTIF(AP72:AP81,"2")+COUNTIF(AP72:AP81,"3")+COUNTIF(AP72:AP81,"4")+COUNTIF(AP72:AP81,"5")+COUNTIF(AP72:AP81,"6")+COUNTIF(AP72:AP81,"7")+COUNTIF(AP72:AP81,"8")+COUNTIF(AP72:AP81,"9")+COUNTIF(AP72:AP81,"10"),"")</f>
        <v/>
      </c>
      <c r="AQ82" s="14" t="str">
        <f t="shared" si="3"/>
        <v/>
      </c>
      <c r="AR82" s="21" t="str">
        <f>IF(AR74&lt;&gt;"",IF(G76=AR74,G78,IF(G78=AR74,G76,IF(G92=AR74,G94,IF(G94=AR74,G92,IF(AG76=AR74,AG78,IF(AG78=AR74,AG76,IF(AG92=AR74,AG94,IF(AG94=AR74,AG92,IF(G106=AR74,G108,IF(G108=AR74,G106,IF(G122=AR74,G124,IF(G124=AR74,G122,IF(AG106=AR74,AG108,IF(AG108=AR74,AG106,IF(AG122=AR74,AG124,IF(AG124=AR74,AG122)))))))))))))))),"")</f>
        <v/>
      </c>
      <c r="AS82" s="15" t="str">
        <f>IFERROR(IF(AR82="","",VLOOKUP(AR82,LISTAS!$F$5:$G$1004,2,0)),"0")</f>
        <v/>
      </c>
      <c r="AT82" s="15" t="str">
        <f t="shared" si="4"/>
        <v/>
      </c>
      <c r="AU82" s="15" t="str">
        <f t="shared" si="5"/>
        <v/>
      </c>
    </row>
    <row r="83" spans="2:47" ht="18" customHeight="1" thickBot="1" x14ac:dyDescent="0.3">
      <c r="B83" s="16"/>
      <c r="C83" s="170" t="str">
        <f>IFERROR(IF(C82="","",VLOOKUP(C82,LISTAS!$F$5:$G$1004,2,0)),"0")</f>
        <v/>
      </c>
      <c r="D83" s="235"/>
      <c r="E83" s="51"/>
      <c r="F83" s="51"/>
      <c r="G83" s="176"/>
      <c r="H83" s="11"/>
      <c r="I83" s="18"/>
      <c r="J83" s="11"/>
      <c r="K83" s="166"/>
      <c r="L83" s="11"/>
      <c r="M83" s="11"/>
      <c r="N83" s="11"/>
      <c r="O83" s="166"/>
      <c r="P83" s="11"/>
      <c r="Q83" s="8"/>
      <c r="R83" s="182"/>
      <c r="S83" s="8"/>
      <c r="T83" s="8"/>
      <c r="U83" s="8"/>
      <c r="V83" s="182"/>
      <c r="W83" s="8"/>
      <c r="X83" s="62"/>
      <c r="Y83" s="182"/>
      <c r="Z83" s="8"/>
      <c r="AA83" s="8"/>
      <c r="AB83" s="11"/>
      <c r="AC83" s="182"/>
      <c r="AD83" s="65"/>
      <c r="AE83" s="8"/>
      <c r="AF83" s="8"/>
      <c r="AG83" s="181"/>
      <c r="AH83" s="78"/>
      <c r="AI83" s="51"/>
      <c r="AJ83" s="235"/>
      <c r="AK83" s="170" t="str">
        <f>IFERROR(IF(AK82="","",VLOOKUP(AK82,LISTAS!$F$5:$G$1004,2,0)),"0")</f>
        <v/>
      </c>
      <c r="AL83" s="11"/>
      <c r="AP83" s="13" t="str">
        <f>IF(AR83&lt;&gt;"",1+COUNTIF(AP72:AP82,"1")+COUNTIF(AP72:AP82,"2")+COUNTIF(AP72:AP82,"3")+COUNTIF(AP72:AP82,"4")+COUNTIF(AP72:AP82,"5")+COUNTIF(AP72:AP82,"6")+COUNTIF(AP72:AP82,"7")+COUNTIF(AP72:AP82,"8")+COUNTIF(AP72:AP82,"9")+COUNTIF(AP72:AP82,"10")+COUNTIF(AP72:AP82,"11"),"")</f>
        <v/>
      </c>
      <c r="AQ83" s="14" t="str">
        <f t="shared" si="3"/>
        <v/>
      </c>
      <c r="AR83" s="21" t="str">
        <f>IF(AR75&lt;&gt;"",IF(G76=AR75,G78,IF(G78=AR75,G76,IF(G92=AR75,G94,IF(G94=AR75,G92,IF(AG76=AR75,AG78,IF(AG78=AR75,AG76,IF(AG92=AR75,AG94,IF(AG94=AR75,AG92,IF(G106=AR75,G108,IF(G108=AR75,G106,IF(G122=AR75,G124,IF(G124=AR75,G122,IF(AG106=AR75,AG108,IF(AG108=AR75,AG106,IF(AG122=AR75,AG124,IF(AG124=AR75,AG122)))))))))))))))),"")</f>
        <v/>
      </c>
      <c r="AS83" s="15" t="str">
        <f>IFERROR(IF(AR83="","",VLOOKUP(AR83,LISTAS!$F$5:$G$1004,2,0)),"0")</f>
        <v/>
      </c>
      <c r="AT83" s="15" t="str">
        <f t="shared" si="4"/>
        <v/>
      </c>
      <c r="AU83" s="15" t="str">
        <f t="shared" si="5"/>
        <v/>
      </c>
    </row>
    <row r="84" spans="2:47" ht="18" customHeight="1" x14ac:dyDescent="0.25">
      <c r="B84" s="16"/>
      <c r="C84" s="166"/>
      <c r="D84" s="11"/>
      <c r="E84" s="11"/>
      <c r="F84" s="11"/>
      <c r="G84" s="166"/>
      <c r="H84" s="11"/>
      <c r="I84" s="18"/>
      <c r="J84" s="11"/>
      <c r="K84" s="169" t="str">
        <f>IF(H76&lt;&gt;"",IF(H78&lt;&gt;"",IF(H76=H78,"",IF(H76&gt;H78,G76,G78)),""),"")</f>
        <v>ASHLEY DIAS OLIVEIRA</v>
      </c>
      <c r="L84" s="234">
        <v>2</v>
      </c>
      <c r="M84" s="51">
        <f>IF(L84&lt;&gt;"",L84,"")</f>
        <v>2</v>
      </c>
      <c r="N84" s="51" t="str">
        <f>IF(L84&lt;&gt;"",IF(K84="","",K84),"")</f>
        <v>ASHLEY DIAS OLIVEIRA</v>
      </c>
      <c r="O84" s="176">
        <f>IF(M84&lt;&gt;"",IF(M86&lt;&gt;"",SMALL(M84:N86,1),""),"")</f>
        <v>0</v>
      </c>
      <c r="P84" s="11"/>
      <c r="Q84" s="8"/>
      <c r="R84" s="202"/>
      <c r="S84" s="202"/>
      <c r="T84" s="202" t="s">
        <v>86</v>
      </c>
      <c r="U84" s="202"/>
      <c r="V84" s="202"/>
      <c r="W84" s="8"/>
      <c r="X84" s="62"/>
      <c r="Y84" s="182"/>
      <c r="Z84" s="8"/>
      <c r="AA84" s="8"/>
      <c r="AB84" s="234">
        <v>2</v>
      </c>
      <c r="AC84" s="169" t="str">
        <f>IF(AF76&lt;&gt;"",IF(AF78&lt;&gt;"",IF(AF76=AF78,"",IF(AF76&gt;AF78,AG76,AG78)),""),"")</f>
        <v>ASHLEY NATSUMI KUMANO MAEGAWA</v>
      </c>
      <c r="AD84" s="112"/>
      <c r="AE84" s="8"/>
      <c r="AF84" s="8"/>
      <c r="AG84" s="182"/>
      <c r="AH84" s="8"/>
      <c r="AI84" s="8"/>
      <c r="AJ84" s="11"/>
      <c r="AK84" s="166"/>
      <c r="AL84" s="11"/>
      <c r="AP84" s="13" t="str">
        <f>IF(AR84&lt;&gt;"",1+COUNTIF(AP72:AP83,"1")+COUNTIF(AP72:AP83,"2")+COUNTIF(AP72:AP83,"3")+COUNTIF(AP72:AP83,"4")+COUNTIF(AP72:AP83,"5")+COUNTIF(AP72:AP83,"6")+COUNTIF(AP72:AP83,"7")+COUNTIF(AP72:AP83,"8")+COUNTIF(AP72:AP83,"9")+COUNTIF(AP72:AP83,"10")+COUNTIF(AP72:AP83,"11")+COUNTIF(AP72:AP83,"12"),"")</f>
        <v/>
      </c>
      <c r="AQ84" s="14" t="str">
        <f t="shared" si="3"/>
        <v/>
      </c>
      <c r="AR84" s="21" t="str">
        <f>IF(AR76&lt;&gt;"",IF(G76=AR76,G78,IF(G78=AR76,G76,IF(G92=AR76,G94,IF(G94=AR76,G92,IF(AG76=AR76,AG78,IF(AG78=AR76,AG76,IF(AG92=AR76,AG94,IF(AG94=AR76,AG92,IF(G106=AR76,G108,IF(G108=AR76,G106,IF(G122=AR76,G124,IF(G124=AR76,G122,IF(AG106=AR76,AG108,IF(AG108=AR76,AG106,IF(AG122=AR76,AG124,IF(AG124=AR76,AG122)))))))))))))))),"")</f>
        <v/>
      </c>
      <c r="AS84" s="15" t="str">
        <f>IFERROR(IF(AR84="","",VLOOKUP(AR84,LISTAS!$F$5:$G$1004,2,0)),"0")</f>
        <v/>
      </c>
      <c r="AT84" s="15" t="str">
        <f t="shared" si="4"/>
        <v/>
      </c>
      <c r="AU84" s="15" t="str">
        <f t="shared" si="5"/>
        <v/>
      </c>
    </row>
    <row r="85" spans="2:47" ht="18" customHeight="1" thickBot="1" x14ac:dyDescent="0.3">
      <c r="B85" s="16"/>
      <c r="C85" s="166"/>
      <c r="D85" s="11"/>
      <c r="E85" s="11"/>
      <c r="F85" s="11"/>
      <c r="G85" s="166"/>
      <c r="H85" s="11"/>
      <c r="I85" s="18"/>
      <c r="J85" s="11"/>
      <c r="K85" s="170" t="str">
        <f>IFERROR(IF(K84="","",VLOOKUP(K84,LISTAS!$F$5:$G$1004,2,0)),"0")</f>
        <v>COLÉGIO ENGENHEIRO SALVADOR ARENA</v>
      </c>
      <c r="L85" s="235"/>
      <c r="M85" s="51"/>
      <c r="N85" s="51"/>
      <c r="O85" s="176"/>
      <c r="P85" s="11"/>
      <c r="Q85" s="8"/>
      <c r="R85" s="202"/>
      <c r="S85" s="202"/>
      <c r="T85" s="202" t="s">
        <v>33</v>
      </c>
      <c r="U85" s="202"/>
      <c r="V85" s="202"/>
      <c r="W85" s="8"/>
      <c r="X85" s="62"/>
      <c r="Y85" s="182"/>
      <c r="Z85" s="8"/>
      <c r="AA85" s="8"/>
      <c r="AB85" s="235"/>
      <c r="AC85" s="170" t="str">
        <f>IFERROR(IF(AC84="","",VLOOKUP(AC84,LISTAS!$F$5:$G$1004,2,0)),"0")</f>
        <v>COLÉGIO ARBOS SÃO CAETANO DO SUL</v>
      </c>
      <c r="AD85" s="8"/>
      <c r="AE85" s="69"/>
      <c r="AF85" s="8"/>
      <c r="AG85" s="182"/>
      <c r="AH85" s="8"/>
      <c r="AI85" s="8"/>
      <c r="AJ85" s="11"/>
      <c r="AK85" s="166"/>
      <c r="AL85" s="11"/>
      <c r="AP85" s="13" t="str">
        <f>IF(AR85&lt;&gt;"",1+COUNTIF(AP72:AP84,"1")+COUNTIF(AP72:AP84,"2")+COUNTIF(AP72:AP84,"3")+COUNTIF(AP72:AP84,"4")+COUNTIF(AP72:AP84,"5")+COUNTIF(AP72:AP84,"6")+COUNTIF(AP72:AP84,"7")+COUNTIF(AP72:AP84,"8")+COUNTIF(AP72:AP84,"9")+COUNTIF(AP72:AP84,"10")+COUNTIF(AP72:AP84,"11")+COUNTIF(AP72:AP84,"12")+COUNTIF(AP72:AP84,"13"),"")</f>
        <v/>
      </c>
      <c r="AQ85" s="14" t="str">
        <f t="shared" si="3"/>
        <v/>
      </c>
      <c r="AR85" s="21" t="str">
        <f>IF(AR77&lt;&gt;"",IF(G76=AR77,G78,IF(G78=AR77,G76,IF(G92=AR77,G94,IF(G94=AR77,G92,IF(AG76=AR77,AG78,IF(AG78=AR77,AG76,IF(AG92=AR77,AG94,IF(AG94=AR77,AG92,IF(G106=AR77,G108,IF(G108=AR77,G106,IF(G122=AR77,G124,IF(G124=AR77,G122,IF(AG106=AR77,AG108,IF(AG108=AR77,AG106,IF(AG122=AR77,AG124,IF(AG124=AR77,AG122)))))))))))))))),"")</f>
        <v/>
      </c>
      <c r="AS85" s="15" t="str">
        <f>IFERROR(IF(AR85="","",VLOOKUP(AR85,LISTAS!$F$5:$G$1004,2,0)),"0")</f>
        <v/>
      </c>
      <c r="AT85" s="15" t="str">
        <f t="shared" si="4"/>
        <v/>
      </c>
      <c r="AU85" s="15" t="str">
        <f t="shared" si="5"/>
        <v/>
      </c>
    </row>
    <row r="86" spans="2:47" ht="18" customHeight="1" x14ac:dyDescent="0.25">
      <c r="B86" s="16"/>
      <c r="C86" s="166"/>
      <c r="D86" s="11"/>
      <c r="E86" s="11"/>
      <c r="F86" s="11"/>
      <c r="G86" s="166"/>
      <c r="H86" s="11"/>
      <c r="I86" s="18"/>
      <c r="J86" s="19"/>
      <c r="K86" s="169" t="str">
        <f>IF(H92&lt;&gt;"",IF(H94&lt;&gt;"",IF(H92=H94,"",IF(H92&gt;H94,G92,G94)),""),"")</f>
        <v/>
      </c>
      <c r="L86" s="234">
        <v>0</v>
      </c>
      <c r="M86" s="52">
        <f>IF(L86&lt;&gt;"",L86,"")</f>
        <v>0</v>
      </c>
      <c r="N86" s="51" t="str">
        <f>IF(L86&lt;&gt;"",IF(K86="","",K86),"")</f>
        <v/>
      </c>
      <c r="O86" s="176" t="str">
        <f>VLOOKUP(O84,M84:N86,2,0)</f>
        <v/>
      </c>
      <c r="P86" s="11"/>
      <c r="Q86" s="8"/>
      <c r="R86" s="182"/>
      <c r="S86" s="8"/>
      <c r="T86" s="8"/>
      <c r="U86" s="8"/>
      <c r="V86" s="182"/>
      <c r="W86" s="8"/>
      <c r="X86" s="62"/>
      <c r="Y86" s="182"/>
      <c r="Z86" s="65"/>
      <c r="AA86" s="68"/>
      <c r="AB86" s="234">
        <v>0</v>
      </c>
      <c r="AC86" s="169" t="str">
        <f>IF(AF92&lt;&gt;"",IF(AF94&lt;&gt;"",IF(AF92=AF94,"",IF(AF92&gt;AF94,AG92,AG94)),""),"")</f>
        <v/>
      </c>
      <c r="AD86" s="8"/>
      <c r="AE86" s="69"/>
      <c r="AF86" s="8"/>
      <c r="AG86" s="182"/>
      <c r="AH86" s="8"/>
      <c r="AI86" s="8"/>
      <c r="AJ86" s="11"/>
      <c r="AK86" s="166"/>
      <c r="AL86" s="11"/>
      <c r="AP86" s="13" t="str">
        <f>IF(AR86&lt;&gt;"",1+COUNTIF(AP72:AP85,"1")+COUNTIF(AP72:AP85,"2")+COUNTIF(AP72:AP85,"3")+COUNTIF(AP72:AP85,"4")+COUNTIF(AP72:AP85,"5")+COUNTIF(AP72:AP85,"6")+COUNTIF(AP72:AP85,"7")+COUNTIF(AP72:AP85,"8")+COUNTIF(AP72:AP85,"9")+COUNTIF(AP72:AP85,"10")+COUNTIF(AP72:AP85,"11")+COUNTIF(AP72:AP85,"12")+COUNTIF(AP72:AP85,"13")+COUNTIF(AP72:AP85,"14"),"")</f>
        <v/>
      </c>
      <c r="AQ86" s="14" t="str">
        <f t="shared" si="3"/>
        <v/>
      </c>
      <c r="AR86" s="21" t="str">
        <f>IF(AR78&lt;&gt;"",IF(G76=AR78,G78,IF(G78=AR78,G76,IF(G92=AR78,G94,IF(G94=AR78,G92,IF(AG76=AR78,AG78,IF(AG78=AR78,AG76,IF(AG92=AR78,AG94,IF(AG94=AR78,AG92,IF(G106=AR78,G108,IF(G108=AR78,G106,IF(G122=AR78,G124,IF(G124=AR78,G122,IF(AG106=AR78,AG108,IF(AG108=AR78,AG106,IF(AG122=AR78,AG124,IF(AG124=AR78,AG122)))))))))))))))),"")</f>
        <v/>
      </c>
      <c r="AS86" s="15" t="str">
        <f>IFERROR(IF(AR86="","",VLOOKUP(AR86,LISTAS!$F$5:$G$1004,2,0)),"0")</f>
        <v/>
      </c>
      <c r="AT86" s="15" t="str">
        <f t="shared" si="4"/>
        <v/>
      </c>
      <c r="AU86" s="15" t="str">
        <f t="shared" si="5"/>
        <v/>
      </c>
    </row>
    <row r="87" spans="2:47" ht="18" customHeight="1" thickBot="1" x14ac:dyDescent="0.3">
      <c r="B87" s="16"/>
      <c r="C87" s="166"/>
      <c r="D87" s="11"/>
      <c r="E87" s="11"/>
      <c r="F87" s="11"/>
      <c r="G87" s="166"/>
      <c r="H87" s="11"/>
      <c r="I87" s="18"/>
      <c r="J87" s="11"/>
      <c r="K87" s="170" t="str">
        <f>IFERROR(IF(K86="","",VLOOKUP(K86,LISTAS!$F$5:$G$1004,2,0)),"0")</f>
        <v/>
      </c>
      <c r="L87" s="235"/>
      <c r="M87" s="54"/>
      <c r="N87" s="51"/>
      <c r="O87" s="176"/>
      <c r="P87" s="11"/>
      <c r="Q87" s="8"/>
      <c r="R87" s="182"/>
      <c r="S87" s="8"/>
      <c r="T87" s="8"/>
      <c r="U87" s="8"/>
      <c r="V87" s="182"/>
      <c r="W87" s="8"/>
      <c r="X87" s="62"/>
      <c r="Y87" s="182"/>
      <c r="Z87" s="65"/>
      <c r="AA87" s="8"/>
      <c r="AB87" s="235"/>
      <c r="AC87" s="170" t="str">
        <f>IFERROR(IF(AC86="","",VLOOKUP(AC86,LISTAS!$F$5:$G$1004,2,0)),"0")</f>
        <v/>
      </c>
      <c r="AD87" s="8"/>
      <c r="AE87" s="69"/>
      <c r="AF87" s="8"/>
      <c r="AG87" s="182"/>
      <c r="AH87" s="8"/>
      <c r="AI87" s="8"/>
      <c r="AJ87" s="11"/>
      <c r="AK87" s="166"/>
      <c r="AL87" s="11"/>
      <c r="AP87" s="13" t="str">
        <f>IF(AR87&lt;&gt;"",1+COUNTIF(AP72:AP86,"1")+COUNTIF(AP72:AP86,"2")+COUNTIF(AP72:AP86,"3")+COUNTIF(AP72:AP86,"4")+COUNTIF(AP72:AP86,"5")+COUNTIF(AP72:AP86,"6")+COUNTIF(AP72:AP86,"7")+COUNTIF(AP72:AP86,"8")+COUNTIF(AP72:AP86,"9")+COUNTIF(AP72:AP86,"10")+COUNTIF(AP72:AP86,"11")+COUNTIF(AP72:AP86,"12")+COUNTIF(AP72:AP86,"13")+COUNTIF(AP72:AP86,"14")+COUNTIF(AP72:AP86,"15"),"")</f>
        <v/>
      </c>
      <c r="AQ87" s="14" t="str">
        <f t="shared" si="3"/>
        <v/>
      </c>
      <c r="AR87" s="21" t="str">
        <f>IF(AR79&lt;&gt;"",IF(G76=AR79,G78,IF(G78=AR79,G76,IF(G92=AR79,G94,IF(G94=AR79,G92,IF(AG76=AR79,AG78,IF(AG78=AR79,AG76,IF(AG92=AR79,AG94,IF(AG94=AR79,AG92,IF(G106=AR79,G108,IF(G108=AR79,G106,IF(G122=AR79,G124,IF(G124=AR79,G122,IF(AG106=AR79,AG108,IF(AG108=AR79,AG106,IF(AG122=AR79,AG124,IF(AG124=AR79,AG122)))))))))))))))),"")</f>
        <v/>
      </c>
      <c r="AS87" s="15" t="str">
        <f>IFERROR(IF(AR87="","",VLOOKUP(AR87,LISTAS!$F$5:$G$1004,2,0)),"0")</f>
        <v/>
      </c>
      <c r="AT87" s="15" t="str">
        <f t="shared" si="4"/>
        <v/>
      </c>
      <c r="AU87" s="15" t="str">
        <f t="shared" si="5"/>
        <v/>
      </c>
    </row>
    <row r="88" spans="2:47" ht="18" customHeight="1" x14ac:dyDescent="0.25">
      <c r="B88" s="16">
        <v>9</v>
      </c>
      <c r="C88" s="169" t="str">
        <f>IF('17F GRP'!G5&gt;=3,'17F GRP'!J126,IF('17F GRP'!G5=2,"",IF('17F GRP'!G5=1,"","")))</f>
        <v/>
      </c>
      <c r="D88" s="234">
        <v>0</v>
      </c>
      <c r="E88" s="51">
        <f>IF(D88&lt;&gt;"",D88,"")</f>
        <v>0</v>
      </c>
      <c r="F88" s="51" t="str">
        <f>IF(D88&lt;&gt;"",IF(C88="","",C88),"")</f>
        <v/>
      </c>
      <c r="G88" s="176">
        <f>IF(E88&lt;&gt;"",IF(E90&lt;&gt;"",SMALL(E88:E90,1),""),"")</f>
        <v>0</v>
      </c>
      <c r="H88" s="51"/>
      <c r="I88" s="18"/>
      <c r="J88" s="11"/>
      <c r="K88" s="166"/>
      <c r="L88" s="11"/>
      <c r="M88" s="54"/>
      <c r="N88" s="51"/>
      <c r="O88" s="176"/>
      <c r="P88" s="11"/>
      <c r="Q88" s="8"/>
      <c r="R88" s="182"/>
      <c r="S88" s="8"/>
      <c r="T88" s="8"/>
      <c r="U88" s="8"/>
      <c r="V88" s="182"/>
      <c r="W88" s="8"/>
      <c r="X88" s="62"/>
      <c r="Y88" s="182"/>
      <c r="Z88" s="65"/>
      <c r="AA88" s="8"/>
      <c r="AB88" s="11"/>
      <c r="AC88" s="182"/>
      <c r="AD88" s="8"/>
      <c r="AE88" s="69"/>
      <c r="AF88" s="78"/>
      <c r="AG88" s="181">
        <f>IF(AJ88&lt;&gt;"",AJ88,"")</f>
        <v>0</v>
      </c>
      <c r="AH88" s="78" t="str">
        <f>IF(AJ88&lt;&gt;"",IF(AK88="","",AK88),"")</f>
        <v/>
      </c>
      <c r="AI88" s="51">
        <f>IF(AG88&lt;&gt;"",IF(AG90&lt;&gt;"",SMALL(AG88:AG90,1),""),"")</f>
        <v>0</v>
      </c>
      <c r="AJ88" s="234">
        <v>0</v>
      </c>
      <c r="AK88" s="169" t="str">
        <f>IF('17F GRP'!G5&gt;=3,'17F GRP'!J295,IF('17F GRP'!G5=2,"",IF('17F GRP'!G5=1,"","")))</f>
        <v/>
      </c>
      <c r="AL88" s="11">
        <v>22</v>
      </c>
      <c r="AP88" s="13" t="str">
        <f>IF(AR88&lt;&gt;"",1+COUNTIF(AP72:AP87,"1")+COUNTIF(AP72:AP87,"2")+COUNTIF(AP72:AP87,"3")+COUNTIF(AP72:AP87,"4")+COUNTIF(AP72:AP87,"5")+COUNTIF(AP72:AP87,"6")+COUNTIF(AP72:AP87,"7")+COUNTIF(AP72:AP87,"8")+COUNTIF(AP72:AP87,"9")+COUNTIF(AP72:AP87,"10")+COUNTIF(AP72:AP87,"11")+COUNTIF(AP72:AP87,"12")+COUNTIF(AP72:AP87,"13")+COUNTIF(AP72:AP87,"14")+COUNTIF(AP72:AP87,"15")+COUNTIF(AP72:AP87,"16"),"")</f>
        <v/>
      </c>
      <c r="AQ88" s="14" t="str">
        <f t="shared" si="3"/>
        <v/>
      </c>
      <c r="AR88" s="21" t="str">
        <f>IF(AR72&lt;&gt;"",IF(C72=AR72,G74,IF(C74=AR72,G74,IF(C80=AR72,G82,IF(C82=AR72,G82,IF(C102=AR72,G104,IF(C104=AR72,G104,IF(C110=AR72,G112,IF(C112=AR72,G112,IF(C88=AR72,G90,IF(C90=AR72,G90,IF(C96=AR72,G98,IF(C98=AR72,G98,IF(C118=AR72,G120,IF(C120=AR72,G120,IF(C126=AR72,G128,IF(C128=AR72,G128,IF(AK72=AR72,AI74,IF(AK74=AR72,AI74,IF(AK80=AR72,AI82,IF(AK82=AR72,AI82,IF(AK102=AR72,AI104,IF(AK104=AR72,AI104,IF(AK110=AR72,AI112,IF(AK112=AR72,AI112,IF(AK88=AR72,AI90,IF(AK90=AR72,AI90,IF(AK96=AR72,AI98,IF(AK98=AR72,AI98,IF(AK118=AR72,AI120,IF(AK120=AR72,AI120,IF(AK126=AR72,AI128,IF(AK128=AR72,AI128)))))))))))))))))))))))))))))))),"")</f>
        <v/>
      </c>
      <c r="AS88" s="15" t="str">
        <f>IFERROR(IF(AR88="","",VLOOKUP(AR88,LISTAS!$F$5:$G$1004,2,0)),"0")</f>
        <v/>
      </c>
      <c r="AT88" s="15" t="str">
        <f t="shared" si="4"/>
        <v/>
      </c>
      <c r="AU88" s="15" t="str">
        <f t="shared" si="5"/>
        <v/>
      </c>
    </row>
    <row r="89" spans="2:47" ht="18" customHeight="1" thickBot="1" x14ac:dyDescent="0.3">
      <c r="B89" s="16"/>
      <c r="C89" s="170" t="str">
        <f>IFERROR(IF(C88="","",VLOOKUP(C88,LISTAS!$F$5:$G$1004,2,0)),"0")</f>
        <v/>
      </c>
      <c r="D89" s="235"/>
      <c r="E89" s="51"/>
      <c r="F89" s="51"/>
      <c r="G89" s="176"/>
      <c r="H89" s="51"/>
      <c r="I89" s="18"/>
      <c r="J89" s="11"/>
      <c r="K89" s="166"/>
      <c r="L89" s="11"/>
      <c r="M89" s="18"/>
      <c r="N89" s="11"/>
      <c r="O89" s="166"/>
      <c r="P89" s="11"/>
      <c r="Q89" s="8"/>
      <c r="R89" s="182"/>
      <c r="S89" s="8"/>
      <c r="T89" s="8"/>
      <c r="U89" s="8"/>
      <c r="V89" s="182"/>
      <c r="W89" s="8"/>
      <c r="X89" s="62"/>
      <c r="Y89" s="182"/>
      <c r="Z89" s="65"/>
      <c r="AA89" s="8"/>
      <c r="AB89" s="11"/>
      <c r="AC89" s="182"/>
      <c r="AD89" s="8"/>
      <c r="AE89" s="69"/>
      <c r="AF89" s="78"/>
      <c r="AG89" s="181"/>
      <c r="AH89" s="78"/>
      <c r="AI89" s="51"/>
      <c r="AJ89" s="235"/>
      <c r="AK89" s="170" t="str">
        <f>IFERROR(IF(AK88="","",VLOOKUP(AK88,LISTAS!$F$5:$G$1004,2,0)),"0")</f>
        <v/>
      </c>
      <c r="AL89" s="11"/>
      <c r="AP89" s="13" t="str">
        <f>IF(AR89&lt;&gt;"",1+COUNTIF(AP72:AP88,"1")+COUNTIF(AP72:AP88,"2")+COUNTIF(AP72:AP88,"3")+COUNTIF(AP72:AP88,"4")+COUNTIF(AP72:AP88,"5")+COUNTIF(AP72:AP88,"6")+COUNTIF(AP72:AP88,"7")+COUNTIF(AP72:AP88,"8")+COUNTIF(AP72:AP88,"9")+COUNTIF(AP72:AP88,"10")+COUNTIF(AP72:AP88,"11")+COUNTIF(AP72:AP88,"12")+COUNTIF(AP72:AP88,"13")+COUNTIF(AP72:AP88,"14")+COUNTIF(AP72:AP88,"15")+COUNTIF(AP72:AP88,"16")+COUNTIF(AP72:AP88,"17"),"")</f>
        <v/>
      </c>
      <c r="AQ89" s="14" t="str">
        <f t="shared" si="3"/>
        <v/>
      </c>
      <c r="AR89" s="21" t="str">
        <f>IF(AR73&lt;&gt;"",IF(C72=AR73,G74,IF(C74=AR73,G74,IF(C80=AR73,G82,IF(C82=AR73,G82,IF(C102=AR73,G104,IF(C104=AR73,G104,IF(C110=AR73,G112,IF(C112=AR73,G112,IF(C88=AR73,G90,IF(C90=AR73,G90,IF(C96=AR73,G98,IF(C98=AR73,G98,IF(C118=AR73,G120,IF(C120=AR73,G120,IF(C126=AR73,G128,IF(C128=AR73,G128,IF(AK72=AR73,AI74,IF(AK74=AR73,AI74,IF(AK80=AR73,AI82,IF(AK82=AR73,AI82,IF(AK102=AR73,AI104,IF(AK104=AR73,AI104,IF(AK110=AR73,AI112,IF(AK112=AR73,AI112,IF(AK88=AR73,AI90,IF(AK90=AR73,AI90,IF(AK96=AR73,AI98,IF(AK98=AR73,AI98,IF(AK118=AR73,AI120,IF(AK120=AR73,AI120,IF(AK126=AR73,AI128,IF(AK128=AR73,AI128)))))))))))))))))))))))))))))))),"")</f>
        <v/>
      </c>
      <c r="AS89" s="15" t="str">
        <f>IFERROR(IF(AR89="","",VLOOKUP(AR89,LISTAS!$F$5:$G$1004,2,0)),"0")</f>
        <v/>
      </c>
      <c r="AT89" s="15" t="str">
        <f t="shared" si="4"/>
        <v/>
      </c>
      <c r="AU89" s="15" t="str">
        <f t="shared" si="5"/>
        <v/>
      </c>
    </row>
    <row r="90" spans="2:47" ht="18" customHeight="1" x14ac:dyDescent="0.25">
      <c r="B90" s="16">
        <v>24</v>
      </c>
      <c r="C90" s="169" t="str">
        <f>IF('17F GRP'!G5&gt;=3,'17F GRP'!J321,IF('17F GRP'!G5=2,"",IF('17F GRP'!G5=1,"","")))</f>
        <v/>
      </c>
      <c r="D90" s="234">
        <v>0</v>
      </c>
      <c r="E90" s="52">
        <f>IF(D90&lt;&gt;"",D90,"")</f>
        <v>0</v>
      </c>
      <c r="F90" s="51" t="str">
        <f>IF(D90&lt;&gt;"",IF(C90="","",C90),"")</f>
        <v/>
      </c>
      <c r="G90" s="176" t="str">
        <f>VLOOKUP(G88,E88:F90,2,0)</f>
        <v/>
      </c>
      <c r="H90" s="51"/>
      <c r="I90" s="18"/>
      <c r="J90" s="11"/>
      <c r="K90" s="166"/>
      <c r="L90" s="11"/>
      <c r="M90" s="18"/>
      <c r="N90" s="11"/>
      <c r="O90" s="166"/>
      <c r="P90" s="11"/>
      <c r="Q90" s="8"/>
      <c r="R90" s="182"/>
      <c r="S90" s="8"/>
      <c r="T90" s="8"/>
      <c r="U90" s="8"/>
      <c r="V90" s="182"/>
      <c r="W90" s="8"/>
      <c r="X90" s="62"/>
      <c r="Y90" s="182"/>
      <c r="Z90" s="65"/>
      <c r="AA90" s="8"/>
      <c r="AB90" s="11"/>
      <c r="AC90" s="182"/>
      <c r="AD90" s="8"/>
      <c r="AE90" s="69"/>
      <c r="AF90" s="78"/>
      <c r="AG90" s="181">
        <f>IF(AJ90&lt;&gt;"",AJ90,"")</f>
        <v>0</v>
      </c>
      <c r="AH90" s="78" t="str">
        <f>IF(AJ90&lt;&gt;"",IF(AK90="","",AK90),"")</f>
        <v/>
      </c>
      <c r="AI90" s="55" t="str">
        <f>VLOOKUP(AI88,AG88:AH90,2,0)</f>
        <v/>
      </c>
      <c r="AJ90" s="234">
        <v>0</v>
      </c>
      <c r="AK90" s="169" t="str">
        <f>IF('17F GRP'!G5&gt;=3,'17F GRP'!J152,IF('17F GRP'!G5=2,"",IF('17F GRP'!G5=1,"","")))</f>
        <v/>
      </c>
      <c r="AL90" s="11">
        <v>11</v>
      </c>
      <c r="AP90" s="13" t="str">
        <f>IF(AR90&lt;&gt;"",1+COUNTIF(AP72:AP89,"1")+COUNTIF(AP72:AP89,"2")+COUNTIF(AP72:AP89,"3")+COUNTIF(AP72:AP89,"4")+COUNTIF(AP72:AP89,"5")+COUNTIF(AP72:AP89,"6")+COUNTIF(AP72:AP89,"7")+COUNTIF(AP72:AP89,"8")+COUNTIF(AP72:AP89,"9")+COUNTIF(AP72:AP89,"10")+COUNTIF(AP72:AP89,"11")+COUNTIF(AP72:AP89,"12")+COUNTIF(AP72:AP89,"13")+COUNTIF(AP72:AP89,"14")+COUNTIF(AP72:AP89,"15")+COUNTIF(AP72:AP89,"16")+COUNTIF(AP72:AP89,"17")+COUNTIF(AP72:AP89,"18"),"")</f>
        <v/>
      </c>
      <c r="AQ90" s="14" t="str">
        <f t="shared" si="3"/>
        <v/>
      </c>
      <c r="AR90" s="21" t="str">
        <f>IF(AR74&lt;&gt;"",IF(C72=AR74,G74,IF(C74=AR74,G74,IF(C80=AR74,G82,IF(C82=AR74,G82,IF(C102=AR74,G104,IF(C104=AR74,G104,IF(C110=AR74,G112,IF(C112=AR74,G112,IF(C88=AR74,G90,IF(C90=AR74,G90,IF(C96=AR74,G98,IF(C98=AR74,G98,IF(C118=AR74,G120,IF(C120=AR74,G120,IF(C126=AR74,G128,IF(C128=AR74,G128,IF(AK72=AR74,AI74,IF(AK74=AR74,AI74,IF(AK80=AR74,AI82,IF(AK82=AR74,AI82,IF(AK102=AR74,AI104,IF(AK104=AR74,AI104,IF(AK110=AR74,AI112,IF(AK112=AR74,AI112,IF(AK88=AR74,AI90,IF(AK90=AR74,AI90,IF(AK96=AR74,AI98,IF(AK98=AR74,AI98,IF(AK118=AR74,AI120,IF(AK120=AR74,AI120,IF(AK126=AR74,AI128,IF(AK128=AR74,AI128)))))))))))))))))))))))))))))))),"")</f>
        <v/>
      </c>
      <c r="AS90" s="15" t="str">
        <f>IFERROR(IF(AR90="","",VLOOKUP(AR90,LISTAS!$F$5:$G$1004,2,0)),"0")</f>
        <v/>
      </c>
      <c r="AT90" s="15" t="str">
        <f t="shared" si="4"/>
        <v/>
      </c>
      <c r="AU90" s="15" t="str">
        <f t="shared" si="5"/>
        <v/>
      </c>
    </row>
    <row r="91" spans="2:47" ht="18" customHeight="1" thickBot="1" x14ac:dyDescent="0.3">
      <c r="B91" s="16"/>
      <c r="C91" s="170" t="str">
        <f>IFERROR(IF(C90="","",VLOOKUP(C90,LISTAS!$F$5:$G$1004,2,0)),"0")</f>
        <v/>
      </c>
      <c r="D91" s="235"/>
      <c r="E91" s="128"/>
      <c r="F91" s="51"/>
      <c r="G91" s="176"/>
      <c r="H91" s="51"/>
      <c r="I91" s="18"/>
      <c r="J91" s="11"/>
      <c r="K91" s="166"/>
      <c r="L91" s="11"/>
      <c r="M91" s="18"/>
      <c r="N91" s="11"/>
      <c r="O91" s="166"/>
      <c r="P91" s="11"/>
      <c r="Q91" s="8"/>
      <c r="R91" s="182"/>
      <c r="S91" s="8"/>
      <c r="T91" s="8"/>
      <c r="U91" s="8"/>
      <c r="V91" s="182"/>
      <c r="W91" s="8"/>
      <c r="X91" s="62"/>
      <c r="Y91" s="182"/>
      <c r="Z91" s="65"/>
      <c r="AA91" s="8"/>
      <c r="AB91" s="11"/>
      <c r="AC91" s="182"/>
      <c r="AD91" s="8"/>
      <c r="AE91" s="69"/>
      <c r="AF91" s="78"/>
      <c r="AG91" s="181"/>
      <c r="AH91" s="78"/>
      <c r="AI91" s="123"/>
      <c r="AJ91" s="235"/>
      <c r="AK91" s="170" t="str">
        <f>IFERROR(IF(AK90="","",VLOOKUP(AK90,LISTAS!$F$5:$G$1004,2,0)),"0")</f>
        <v/>
      </c>
      <c r="AL91" s="11"/>
      <c r="AP91" s="13" t="str">
        <f>IF(AR91&lt;&gt;"",1+COUNTIF(AP72:AP90,"1")+COUNTIF(AP72:AP90,"2")+COUNTIF(AP72:AP90,"3")+COUNTIF(AP72:AP90,"4")+COUNTIF(AP72:AP90,"5")+COUNTIF(AP72:AP90,"6")+COUNTIF(AP72:AP90,"7")+COUNTIF(AP72:AP90,"8")+COUNTIF(AP72:AP90,"9")+COUNTIF(AP72:AP90,"10")+COUNTIF(AP72:AP90,"11")+COUNTIF(AP72:AP90,"12")+COUNTIF(AP72:AP90,"13")+COUNTIF(AP72:AP90,"14")+COUNTIF(AP72:AP90,"15")+COUNTIF(AP72:AP90,"16")+COUNTIF(AP72:AP90,"17")+COUNTIF(AP72:AP90,"18")+COUNTIF(AP72:AP90,"19"),"")</f>
        <v/>
      </c>
      <c r="AQ91" s="14" t="str">
        <f t="shared" si="3"/>
        <v/>
      </c>
      <c r="AR91" s="21" t="str">
        <f>IF(AR75&lt;&gt;"",IF(C72=AR75,G74,IF(C74=AR75,G74,IF(C80=AR75,G82,IF(C82=AR75,G82,IF(C102=AR75,G104,IF(C104=AR75,G104,IF(C110=AR75,G112,IF(C112=AR75,G112,IF(C88=AR75,G90,IF(C90=AR75,G90,IF(C96=AR75,G98,IF(C98=AR75,G98,IF(C118=AR75,G120,IF(C120=AR75,G120,IF(C126=AR75,G128,IF(C128=AR75,G128,IF(AK72=AR75,AI74,IF(AK74=AR75,AI74,IF(AK80=AR75,AI82,IF(AK82=AR75,AI82,IF(AK102=AR75,AI104,IF(AK104=AR75,AI104,IF(AK110=AR75,AI112,IF(AK112=AR75,AI112,IF(AK88=AR75,AI90,IF(AK90=AR75,AI90,IF(AK96=AR75,AI98,IF(AK98=AR75,AI98,IF(AK118=AR75,AI120,IF(AK120=AR75,AI120,IF(AK126=AR75,AI128,IF(AK128=AR75,AI128)))))))))))))))))))))))))))))))),"")</f>
        <v/>
      </c>
      <c r="AS91" s="15" t="str">
        <f>IFERROR(IF(AR91="","",VLOOKUP(AR91,LISTAS!$F$5:$G$1004,2,0)),"0")</f>
        <v/>
      </c>
      <c r="AT91" s="15" t="str">
        <f t="shared" si="4"/>
        <v/>
      </c>
      <c r="AU91" s="15" t="str">
        <f t="shared" si="5"/>
        <v/>
      </c>
    </row>
    <row r="92" spans="2:47" ht="18" customHeight="1" x14ac:dyDescent="0.25">
      <c r="B92" s="16"/>
      <c r="C92" s="166"/>
      <c r="D92" s="11"/>
      <c r="E92" s="11"/>
      <c r="F92" s="17"/>
      <c r="G92" s="169" t="str">
        <f>IF(D88&lt;&gt;"",IF(D90&lt;&gt;"",IF(D88=D90,"",IF(D88&gt;D90,C88,C90)),""),"")</f>
        <v/>
      </c>
      <c r="H92" s="234">
        <v>0</v>
      </c>
      <c r="I92" s="56">
        <f>IF(H92&lt;&gt;"",H92,"")</f>
        <v>0</v>
      </c>
      <c r="J92" s="51" t="str">
        <f>IF(H92&lt;&gt;"",IF(G92="","",G92),"")</f>
        <v/>
      </c>
      <c r="K92" s="176">
        <f>IF(I92&lt;&gt;"",IF(I94&lt;&gt;"",SMALL(I92:J94,1),""),"")</f>
        <v>0</v>
      </c>
      <c r="L92" s="51"/>
      <c r="M92" s="18"/>
      <c r="N92" s="11"/>
      <c r="O92" s="166"/>
      <c r="P92" s="11"/>
      <c r="Q92" s="8"/>
      <c r="R92" s="182"/>
      <c r="S92" s="8"/>
      <c r="T92" s="8"/>
      <c r="U92" s="8"/>
      <c r="V92" s="182"/>
      <c r="W92" s="8"/>
      <c r="X92" s="62"/>
      <c r="Y92" s="182"/>
      <c r="Z92" s="65"/>
      <c r="AA92" s="8"/>
      <c r="AB92" s="11"/>
      <c r="AC92" s="182"/>
      <c r="AD92" s="8"/>
      <c r="AE92" s="17"/>
      <c r="AF92" s="234">
        <v>0</v>
      </c>
      <c r="AG92" s="169" t="str">
        <f>IF(AJ88&lt;&gt;"",IF(AJ90&lt;&gt;"",IF(AJ88=AJ90,"",IF(AJ88&gt;AJ90,AK88,AK90)),""),"")</f>
        <v/>
      </c>
      <c r="AH92" s="65"/>
      <c r="AI92" s="8"/>
      <c r="AJ92" s="11"/>
      <c r="AK92" s="166"/>
      <c r="AL92" s="11"/>
      <c r="AN92" s="23"/>
      <c r="AO92" s="23"/>
      <c r="AP92" s="13" t="str">
        <f>IF(AR92&lt;&gt;"",1+COUNTIF(AP72:AP91,"1")+COUNTIF(AP72:AP91,"2")+COUNTIF(AP72:AP91,"3")+COUNTIF(AP72:AP91,"4")+COUNTIF(AP72:AP91,"5")+COUNTIF(AP72:AP91,"6")+COUNTIF(AP72:AP91,"7")+COUNTIF(AP72:AP91,"8")+COUNTIF(AP72:AP91,"9")+COUNTIF(AP72:AP91,"10")+COUNTIF(AP72:AP91,"11")+COUNTIF(AP72:AP91,"12")+COUNTIF(AP72:AP91,"13")+COUNTIF(AP72:AP91,"14")+COUNTIF(AP72:AP91,"15")+COUNTIF(AP72:AP91,"16")+COUNTIF(AP72:AP91,"17")+COUNTIF(AP72:AP91,"18")+COUNTIF(AP72:AP91,"19")+COUNTIF(AP72:AP91,"20"),"")</f>
        <v/>
      </c>
      <c r="AQ92" s="14" t="str">
        <f t="shared" si="3"/>
        <v/>
      </c>
      <c r="AR92" s="21" t="str">
        <f>IF(AR76&lt;&gt;"",IF(C72=AR76,G74,IF(C74=AR76,G74,IF(C80=AR76,G82,IF(C82=AR76,G82,IF(C102=AR76,G104,IF(C104=AR76,G104,IF(C110=AR76,G112,IF(C112=AR76,G112,IF(C88=AR76,G90,IF(C90=AR76,G90,IF(C96=AR76,G98,IF(C98=AR76,G98,IF(C118=AR76,G120,IF(C120=AR76,G120,IF(C126=AR76,G128,IF(C128=AR76,G128,IF(AK72=AR76,AI74,IF(AK74=AR76,AI74,IF(AK80=AR76,AI82,IF(AK82=AR76,AI82,IF(AK102=AR76,AI104,IF(AK104=AR76,AI104,IF(AK110=AR76,AI112,IF(AK112=AR76,AI112,IF(AK88=AR76,AI90,IF(AK90=AR76,AI90,IF(AK96=AR76,AI98,IF(AK98=AR76,AI98,IF(AK118=AR76,AI120,IF(AK120=AR76,AI120,IF(AK126=AR76,AI128,IF(AK128=AR76,AI128)))))))))))))))))))))))))))))))),"")</f>
        <v/>
      </c>
      <c r="AS92" s="15" t="str">
        <f>IFERROR(IF(AR92="","",VLOOKUP(AR92,LISTAS!$F$5:$G$1004,2,0)),"0")</f>
        <v/>
      </c>
      <c r="AT92" s="15" t="str">
        <f t="shared" si="4"/>
        <v/>
      </c>
      <c r="AU92" s="15" t="str">
        <f t="shared" si="5"/>
        <v/>
      </c>
    </row>
    <row r="93" spans="2:47" ht="18" customHeight="1" thickBot="1" x14ac:dyDescent="0.3">
      <c r="B93" s="16"/>
      <c r="C93" s="166"/>
      <c r="D93" s="11"/>
      <c r="E93" s="11"/>
      <c r="F93" s="17"/>
      <c r="G93" s="170" t="str">
        <f>IFERROR(IF(G92="","",VLOOKUP(G92,LISTAS!$F$5:$G$1004,2,0)),"0")</f>
        <v/>
      </c>
      <c r="H93" s="235"/>
      <c r="I93" s="57"/>
      <c r="J93" s="51"/>
      <c r="K93" s="176"/>
      <c r="L93" s="51"/>
      <c r="M93" s="18"/>
      <c r="N93" s="11"/>
      <c r="O93" s="166"/>
      <c r="P93" s="11"/>
      <c r="Q93" s="8"/>
      <c r="R93" s="182"/>
      <c r="S93" s="8"/>
      <c r="T93" s="8"/>
      <c r="U93" s="8"/>
      <c r="V93" s="182"/>
      <c r="W93" s="8"/>
      <c r="X93" s="62"/>
      <c r="Y93" s="182"/>
      <c r="Z93" s="65"/>
      <c r="AA93" s="8"/>
      <c r="AB93" s="11"/>
      <c r="AC93" s="182"/>
      <c r="AD93" s="8"/>
      <c r="AE93" s="122"/>
      <c r="AF93" s="235"/>
      <c r="AG93" s="170" t="str">
        <f>IFERROR(IF(AG92="","",VLOOKUP(AG92,LISTAS!$F$5:$G$1004,2,0)),"0")</f>
        <v/>
      </c>
      <c r="AH93" s="65"/>
      <c r="AI93" s="8"/>
      <c r="AJ93" s="11"/>
      <c r="AK93" s="166"/>
      <c r="AL93" s="11"/>
      <c r="AM93" s="23"/>
      <c r="AN93" s="23"/>
      <c r="AO93" s="23"/>
      <c r="AP93" s="13" t="str">
        <f>IF(AR93&lt;&gt;"",1+COUNTIF(AP72:AP92,"1")+COUNTIF(AP72:AP92,"2")+COUNTIF(AP72:AP92,"3")+COUNTIF(AP72:AP92,"4")+COUNTIF(AP72:AP92,"5")+COUNTIF(AP72:AP92,"6")+COUNTIF(AP72:AP92,"7")+COUNTIF(AP72:AP92,"8")+COUNTIF(AP72:AP92,"9")+COUNTIF(AP72:AP92,"10")+COUNTIF(AP72:AP92,"11")+COUNTIF(AP72:AP92,"12")+COUNTIF(AP72:AP92,"13")+COUNTIF(AP72:AP92,"14")+COUNTIF(AP72:AP92,"15")+COUNTIF(AP72:AP92,"16")+COUNTIF(AP72:AP92,"17")+COUNTIF(AP72:AP92,"18")+COUNTIF(AP72:AP92,"19")+COUNTIF(AP72:AP92,"20")+COUNTIF(AP72:AP92,"21"),"")</f>
        <v/>
      </c>
      <c r="AQ93" s="14" t="str">
        <f t="shared" si="3"/>
        <v/>
      </c>
      <c r="AR93" s="21" t="str">
        <f>IF(AR77&lt;&gt;"",IF(C72=AR77,G74,IF(C74=AR77,G74,IF(C80=AR77,G82,IF(C82=AR77,G82,IF(C102=AR77,G104,IF(C104=AR77,G104,IF(C110=AR77,G112,IF(C112=AR77,G112,IF(C88=AR77,G90,IF(C90=AR77,G90,IF(C96=AR77,G98,IF(C98=AR77,G98,IF(C118=AR77,G120,IF(C120=AR77,G120,IF(C126=AR77,G128,IF(C128=AR77,G128,IF(AK72=AR77,AI74,IF(AK74=AR77,AI74,IF(AK80=AR77,AI82,IF(AK82=AR77,AI82,IF(AK102=AR77,AI104,IF(AK104=AR77,AI104,IF(AK110=AR77,AI112,IF(AK112=AR77,AI112,IF(AK88=AR77,AI90,IF(AK90=AR77,AI90,IF(AK96=AR77,AI98,IF(AK98=AR77,AI98,IF(AK118=AR77,AI120,IF(AK120=AR77,AI120,IF(AK126=AR77,AI128,IF(AK128=AR77,AI128)))))))))))))))))))))))))))))))),"")</f>
        <v/>
      </c>
      <c r="AS93" s="15" t="str">
        <f>IFERROR(IF(AR93="","",VLOOKUP(AR93,LISTAS!$F$5:$G$1004,2,0)),"0")</f>
        <v/>
      </c>
      <c r="AT93" s="15" t="str">
        <f t="shared" si="4"/>
        <v/>
      </c>
      <c r="AU93" s="15" t="str">
        <f t="shared" si="5"/>
        <v/>
      </c>
    </row>
    <row r="94" spans="2:47" ht="18" customHeight="1" x14ac:dyDescent="0.25">
      <c r="B94" s="16"/>
      <c r="C94" s="166"/>
      <c r="D94" s="11"/>
      <c r="E94" s="18"/>
      <c r="F94" s="19"/>
      <c r="G94" s="169" t="str">
        <f>IF(D96&lt;&gt;"",IF(D98&lt;&gt;"",IF(D96=D98,"",IF(D96&gt;D98,C96,C98)),""),"")</f>
        <v/>
      </c>
      <c r="H94" s="234">
        <v>0</v>
      </c>
      <c r="I94" s="57">
        <f>IF(H94&lt;&gt;"",H94,"")</f>
        <v>0</v>
      </c>
      <c r="J94" s="51" t="str">
        <f>IF(H94&lt;&gt;"",IF(G94="","",G94),"")</f>
        <v/>
      </c>
      <c r="K94" s="176" t="str">
        <f>VLOOKUP(K92,I92:J94,2,0)</f>
        <v/>
      </c>
      <c r="L94" s="51"/>
      <c r="M94" s="18"/>
      <c r="N94" s="11"/>
      <c r="O94" s="166"/>
      <c r="P94" s="11"/>
      <c r="Q94" s="8"/>
      <c r="R94" s="182"/>
      <c r="S94" s="8"/>
      <c r="T94" s="8"/>
      <c r="U94" s="8"/>
      <c r="V94" s="182"/>
      <c r="W94" s="8"/>
      <c r="X94" s="62"/>
      <c r="Y94" s="182"/>
      <c r="Z94" s="65"/>
      <c r="AA94" s="8"/>
      <c r="AB94" s="11"/>
      <c r="AC94" s="182"/>
      <c r="AD94" s="8"/>
      <c r="AE94" s="64"/>
      <c r="AF94" s="234">
        <v>0</v>
      </c>
      <c r="AG94" s="169" t="str">
        <f>IF(AJ96&lt;&gt;"",IF(AJ98&lt;&gt;"",IF(AJ96=AJ98,"",IF(AJ96&gt;AJ98,AK96,AK98)),""),"")</f>
        <v/>
      </c>
      <c r="AH94" s="66"/>
      <c r="AI94" s="8"/>
      <c r="AJ94" s="11"/>
      <c r="AK94" s="166"/>
      <c r="AL94" s="11"/>
      <c r="AM94" s="23"/>
      <c r="AP94" s="13" t="str">
        <f>IF(AR94&lt;&gt;"",1+COUNTIF(AP72:AP93,"1")+COUNTIF(AP72:AP93,"2")+COUNTIF(AP72:AP93,"3")+COUNTIF(AP72:AP93,"4")+COUNTIF(AP72:AP93,"5")+COUNTIF(AP72:AP93,"6")+COUNTIF(AP72:AP93,"7")+COUNTIF(AP72:AP93,"8")+COUNTIF(AP72:AP93,"9")+COUNTIF(AP72:AP93,"10")+COUNTIF(AP72:AP93,"11")+COUNTIF(AP72:AP93,"12")+COUNTIF(AP72:AP93,"13")+COUNTIF(AP72:AP93,"14")+COUNTIF(AP72:AP93,"15")+COUNTIF(AP72:AP93,"16")+COUNTIF(AP72:AP93,"17")+COUNTIF(AP72:AP93,"18")+COUNTIF(AP72:AP93,"19")+COUNTIF(AP72:AP93,"20")+COUNTIF(AP72:AP93,"21")+COUNTIF(AP72:AP93,"22"),"")</f>
        <v/>
      </c>
      <c r="AQ94" s="14" t="str">
        <f t="shared" si="3"/>
        <v/>
      </c>
      <c r="AR94" s="21" t="str">
        <f>IF(AR78&lt;&gt;"",IF(C72=AR78,G74,IF(C74=AR78,G74,IF(C80=AR78,G82,IF(C82=AR78,G82,IF(C102=AR78,G104,IF(C104=AR78,G104,IF(C110=AR78,G112,IF(C112=AR78,G112,IF(C88=AR78,G90,IF(C90=AR78,G90,IF(C96=AR78,G98,IF(C98=AR78,G98,IF(C118=AR78,G120,IF(C120=AR78,G120,IF(C126=AR78,G128,IF(C128=AR78,G128,IF(AK72=AR78,AI74,IF(AK74=AR78,AI74,IF(AK80=AR78,AI82,IF(AK82=AR78,AI82,IF(AK102=AR78,AI104,IF(AK104=AR78,AI104,IF(AK110=AR78,AI112,IF(AK112=AR78,AI112,IF(AK88=AR78,AI90,IF(AK90=AR78,AI90,IF(AK96=AR78,AI98,IF(AK98=AR78,AI98,IF(AK118=AR78,AI120,IF(AK120=AR78,AI120,IF(AK126=AR78,AI128,IF(AK128=AR78,AI128)))))))))))))))))))))))))))))))),"")</f>
        <v/>
      </c>
      <c r="AS94" s="15" t="str">
        <f>IFERROR(IF(AR94="","",VLOOKUP(AR94,LISTAS!$F$5:$G$1004,2,0)),"0")</f>
        <v/>
      </c>
      <c r="AT94" s="15" t="str">
        <f t="shared" si="4"/>
        <v/>
      </c>
      <c r="AU94" s="15" t="str">
        <f t="shared" si="5"/>
        <v/>
      </c>
    </row>
    <row r="95" spans="2:47" ht="18" customHeight="1" thickBot="1" x14ac:dyDescent="0.3">
      <c r="B95" s="16"/>
      <c r="C95" s="166"/>
      <c r="D95" s="11"/>
      <c r="E95" s="18"/>
      <c r="F95" s="11"/>
      <c r="G95" s="170" t="str">
        <f>IFERROR(IF(G94="","",VLOOKUP(G94,LISTAS!$F$5:$G$1004,2,0)),"0")</f>
        <v/>
      </c>
      <c r="H95" s="235"/>
      <c r="I95" s="51"/>
      <c r="J95" s="51"/>
      <c r="K95" s="176"/>
      <c r="L95" s="51"/>
      <c r="M95" s="18"/>
      <c r="N95" s="11"/>
      <c r="O95" s="166"/>
      <c r="P95" s="11"/>
      <c r="Q95" s="8"/>
      <c r="R95" s="182"/>
      <c r="S95" s="8"/>
      <c r="T95" s="8"/>
      <c r="U95" s="8"/>
      <c r="V95" s="182"/>
      <c r="W95" s="8"/>
      <c r="X95" s="62"/>
      <c r="Y95" s="182"/>
      <c r="Z95" s="65"/>
      <c r="AA95" s="8"/>
      <c r="AB95" s="11"/>
      <c r="AC95" s="182"/>
      <c r="AD95" s="8"/>
      <c r="AE95" s="8"/>
      <c r="AF95" s="235"/>
      <c r="AG95" s="170" t="str">
        <f>IFERROR(IF(AG94="","",VLOOKUP(AG94,LISTAS!$F$5:$G$1004,2,0)),"0")</f>
        <v/>
      </c>
      <c r="AH95" s="8"/>
      <c r="AI95" s="69"/>
      <c r="AJ95" s="11"/>
      <c r="AK95" s="166"/>
      <c r="AL95" s="11"/>
      <c r="AP95" s="13" t="str">
        <f>IF(AR95&lt;&gt;"",1+COUNTIF(AP72:AP94,"1")+COUNTIF(AP72:AP94,"2")+COUNTIF(AP72:AP94,"3")+COUNTIF(AP72:AP94,"4")+COUNTIF(AP72:AP94,"5")+COUNTIF(AP72:AP94,"6")+COUNTIF(AP72:AP94,"7")+COUNTIF(AP72:AP94,"8")+COUNTIF(AP72:AP94,"9")+COUNTIF(AP72:AP94,"10")+COUNTIF(AP72:AP94,"11")+COUNTIF(AP72:AP94,"12")+COUNTIF(AP72:AP94,"13")+COUNTIF(AP72:AP94,"14")+COUNTIF(AP72:AP94,"15")+COUNTIF(AP72:AP94,"16")+COUNTIF(AP72:AP94,"17")+COUNTIF(AP72:AP94,"18")+COUNTIF(AP72:AP94,"19")+COUNTIF(AP72:AP94,"20")+COUNTIF(AP72:AP94,"21")+COUNTIF(AP72:AP94,"22")+COUNTIF(AP72:AP94,"23"),"")</f>
        <v/>
      </c>
      <c r="AQ95" s="14" t="str">
        <f t="shared" si="3"/>
        <v/>
      </c>
      <c r="AR95" s="21" t="str">
        <f>IF(AR79&lt;&gt;"",IF(C72=AR79,G74,IF(C74=AR79,G74,IF(C80=AR79,G82,IF(C82=AR79,G82,IF(C102=AR79,G104,IF(C104=AR79,G104,IF(C110=AR79,G112,IF(C112=AR79,G112,IF(C88=AR79,G90,IF(C90=AR79,G90,IF(C96=AR79,G98,IF(C98=AR79,G98,IF(C118=AR79,G120,IF(C120=AR79,G120,IF(C126=AR79,G128,IF(C128=AR79,G128,IF(AK72=AR79,AI74,IF(AK74=AR79,AI74,IF(AK80=AR79,AI82,IF(AK82=AR79,AI82,IF(AK102=AR79,AI104,IF(AK104=AR79,AI104,IF(AK110=AR79,AI112,IF(AK112=AR79,AI112,IF(AK88=AR79,AI90,IF(AK90=AR79,AI90,IF(AK96=AR79,AI98,IF(AK98=AR79,AI98,IF(AK118=AR79,AI120,IF(AK120=AR79,AI120,IF(AK126=AR79,AI128,IF(AK128=AR79,AI128)))))))))))))))))))))))))))))))),"")</f>
        <v/>
      </c>
      <c r="AS95" s="15" t="str">
        <f>IFERROR(IF(AR95="","",VLOOKUP(AR95,LISTAS!$F$5:$G$1004,2,0)),"0")</f>
        <v/>
      </c>
      <c r="AT95" s="15" t="str">
        <f t="shared" si="4"/>
        <v/>
      </c>
      <c r="AU95" s="15" t="str">
        <f t="shared" si="5"/>
        <v/>
      </c>
    </row>
    <row r="96" spans="2:47" ht="18" customHeight="1" x14ac:dyDescent="0.25">
      <c r="B96" s="16">
        <v>25</v>
      </c>
      <c r="C96" s="169" t="str">
        <f>IF('17F GRP'!G5&gt;=3,'17F GRP'!J334,IF('17F GRP'!G5=2,"",IF('17F GRP'!G5=1,"","")))</f>
        <v/>
      </c>
      <c r="D96" s="234">
        <v>0</v>
      </c>
      <c r="E96" s="56">
        <f>IF(D96&lt;&gt;"",D96,"")</f>
        <v>0</v>
      </c>
      <c r="F96" s="51" t="str">
        <f>IF(D96&lt;&gt;"",IF(C96="","",C96),"")</f>
        <v/>
      </c>
      <c r="G96" s="176">
        <f>IF(E96&lt;&gt;"",IF(E98&lt;&gt;"",SMALL(E96:E98,1),""),"")</f>
        <v>0</v>
      </c>
      <c r="H96" s="51"/>
      <c r="I96" s="51"/>
      <c r="J96" s="51"/>
      <c r="K96" s="176"/>
      <c r="L96" s="51"/>
      <c r="M96" s="18"/>
      <c r="N96" s="11"/>
      <c r="O96" s="166"/>
      <c r="P96" s="11"/>
      <c r="Q96" s="8"/>
      <c r="R96" s="182"/>
      <c r="S96" s="8"/>
      <c r="T96" s="8"/>
      <c r="U96" s="8"/>
      <c r="V96" s="182"/>
      <c r="W96" s="8"/>
      <c r="X96" s="62"/>
      <c r="Y96" s="182"/>
      <c r="Z96" s="65"/>
      <c r="AA96" s="8"/>
      <c r="AB96" s="11"/>
      <c r="AC96" s="182"/>
      <c r="AD96" s="8"/>
      <c r="AE96" s="8"/>
      <c r="AF96" s="78"/>
      <c r="AG96" s="181">
        <f>IF(AJ96&lt;&gt;"",AJ96,"")</f>
        <v>0</v>
      </c>
      <c r="AH96" s="78" t="str">
        <f>IF(AJ96&lt;&gt;"",IF(AK96="","",AK96),"")</f>
        <v/>
      </c>
      <c r="AI96" s="53">
        <f>IF(AG96&lt;&gt;"",IF(AG98&lt;&gt;"",SMALL(AG96:AG98,1),""),"")</f>
        <v>0</v>
      </c>
      <c r="AJ96" s="234">
        <v>0</v>
      </c>
      <c r="AK96" s="169" t="str">
        <f>IF('17F GRP'!G5&gt;=3,'17F GRP'!J360,IF('17F GRP'!G5=2,"",IF('17F GRP'!G5=1,"","")))</f>
        <v/>
      </c>
      <c r="AL96" s="11">
        <v>27</v>
      </c>
      <c r="AP96" s="13" t="str">
        <f>IF(AR96&lt;&gt;"",1+COUNTIF(AP72:AP95,"1")+COUNTIF(AP72:AP95,"2")+COUNTIF(AP72:AP95,"3")+COUNTIF(AP72:AP95,"4")+COUNTIF(AP72:AP95,"5")+COUNTIF(AP72:AP95,"6")+COUNTIF(AP72:AP95,"7")+COUNTIF(AP72:AP95,"8")+COUNTIF(AP72:AP95,"9")+COUNTIF(AP72:AP95,"10")+COUNTIF(AP72:AP95,"11")+COUNTIF(AP72:AP95,"12")+COUNTIF(AP72:AP95,"13")+COUNTIF(AP72:AP95,"14")+COUNTIF(AP72:AP95,"15")+COUNTIF(AP72:AP95,"16")+COUNTIF(AP72:AP95,"17")+COUNTIF(AP72:AP95,"18")+COUNTIF(AP72:AP95,"19")+COUNTIF(AP72:AP95,"20")+COUNTIF(AP72:AP95,"21")+COUNTIF(AP72:AP95,"22")+COUNTIF(AP72:AP95,"23")+COUNTIF(AP72:AP95,"24"),"")</f>
        <v/>
      </c>
      <c r="AQ96" s="14" t="str">
        <f t="shared" si="3"/>
        <v/>
      </c>
      <c r="AR96" s="21" t="str">
        <f>IF(AR80&lt;&gt;"",IF(C72=AR80,G74,IF(C74=AR80,G74,IF(C80=AR80,G82,IF(C82=AR80,G82,IF(C102=AR80,G104,IF(C104=AR80,G104,IF(C110=AR80,G112,IF(C112=AR80,G112,IF(C88=AR80,G90,IF(C90=AR80,G90,IF(C96=AR80,G98,IF(C98=AR80,G98,IF(C118=AR80,G120,IF(C120=AR80,G120,IF(C126=AR80,G128,IF(C128=AR80,G128,IF(AK72=AR80,AI74,IF(AK74=AR80,AI74,IF(AK80=AR80,AI82,IF(AK82=AR80,AI82,IF(AK102=AR80,AI104,IF(AK104=AR80,AI104,IF(AK110=AR80,AI112,IF(AK112=AR80,AI112,IF(AK88=AR80,AI90,IF(AK90=AR80,AI90,IF(AK96=AR80,AI98,IF(AK98=AR80,AI98,IF(AK118=AR80,AI120,IF(AK120=AR80,AI120,IF(AK126=AR80,AI128,IF(AK128=AR80,AI128)))))))))))))))))))))))))))))))),"")</f>
        <v/>
      </c>
      <c r="AS96" s="15" t="str">
        <f>IFERROR(IF(AR96="","",VLOOKUP(AR96,LISTAS!$F$5:$G$1004,2,0)),"0")</f>
        <v/>
      </c>
      <c r="AT96" s="15" t="str">
        <f t="shared" si="4"/>
        <v/>
      </c>
      <c r="AU96" s="15" t="str">
        <f t="shared" si="5"/>
        <v/>
      </c>
    </row>
    <row r="97" spans="2:47" ht="18" customHeight="1" thickBot="1" x14ac:dyDescent="0.3">
      <c r="B97" s="16"/>
      <c r="C97" s="170" t="str">
        <f>IFERROR(IF(C96="","",VLOOKUP(C96,LISTAS!$F$5:$G$1004,2,0)),"0")</f>
        <v/>
      </c>
      <c r="D97" s="235"/>
      <c r="E97" s="57"/>
      <c r="F97" s="51"/>
      <c r="G97" s="176"/>
      <c r="H97" s="51"/>
      <c r="I97" s="11"/>
      <c r="J97" s="11"/>
      <c r="K97" s="166"/>
      <c r="L97" s="11"/>
      <c r="M97" s="18"/>
      <c r="N97" s="11"/>
      <c r="O97" s="166"/>
      <c r="P97" s="11"/>
      <c r="Q97" s="8"/>
      <c r="R97" s="182"/>
      <c r="S97" s="8"/>
      <c r="T97" s="8"/>
      <c r="U97" s="8"/>
      <c r="V97" s="182"/>
      <c r="W97" s="8"/>
      <c r="X97" s="62"/>
      <c r="Y97" s="182"/>
      <c r="Z97" s="65"/>
      <c r="AA97" s="8"/>
      <c r="AB97" s="11"/>
      <c r="AC97" s="182"/>
      <c r="AD97" s="8"/>
      <c r="AE97" s="8"/>
      <c r="AF97" s="78"/>
      <c r="AG97" s="181"/>
      <c r="AH97" s="78"/>
      <c r="AI97" s="124"/>
      <c r="AJ97" s="235"/>
      <c r="AK97" s="170" t="str">
        <f>IFERROR(IF(AK96="","",VLOOKUP(AK96,LISTAS!$F$5:$G$1004,2,0)),"0")</f>
        <v/>
      </c>
      <c r="AL97" s="11"/>
      <c r="AP97" s="13" t="str">
        <f>IF(AR97&lt;&gt;"",1+COUNTIF(AP72:AP96,"1")+COUNTIF(AP72:AP96,"2")+COUNTIF(AP72:AP96,"3")+COUNTIF(AP72:AP96,"4")+COUNTIF(AP72:AP96,"5")+COUNTIF(AP72:AP96,"6")+COUNTIF(AP72:AP96,"7")+COUNTIF(AP72:AP96,"8")+COUNTIF(AP72:AP96,"9")+COUNTIF(AP72:AP96,"10")+COUNTIF(AP72:AP96,"11")+COUNTIF(AP72:AP96,"12")+COUNTIF(AP72:AP96,"13")+COUNTIF(AP72:AP96,"14")+COUNTIF(AP72:AP96,"15")+COUNTIF(AP72:AP96,"16")+COUNTIF(AP72:AP96,"17")+COUNTIF(AP72:AP96,"18")+COUNTIF(AP72:AP96,"19")+COUNTIF(AP72:AP96,"20")+COUNTIF(AP72:AP96,"21")+COUNTIF(AP72:AP96,"22")+COUNTIF(AP72:AP96,"23")+COUNTIF(AP72:AP96,"24")+COUNTIF(AP72:AP96,"25"),"")</f>
        <v/>
      </c>
      <c r="AQ97" s="14" t="str">
        <f t="shared" si="3"/>
        <v/>
      </c>
      <c r="AR97" s="21" t="str">
        <f>IF(AR81&lt;&gt;"",IF(C72=AR81,G74,IF(C74=AR81,G74,IF(C80=AR81,G82,IF(C82=AR81,G82,IF(C102=AR81,G104,IF(C104=AR81,G104,IF(C110=AR81,G112,IF(C112=AR81,G112,IF(C88=AR81,G90,IF(C90=AR81,G90,IF(C96=AR81,G98,IF(C98=AR81,G98,IF(C118=AR81,G120,IF(C120=AR81,G120,IF(C126=AR81,G128,IF(C128=AR81,G128,IF(AK72=AR81,AI74,IF(AK74=AR81,AI74,IF(AK80=AR81,AI82,IF(AK82=AR81,AI82,IF(AK102=AR81,AI104,IF(AK104=AR81,AI104,IF(AK110=AR81,AI112,IF(AK112=AR81,AI112,IF(AK88=AR81,AI90,IF(AK90=AR81,AI90,IF(AK96=AR81,AI98,IF(AK98=AR81,AI98,IF(AK118=AR81,AI120,IF(AK120=AR81,AI120,IF(AK126=AR81,AI128,IF(AK128=AR81,AI128)))))))))))))))))))))))))))))))),"")</f>
        <v/>
      </c>
      <c r="AS97" s="15" t="str">
        <f>IFERROR(IF(AR97="","",VLOOKUP(AR97,LISTAS!$F$5:$G$1004,2,0)),"0")</f>
        <v/>
      </c>
      <c r="AT97" s="15" t="str">
        <f t="shared" si="4"/>
        <v/>
      </c>
      <c r="AU97" s="15" t="str">
        <f t="shared" si="5"/>
        <v/>
      </c>
    </row>
    <row r="98" spans="2:47" ht="18" customHeight="1" thickBot="1" x14ac:dyDescent="0.3">
      <c r="B98" s="16">
        <v>8</v>
      </c>
      <c r="C98" s="169" t="str">
        <f>IF('17F GRP'!G5&gt;=3,'17F GRP'!J113,IF('17F GRP'!G5=2,"",IF('17F GRP'!G5=1,"","")))</f>
        <v/>
      </c>
      <c r="D98" s="234">
        <v>0</v>
      </c>
      <c r="E98" s="57">
        <f>IF(D98&lt;&gt;"",D98,"")</f>
        <v>0</v>
      </c>
      <c r="F98" s="51" t="str">
        <f>IF(D98&lt;&gt;"",IF(C98="","",C98),"")</f>
        <v/>
      </c>
      <c r="G98" s="176" t="str">
        <f>VLOOKUP(G96,E96:F98,2,0)</f>
        <v/>
      </c>
      <c r="H98" s="51"/>
      <c r="I98" s="11"/>
      <c r="J98" s="11"/>
      <c r="K98" s="166"/>
      <c r="L98" s="11"/>
      <c r="M98" s="18"/>
      <c r="N98" s="11"/>
      <c r="O98" s="166"/>
      <c r="P98" s="11"/>
      <c r="Q98" s="8"/>
      <c r="R98" s="236" t="s">
        <v>37</v>
      </c>
      <c r="S98" s="236"/>
      <c r="T98" s="236"/>
      <c r="U98" s="236"/>
      <c r="V98" s="236"/>
      <c r="W98" s="8"/>
      <c r="X98" s="62"/>
      <c r="Y98" s="182"/>
      <c r="Z98" s="65"/>
      <c r="AA98" s="8"/>
      <c r="AB98" s="11"/>
      <c r="AC98" s="182"/>
      <c r="AD98" s="8"/>
      <c r="AE98" s="8"/>
      <c r="AF98" s="78"/>
      <c r="AG98" s="181">
        <f>IF(AJ98&lt;&gt;"",AJ98,"")</f>
        <v>0</v>
      </c>
      <c r="AH98" s="78" t="str">
        <f>IF(AJ98&lt;&gt;"",IF(AK98="","",AK98),"")</f>
        <v/>
      </c>
      <c r="AI98" s="125" t="str">
        <f>VLOOKUP(AI96,AG96:AH98,2,0)</f>
        <v/>
      </c>
      <c r="AJ98" s="234">
        <v>0</v>
      </c>
      <c r="AK98" s="169" t="str">
        <f>IF('17F GRP'!G5&gt;=3,'17F GRP'!J87,IF('17F GRP'!G5=2,"",IF('17F GRP'!G5=1,"","")))</f>
        <v/>
      </c>
      <c r="AL98" s="11">
        <v>6</v>
      </c>
      <c r="AN98" s="23"/>
      <c r="AO98" s="23"/>
      <c r="AP98" s="13" t="str">
        <f>IF(AR98&lt;&gt;"",1+COUNTIF(AP72:AP97,"1")+COUNTIF(AP72:AP97,"2")+COUNTIF(AP72:AP97,"3")+COUNTIF(AP72:AP97,"4")+COUNTIF(AP72:AP97,"5")+COUNTIF(AP72:AP97,"6")+COUNTIF(AP72:AP97,"7")+COUNTIF(AP72:AP97,"8")+COUNTIF(AP72:AP97,"9")+COUNTIF(AP72:AP97,"10")+COUNTIF(AP72:AP97,"11")+COUNTIF(AP72:AP97,"12")+COUNTIF(AP72:AP97,"13")+COUNTIF(AP72:AP97,"14")+COUNTIF(AP72:AP97,"15")+COUNTIF(AP72:AP97,"16")+COUNTIF(AP72:AP97,"17")+COUNTIF(AP72:AP97,"18")+COUNTIF(AP72:AP97,"19")+COUNTIF(AP72:AP97,"20")+COUNTIF(AP72:AP97,"21")+COUNTIF(AP72:AP97,"22")+COUNTIF(AP72:AP97,"23")+COUNTIF(AP72:AP97,"24")+COUNTIF(AP72:AP97,"25")+COUNTIF(AP72:AP97,"26"),"")</f>
        <v/>
      </c>
      <c r="AQ98" s="14" t="str">
        <f t="shared" si="3"/>
        <v/>
      </c>
      <c r="AR98" s="21" t="str">
        <f>IF(AR82&lt;&gt;"",IF(C72=AR82,G74,IF(C74=AR82,G74,IF(C80=AR82,G82,IF(C82=AR82,G82,IF(C102=AR82,G104,IF(C104=AR82,G104,IF(C110=AR82,G112,IF(C112=AR82,G112,IF(C88=AR82,G90,IF(C90=AR82,G90,IF(C96=AR82,G98,IF(C98=AR82,G98,IF(C118=AR82,G120,IF(C120=AR82,G120,IF(C126=AR82,G128,IF(C128=AR82,G128,IF(AK72=AR82,AI74,IF(AK74=AR82,AI74,IF(AK80=AR82,AI82,IF(AK82=AR82,AI82,IF(AK102=AR82,AI104,IF(AK104=AR82,AI104,IF(AK110=AR82,AI112,IF(AK112=AR82,AI112,IF(AK88=AR82,AI90,IF(AK90=AR82,AI90,IF(AK96=AR82,AI98,IF(AK98=AR82,AI98,IF(AK118=AR82,AI120,IF(AK120=AR82,AI120,IF(AK126=AR82,AI128,IF(AK128=AR82,AI128)))))))))))))))))))))))))))))))),"")</f>
        <v/>
      </c>
      <c r="AS98" s="15" t="str">
        <f>IFERROR(IF(AR98="","",VLOOKUP(AR98,LISTAS!$F$5:$G$1004,2,0)),"0")</f>
        <v/>
      </c>
      <c r="AT98" s="15" t="str">
        <f t="shared" si="4"/>
        <v/>
      </c>
      <c r="AU98" s="15" t="str">
        <f t="shared" si="5"/>
        <v/>
      </c>
    </row>
    <row r="99" spans="2:47" ht="18" customHeight="1" thickBot="1" x14ac:dyDescent="0.3">
      <c r="B99" s="16"/>
      <c r="C99" s="170" t="str">
        <f>IFERROR(IF(C98="","",VLOOKUP(C98,LISTAS!$F$5:$G$1004,2,0)),"0")</f>
        <v/>
      </c>
      <c r="D99" s="235"/>
      <c r="E99" s="51"/>
      <c r="F99" s="51"/>
      <c r="G99" s="176"/>
      <c r="H99" s="51"/>
      <c r="I99" s="11"/>
      <c r="J99" s="11"/>
      <c r="K99" s="166"/>
      <c r="L99" s="11"/>
      <c r="M99" s="18"/>
      <c r="N99" s="11"/>
      <c r="O99" s="169" t="str">
        <f>IF(L84&lt;&gt;"",IF(L86&lt;&gt;"",IF(L84=L86,"",IF(L84&gt;L86,K84,K86)),""),"")</f>
        <v>ASHLEY DIAS OLIVEIRA</v>
      </c>
      <c r="P99" s="234">
        <v>1</v>
      </c>
      <c r="Q99" s="8"/>
      <c r="R99" s="167"/>
      <c r="S99" s="71"/>
      <c r="T99" s="71"/>
      <c r="U99" s="71"/>
      <c r="V99" s="167"/>
      <c r="W99" s="8"/>
      <c r="X99" s="234">
        <v>1</v>
      </c>
      <c r="Y99" s="169" t="str">
        <f>IF(AB84&lt;&gt;"",IF(AB86&lt;&gt;"",IF(AB84=AB86,"",IF(AB84&gt;AB86,AC84,AC86)),""),"")</f>
        <v>ASHLEY NATSUMI KUMANO MAEGAWA</v>
      </c>
      <c r="Z99" s="65"/>
      <c r="AA99" s="8"/>
      <c r="AB99" s="11"/>
      <c r="AC99" s="182"/>
      <c r="AD99" s="8"/>
      <c r="AE99" s="8"/>
      <c r="AF99" s="78"/>
      <c r="AG99" s="181"/>
      <c r="AH99" s="78"/>
      <c r="AI99" s="51"/>
      <c r="AJ99" s="235"/>
      <c r="AK99" s="170" t="str">
        <f>IFERROR(IF(AK98="","",VLOOKUP(AK98,LISTAS!$F$5:$G$1004,2,0)),"0")</f>
        <v/>
      </c>
      <c r="AL99" s="11"/>
      <c r="AM99" s="23"/>
      <c r="AP99" s="13" t="str">
        <f>IF(AR99&lt;&gt;"",1+COUNTIF(AP72:AP98,"1")+COUNTIF(AP72:AP98,"2")+COUNTIF(AP72:AP98,"3")+COUNTIF(AP72:AP98,"4")+COUNTIF(AP72:AP98,"5")+COUNTIF(AP72:AP98,"6")+COUNTIF(AP72:AP98,"7")+COUNTIF(AP72:AP98,"8")+COUNTIF(AP72:AP98,"9")+COUNTIF(AP72:AP98,"10")+COUNTIF(AP72:AP98,"11")+COUNTIF(AP72:AP98,"12")+COUNTIF(AP72:AP98,"13")+COUNTIF(AP72:AP98,"14")+COUNTIF(AP72:AP98,"15")+COUNTIF(AP72:AP98,"16")+COUNTIF(AP72:AP98,"17")+COUNTIF(AP72:AP98,"18")+COUNTIF(AP72:AP98,"19")+COUNTIF(AP72:AP98,"20")+COUNTIF(AP72:AP98,"21")+COUNTIF(AP72:AP98,"22")+COUNTIF(AP72:AP98,"23")+COUNTIF(AP72:AP98,"24")+COUNTIF(AP72:AP98,"25")+COUNTIF(AP72:AP98,"26")+COUNTIF(AP72:AP98,"27"),"")</f>
        <v/>
      </c>
      <c r="AQ99" s="14" t="str">
        <f t="shared" si="3"/>
        <v/>
      </c>
      <c r="AR99" s="21" t="str">
        <f>IF(AR83&lt;&gt;"",IF(C72=AR83,G74,IF(C74=AR83,G74,IF(C80=AR83,G82,IF(C82=AR83,G82,IF(C102=AR83,G104,IF(C104=AR83,G104,IF(C110=AR83,G112,IF(C112=AR83,G112,IF(C88=AR83,G90,IF(C90=AR83,G90,IF(C96=AR83,G98,IF(C98=AR83,G98,IF(C118=AR83,G120,IF(C120=AR83,G120,IF(C126=AR83,G128,IF(C128=AR83,G128,IF(AK72=AR83,AI74,IF(AK74=AR83,AI74,IF(AK80=AR83,AI82,IF(AK82=AR83,AI82,IF(AK102=AR83,AI104,IF(AK104=AR83,AI104,IF(AK110=AR83,AI112,IF(AK112=AR83,AI112,IF(AK88=AR83,AI90,IF(AK90=AR83,AI90,IF(AK96=AR83,AI98,IF(AK98=AR83,AI98,IF(AK118=AR83,AI120,IF(AK120=AR83,AI120,IF(AK126=AR83,AI128,IF(AK128=AR83,AI128)))))))))))))))))))))))))))))))),"")</f>
        <v/>
      </c>
      <c r="AS99" s="15" t="str">
        <f>IFERROR(IF(AR99="","",VLOOKUP(AR99,LISTAS!$F$5:$G$1004,2,0)),"0")</f>
        <v/>
      </c>
      <c r="AT99" s="15" t="str">
        <f t="shared" si="4"/>
        <v/>
      </c>
      <c r="AU99" s="15" t="str">
        <f t="shared" si="5"/>
        <v/>
      </c>
    </row>
    <row r="100" spans="2:47" ht="18" customHeight="1" thickBot="1" x14ac:dyDescent="0.3">
      <c r="B100" s="16"/>
      <c r="C100" s="166"/>
      <c r="D100" s="11"/>
      <c r="E100" s="51"/>
      <c r="F100" s="51"/>
      <c r="G100" s="176"/>
      <c r="H100" s="51"/>
      <c r="I100" s="11"/>
      <c r="J100" s="11"/>
      <c r="K100" s="166"/>
      <c r="L100" s="11"/>
      <c r="M100" s="18"/>
      <c r="N100" s="11"/>
      <c r="O100" s="170" t="str">
        <f>IFERROR(IF(O99="","",VLOOKUP(O99,LISTAS!$F$5:$G$1004,2,0)),"0")</f>
        <v>COLÉGIO ENGENHEIRO SALVADOR ARENA</v>
      </c>
      <c r="P100" s="235"/>
      <c r="Q100" s="8"/>
      <c r="R100" s="169" t="str">
        <f>IF(P99&lt;&gt;"",IF(P101&lt;&gt;"",IF(P99=P101,"",IF(P99&gt;P101,O99,O101)),""),"")</f>
        <v>ASHLEY DIAS OLIVEIRA</v>
      </c>
      <c r="S100" s="234">
        <v>0</v>
      </c>
      <c r="T100" s="237" t="s">
        <v>38</v>
      </c>
      <c r="U100" s="234">
        <v>1</v>
      </c>
      <c r="V100" s="169" t="str">
        <f>IF(X99&lt;&gt;"",IF(X101&lt;&gt;"",IF(X99=X101,"",IF(X99&gt;X101,Y99,Y101)),""),"")</f>
        <v>ASHLEY NATSUMI KUMANO MAEGAWA</v>
      </c>
      <c r="W100" s="112"/>
      <c r="X100" s="235"/>
      <c r="Y100" s="170" t="str">
        <f>IFERROR(IF(Y99="","",VLOOKUP(Y99,LISTAS!$F$5:$G$1004,2,0)),"0")</f>
        <v>COLÉGIO ARBOS SÃO CAETANO DO SUL</v>
      </c>
      <c r="Z100" s="112"/>
      <c r="AA100" s="8"/>
      <c r="AB100" s="11"/>
      <c r="AC100" s="182"/>
      <c r="AD100" s="8"/>
      <c r="AE100" s="8"/>
      <c r="AF100" s="78"/>
      <c r="AG100" s="181"/>
      <c r="AH100" s="78"/>
      <c r="AI100" s="78"/>
      <c r="AJ100" s="11"/>
      <c r="AK100" s="166"/>
      <c r="AL100" s="11"/>
      <c r="AP100" s="13" t="str">
        <f>IF(AR100&lt;&gt;"",1+COUNTIF(AP72:AP99,"1")+COUNTIF(AP72:AP99,"2")+COUNTIF(AP72:AP99,"3")+COUNTIF(AP72:AP99,"4")+COUNTIF(AP72:AP99,"5")+COUNTIF(AP72:AP99,"6")+COUNTIF(AP72:AP99,"7")+COUNTIF(AP72:AP99,"8")+COUNTIF(AP72:AP99,"9")+COUNTIF(AP72:AP99,"10")+COUNTIF(AP72:AP99,"11")+COUNTIF(AP72:AP99,"12")+COUNTIF(AP72:AP99,"13")+COUNTIF(AP72:AP99,"14")+COUNTIF(AP72:AP99,"15")+COUNTIF(AP72:AP99,"16")+COUNTIF(AP72:AP99,"17")+COUNTIF(AP72:AP99,"18")+COUNTIF(AP72:AP99,"19")+COUNTIF(AP72:AP99,"20")+COUNTIF(AP72:AP99,"21")+COUNTIF(AP72:AP99,"22")+COUNTIF(AP72:AP99,"23")+COUNTIF(AP72:AP99,"24")+COUNTIF(AP72:AP99,"25")+COUNTIF(AP72:AP99,"26")+COUNTIF(AP72:AP99,"27")+COUNTIF(AP72:AP99,"28"),"")</f>
        <v/>
      </c>
      <c r="AQ100" s="14" t="str">
        <f t="shared" si="3"/>
        <v/>
      </c>
      <c r="AR100" s="21" t="str">
        <f>IF(AR84&lt;&gt;"",IF(C72=AR84,G74,IF(C74=AR84,G74,IF(C80=AR84,G82,IF(C82=AR84,G82,IF(C102=AR84,G104,IF(C104=AR84,G104,IF(C110=AR84,G112,IF(C112=AR84,G112,IF(C88=AR84,G90,IF(C90=AR84,G90,IF(C96=AR84,G98,IF(C98=AR84,G98,IF(C118=AR84,G120,IF(C120=AR84,G120,IF(C126=AR84,G128,IF(C128=AR84,G128,IF(AK72=AR84,AI74,IF(AK74=AR84,AI74,IF(AK80=AR84,AI82,IF(AK82=AR84,AI82,IF(AK102=AR84,AI104,IF(AK104=AR84,AI104,IF(AK110=AR84,AI112,IF(AK112=AR84,AI112,IF(AK88=AR84,AI90,IF(AK90=AR84,AI90,IF(AK96=AR84,AI98,IF(AK98=AR84,AI98,IF(AK118=AR84,AI120,IF(AK120=AR84,AI120,IF(AK126=AR84,AI128,IF(AK128=AR84,AI128)))))))))))))))))))))))))))))))),"")</f>
        <v/>
      </c>
      <c r="AS100" s="15" t="str">
        <f>IFERROR(IF(AR100="","",VLOOKUP(AR100,LISTAS!$F$5:$G$1004,2,0)),"0")</f>
        <v/>
      </c>
      <c r="AT100" s="15" t="str">
        <f t="shared" si="4"/>
        <v/>
      </c>
      <c r="AU100" s="15" t="str">
        <f t="shared" si="5"/>
        <v/>
      </c>
    </row>
    <row r="101" spans="2:47" ht="18" customHeight="1" thickBot="1" x14ac:dyDescent="0.3">
      <c r="B101" s="16"/>
      <c r="C101" s="166"/>
      <c r="D101" s="11"/>
      <c r="E101" s="11"/>
      <c r="F101" s="11"/>
      <c r="G101" s="166"/>
      <c r="H101" s="11"/>
      <c r="I101" s="11"/>
      <c r="J101" s="11"/>
      <c r="K101" s="166"/>
      <c r="L101" s="11"/>
      <c r="M101" s="18"/>
      <c r="N101" s="19"/>
      <c r="O101" s="169" t="str">
        <f>IF(L114&lt;&gt;"",IF(L116&lt;&gt;"",IF(L114=L116,"",IF(L114&gt;L116,K114,K116)),""),"")</f>
        <v>MARIA ISABEL CHIRATA</v>
      </c>
      <c r="P101" s="234">
        <v>0</v>
      </c>
      <c r="Q101" s="72"/>
      <c r="R101" s="170" t="str">
        <f>IFERROR(IF(R100="","",VLOOKUP(R100,LISTAS!$F$5:$G$1004,2,0)),"0")</f>
        <v>COLÉGIO ENGENHEIRO SALVADOR ARENA</v>
      </c>
      <c r="S101" s="235"/>
      <c r="T101" s="237"/>
      <c r="U101" s="235"/>
      <c r="V101" s="170" t="str">
        <f>IFERROR(IF(V100="","",VLOOKUP(V100,LISTAS!$F$5:$G$1004,2,0)),"0")</f>
        <v>COLÉGIO ARBOS SÃO CAETANO DO SUL</v>
      </c>
      <c r="W101" s="66"/>
      <c r="X101" s="234">
        <v>0</v>
      </c>
      <c r="Y101" s="169" t="str">
        <f>IF(AB114&lt;&gt;"",IF(AB116&lt;&gt;"",IF(AB114=AB116,"",IF(AB114&gt;AB116,AC114,AC116)),""),"")</f>
        <v>IZABELLY VIEIRA SCHLOZ</v>
      </c>
      <c r="Z101" s="66"/>
      <c r="AA101" s="8"/>
      <c r="AB101" s="11"/>
      <c r="AC101" s="182"/>
      <c r="AD101" s="8"/>
      <c r="AE101" s="8"/>
      <c r="AF101" s="78"/>
      <c r="AG101" s="181"/>
      <c r="AH101" s="78"/>
      <c r="AI101" s="78"/>
      <c r="AJ101" s="11"/>
      <c r="AK101" s="166"/>
      <c r="AL101" s="11"/>
      <c r="AP101" s="13" t="str">
        <f>IF(AR101&lt;&gt;"",1+COUNTIF(AP72:AP100,"1")+COUNTIF(AP72:AP100,"2")+COUNTIF(AP72:AP100,"3")+COUNTIF(AP72:AP100,"4")+COUNTIF(AP72:AP100,"5")+COUNTIF(AP72:AP100,"6")+COUNTIF(AP72:AP100,"7")+COUNTIF(AP72:AP100,"8")+COUNTIF(AP72:AP100,"9")+COUNTIF(AP72:AP100,"10")+COUNTIF(AP72:AP100,"11")+COUNTIF(AP72:AP100,"12")+COUNTIF(AP72:AP100,"13")+COUNTIF(AP72:AP100,"14")+COUNTIF(AP72:AP100,"15")+COUNTIF(AP72:AP100,"16")+COUNTIF(AP72:AP100,"17")+COUNTIF(AP72:AP100,"18")+COUNTIF(AP72:AP100,"19")+COUNTIF(AP72:AP100,"20")+COUNTIF(AP72:AP100,"21")+COUNTIF(AP72:AP100,"22")+COUNTIF(AP72:AP100,"23")+COUNTIF(AP72:AP100,"24")+COUNTIF(AP72:AP100,"25")+COUNTIF(AP72:AP100,"26")+COUNTIF(AP72:AP100,"27")+COUNTIF(AP72:AP100,"28")+COUNTIF(AP72:AP100,"29"),"")</f>
        <v/>
      </c>
      <c r="AQ101" s="14" t="str">
        <f t="shared" si="3"/>
        <v/>
      </c>
      <c r="AR101" s="21" t="str">
        <f>IF(AR85&lt;&gt;"",IF(C72=AR85,G74,IF(C74=AR85,G74,IF(C80=AR85,G82,IF(C82=AR85,G82,IF(C102=AR85,G104,IF(C104=AR85,G104,IF(C110=AR85,G112,IF(C112=AR85,G112,IF(C88=AR85,G90,IF(C90=AR85,G90,IF(C96=AR85,G98,IF(C98=AR85,G98,IF(C118=AR85,G120,IF(C120=AR85,G120,IF(C126=AR85,G128,IF(C128=AR85,G128,IF(AK72=AR85,AI74,IF(AK74=AR85,AI74,IF(AK80=AR85,AI82,IF(AK82=AR85,AI82,IF(AK102=AR85,AI104,IF(AK104=AR85,AI104,IF(AK110=AR85,AI112,IF(AK112=AR85,AI112,IF(AK88=AR85,AI90,IF(AK90=AR85,AI90,IF(AK96=AR85,AI98,IF(AK98=AR85,AI98,IF(AK118=AR85,AI120,IF(AK120=AR85,AI120,IF(AK126=AR85,AI128,IF(AK128=AR85,AI128)))))))))))))))))))))))))))))))),"")</f>
        <v/>
      </c>
      <c r="AS101" s="15" t="str">
        <f>IFERROR(IF(AR101="","",VLOOKUP(AR101,LISTAS!$F$5:$G$1004,2,0)),"0")</f>
        <v/>
      </c>
      <c r="AT101" s="15" t="str">
        <f t="shared" si="4"/>
        <v/>
      </c>
      <c r="AU101" s="15" t="str">
        <f t="shared" si="5"/>
        <v/>
      </c>
    </row>
    <row r="102" spans="2:47" ht="18" customHeight="1" thickBot="1" x14ac:dyDescent="0.3">
      <c r="B102" s="16">
        <v>5</v>
      </c>
      <c r="C102" s="169" t="str">
        <f>IF('17F GRP'!G5&gt;=3,'17F GRP'!J74,IF('17F GRP'!G5=2,"",IF('17F GRP'!G5=1,"","")))</f>
        <v>MARIA ISABEL CHIRATA</v>
      </c>
      <c r="D102" s="234">
        <v>2</v>
      </c>
      <c r="E102" s="51">
        <f>IF(D102&lt;&gt;"",D102,"")</f>
        <v>2</v>
      </c>
      <c r="F102" s="51" t="str">
        <f>IF(D102&lt;&gt;"",IF(C102="","",C102),"")</f>
        <v>MARIA ISABEL CHIRATA</v>
      </c>
      <c r="G102" s="176">
        <f>IF(E102&lt;&gt;"",IF(E104&lt;&gt;"",SMALL(E102:E104,1),""),"")</f>
        <v>0</v>
      </c>
      <c r="H102" s="11"/>
      <c r="I102" s="11"/>
      <c r="J102" s="11"/>
      <c r="K102" s="166"/>
      <c r="L102" s="11"/>
      <c r="M102" s="18"/>
      <c r="N102" s="8"/>
      <c r="O102" s="170" t="str">
        <f>IFERROR(IF(O101="","",VLOOKUP(O101,LISTAS!$F$5:$G$1004,2,0)),"0")</f>
        <v>COLÉGIO SÃO MAURO</v>
      </c>
      <c r="P102" s="235"/>
      <c r="Q102" s="60"/>
      <c r="R102" s="182"/>
      <c r="S102" s="8"/>
      <c r="T102" s="8"/>
      <c r="U102" s="8"/>
      <c r="V102" s="182"/>
      <c r="W102" s="8"/>
      <c r="X102" s="235"/>
      <c r="Y102" s="170" t="str">
        <f>IFERROR(IF(Y101="","",VLOOKUP(Y101,LISTAS!$F$5:$G$1004,2,0)),"0")</f>
        <v>COLÉGIO ENGENHEIRO SALVADOR ARENA</v>
      </c>
      <c r="Z102" s="65"/>
      <c r="AA102" s="8"/>
      <c r="AB102" s="11"/>
      <c r="AC102" s="182"/>
      <c r="AD102" s="8"/>
      <c r="AE102" s="8"/>
      <c r="AF102" s="78"/>
      <c r="AG102" s="181">
        <f>IF(AJ102&lt;&gt;"",AJ102,"")</f>
        <v>0</v>
      </c>
      <c r="AH102" s="78" t="str">
        <f>IF(AJ102&lt;&gt;"",IF(AK102="","",AK102),"")</f>
        <v/>
      </c>
      <c r="AI102" s="51">
        <f>IF(AG102&lt;&gt;"",IF(AG104&lt;&gt;"",SMALL(AG102:AG104,1),""),"")</f>
        <v>0</v>
      </c>
      <c r="AJ102" s="234">
        <v>0</v>
      </c>
      <c r="AK102" s="169" t="str">
        <f>IF('17F GRP'!G5&gt;=3,'17F GRP'!J100,IF('17F GRP'!G5=2,"",IF('17F GRP'!G5=1,"","")))</f>
        <v/>
      </c>
      <c r="AL102" s="11">
        <v>7</v>
      </c>
      <c r="AP102" s="13" t="str">
        <f>IF(AR102&lt;&gt;"",1+COUNTIF(AP72:AP101,"1")+COUNTIF(AP72:AP101,"2")+COUNTIF(AP72:AP101,"3")+COUNTIF(AP72:AP101,"4")+COUNTIF(AP72:AP101,"5")+COUNTIF(AP72:AP101,"6")+COUNTIF(AP72:AP101,"7")+COUNTIF(AP72:AP101,"8")+COUNTIF(AP72:AP101,"9")+COUNTIF(AP72:AP101,"10")+COUNTIF(AP72:AP101,"11")+COUNTIF(AP72:AP101,"12")+COUNTIF(AP72:AP101,"13")+COUNTIF(AP72:AP101,"14")+COUNTIF(AP72:AP101,"15")+COUNTIF(AP72:AP101,"16")+COUNTIF(AP72:AP101,"17")+COUNTIF(AP72:AP101,"18")+COUNTIF(AP72:AP101,"19")+COUNTIF(AP72:AP101,"20")+COUNTIF(AP72:AP101,"21")+COUNTIF(AP72:AP101,"22")+COUNTIF(AP72:AP101,"23")+COUNTIF(AP72:AP101,"24")+COUNTIF(AP72:AP101,"25")+COUNTIF(AP72:AP101,"26")+COUNTIF(AP72:AP101,"27")+COUNTIF(AP72:AP101,"28")+COUNTIF(AP72:AP101,"29")+COUNTIF(AP72:AP101,"30"),"")</f>
        <v/>
      </c>
      <c r="AQ102" s="14" t="str">
        <f t="shared" si="3"/>
        <v/>
      </c>
      <c r="AR102" s="21" t="str">
        <f>IF(AR86&lt;&gt;"",IF(C72=AR86,G74,IF(C74=AR86,G74,IF(C80=AR86,G82,IF(C82=AR86,G82,IF(C102=AR86,G104,IF(C104=AR86,G104,IF(C110=AR86,G112,IF(C112=AR86,G112,IF(C88=AR86,G90,IF(C90=AR86,G90,IF(C96=AR86,G98,IF(C98=AR86,G98,IF(C118=AR86,G120,IF(C120=AR86,G120,IF(C126=AR86,G128,IF(C128=AR86,G128,IF(AK72=AR86,AI74,IF(AK74=AR86,AI74,IF(AK80=AR86,AI82,IF(AK82=AR86,AI82,IF(AK102=AR86,AI104,IF(AK104=AR86,AI104,IF(AK110=AR86,AI112,IF(AK112=AR86,AI112,IF(AK88=AR86,AI90,IF(AK90=AR86,AI90,IF(AK96=AR86,AI98,IF(AK98=AR86,AI98,IF(AK118=AR86,AI120,IF(AK120=AR86,AI120,IF(AK126=AR86,AI128,IF(AK128=AR86,AI128)))))))))))))))))))))))))))))))),"")</f>
        <v/>
      </c>
      <c r="AS102" s="15" t="str">
        <f>IFERROR(IF(AR102="","",VLOOKUP(AR102,LISTAS!$F$5:$G$1004,2,0)),"0")</f>
        <v/>
      </c>
      <c r="AT102" s="15" t="str">
        <f t="shared" si="4"/>
        <v/>
      </c>
      <c r="AU102" s="15" t="str">
        <f t="shared" si="5"/>
        <v/>
      </c>
    </row>
    <row r="103" spans="2:47" ht="18" customHeight="1" thickBot="1" x14ac:dyDescent="0.3">
      <c r="B103" s="16"/>
      <c r="C103" s="170" t="str">
        <f>IFERROR(IF(C102="","",VLOOKUP(C102,LISTAS!$F$5:$G$1004,2,0)),"0")</f>
        <v>COLÉGIO SÃO MAURO</v>
      </c>
      <c r="D103" s="235"/>
      <c r="E103" s="51"/>
      <c r="F103" s="51"/>
      <c r="G103" s="176"/>
      <c r="H103" s="11"/>
      <c r="I103" s="11"/>
      <c r="J103" s="11"/>
      <c r="K103" s="166"/>
      <c r="L103" s="11"/>
      <c r="M103" s="18"/>
      <c r="N103" s="8"/>
      <c r="O103" s="182"/>
      <c r="P103" s="8"/>
      <c r="Q103" s="60"/>
      <c r="R103" s="182"/>
      <c r="S103" s="8"/>
      <c r="T103" s="8"/>
      <c r="U103" s="8"/>
      <c r="V103" s="182"/>
      <c r="W103" s="8"/>
      <c r="X103" s="62"/>
      <c r="Y103" s="182"/>
      <c r="Z103" s="65"/>
      <c r="AA103" s="8"/>
      <c r="AB103" s="11"/>
      <c r="AC103" s="182"/>
      <c r="AD103" s="8"/>
      <c r="AE103" s="8"/>
      <c r="AF103" s="78"/>
      <c r="AG103" s="181"/>
      <c r="AH103" s="78"/>
      <c r="AI103" s="51"/>
      <c r="AJ103" s="235"/>
      <c r="AK103" s="170" t="str">
        <f>IFERROR(IF(AK102="","",VLOOKUP(AK102,LISTAS!$F$5:$G$1004,2,0)),"0")</f>
        <v/>
      </c>
      <c r="AL103" s="11"/>
      <c r="AP103" s="13" t="str">
        <f>IF(AR103&lt;&gt;"",1+COUNTIF(AP72:AP102,"1")+COUNTIF(AP72:AP102,"2")+COUNTIF(AP72:AP102,"3")+COUNTIF(AP72:AP102,"4")+COUNTIF(AP72:AP102,"5")+COUNTIF(AP72:AP102,"6")+COUNTIF(AP72:AP102,"7")+COUNTIF(AP72:AP102,"8")+COUNTIF(AP72:AP102,"9")+COUNTIF(AP72:AP102,"10")+COUNTIF(AP72:AP102,"11")+COUNTIF(AP72:AP102,"12")+COUNTIF(AP72:AP102,"13")+COUNTIF(AP72:AP102,"14")+COUNTIF(AP72:AP102,"15")+COUNTIF(AP72:AP102,"16")+COUNTIF(AP72:AP102,"17")+COUNTIF(AP72:AP102,"18")+COUNTIF(AP72:AP102,"19")+COUNTIF(AP72:AP102,"20")+COUNTIF(AP72:AP102,"21")+COUNTIF(AP72:AP102,"22")+COUNTIF(AP72:AP102,"23")+COUNTIF(AP72:AP102,"24")+COUNTIF(AP72:AP102,"25")+COUNTIF(AP72:AP102,"26")+COUNTIF(AP72:AP102,"27")+COUNTIF(AP72:AP102,"28")+COUNTIF(AP72:AP102,"29")+COUNTIF(AP72:AP102,"30")+COUNTIF(AP72:AP102,"31"),"")</f>
        <v/>
      </c>
      <c r="AQ103" s="14" t="str">
        <f t="shared" si="3"/>
        <v/>
      </c>
      <c r="AR103" s="21" t="str">
        <f>IF(AR87&lt;&gt;"",IF(C72=AR87,G74,IF(C74=AR87,G74,IF(C80=AR87,G82,IF(C82=AR87,G82,IF(C102=AR87,G104,IF(C104=AR87,G104,IF(C110=AR87,G112,IF(C112=AR87,G112,IF(C88=AR87,G90,IF(C90=AR87,G90,IF(C96=AR87,G98,IF(C98=AR87,G98,IF(C118=AR87,G120,IF(C120=AR87,G120,IF(C126=AR87,G128,IF(C128=AR87,G128,IF(AK72=AR87,AI74,IF(AK74=AR87,AI74,IF(AK80=AR87,AI82,IF(AK82=AR87,AI82,IF(AK102=AR87,AI104,IF(AK104=AR87,AI104,IF(AK110=AR87,AI112,IF(AK112=AR87,AI112,IF(AK88=AR87,AI90,IF(AK90=AR87,AI90,IF(AK96=AR87,AI98,IF(AK98=AR87,AI98,IF(AK118=AR87,AI120,IF(AK120=AR87,AI120,IF(AK126=AR87,AI128,IF(AK128=AR87,AI128)))))))))))))))))))))))))))))))),"")</f>
        <v/>
      </c>
      <c r="AS103" s="15" t="str">
        <f>IFERROR(IF(AR103="","",VLOOKUP(AR103,LISTAS!$F$5:$G$1004,2,0)),"0")</f>
        <v/>
      </c>
      <c r="AT103" s="15" t="str">
        <f>IF(AP103="","",IF(AP103=1,180,IF(AP103=2,170,IF(AP103=3,150,IF(AP103=4,140,IF(AP103=5,135,IF(AP103=6,130,IF(AP103=7,120,IF(AP103=8,110,IF(AP103=9,105,IF(AP103=10,105,IF(AP103=11,105,IF(AP103=12,105,IF(AP103=13,105,IF(AP103=14,105,IF(AP103=15,105,IF(AP103=16,105,IF(AP103&gt;16,"",""))))))))))))))))))</f>
        <v/>
      </c>
      <c r="AU103" s="15" t="str">
        <f>IF(AP103="","",IF($AS$5="NÃO","",IF(AP103=1,180,IF(AP103=2,170,IF(AP103=3,150,IF(AP103=4,140,IF(AP103=5,135,IF(AP103=6,130,IF(AP103=7,120,IF(AP103=8,110,IF(AP103=9,105,IF(AP103=10,105,IF(AP103=11,105,IF(AP103=12,105,IF(AP103=13,105,IF(AP103=14,105,IF(AP103=15,105,IF(AP103=16,105,IF(AP103&gt;16,"","")))))))))))))))))))</f>
        <v/>
      </c>
    </row>
    <row r="104" spans="2:47" ht="18" customHeight="1" x14ac:dyDescent="0.25">
      <c r="B104" s="16">
        <v>28</v>
      </c>
      <c r="C104" s="169" t="str">
        <f>IF('17F GRP'!G5&gt;=3,'17F GRP'!J373,IF('17F GRP'!G5=2,"",IF('17F GRP'!G5=1,"","")))</f>
        <v/>
      </c>
      <c r="D104" s="234">
        <v>0</v>
      </c>
      <c r="E104" s="52">
        <f>IF(D104&lt;&gt;"",D104,"")</f>
        <v>0</v>
      </c>
      <c r="F104" s="51" t="str">
        <f>IF(D104&lt;&gt;"",IF(C104="","",C104),"")</f>
        <v/>
      </c>
      <c r="G104" s="176" t="str">
        <f>VLOOKUP(G102,E102:F104,2,0)</f>
        <v/>
      </c>
      <c r="H104" s="11"/>
      <c r="I104" s="51"/>
      <c r="J104" s="51"/>
      <c r="K104" s="176"/>
      <c r="L104" s="51"/>
      <c r="M104" s="54"/>
      <c r="N104" s="51">
        <f>IF(P99&lt;&gt;"",P99,"")</f>
        <v>1</v>
      </c>
      <c r="O104" s="176" t="str">
        <f>IF(P99&lt;&gt;"",O99,"")</f>
        <v>ASHLEY DIAS OLIVEIRA</v>
      </c>
      <c r="P104" s="51">
        <f>IF(N104&lt;&gt;"",IF(N106&lt;&gt;"",LARGE(N104:N106,1),""),"")</f>
        <v>1</v>
      </c>
      <c r="Q104" s="78"/>
      <c r="R104" s="181"/>
      <c r="S104" s="8"/>
      <c r="T104" s="8"/>
      <c r="U104" s="8"/>
      <c r="V104" s="182"/>
      <c r="W104" s="8"/>
      <c r="X104" s="62"/>
      <c r="Y104" s="182"/>
      <c r="Z104" s="65"/>
      <c r="AA104" s="8"/>
      <c r="AB104" s="11"/>
      <c r="AC104" s="182"/>
      <c r="AD104" s="8"/>
      <c r="AE104" s="8"/>
      <c r="AF104" s="78"/>
      <c r="AG104" s="181">
        <f>IF(AJ104&lt;&gt;"",AJ104,"")</f>
        <v>0</v>
      </c>
      <c r="AH104" s="78" t="str">
        <f>IF(AJ104&lt;&gt;"",IF(AK104="","",AK104),"")</f>
        <v/>
      </c>
      <c r="AI104" s="55" t="str">
        <f>VLOOKUP(AI102,AG102:AH104,2,0)</f>
        <v/>
      </c>
      <c r="AJ104" s="234">
        <v>0</v>
      </c>
      <c r="AK104" s="169" t="str">
        <f>IF('17F GRP'!G5&gt;=3,'17F GRP'!J347,IF('17F GRP'!G5=2,"",IF('17F GRP'!G5=1,"","")))</f>
        <v/>
      </c>
      <c r="AL104" s="11">
        <v>26</v>
      </c>
    </row>
    <row r="105" spans="2:47" ht="18" customHeight="1" thickBot="1" x14ac:dyDescent="0.3">
      <c r="B105" s="16"/>
      <c r="C105" s="170" t="str">
        <f>IFERROR(IF(C104="","",VLOOKUP(C104,LISTAS!$F$5:$G$1004,2,0)),"0")</f>
        <v/>
      </c>
      <c r="D105" s="235"/>
      <c r="E105" s="121"/>
      <c r="F105" s="11"/>
      <c r="G105" s="166"/>
      <c r="H105" s="11"/>
      <c r="I105" s="51"/>
      <c r="J105" s="51"/>
      <c r="K105" s="176"/>
      <c r="L105" s="51"/>
      <c r="M105" s="54"/>
      <c r="N105" s="51"/>
      <c r="O105" s="176"/>
      <c r="P105" s="51"/>
      <c r="Q105" s="78"/>
      <c r="R105" s="181"/>
      <c r="S105" s="8"/>
      <c r="T105" s="8"/>
      <c r="U105" s="8"/>
      <c r="V105" s="182"/>
      <c r="W105" s="8"/>
      <c r="X105" s="62"/>
      <c r="Y105" s="182"/>
      <c r="Z105" s="65"/>
      <c r="AA105" s="8"/>
      <c r="AB105" s="11"/>
      <c r="AC105" s="182"/>
      <c r="AD105" s="8"/>
      <c r="AE105" s="8"/>
      <c r="AF105" s="78"/>
      <c r="AG105" s="181"/>
      <c r="AH105" s="78"/>
      <c r="AI105" s="123"/>
      <c r="AJ105" s="235"/>
      <c r="AK105" s="170" t="str">
        <f>IFERROR(IF(AK104="","",VLOOKUP(AK104,LISTAS!$F$5:$G$1004,2,0)),"0")</f>
        <v/>
      </c>
      <c r="AL105" s="11"/>
    </row>
    <row r="106" spans="2:47" ht="18" customHeight="1" x14ac:dyDescent="0.25">
      <c r="B106" s="16"/>
      <c r="C106" s="166"/>
      <c r="D106" s="11"/>
      <c r="E106" s="11"/>
      <c r="F106" s="17"/>
      <c r="G106" s="169" t="str">
        <f>IF(D102&lt;&gt;"",IF(D104&lt;&gt;"",IF(D102=D104,"",IF(D102&gt;D104,C102,C104)),""),"")</f>
        <v>MARIA ISABEL CHIRATA</v>
      </c>
      <c r="H106" s="234">
        <v>2</v>
      </c>
      <c r="I106" s="51">
        <f>IF(H106&lt;&gt;"",H106,"")</f>
        <v>2</v>
      </c>
      <c r="J106" s="51" t="str">
        <f>IF(H106&lt;&gt;"",IF(G106="","",G106),"")</f>
        <v>MARIA ISABEL CHIRATA</v>
      </c>
      <c r="K106" s="176">
        <f>IF(I106&lt;&gt;"",IF(I108&lt;&gt;"",SMALL(I106:J108,1),""),"")</f>
        <v>0</v>
      </c>
      <c r="L106" s="51"/>
      <c r="M106" s="54"/>
      <c r="N106" s="51">
        <f>IF(P101&lt;&gt;"",P101,"")</f>
        <v>0</v>
      </c>
      <c r="O106" s="176" t="str">
        <f>IF(P101&lt;&gt;"",O101,"")</f>
        <v>MARIA ISABEL CHIRATA</v>
      </c>
      <c r="P106" s="51" t="str">
        <f>VLOOKUP(P104,N104:O106,2,0)</f>
        <v>ASHLEY DIAS OLIVEIRA</v>
      </c>
      <c r="Q106" s="78"/>
      <c r="R106" s="181"/>
      <c r="S106" s="8"/>
      <c r="T106" s="8"/>
      <c r="U106" s="8"/>
      <c r="V106" s="182"/>
      <c r="W106" s="8"/>
      <c r="X106" s="62"/>
      <c r="Y106" s="182"/>
      <c r="Z106" s="65"/>
      <c r="AA106" s="8"/>
      <c r="AB106" s="11"/>
      <c r="AC106" s="182"/>
      <c r="AD106" s="8"/>
      <c r="AE106" s="67"/>
      <c r="AF106" s="234">
        <v>0</v>
      </c>
      <c r="AG106" s="169" t="str">
        <f>IF(AJ102&lt;&gt;"",IF(AJ104&lt;&gt;"",IF(AJ102=AJ104,"",IF(AJ102&gt;AJ104,AK102,AK104)),""),"")</f>
        <v/>
      </c>
      <c r="AH106" s="65"/>
      <c r="AI106" s="8"/>
      <c r="AJ106" s="11"/>
      <c r="AK106" s="166"/>
      <c r="AL106" s="11"/>
    </row>
    <row r="107" spans="2:47" ht="18" customHeight="1" thickBot="1" x14ac:dyDescent="0.3">
      <c r="B107" s="16"/>
      <c r="C107" s="166"/>
      <c r="D107" s="11"/>
      <c r="E107" s="11"/>
      <c r="F107" s="17"/>
      <c r="G107" s="170" t="str">
        <f>IFERROR(IF(G106="","",VLOOKUP(G106,LISTAS!$F$5:$G$1004,2,0)),"0")</f>
        <v>COLÉGIO SÃO MAURO</v>
      </c>
      <c r="H107" s="235"/>
      <c r="I107" s="51"/>
      <c r="J107" s="51"/>
      <c r="K107" s="176"/>
      <c r="L107" s="51"/>
      <c r="M107" s="54"/>
      <c r="N107" s="51"/>
      <c r="O107" s="176"/>
      <c r="P107" s="51"/>
      <c r="Q107" s="78"/>
      <c r="R107" s="181"/>
      <c r="S107" s="8"/>
      <c r="T107" s="8"/>
      <c r="U107" s="8"/>
      <c r="V107" s="182"/>
      <c r="W107" s="8"/>
      <c r="X107" s="62"/>
      <c r="Y107" s="182"/>
      <c r="Z107" s="65"/>
      <c r="AA107" s="8"/>
      <c r="AB107" s="11"/>
      <c r="AC107" s="182"/>
      <c r="AD107" s="8"/>
      <c r="AE107" s="67"/>
      <c r="AF107" s="235"/>
      <c r="AG107" s="170" t="str">
        <f>IFERROR(IF(AG106="","",VLOOKUP(AG106,LISTAS!$F$5:$G$1004,2,0)),"0")</f>
        <v/>
      </c>
      <c r="AH107" s="65"/>
      <c r="AI107" s="8"/>
      <c r="AJ107" s="11"/>
      <c r="AK107" s="166"/>
      <c r="AL107" s="11"/>
    </row>
    <row r="108" spans="2:47" ht="18" customHeight="1" x14ac:dyDescent="0.25">
      <c r="B108" s="16"/>
      <c r="C108" s="166"/>
      <c r="D108" s="11"/>
      <c r="E108" s="18"/>
      <c r="F108" s="19"/>
      <c r="G108" s="169" t="str">
        <f>IF(D110&lt;&gt;"",IF(D112&lt;&gt;"",IF(D110=D112,"",IF(D110&gt;D112,C110,C112)),""),"")</f>
        <v/>
      </c>
      <c r="H108" s="234">
        <v>0</v>
      </c>
      <c r="I108" s="52">
        <f>IF(H108&lt;&gt;"",H108,"")</f>
        <v>0</v>
      </c>
      <c r="J108" s="51" t="str">
        <f>IF(H108&lt;&gt;"",IF(G108="","",G108),"")</f>
        <v/>
      </c>
      <c r="K108" s="176" t="str">
        <f>VLOOKUP(K106,I106:J108,2,0)</f>
        <v/>
      </c>
      <c r="L108" s="51"/>
      <c r="M108" s="54"/>
      <c r="N108" s="51">
        <f>IF(P99&lt;&gt;"",P99,"")</f>
        <v>1</v>
      </c>
      <c r="O108" s="176" t="str">
        <f>IF(P99&lt;&gt;"",O99,"")</f>
        <v>ASHLEY DIAS OLIVEIRA</v>
      </c>
      <c r="P108" s="51">
        <f>IF(N108&lt;&gt;"",IF(N110&lt;&gt;"",SMALL(N108:N110,1),""),"")</f>
        <v>0</v>
      </c>
      <c r="Q108" s="78"/>
      <c r="R108" s="181"/>
      <c r="S108" s="8"/>
      <c r="T108" s="8"/>
      <c r="U108" s="8"/>
      <c r="V108" s="182"/>
      <c r="W108" s="8"/>
      <c r="X108" s="62"/>
      <c r="Y108" s="182"/>
      <c r="Z108" s="65"/>
      <c r="AA108" s="8"/>
      <c r="AB108" s="11"/>
      <c r="AC108" s="182"/>
      <c r="AD108" s="65"/>
      <c r="AE108" s="68"/>
      <c r="AF108" s="234">
        <v>0</v>
      </c>
      <c r="AG108" s="169" t="str">
        <f>IF(AJ110&lt;&gt;"",IF(AJ112&lt;&gt;"",IF(AJ110=AJ112,"",IF(AJ110&gt;AJ112,AK110,AK112)),""),"")</f>
        <v/>
      </c>
      <c r="AH108" s="66"/>
      <c r="AI108" s="8"/>
      <c r="AJ108" s="11"/>
      <c r="AK108" s="166"/>
      <c r="AL108" s="11"/>
    </row>
    <row r="109" spans="2:47" ht="18" customHeight="1" thickBot="1" x14ac:dyDescent="0.3">
      <c r="B109" s="16"/>
      <c r="C109" s="166"/>
      <c r="D109" s="11"/>
      <c r="E109" s="18"/>
      <c r="F109" s="11"/>
      <c r="G109" s="170" t="str">
        <f>IFERROR(IF(G108="","",VLOOKUP(G108,LISTAS!$F$5:$G$1004,2,0)),"0")</f>
        <v/>
      </c>
      <c r="H109" s="235"/>
      <c r="I109" s="54"/>
      <c r="J109" s="51"/>
      <c r="K109" s="176"/>
      <c r="L109" s="51"/>
      <c r="M109" s="54"/>
      <c r="N109" s="51"/>
      <c r="O109" s="176"/>
      <c r="P109" s="51"/>
      <c r="Q109" s="78"/>
      <c r="R109" s="181"/>
      <c r="S109" s="8"/>
      <c r="T109" s="8"/>
      <c r="U109" s="8"/>
      <c r="V109" s="182"/>
      <c r="W109" s="8"/>
      <c r="X109" s="62"/>
      <c r="Y109" s="182"/>
      <c r="Z109" s="8"/>
      <c r="AA109" s="69"/>
      <c r="AB109" s="11"/>
      <c r="AC109" s="182"/>
      <c r="AD109" s="65"/>
      <c r="AE109" s="8"/>
      <c r="AF109" s="235"/>
      <c r="AG109" s="170" t="str">
        <f>IFERROR(IF(AG108="","",VLOOKUP(AG108,LISTAS!$F$5:$G$1004,2,0)),"0")</f>
        <v/>
      </c>
      <c r="AH109" s="8"/>
      <c r="AI109" s="69"/>
      <c r="AJ109" s="11"/>
      <c r="AK109" s="166"/>
      <c r="AL109" s="11"/>
    </row>
    <row r="110" spans="2:47" ht="18" customHeight="1" x14ac:dyDescent="0.25">
      <c r="B110" s="16">
        <v>12</v>
      </c>
      <c r="C110" s="169" t="str">
        <f>IF('17F GRP'!G5&gt;=3,'17F GRP'!J165,IF('17F GRP'!G5=2,"",IF('17F GRP'!G5=1,"","")))</f>
        <v/>
      </c>
      <c r="D110" s="234">
        <v>0</v>
      </c>
      <c r="E110" s="56">
        <f>IF(D110&lt;&gt;"",D110,"")</f>
        <v>0</v>
      </c>
      <c r="F110" s="51" t="str">
        <f>IF(D110&lt;&gt;"",IF(C110="","",C110),"")</f>
        <v/>
      </c>
      <c r="G110" s="176">
        <f>IF(E110&lt;&gt;"",IF(E112&lt;&gt;"",SMALL(E110:E112,1),""),"")</f>
        <v>0</v>
      </c>
      <c r="H110" s="11"/>
      <c r="I110" s="54"/>
      <c r="J110" s="51"/>
      <c r="K110" s="176"/>
      <c r="L110" s="51"/>
      <c r="M110" s="54"/>
      <c r="N110" s="51">
        <f>IF(P101&lt;&gt;"",P101,"")</f>
        <v>0</v>
      </c>
      <c r="O110" s="176" t="str">
        <f>IF(P101&lt;&gt;"",O101,"")</f>
        <v>MARIA ISABEL CHIRATA</v>
      </c>
      <c r="P110" s="51" t="str">
        <f>VLOOKUP(P108,N108:O110,2,0)</f>
        <v>MARIA ISABEL CHIRATA</v>
      </c>
      <c r="Q110" s="78"/>
      <c r="R110" s="181"/>
      <c r="S110" s="8"/>
      <c r="T110" s="8"/>
      <c r="U110" s="8"/>
      <c r="V110" s="182"/>
      <c r="W110" s="8"/>
      <c r="X110" s="62"/>
      <c r="Y110" s="182"/>
      <c r="Z110" s="8"/>
      <c r="AA110" s="69"/>
      <c r="AB110" s="11"/>
      <c r="AC110" s="182"/>
      <c r="AD110" s="65"/>
      <c r="AE110" s="8"/>
      <c r="AF110" s="78"/>
      <c r="AG110" s="181">
        <f>IF(AJ110&lt;&gt;"",AJ110,"")</f>
        <v>0</v>
      </c>
      <c r="AH110" s="78" t="str">
        <f>IF(AJ110&lt;&gt;"",IF(AK110="","",AK110),"")</f>
        <v/>
      </c>
      <c r="AI110" s="53">
        <f>IF(AG110&lt;&gt;"",IF(AG112&lt;&gt;"",SMALL(AG110:AG112,1),""),"")</f>
        <v>0</v>
      </c>
      <c r="AJ110" s="234">
        <v>0</v>
      </c>
      <c r="AK110" s="169" t="str">
        <f>IF('17F GRP'!G5&gt;=3,'17F GRP'!J139,IF('17F GRP'!G5=2,"",IF('17F GRP'!G5=1,"","")))</f>
        <v/>
      </c>
      <c r="AL110" s="11">
        <v>10</v>
      </c>
    </row>
    <row r="111" spans="2:47" ht="18" customHeight="1" thickBot="1" x14ac:dyDescent="0.3">
      <c r="B111" s="16"/>
      <c r="C111" s="170" t="str">
        <f>IFERROR(IF(C110="","",VLOOKUP(C110,LISTAS!$F$5:$G$1004,2,0)),"0")</f>
        <v/>
      </c>
      <c r="D111" s="235"/>
      <c r="E111" s="57"/>
      <c r="F111" s="51"/>
      <c r="G111" s="176"/>
      <c r="H111" s="11"/>
      <c r="I111" s="54"/>
      <c r="J111" s="51"/>
      <c r="K111" s="176"/>
      <c r="L111" s="51"/>
      <c r="M111" s="54"/>
      <c r="N111" s="51"/>
      <c r="O111" s="176"/>
      <c r="P111" s="51"/>
      <c r="Q111" s="78"/>
      <c r="R111" s="181"/>
      <c r="S111" s="8"/>
      <c r="T111" s="8"/>
      <c r="U111" s="8"/>
      <c r="V111" s="182"/>
      <c r="W111" s="8"/>
      <c r="X111" s="62"/>
      <c r="Y111" s="182"/>
      <c r="Z111" s="8"/>
      <c r="AA111" s="69"/>
      <c r="AB111" s="11"/>
      <c r="AC111" s="182"/>
      <c r="AD111" s="65"/>
      <c r="AE111" s="8"/>
      <c r="AF111" s="78"/>
      <c r="AG111" s="181"/>
      <c r="AH111" s="78"/>
      <c r="AI111" s="124"/>
      <c r="AJ111" s="235"/>
      <c r="AK111" s="170" t="str">
        <f>IFERROR(IF(AK110="","",VLOOKUP(AK110,LISTAS!$F$5:$G$1004,2,0)),"0")</f>
        <v/>
      </c>
      <c r="AL111" s="11"/>
    </row>
    <row r="112" spans="2:47" ht="18" customHeight="1" x14ac:dyDescent="0.25">
      <c r="B112" s="16">
        <v>21</v>
      </c>
      <c r="C112" s="169" t="str">
        <f>IF('17F GRP'!G5&gt;=3,'17F GRP'!J282,IF('17F GRP'!G5=2,"",IF('17F GRP'!G5=1,"","")))</f>
        <v/>
      </c>
      <c r="D112" s="234">
        <v>0</v>
      </c>
      <c r="E112" s="57">
        <f>IF(D112&lt;&gt;"",D112,"")</f>
        <v>0</v>
      </c>
      <c r="F112" s="51" t="str">
        <f>IF(D112&lt;&gt;"",IF(C112="","",C112),"")</f>
        <v/>
      </c>
      <c r="G112" s="176" t="str">
        <f>VLOOKUP(G110,E110:F112,2,0)</f>
        <v/>
      </c>
      <c r="H112" s="11"/>
      <c r="I112" s="18"/>
      <c r="J112" s="11"/>
      <c r="K112" s="166"/>
      <c r="L112" s="11"/>
      <c r="M112" s="18"/>
      <c r="N112" s="11"/>
      <c r="O112" s="166"/>
      <c r="P112" s="11"/>
      <c r="Q112" s="8"/>
      <c r="R112" s="182"/>
      <c r="S112" s="8"/>
      <c r="T112" s="8"/>
      <c r="U112" s="8"/>
      <c r="V112" s="182"/>
      <c r="W112" s="8"/>
      <c r="X112" s="62"/>
      <c r="Y112" s="182"/>
      <c r="Z112" s="8"/>
      <c r="AA112" s="69"/>
      <c r="AB112" s="11"/>
      <c r="AC112" s="182"/>
      <c r="AD112" s="65"/>
      <c r="AE112" s="8"/>
      <c r="AF112" s="78"/>
      <c r="AG112" s="181">
        <f>IF(AJ112&lt;&gt;"",AJ112,"")</f>
        <v>0</v>
      </c>
      <c r="AH112" s="78" t="str">
        <f>IF(AJ112&lt;&gt;"",IF(AK112="","",AK112),"")</f>
        <v/>
      </c>
      <c r="AI112" s="125" t="str">
        <f>VLOOKUP(AI110,AG110:AH112,2,0)</f>
        <v/>
      </c>
      <c r="AJ112" s="234">
        <v>0</v>
      </c>
      <c r="AK112" s="169" t="str">
        <f>IF('17F GRP'!G5&gt;=3,'17F GRP'!J308,IF('17F GRP'!G5=2,"",IF('17F GRP'!G5=1,"","")))</f>
        <v/>
      </c>
      <c r="AL112" s="11">
        <v>23</v>
      </c>
    </row>
    <row r="113" spans="2:38" ht="18" customHeight="1" thickBot="1" x14ac:dyDescent="0.3">
      <c r="B113" s="16"/>
      <c r="C113" s="170" t="str">
        <f>IFERROR(IF(C112="","",VLOOKUP(C112,LISTAS!$F$5:$G$1004,2,0)),"0")</f>
        <v/>
      </c>
      <c r="D113" s="235"/>
      <c r="E113" s="51"/>
      <c r="F113" s="51"/>
      <c r="G113" s="176"/>
      <c r="H113" s="11"/>
      <c r="I113" s="18"/>
      <c r="J113" s="11"/>
      <c r="K113" s="166"/>
      <c r="L113" s="11"/>
      <c r="M113" s="18"/>
      <c r="N113" s="11"/>
      <c r="O113" s="166"/>
      <c r="P113" s="11"/>
      <c r="Q113" s="8"/>
      <c r="R113" s="182"/>
      <c r="S113" s="8"/>
      <c r="T113" s="8"/>
      <c r="U113" s="8"/>
      <c r="V113" s="182"/>
      <c r="W113" s="8"/>
      <c r="X113" s="62"/>
      <c r="Y113" s="182"/>
      <c r="Z113" s="8"/>
      <c r="AA113" s="69"/>
      <c r="AB113" s="11"/>
      <c r="AC113" s="182"/>
      <c r="AD113" s="65"/>
      <c r="AE113" s="8"/>
      <c r="AF113" s="78"/>
      <c r="AG113" s="181"/>
      <c r="AH113" s="78"/>
      <c r="AI113" s="51"/>
      <c r="AJ113" s="235"/>
      <c r="AK113" s="170" t="str">
        <f>IFERROR(IF(AK112="","",VLOOKUP(AK112,LISTAS!$F$5:$G$1004,2,0)),"0")</f>
        <v/>
      </c>
      <c r="AL113" s="11"/>
    </row>
    <row r="114" spans="2:38" ht="18" customHeight="1" x14ac:dyDescent="0.25">
      <c r="B114" s="16"/>
      <c r="C114" s="166"/>
      <c r="D114" s="11"/>
      <c r="E114" s="11"/>
      <c r="F114" s="11"/>
      <c r="G114" s="166"/>
      <c r="H114" s="11"/>
      <c r="I114" s="18"/>
      <c r="J114" s="11"/>
      <c r="K114" s="169" t="str">
        <f>IF(H106&lt;&gt;"",IF(H108&lt;&gt;"",IF(H106=H108,"",IF(H106&gt;H108,G106,G108)),""),"")</f>
        <v>MARIA ISABEL CHIRATA</v>
      </c>
      <c r="L114" s="234">
        <v>1</v>
      </c>
      <c r="M114" s="56">
        <f>IF(L114&lt;&gt;"",L114,"")</f>
        <v>1</v>
      </c>
      <c r="N114" s="51" t="str">
        <f>IF(L114&lt;&gt;"",IF(K114="","",K114),"")</f>
        <v>MARIA ISABEL CHIRATA</v>
      </c>
      <c r="O114" s="176">
        <f>IF(M114&lt;&gt;"",IF(M116&lt;&gt;"",SMALL(M114:N116,1),""),"")</f>
        <v>0</v>
      </c>
      <c r="P114" s="11"/>
      <c r="Q114" s="8"/>
      <c r="R114" s="182"/>
      <c r="S114" s="8"/>
      <c r="T114" s="8"/>
      <c r="U114" s="8"/>
      <c r="V114" s="182"/>
      <c r="W114" s="8"/>
      <c r="X114" s="62"/>
      <c r="Y114" s="182"/>
      <c r="Z114" s="8"/>
      <c r="AA114" s="70"/>
      <c r="AB114" s="234">
        <v>0</v>
      </c>
      <c r="AC114" s="169" t="str">
        <f>IF(AF106&lt;&gt;"",IF(AF108&lt;&gt;"",IF(AF106=AF108,"",IF(AF106&gt;AF108,AG106,AG108)),""),"")</f>
        <v/>
      </c>
      <c r="AD114" s="112"/>
      <c r="AE114" s="8"/>
      <c r="AF114" s="78"/>
      <c r="AG114" s="181"/>
      <c r="AH114" s="78"/>
      <c r="AI114" s="78"/>
      <c r="AJ114" s="11"/>
      <c r="AK114" s="166"/>
      <c r="AL114" s="11"/>
    </row>
    <row r="115" spans="2:38" ht="18" customHeight="1" thickBot="1" x14ac:dyDescent="0.3">
      <c r="B115" s="16"/>
      <c r="C115" s="166"/>
      <c r="D115" s="11"/>
      <c r="E115" s="11"/>
      <c r="F115" s="11"/>
      <c r="G115" s="166"/>
      <c r="H115" s="11"/>
      <c r="I115" s="18"/>
      <c r="J115" s="11"/>
      <c r="K115" s="170" t="str">
        <f>IFERROR(IF(K114="","",VLOOKUP(K114,LISTAS!$F$5:$G$1004,2,0)),"0")</f>
        <v>COLÉGIO SÃO MAURO</v>
      </c>
      <c r="L115" s="235"/>
      <c r="M115" s="57"/>
      <c r="N115" s="51"/>
      <c r="O115" s="176"/>
      <c r="P115" s="11"/>
      <c r="Q115" s="8"/>
      <c r="R115" s="182"/>
      <c r="S115" s="8"/>
      <c r="T115" s="8"/>
      <c r="U115" s="8"/>
      <c r="V115" s="182"/>
      <c r="W115" s="8"/>
      <c r="X115" s="62"/>
      <c r="Y115" s="182"/>
      <c r="Z115" s="8"/>
      <c r="AA115" s="8"/>
      <c r="AB115" s="235"/>
      <c r="AC115" s="170" t="str">
        <f>IFERROR(IF(AC114="","",VLOOKUP(AC114,LISTAS!$F$5:$G$1004,2,0)),"0")</f>
        <v/>
      </c>
      <c r="AD115" s="8"/>
      <c r="AE115" s="69"/>
      <c r="AF115" s="78"/>
      <c r="AG115" s="181"/>
      <c r="AH115" s="78"/>
      <c r="AI115" s="78"/>
      <c r="AJ115" s="11"/>
      <c r="AK115" s="166"/>
      <c r="AL115" s="11"/>
    </row>
    <row r="116" spans="2:38" ht="18" customHeight="1" x14ac:dyDescent="0.25">
      <c r="B116" s="16"/>
      <c r="C116" s="166"/>
      <c r="D116" s="11"/>
      <c r="E116" s="11"/>
      <c r="F116" s="11"/>
      <c r="G116" s="166"/>
      <c r="H116" s="11"/>
      <c r="I116" s="18"/>
      <c r="J116" s="19"/>
      <c r="K116" s="169" t="str">
        <f>IF(H122&lt;&gt;"",IF(H124&lt;&gt;"",IF(H122=H124,"",IF(H122&gt;H124,G122,G124)),""),"")</f>
        <v>SARA DE MELO ZANUNI</v>
      </c>
      <c r="L116" s="234">
        <v>0</v>
      </c>
      <c r="M116" s="57">
        <f>IF(L116&lt;&gt;"",L116,"")</f>
        <v>0</v>
      </c>
      <c r="N116" s="51" t="str">
        <f>IF(L116&lt;&gt;"",IF(K116="","",K116),"")</f>
        <v>SARA DE MELO ZANUNI</v>
      </c>
      <c r="O116" s="176" t="str">
        <f>VLOOKUP(O114,M114:N116,2,0)</f>
        <v>SARA DE MELO ZANUNI</v>
      </c>
      <c r="P116" s="11"/>
      <c r="Q116" s="8"/>
      <c r="R116" s="182"/>
      <c r="S116" s="8"/>
      <c r="T116" s="8"/>
      <c r="U116" s="8"/>
      <c r="V116" s="182"/>
      <c r="W116" s="8"/>
      <c r="X116" s="62"/>
      <c r="Y116" s="182"/>
      <c r="Z116" s="8"/>
      <c r="AA116" s="8"/>
      <c r="AB116" s="234">
        <v>2</v>
      </c>
      <c r="AC116" s="169" t="str">
        <f>IF(AF122&lt;&gt;"",IF(AF124&lt;&gt;"",IF(AF122=AF124,"",IF(AF122&gt;AF124,AG122,AG124)),""),"")</f>
        <v>IZABELLY VIEIRA SCHLOZ</v>
      </c>
      <c r="AD116" s="8"/>
      <c r="AE116" s="69"/>
      <c r="AF116" s="78"/>
      <c r="AG116" s="181"/>
      <c r="AH116" s="78"/>
      <c r="AI116" s="78"/>
      <c r="AJ116" s="11"/>
      <c r="AK116" s="166"/>
      <c r="AL116" s="11"/>
    </row>
    <row r="117" spans="2:38" ht="18" customHeight="1" thickBot="1" x14ac:dyDescent="0.3">
      <c r="B117" s="16"/>
      <c r="C117" s="166"/>
      <c r="D117" s="11"/>
      <c r="E117" s="11"/>
      <c r="F117" s="11"/>
      <c r="G117" s="166"/>
      <c r="H117" s="11"/>
      <c r="I117" s="18"/>
      <c r="J117" s="11"/>
      <c r="K117" s="170" t="str">
        <f>IFERROR(IF(K116="","",VLOOKUP(K116,LISTAS!$F$5:$G$1004,2,0)),"0")</f>
        <v>COLÉGIO ENGENHEIRO SALVADOR ARENA</v>
      </c>
      <c r="L117" s="235"/>
      <c r="M117" s="51"/>
      <c r="N117" s="51"/>
      <c r="O117" s="176"/>
      <c r="P117" s="11"/>
      <c r="Q117" s="8"/>
      <c r="R117" s="182"/>
      <c r="S117" s="8"/>
      <c r="T117" s="8"/>
      <c r="U117" s="8"/>
      <c r="V117" s="182"/>
      <c r="W117" s="8"/>
      <c r="X117" s="62"/>
      <c r="Y117" s="182"/>
      <c r="Z117" s="8"/>
      <c r="AA117" s="8"/>
      <c r="AB117" s="235"/>
      <c r="AC117" s="170" t="str">
        <f>IFERROR(IF(AC116="","",VLOOKUP(AC116,LISTAS!$F$5:$G$1004,2,0)),"0")</f>
        <v>COLÉGIO ENGENHEIRO SALVADOR ARENA</v>
      </c>
      <c r="AD117" s="8"/>
      <c r="AE117" s="69"/>
      <c r="AF117" s="78"/>
      <c r="AG117" s="181"/>
      <c r="AH117" s="78"/>
      <c r="AI117" s="78"/>
      <c r="AJ117" s="11"/>
      <c r="AK117" s="166"/>
      <c r="AL117" s="11"/>
    </row>
    <row r="118" spans="2:38" ht="18" customHeight="1" x14ac:dyDescent="0.25">
      <c r="B118" s="16">
        <v>20</v>
      </c>
      <c r="C118" s="169" t="str">
        <f>IF('17F GRP'!G5&gt;=3,'17F GRP'!J269,IF('17F GRP'!G5=2,"",IF('17F GRP'!G5=1,"","")))</f>
        <v/>
      </c>
      <c r="D118" s="234">
        <v>0</v>
      </c>
      <c r="E118" s="51">
        <f>IF(D118&lt;&gt;"",D118,"")</f>
        <v>0</v>
      </c>
      <c r="F118" s="51" t="str">
        <f>IF(D118&lt;&gt;"",IF(C118="","",C118),"")</f>
        <v/>
      </c>
      <c r="G118" s="176">
        <f>IF(E118&lt;&gt;"",IF(E120&lt;&gt;"",SMALL(E118:E120,1),""),"")</f>
        <v>0</v>
      </c>
      <c r="H118" s="51"/>
      <c r="I118" s="18"/>
      <c r="J118" s="11"/>
      <c r="K118" s="166"/>
      <c r="L118" s="11"/>
      <c r="M118" s="11"/>
      <c r="N118" s="11"/>
      <c r="O118" s="166"/>
      <c r="P118" s="11"/>
      <c r="Q118" s="8"/>
      <c r="R118" s="182"/>
      <c r="S118" s="8"/>
      <c r="T118" s="8"/>
      <c r="U118" s="8"/>
      <c r="V118" s="182"/>
      <c r="W118" s="8"/>
      <c r="X118" s="62"/>
      <c r="Y118" s="182"/>
      <c r="Z118" s="8"/>
      <c r="AA118" s="8"/>
      <c r="AB118" s="11"/>
      <c r="AC118" s="182"/>
      <c r="AD118" s="8"/>
      <c r="AE118" s="69"/>
      <c r="AF118" s="78"/>
      <c r="AG118" s="181">
        <f>IF(AJ118&lt;&gt;"",AJ118,"")</f>
        <v>0</v>
      </c>
      <c r="AH118" s="78" t="str">
        <f>IF(AJ118&lt;&gt;"",IF(AK118="","",AK118),"")</f>
        <v/>
      </c>
      <c r="AI118" s="51">
        <f>IF(AG118&lt;&gt;"",IF(AG120&lt;&gt;"",SMALL(AG118:AG120,1),""),"")</f>
        <v>0</v>
      </c>
      <c r="AJ118" s="234">
        <v>0</v>
      </c>
      <c r="AK118" s="169" t="str">
        <f>IF('17F GRP'!G5&gt;=3,'17F GRP'!J204,IF('17F GRP'!G5=2,"",IF('17F GRP'!G5=1,"","")))</f>
        <v/>
      </c>
      <c r="AL118" s="11">
        <v>15</v>
      </c>
    </row>
    <row r="119" spans="2:38" ht="18" customHeight="1" thickBot="1" x14ac:dyDescent="0.3">
      <c r="B119" s="16"/>
      <c r="C119" s="170" t="str">
        <f>IFERROR(IF(C118="","",VLOOKUP(C118,LISTAS!$F$5:$G$1004,2,0)),"0")</f>
        <v/>
      </c>
      <c r="D119" s="235"/>
      <c r="E119" s="51"/>
      <c r="F119" s="51"/>
      <c r="G119" s="176"/>
      <c r="H119" s="51"/>
      <c r="I119" s="18"/>
      <c r="J119" s="11"/>
      <c r="K119" s="166"/>
      <c r="L119" s="11"/>
      <c r="M119" s="11"/>
      <c r="N119" s="11"/>
      <c r="O119" s="166"/>
      <c r="P119" s="11"/>
      <c r="Q119" s="8"/>
      <c r="R119" s="182"/>
      <c r="S119" s="8"/>
      <c r="T119" s="8"/>
      <c r="U119" s="8"/>
      <c r="V119" s="182"/>
      <c r="W119" s="8"/>
      <c r="X119" s="62"/>
      <c r="Y119" s="182"/>
      <c r="Z119" s="8"/>
      <c r="AA119" s="8"/>
      <c r="AB119" s="11"/>
      <c r="AC119" s="182"/>
      <c r="AD119" s="8"/>
      <c r="AE119" s="69"/>
      <c r="AF119" s="78"/>
      <c r="AG119" s="181"/>
      <c r="AH119" s="78"/>
      <c r="AI119" s="51"/>
      <c r="AJ119" s="235"/>
      <c r="AK119" s="170" t="str">
        <f>IFERROR(IF(AK118="","",VLOOKUP(AK118,LISTAS!$F$5:$G$1004,2,0)),"0")</f>
        <v/>
      </c>
      <c r="AL119" s="11"/>
    </row>
    <row r="120" spans="2:38" ht="18" customHeight="1" x14ac:dyDescent="0.25">
      <c r="B120" s="16">
        <v>13</v>
      </c>
      <c r="C120" s="169" t="str">
        <f>IF('17F GRP'!G5&gt;=3,'17F GRP'!J178,IF('17F GRP'!G5=2,"",IF('17F GRP'!G5=1,"","")))</f>
        <v/>
      </c>
      <c r="D120" s="234">
        <v>0</v>
      </c>
      <c r="E120" s="52">
        <f>IF(D120&lt;&gt;"",D120,"")</f>
        <v>0</v>
      </c>
      <c r="F120" s="51" t="str">
        <f>IF(D120&lt;&gt;"",IF(C120="","",C120),"")</f>
        <v/>
      </c>
      <c r="G120" s="176" t="str">
        <f>VLOOKUP(G118,E118:F120,2,0)</f>
        <v/>
      </c>
      <c r="H120" s="51"/>
      <c r="I120" s="18"/>
      <c r="J120" s="11"/>
      <c r="K120" s="166"/>
      <c r="L120" s="11"/>
      <c r="M120" s="11"/>
      <c r="N120" s="11"/>
      <c r="O120" s="166"/>
      <c r="P120" s="11"/>
      <c r="Q120" s="8"/>
      <c r="R120" s="182"/>
      <c r="S120" s="8"/>
      <c r="T120" s="8"/>
      <c r="U120" s="8"/>
      <c r="V120" s="182"/>
      <c r="W120" s="8"/>
      <c r="X120" s="62"/>
      <c r="Y120" s="182"/>
      <c r="Z120" s="8"/>
      <c r="AA120" s="8"/>
      <c r="AB120" s="11"/>
      <c r="AC120" s="182"/>
      <c r="AD120" s="8"/>
      <c r="AE120" s="69"/>
      <c r="AF120" s="78"/>
      <c r="AG120" s="181">
        <f>IF(AJ120&lt;&gt;"",AJ120,"")</f>
        <v>0</v>
      </c>
      <c r="AH120" s="78" t="str">
        <f>IF(AJ120&lt;&gt;"",IF(AK120="","",AK120),"")</f>
        <v/>
      </c>
      <c r="AI120" s="55" t="str">
        <f>VLOOKUP(AI118,AG118:AH120,2,0)</f>
        <v/>
      </c>
      <c r="AJ120" s="234">
        <v>0</v>
      </c>
      <c r="AK120" s="169" t="str">
        <f>IF('17F GRP'!G5&gt;=3,'17F GRP'!J243,IF('17F GRP'!G5=2,"",IF('17F GRP'!G5=1,"","")))</f>
        <v/>
      </c>
      <c r="AL120" s="11">
        <v>18</v>
      </c>
    </row>
    <row r="121" spans="2:38" ht="18" customHeight="1" thickBot="1" x14ac:dyDescent="0.3">
      <c r="B121" s="16"/>
      <c r="C121" s="170" t="str">
        <f>IFERROR(IF(C120="","",VLOOKUP(C120,LISTAS!$F$5:$G$1004,2,0)),"0")</f>
        <v/>
      </c>
      <c r="D121" s="235"/>
      <c r="E121" s="128"/>
      <c r="F121" s="51"/>
      <c r="G121" s="176"/>
      <c r="H121" s="51"/>
      <c r="I121" s="18"/>
      <c r="J121" s="11"/>
      <c r="K121" s="166"/>
      <c r="L121" s="11"/>
      <c r="M121" s="11"/>
      <c r="N121" s="11"/>
      <c r="O121" s="166"/>
      <c r="P121" s="11"/>
      <c r="Q121" s="8"/>
      <c r="R121" s="182"/>
      <c r="S121" s="8"/>
      <c r="T121" s="8"/>
      <c r="U121" s="8"/>
      <c r="V121" s="182"/>
      <c r="W121" s="8"/>
      <c r="X121" s="62"/>
      <c r="Y121" s="182"/>
      <c r="Z121" s="8"/>
      <c r="AA121" s="8"/>
      <c r="AB121" s="11"/>
      <c r="AC121" s="182"/>
      <c r="AD121" s="8"/>
      <c r="AE121" s="69"/>
      <c r="AF121" s="78"/>
      <c r="AG121" s="181"/>
      <c r="AH121" s="126"/>
      <c r="AI121" s="51"/>
      <c r="AJ121" s="235"/>
      <c r="AK121" s="170" t="str">
        <f>IFERROR(IF(AK120="","",VLOOKUP(AK120,LISTAS!$F$5:$G$1004,2,0)),"0")</f>
        <v/>
      </c>
      <c r="AL121" s="11"/>
    </row>
    <row r="122" spans="2:38" ht="18" customHeight="1" x14ac:dyDescent="0.25">
      <c r="B122" s="16"/>
      <c r="C122" s="166"/>
      <c r="D122" s="11"/>
      <c r="E122" s="11"/>
      <c r="F122" s="17"/>
      <c r="G122" s="169" t="str">
        <f>IF(D118&lt;&gt;"",IF(D120&lt;&gt;"",IF(D118=D120,"",IF(D118&gt;D120,C118,C120)),""),"")</f>
        <v/>
      </c>
      <c r="H122" s="234">
        <v>0</v>
      </c>
      <c r="I122" s="56">
        <f>IF(H122&lt;&gt;"",H122,"")</f>
        <v>0</v>
      </c>
      <c r="J122" s="51" t="str">
        <f>IF(H122&lt;&gt;"",IF(G122="","",G122),"")</f>
        <v/>
      </c>
      <c r="K122" s="176">
        <f>IF(I122&lt;&gt;"",IF(I124&lt;&gt;"",SMALL(I122:J124,1),""),"")</f>
        <v>0</v>
      </c>
      <c r="L122" s="11"/>
      <c r="M122" s="11"/>
      <c r="N122" s="11"/>
      <c r="O122" s="166"/>
      <c r="P122" s="11"/>
      <c r="Q122" s="8"/>
      <c r="R122" s="182"/>
      <c r="S122" s="8"/>
      <c r="T122" s="8"/>
      <c r="U122" s="8"/>
      <c r="V122" s="182"/>
      <c r="W122" s="8"/>
      <c r="X122" s="62"/>
      <c r="Y122" s="182"/>
      <c r="Z122" s="8"/>
      <c r="AA122" s="8"/>
      <c r="AB122" s="11"/>
      <c r="AC122" s="182"/>
      <c r="AD122" s="8"/>
      <c r="AE122" s="69"/>
      <c r="AF122" s="234">
        <v>0</v>
      </c>
      <c r="AG122" s="169" t="str">
        <f>IF(AJ118&lt;&gt;"",IF(AJ120&lt;&gt;"",IF(AJ118=AJ120,"",IF(AJ118&gt;AJ120,AK118,AK120)),""),"")</f>
        <v/>
      </c>
      <c r="AH122" s="65"/>
      <c r="AI122" s="8"/>
      <c r="AJ122" s="11"/>
      <c r="AK122" s="166"/>
      <c r="AL122" s="11"/>
    </row>
    <row r="123" spans="2:38" ht="18" customHeight="1" thickBot="1" x14ac:dyDescent="0.3">
      <c r="B123" s="16"/>
      <c r="C123" s="166"/>
      <c r="D123" s="11"/>
      <c r="E123" s="11"/>
      <c r="F123" s="17"/>
      <c r="G123" s="170" t="str">
        <f>IFERROR(IF(G122="","",VLOOKUP(G122,LISTAS!$F$5:$G$1004,2,0)),"0")</f>
        <v/>
      </c>
      <c r="H123" s="235"/>
      <c r="I123" s="57"/>
      <c r="J123" s="51"/>
      <c r="K123" s="176"/>
      <c r="L123" s="11"/>
      <c r="M123" s="11"/>
      <c r="N123" s="11"/>
      <c r="O123" s="166"/>
      <c r="P123" s="11"/>
      <c r="Q123" s="8"/>
      <c r="R123" s="182"/>
      <c r="S123" s="8"/>
      <c r="T123" s="8"/>
      <c r="U123" s="8"/>
      <c r="V123" s="182"/>
      <c r="W123" s="8"/>
      <c r="X123" s="62"/>
      <c r="Y123" s="182"/>
      <c r="Z123" s="8"/>
      <c r="AA123" s="8"/>
      <c r="AB123" s="11"/>
      <c r="AC123" s="182"/>
      <c r="AD123" s="8"/>
      <c r="AE123" s="70"/>
      <c r="AF123" s="235"/>
      <c r="AG123" s="170" t="str">
        <f>IFERROR(IF(AG122="","",VLOOKUP(AG122,LISTAS!$F$5:$G$1004,2,0)),"0")</f>
        <v/>
      </c>
      <c r="AH123" s="65"/>
      <c r="AI123" s="8"/>
      <c r="AJ123" s="11"/>
      <c r="AK123" s="166"/>
      <c r="AL123" s="11"/>
    </row>
    <row r="124" spans="2:38" ht="18" customHeight="1" x14ac:dyDescent="0.25">
      <c r="B124" s="16"/>
      <c r="C124" s="166"/>
      <c r="D124" s="11"/>
      <c r="E124" s="18"/>
      <c r="F124" s="19"/>
      <c r="G124" s="169" t="str">
        <f>IF(D126&lt;&gt;"",IF(D128&lt;&gt;"",IF(D126=D128,"",IF(D126&gt;D128,C126,C128)),""),"")</f>
        <v>SARA DE MELO ZANUNI</v>
      </c>
      <c r="H124" s="234">
        <v>2</v>
      </c>
      <c r="I124" s="57">
        <f>IF(H124&lt;&gt;"",H124,"")</f>
        <v>2</v>
      </c>
      <c r="J124" s="51" t="str">
        <f>IF(H124&lt;&gt;"",IF(G124="","",G124),"")</f>
        <v>SARA DE MELO ZANUNI</v>
      </c>
      <c r="K124" s="176" t="str">
        <f>VLOOKUP(K122,I122:J124,2,0)</f>
        <v/>
      </c>
      <c r="L124" s="11"/>
      <c r="M124" s="11"/>
      <c r="N124" s="11"/>
      <c r="O124" s="166"/>
      <c r="P124" s="11"/>
      <c r="Q124" s="8"/>
      <c r="R124" s="182"/>
      <c r="S124" s="8"/>
      <c r="T124" s="8"/>
      <c r="U124" s="8"/>
      <c r="V124" s="182"/>
      <c r="W124" s="8"/>
      <c r="X124" s="62"/>
      <c r="Y124" s="182"/>
      <c r="Z124" s="8"/>
      <c r="AA124" s="8"/>
      <c r="AB124" s="11"/>
      <c r="AC124" s="182"/>
      <c r="AD124" s="8"/>
      <c r="AE124" s="64"/>
      <c r="AF124" s="234">
        <v>2</v>
      </c>
      <c r="AG124" s="169" t="str">
        <f>IF(AJ126&lt;&gt;"",IF(AJ128&lt;&gt;"",IF(AJ126=AJ128,"",IF(AJ126&gt;AJ128,AK126,AK128)),""),"")</f>
        <v>IZABELLY VIEIRA SCHLOZ</v>
      </c>
      <c r="AH124" s="66"/>
      <c r="AI124" s="8"/>
      <c r="AJ124" s="11"/>
      <c r="AK124" s="166"/>
      <c r="AL124" s="11"/>
    </row>
    <row r="125" spans="2:38" ht="18" customHeight="1" thickBot="1" x14ac:dyDescent="0.3">
      <c r="B125" s="16"/>
      <c r="C125" s="166"/>
      <c r="D125" s="11"/>
      <c r="E125" s="18"/>
      <c r="F125" s="11"/>
      <c r="G125" s="170" t="str">
        <f>IFERROR(IF(G124="","",VLOOKUP(G124,LISTAS!$F$5:$G$1004,2,0)),"0")</f>
        <v>COLÉGIO ENGENHEIRO SALVADOR ARENA</v>
      </c>
      <c r="H125" s="235"/>
      <c r="I125" s="51"/>
      <c r="J125" s="51"/>
      <c r="K125" s="176"/>
      <c r="L125" s="11"/>
      <c r="M125" s="11"/>
      <c r="N125" s="11"/>
      <c r="O125" s="166"/>
      <c r="P125" s="11"/>
      <c r="Q125" s="8"/>
      <c r="R125" s="182"/>
      <c r="S125" s="8"/>
      <c r="T125" s="8"/>
      <c r="U125" s="8"/>
      <c r="V125" s="182"/>
      <c r="W125" s="8"/>
      <c r="X125" s="62"/>
      <c r="Y125" s="182"/>
      <c r="Z125" s="8"/>
      <c r="AA125" s="8"/>
      <c r="AB125" s="11"/>
      <c r="AC125" s="182"/>
      <c r="AD125" s="8"/>
      <c r="AE125" s="8"/>
      <c r="AF125" s="235"/>
      <c r="AG125" s="170" t="str">
        <f>IFERROR(IF(AG124="","",VLOOKUP(AG124,LISTAS!$F$5:$G$1004,2,0)),"0")</f>
        <v>COLÉGIO ENGENHEIRO SALVADOR ARENA</v>
      </c>
      <c r="AH125" s="8"/>
      <c r="AI125" s="69"/>
      <c r="AJ125" s="11"/>
      <c r="AK125" s="166"/>
      <c r="AL125" s="11"/>
    </row>
    <row r="126" spans="2:38" ht="18" customHeight="1" x14ac:dyDescent="0.25">
      <c r="B126" s="16">
        <v>29</v>
      </c>
      <c r="C126" s="169" t="str">
        <f>IF('17F GRP'!G5&gt;=3,'17F GRP'!J386,IF('17F GRP'!G5=2,"",IF('17F GRP'!G5=1,"","")))</f>
        <v/>
      </c>
      <c r="D126" s="234">
        <v>0</v>
      </c>
      <c r="E126" s="56">
        <f>IF(D126&lt;&gt;"",D126,"")</f>
        <v>0</v>
      </c>
      <c r="F126" s="51" t="str">
        <f>IF(D126&lt;&gt;"",IF(C126="","",C126),"")</f>
        <v/>
      </c>
      <c r="G126" s="176">
        <f>IF(E126&lt;&gt;"",IF(E128&lt;&gt;"",SMALL(E126:E128,1),""),"")</f>
        <v>0</v>
      </c>
      <c r="H126" s="51"/>
      <c r="I126" s="11"/>
      <c r="J126" s="11"/>
      <c r="K126" s="166"/>
      <c r="L126" s="11"/>
      <c r="M126" s="11"/>
      <c r="N126" s="11"/>
      <c r="O126" s="166"/>
      <c r="P126" s="11"/>
      <c r="Q126" s="8"/>
      <c r="R126" s="182"/>
      <c r="S126" s="8"/>
      <c r="T126" s="8"/>
      <c r="U126" s="8"/>
      <c r="V126" s="182"/>
      <c r="W126" s="8"/>
      <c r="X126" s="62"/>
      <c r="Y126" s="182"/>
      <c r="Z126" s="8"/>
      <c r="AA126" s="8"/>
      <c r="AB126" s="11"/>
      <c r="AC126" s="182"/>
      <c r="AD126" s="8"/>
      <c r="AE126" s="8"/>
      <c r="AF126" s="8"/>
      <c r="AG126" s="181">
        <f>IF(AJ126&lt;&gt;"",AJ126,"")</f>
        <v>0</v>
      </c>
      <c r="AH126" s="78" t="str">
        <f>IF(AJ126&lt;&gt;"",IF(AK126="","",AK126),"")</f>
        <v/>
      </c>
      <c r="AI126" s="53">
        <f>IF(AG126&lt;&gt;"",IF(AG128&lt;&gt;"",SMALL(AG126:AG128,1),""),"")</f>
        <v>0</v>
      </c>
      <c r="AJ126" s="234">
        <v>0</v>
      </c>
      <c r="AK126" s="169" t="str">
        <f>IF('17F GRP'!G5&gt;=3,'17F GRP'!J412,IF('17F GRP'!G5=2,"",IF('17F GRP'!G5=1,"","")))</f>
        <v/>
      </c>
      <c r="AL126" s="11">
        <v>31</v>
      </c>
    </row>
    <row r="127" spans="2:38" ht="18" customHeight="1" thickBot="1" x14ac:dyDescent="0.3">
      <c r="B127" s="16"/>
      <c r="C127" s="170" t="str">
        <f>IFERROR(IF(C126="","",VLOOKUP(C126,LISTAS!$F$5:$G$1004,2,0)),"0")</f>
        <v/>
      </c>
      <c r="D127" s="235"/>
      <c r="E127" s="57"/>
      <c r="F127" s="51"/>
      <c r="G127" s="176"/>
      <c r="H127" s="51"/>
      <c r="I127" s="11"/>
      <c r="J127" s="11"/>
      <c r="K127" s="166"/>
      <c r="L127" s="11"/>
      <c r="M127" s="11"/>
      <c r="N127" s="11"/>
      <c r="O127" s="166"/>
      <c r="P127" s="11"/>
      <c r="Q127" s="8"/>
      <c r="R127" s="182"/>
      <c r="S127" s="8"/>
      <c r="T127" s="8"/>
      <c r="U127" s="8"/>
      <c r="V127" s="182"/>
      <c r="W127" s="8"/>
      <c r="X127" s="62"/>
      <c r="Y127" s="182"/>
      <c r="Z127" s="8"/>
      <c r="AA127" s="8"/>
      <c r="AB127" s="11"/>
      <c r="AC127" s="182"/>
      <c r="AD127" s="8"/>
      <c r="AE127" s="8"/>
      <c r="AF127" s="8"/>
      <c r="AG127" s="181"/>
      <c r="AH127" s="78"/>
      <c r="AI127" s="77"/>
      <c r="AJ127" s="235"/>
      <c r="AK127" s="170" t="str">
        <f>IFERROR(IF(AK126="","",VLOOKUP(AK126,LISTAS!$F$5:$G$1004,2,0)),"0")</f>
        <v/>
      </c>
      <c r="AL127" s="11"/>
    </row>
    <row r="128" spans="2:38" ht="18" customHeight="1" x14ac:dyDescent="0.25">
      <c r="B128" s="16">
        <v>4</v>
      </c>
      <c r="C128" s="169" t="str">
        <f>IF('17F GRP'!G5&gt;=3,'17F GRP'!J61,IF('17F GRP'!G5=2,IF('17F GRP'!H8=3,"",'17F GRP'!J33),IF('17F GRP'!G5=1,"","")))</f>
        <v>SARA DE MELO ZANUNI</v>
      </c>
      <c r="D128" s="234">
        <v>2</v>
      </c>
      <c r="E128" s="57">
        <f>IF(D128&lt;&gt;"",D128,"")</f>
        <v>2</v>
      </c>
      <c r="F128" s="51" t="str">
        <f>IF(D128&lt;&gt;"",IF(C128="","",C128),"")</f>
        <v>SARA DE MELO ZANUNI</v>
      </c>
      <c r="G128" s="176" t="str">
        <f>VLOOKUP(G126,E126:F128,2,0)</f>
        <v/>
      </c>
      <c r="H128" s="51"/>
      <c r="I128" s="11"/>
      <c r="J128" s="11"/>
      <c r="K128" s="166"/>
      <c r="L128" s="11"/>
      <c r="M128" s="11"/>
      <c r="N128" s="11"/>
      <c r="O128" s="166"/>
      <c r="P128" s="11"/>
      <c r="Q128" s="8"/>
      <c r="R128" s="182"/>
      <c r="S128" s="8"/>
      <c r="T128" s="8"/>
      <c r="U128" s="8"/>
      <c r="V128" s="182"/>
      <c r="W128" s="8"/>
      <c r="X128" s="62"/>
      <c r="Y128" s="182"/>
      <c r="Z128" s="8"/>
      <c r="AA128" s="8"/>
      <c r="AB128" s="11"/>
      <c r="AC128" s="182"/>
      <c r="AD128" s="8"/>
      <c r="AE128" s="8"/>
      <c r="AF128" s="8"/>
      <c r="AG128" s="181">
        <f>IF(AJ128&lt;&gt;"",AJ128,"")</f>
        <v>2</v>
      </c>
      <c r="AH128" s="78" t="str">
        <f>IF(AJ128&lt;&gt;"",IF(AK128="","",AK128),"")</f>
        <v>IZABELLY VIEIRA SCHLOZ</v>
      </c>
      <c r="AI128" s="76" t="str">
        <f>VLOOKUP(AI126,AG126:AH128,2,0)</f>
        <v/>
      </c>
      <c r="AJ128" s="234">
        <v>2</v>
      </c>
      <c r="AK128" s="169" t="str">
        <f>IF('17F GRP'!G5&gt;=3,'17F GRP'!J31,IF('17F GRP'!G5=2,IF('17F GRP'!H8=3,'17F GRP'!J31,'17F GRP'!J32),IF('17F GRP'!G5=1,"","")))</f>
        <v>IZABELLY VIEIRA SCHLOZ</v>
      </c>
      <c r="AL128" s="11">
        <v>2</v>
      </c>
    </row>
    <row r="129" spans="2:48" ht="18" customHeight="1" thickBot="1" x14ac:dyDescent="0.3">
      <c r="B129" s="16"/>
      <c r="C129" s="170" t="str">
        <f>IFERROR(IF(C128="","",VLOOKUP(C128,LISTAS!$F$5:$G$1004,2,0)),"0")</f>
        <v>COLÉGIO ENGENHEIRO SALVADOR ARENA</v>
      </c>
      <c r="D129" s="235"/>
      <c r="E129" s="51"/>
      <c r="F129" s="51"/>
      <c r="G129" s="176"/>
      <c r="H129" s="51"/>
      <c r="I129" s="11"/>
      <c r="J129" s="11"/>
      <c r="K129" s="166"/>
      <c r="L129" s="11"/>
      <c r="M129" s="11"/>
      <c r="N129" s="11"/>
      <c r="O129" s="166"/>
      <c r="P129" s="11"/>
      <c r="Q129" s="8"/>
      <c r="R129" s="182"/>
      <c r="S129" s="8"/>
      <c r="T129" s="8"/>
      <c r="U129" s="8"/>
      <c r="V129" s="182"/>
      <c r="W129" s="8"/>
      <c r="X129" s="62"/>
      <c r="Y129" s="182"/>
      <c r="Z129" s="8"/>
      <c r="AA129" s="8"/>
      <c r="AB129" s="11"/>
      <c r="AC129" s="182"/>
      <c r="AD129" s="8"/>
      <c r="AE129" s="8"/>
      <c r="AF129" s="8"/>
      <c r="AG129" s="181"/>
      <c r="AH129" s="78"/>
      <c r="AI129" s="51"/>
      <c r="AJ129" s="235"/>
      <c r="AK129" s="170" t="str">
        <f>IFERROR(IF(AK128="","",VLOOKUP(AK128,LISTAS!$F$5:$G$1004,2,0)),"0")</f>
        <v>COLÉGIO ENGENHEIRO SALVADOR ARENA</v>
      </c>
      <c r="AL129" s="11"/>
    </row>
    <row r="130" spans="2:48" ht="18" customHeight="1" x14ac:dyDescent="0.25">
      <c r="B130" s="16"/>
      <c r="C130" s="167"/>
      <c r="D130" s="71"/>
      <c r="E130" s="127"/>
      <c r="F130" s="127"/>
      <c r="G130" s="177"/>
      <c r="H130" s="127"/>
      <c r="I130" s="71"/>
      <c r="J130" s="71"/>
      <c r="K130" s="167"/>
      <c r="L130" s="71"/>
      <c r="M130" s="71"/>
      <c r="N130" s="71"/>
      <c r="O130" s="167"/>
      <c r="P130" s="71"/>
      <c r="Q130" s="8"/>
      <c r="R130" s="182"/>
      <c r="S130" s="8"/>
      <c r="T130" s="8"/>
      <c r="U130" s="8"/>
      <c r="V130" s="182"/>
      <c r="W130" s="8"/>
      <c r="X130" s="62"/>
      <c r="Y130" s="182"/>
      <c r="Z130" s="8"/>
      <c r="AA130" s="8"/>
      <c r="AB130" s="11"/>
      <c r="AC130" s="182"/>
      <c r="AD130" s="8"/>
      <c r="AE130" s="8"/>
      <c r="AF130" s="8"/>
      <c r="AG130" s="181"/>
      <c r="AH130" s="78"/>
      <c r="AI130" s="78"/>
      <c r="AJ130" s="71"/>
      <c r="AK130" s="167"/>
      <c r="AL130" s="11"/>
    </row>
    <row r="131" spans="2:48" ht="18" customHeight="1" x14ac:dyDescent="0.25">
      <c r="B131" s="11"/>
      <c r="C131" s="167"/>
      <c r="D131" s="71"/>
      <c r="E131" s="71"/>
      <c r="F131" s="71"/>
      <c r="G131" s="167"/>
      <c r="H131" s="71"/>
      <c r="I131" s="71"/>
      <c r="J131" s="71"/>
      <c r="K131" s="167"/>
      <c r="L131" s="71"/>
      <c r="M131" s="71"/>
      <c r="N131" s="71"/>
      <c r="O131" s="167"/>
      <c r="P131" s="71"/>
      <c r="Q131" s="8"/>
      <c r="R131" s="182"/>
      <c r="S131" s="8"/>
      <c r="T131" s="8"/>
      <c r="U131" s="8"/>
      <c r="V131" s="182"/>
      <c r="W131" s="8"/>
      <c r="X131" s="62"/>
      <c r="Y131" s="182"/>
      <c r="Z131" s="8"/>
      <c r="AA131" s="8"/>
      <c r="AB131" s="11"/>
      <c r="AC131" s="182"/>
      <c r="AD131" s="8"/>
      <c r="AE131" s="8"/>
      <c r="AF131" s="8"/>
      <c r="AG131" s="181"/>
      <c r="AH131" s="78"/>
      <c r="AI131" s="78"/>
      <c r="AJ131" s="71"/>
      <c r="AK131" s="167"/>
      <c r="AL131" s="11"/>
    </row>
    <row r="132" spans="2:48" ht="18" customHeight="1" x14ac:dyDescent="0.25">
      <c r="B132" s="22"/>
      <c r="C132" s="168"/>
      <c r="D132" s="22"/>
      <c r="E132" s="22"/>
      <c r="F132" s="22"/>
      <c r="G132" s="168"/>
      <c r="H132" s="22"/>
      <c r="I132" s="22"/>
      <c r="J132" s="22"/>
      <c r="K132" s="168"/>
      <c r="L132" s="22"/>
      <c r="M132" s="22"/>
      <c r="N132" s="22"/>
      <c r="O132" s="168"/>
      <c r="P132" s="22"/>
      <c r="W132" s="22"/>
      <c r="X132" s="22"/>
      <c r="Y132" s="168"/>
      <c r="Z132" s="22"/>
      <c r="AA132" s="22"/>
      <c r="AB132" s="22"/>
      <c r="AC132" s="168"/>
      <c r="AD132" s="22"/>
      <c r="AE132" s="22"/>
      <c r="AF132" s="22"/>
      <c r="AG132" s="168"/>
      <c r="AH132" s="22"/>
      <c r="AI132" s="22"/>
      <c r="AJ132" s="22"/>
      <c r="AK132" s="168"/>
    </row>
    <row r="133" spans="2:48" ht="18" customHeight="1" x14ac:dyDescent="0.25">
      <c r="B133" s="22"/>
      <c r="C133" s="168"/>
      <c r="D133" s="22"/>
      <c r="E133" s="22"/>
      <c r="F133" s="22"/>
      <c r="G133" s="168"/>
      <c r="H133" s="22"/>
      <c r="I133" s="22"/>
      <c r="J133" s="22"/>
      <c r="K133" s="168"/>
      <c r="L133" s="22"/>
      <c r="M133" s="22"/>
      <c r="N133" s="22"/>
      <c r="O133" s="168"/>
      <c r="P133" s="22"/>
      <c r="W133" s="22"/>
      <c r="X133" s="22"/>
      <c r="Y133" s="168"/>
      <c r="Z133" s="22"/>
      <c r="AA133" s="22"/>
      <c r="AB133" s="22"/>
      <c r="AC133" s="168"/>
      <c r="AD133" s="22"/>
      <c r="AE133" s="22"/>
      <c r="AF133" s="22"/>
      <c r="AG133" s="168"/>
      <c r="AH133" s="22"/>
      <c r="AI133" s="22"/>
      <c r="AJ133" s="22"/>
      <c r="AK133" s="168"/>
    </row>
    <row r="134" spans="2:48" ht="30" customHeight="1" x14ac:dyDescent="0.25">
      <c r="B134" s="251" t="s">
        <v>22</v>
      </c>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52"/>
      <c r="AE134" s="252"/>
      <c r="AF134" s="252"/>
      <c r="AG134" s="252"/>
      <c r="AH134" s="252"/>
      <c r="AI134" s="252"/>
      <c r="AJ134" s="252"/>
      <c r="AK134" s="252"/>
      <c r="AL134" s="252"/>
      <c r="AP134" s="241" t="s">
        <v>23</v>
      </c>
      <c r="AQ134" s="241"/>
      <c r="AR134" s="241"/>
      <c r="AS134" s="241"/>
      <c r="AT134" s="241"/>
      <c r="AU134" s="241"/>
    </row>
    <row r="135" spans="2:48" ht="18" customHeight="1" thickBot="1" x14ac:dyDescent="0.3">
      <c r="B135" s="73"/>
      <c r="C135" s="164"/>
      <c r="D135" s="61"/>
      <c r="E135" s="61"/>
      <c r="F135" s="61"/>
      <c r="G135" s="175"/>
      <c r="H135" s="61"/>
      <c r="I135" s="61"/>
      <c r="J135" s="61"/>
      <c r="K135" s="179"/>
      <c r="L135" s="61"/>
      <c r="M135" s="61"/>
      <c r="N135" s="61"/>
      <c r="O135" s="179"/>
      <c r="P135" s="61"/>
      <c r="Q135" s="61"/>
      <c r="R135" s="179"/>
      <c r="S135" s="61"/>
      <c r="T135" s="61"/>
      <c r="U135" s="61"/>
      <c r="V135" s="179"/>
      <c r="W135" s="61"/>
      <c r="X135" s="74"/>
      <c r="Y135" s="179"/>
      <c r="Z135" s="61"/>
      <c r="AA135" s="61"/>
      <c r="AB135" s="75"/>
      <c r="AC135" s="179"/>
      <c r="AD135" s="61"/>
      <c r="AE135" s="61"/>
      <c r="AF135" s="61"/>
      <c r="AG135" s="179"/>
      <c r="AH135" s="61"/>
      <c r="AI135" s="61"/>
      <c r="AJ135" s="61"/>
      <c r="AK135" s="179"/>
      <c r="AL135" s="61"/>
      <c r="AP135" s="228" t="s">
        <v>3</v>
      </c>
      <c r="AQ135" s="230"/>
      <c r="AR135" s="9" t="s">
        <v>15</v>
      </c>
      <c r="AS135" s="9" t="s">
        <v>0</v>
      </c>
      <c r="AT135" s="9" t="s">
        <v>16</v>
      </c>
      <c r="AU135" s="9" t="s">
        <v>17</v>
      </c>
    </row>
    <row r="136" spans="2:48" ht="18" customHeight="1" x14ac:dyDescent="0.25">
      <c r="B136" s="10">
        <v>1</v>
      </c>
      <c r="C136" s="171" t="str">
        <f>IF('17F GRP'!G5&gt;=3,'17F GRP'!J10,IF('17F GRP'!G5=2,IF('17F GRP'!H8=3,'17F GRP'!J10,""),IF('17F GRP'!G5=1,"","")))</f>
        <v>LETICIA TADOKORO</v>
      </c>
      <c r="D136" s="234">
        <v>2</v>
      </c>
      <c r="E136" s="51">
        <f>IF(D136&lt;&gt;"",D136,"")</f>
        <v>2</v>
      </c>
      <c r="F136" s="51" t="str">
        <f>IF(D136&lt;&gt;"",IF(C136="","",C136),"")</f>
        <v>LETICIA TADOKORO</v>
      </c>
      <c r="G136" s="176">
        <f>IF(E136&lt;&gt;"",IF(E138&lt;&gt;"",SMALL(E136:E138,1),""),"")</f>
        <v>0</v>
      </c>
      <c r="H136" s="11"/>
      <c r="I136" s="11"/>
      <c r="J136" s="11"/>
      <c r="K136" s="166"/>
      <c r="L136" s="11"/>
      <c r="M136" s="12"/>
      <c r="N136" s="12"/>
      <c r="O136" s="180"/>
      <c r="P136" s="12"/>
      <c r="Q136" s="8"/>
      <c r="R136" s="182"/>
      <c r="S136" s="8"/>
      <c r="T136" s="8"/>
      <c r="U136" s="8"/>
      <c r="V136" s="182"/>
      <c r="W136" s="8"/>
      <c r="X136" s="62"/>
      <c r="Y136" s="182"/>
      <c r="Z136" s="8"/>
      <c r="AA136" s="8"/>
      <c r="AB136" s="11"/>
      <c r="AC136" s="182"/>
      <c r="AD136" s="8"/>
      <c r="AE136" s="8"/>
      <c r="AF136" s="8"/>
      <c r="AG136" s="181">
        <f>IF(AJ136&lt;&gt;"",AJ136,"")</f>
        <v>2</v>
      </c>
      <c r="AH136" s="78" t="str">
        <f>IF(AJ136&lt;&gt;"",IF(AK136="","",AK136),"")</f>
        <v>LUÍSA COSTA RAMOS</v>
      </c>
      <c r="AI136" s="51">
        <f>IF(AG136&lt;&gt;"",IF(AG138&lt;&gt;"",SMALL(AG136:AG138,1),""),"")</f>
        <v>0</v>
      </c>
      <c r="AJ136" s="234">
        <v>2</v>
      </c>
      <c r="AK136" s="171" t="str">
        <f>IF('17F GRP'!G5&gt;=3,'17F GRP'!J49,IF('17F GRP'!G5=2,"",IF('17F GRP'!G5=1,"","")))</f>
        <v>LUÍSA COSTA RAMOS</v>
      </c>
      <c r="AL136" s="63">
        <v>3</v>
      </c>
      <c r="AP136" s="13">
        <f>IF(AR136&lt;&gt;"",1,"")</f>
        <v>1</v>
      </c>
      <c r="AQ136" s="14" t="str">
        <f>IF(AP136&lt;&gt;"","LUGAR","")</f>
        <v>LUGAR</v>
      </c>
      <c r="AR136" s="15" t="str">
        <f>IF(S164&lt;&gt;"",IF(U164&lt;&gt;"",IF(S164=U164,"",IF(S164&gt;U164,R164,V164)),""),"")</f>
        <v>LETICIA TADOKORO</v>
      </c>
      <c r="AS136" s="15" t="str">
        <f>IFERROR(IF(AR136="","",VLOOKUP(AR136,LISTAS!$F$5:$G$1004,2,0)),"0")</f>
        <v>COLÉGIO ARBOS SÃO CAETANO DO SUL</v>
      </c>
      <c r="AT136" s="15">
        <f>IF(AP136="","",IF(AP136=1,100,IF(AP136=2,80,IF(AP136=3,70,IF(AP136=4,50,IF(AP136=5,45,IF(AP136=6,40,IF(AP136=7,35,IF(AP136=8,30,IF(AP136=9,28,IF(AP136=10,28,IF(AP136=11,28,IF(AP136=12,28,IF(AP136=13,28,IF(AP136=14,28,IF(AP136=15,28,IF(AP136=16,28,IF(AP136&gt;16,"",""))))))))))))))))))</f>
        <v>100</v>
      </c>
      <c r="AU136" s="15">
        <f>IF(AP136="","",IF($AS$5="NÃO","",IF(AP136=1,100,IF(AP136=2,80,IF(AP136=3,70,IF(AP136=4,50,IF(AP136=5,45,IF(AP136=6,40,IF(AP136=7,35,IF(AP136=8,30,IF(AP136=9,28,IF(AP136=10,28,IF(AP136=11,28,IF(AP136=12,28,IF(AP136=13,28,IF(AP136=14,28,IF(AP136=15,28,IF(AP136=16,28,IF(AP136&gt;16,"","")))))))))))))))))))</f>
        <v>100</v>
      </c>
    </row>
    <row r="137" spans="2:48" ht="18" customHeight="1" thickBot="1" x14ac:dyDescent="0.3">
      <c r="B137" s="10"/>
      <c r="C137" s="172" t="str">
        <f>IFERROR(IF(C136="","",VLOOKUP(C136,LISTAS!$F$5:$G$1004,2,0)),"0")</f>
        <v>COLÉGIO ARBOS SÃO CAETANO DO SUL</v>
      </c>
      <c r="D137" s="235"/>
      <c r="E137" s="51"/>
      <c r="F137" s="51"/>
      <c r="G137" s="176"/>
      <c r="H137" s="11"/>
      <c r="I137" s="11"/>
      <c r="J137" s="11"/>
      <c r="K137" s="166"/>
      <c r="L137" s="11"/>
      <c r="M137" s="12"/>
      <c r="N137" s="12"/>
      <c r="O137" s="180"/>
      <c r="P137" s="12"/>
      <c r="Q137" s="8"/>
      <c r="R137" s="182"/>
      <c r="S137" s="8"/>
      <c r="T137" s="8"/>
      <c r="U137" s="8"/>
      <c r="V137" s="182"/>
      <c r="W137" s="8"/>
      <c r="X137" s="62"/>
      <c r="Y137" s="182"/>
      <c r="Z137" s="8"/>
      <c r="AA137" s="8"/>
      <c r="AB137" s="11"/>
      <c r="AC137" s="182"/>
      <c r="AD137" s="8"/>
      <c r="AE137" s="8"/>
      <c r="AF137" s="8"/>
      <c r="AG137" s="181"/>
      <c r="AH137" s="78"/>
      <c r="AI137" s="51"/>
      <c r="AJ137" s="235"/>
      <c r="AK137" s="172" t="str">
        <f>IFERROR(IF(AK136="","",VLOOKUP(AK136,LISTAS!$F$5:$G$1004,2,0)),"0")</f>
        <v>COLÉGIO ENGENHEIRO SALVADOR ARENA</v>
      </c>
      <c r="AL137" s="63"/>
      <c r="AP137" s="13">
        <f>IF(AR137&lt;&gt;"",1+COUNTIF(AP136,"1"),"")</f>
        <v>2</v>
      </c>
      <c r="AQ137" s="14" t="str">
        <f t="shared" ref="AQ137:AQ167" si="6">IF(AP137&lt;&gt;"","LUGAR","")</f>
        <v>LUGAR</v>
      </c>
      <c r="AR137" s="15" t="str">
        <f>IF(S164&lt;&gt;"",IF(U164&lt;&gt;"",IF(S164=U164,"",IF(S164&lt;U164,R164,V164)),""),"")</f>
        <v>HELOÍSA APARECIDA OLIVEIRA RIBEIRO</v>
      </c>
      <c r="AS137" s="15" t="str">
        <f>IFERROR(IF(AR137="","",VLOOKUP(AR137,LISTAS!$F$5:$G$1004,2,0)),"0")</f>
        <v>COLÉGIO ENGENHEIRO SALVADOR ARENA</v>
      </c>
      <c r="AT137" s="15">
        <f t="shared" ref="AT137:AT166" si="7">IF(AP137="","",IF(AP137=1,100,IF(AP137=2,80,IF(AP137=3,70,IF(AP137=4,50,IF(AP137=5,45,IF(AP137=6,40,IF(AP137=7,35,IF(AP137=8,30,IF(AP137=9,28,IF(AP137=10,28,IF(AP137=11,28,IF(AP137=12,28,IF(AP137=13,28,IF(AP137=14,28,IF(AP137=15,28,IF(AP137=16,28,IF(AP137&gt;16,"",""))))))))))))))))))</f>
        <v>80</v>
      </c>
      <c r="AU137" s="15">
        <f t="shared" ref="AU137:AU166" si="8">IF(AP137="","",IF($AS$5="NÃO","",IF(AP137=1,100,IF(AP137=2,80,IF(AP137=3,70,IF(AP137=4,50,IF(AP137=5,45,IF(AP137=6,40,IF(AP137=7,35,IF(AP137=8,30,IF(AP137=9,28,IF(AP137=10,28,IF(AP137=11,28,IF(AP137=12,28,IF(AP137=13,28,IF(AP137=14,28,IF(AP137=15,28,IF(AP137=16,28,IF(AP137&gt;16,"","")))))))))))))))))))</f>
        <v>80</v>
      </c>
    </row>
    <row r="138" spans="2:48" ht="18" customHeight="1" x14ac:dyDescent="0.25">
      <c r="B138" s="16">
        <v>32</v>
      </c>
      <c r="C138" s="171" t="str">
        <f>IF('17F GRP'!G5&gt;=3,'17F GRP'!J426,IF('17F GRP'!G5=2,"",IF('17F GRP'!G5=1,"","")))</f>
        <v/>
      </c>
      <c r="D138" s="234">
        <v>0</v>
      </c>
      <c r="E138" s="52">
        <f>IF(D138&lt;&gt;"",D138,"")</f>
        <v>0</v>
      </c>
      <c r="F138" s="51" t="str">
        <f>IF(D138&lt;&gt;"",IF(C138="","",C138),"")</f>
        <v/>
      </c>
      <c r="G138" s="176" t="str">
        <f>VLOOKUP(G136,E136:F138,2,0)</f>
        <v/>
      </c>
      <c r="H138" s="11"/>
      <c r="I138" s="11"/>
      <c r="J138" s="11"/>
      <c r="K138" s="166"/>
      <c r="L138" s="11"/>
      <c r="M138" s="12"/>
      <c r="N138" s="12"/>
      <c r="O138" s="180"/>
      <c r="P138" s="12"/>
      <c r="Q138" s="8"/>
      <c r="R138" s="182"/>
      <c r="S138" s="8"/>
      <c r="T138" s="8"/>
      <c r="U138" s="8"/>
      <c r="V138" s="182"/>
      <c r="W138" s="8"/>
      <c r="X138" s="62"/>
      <c r="Y138" s="182"/>
      <c r="Z138" s="8"/>
      <c r="AA138" s="8"/>
      <c r="AB138" s="11"/>
      <c r="AC138" s="182"/>
      <c r="AD138" s="8"/>
      <c r="AE138" s="8"/>
      <c r="AF138" s="8"/>
      <c r="AG138" s="181">
        <f>IF(AJ138&lt;&gt;"",AJ138,"")</f>
        <v>0</v>
      </c>
      <c r="AH138" s="78" t="str">
        <f>IF(AJ138&lt;&gt;"",IF(AK138="","",AK138),"")</f>
        <v/>
      </c>
      <c r="AI138" s="55" t="str">
        <f>VLOOKUP(AI136,AG136:AH138,2,0)</f>
        <v/>
      </c>
      <c r="AJ138" s="234">
        <v>0</v>
      </c>
      <c r="AK138" s="171" t="str">
        <f>IF('17F GRP'!G5&gt;=3,'17F GRP'!J400,IF('17F GRP'!G5=2,"",IF('17F GRP'!G5=1,"","")))</f>
        <v/>
      </c>
      <c r="AL138" s="11">
        <v>30</v>
      </c>
      <c r="AP138" s="13">
        <f>IF(AR138&lt;&gt;"",1+COUNTIF(AP136:AP137,"1")+COUNTIF(AP136:AP137,"2"),"")</f>
        <v>3</v>
      </c>
      <c r="AQ138" s="14" t="str">
        <f t="shared" si="6"/>
        <v>LUGAR</v>
      </c>
      <c r="AR138" s="21" t="str">
        <f>IF(AR136&lt;&gt;"",IF(O163=AR136,O165,IF(O165=AR136,O163,IF(Y163=AR136,Y165,IF(Y165=AR136,Y163)))),"")</f>
        <v>YASMIN DE SANTANA VERIDIANO</v>
      </c>
      <c r="AS138" s="15" t="str">
        <f>IFERROR(IF(AR138="","",VLOOKUP(AR138,LISTAS!$F$5:$G$1004,2,0)),"0")</f>
        <v>COLÉGIO ENGENHEIRO SALVADOR ARENA</v>
      </c>
      <c r="AT138" s="15">
        <f t="shared" si="7"/>
        <v>70</v>
      </c>
      <c r="AU138" s="15">
        <f t="shared" si="8"/>
        <v>70</v>
      </c>
    </row>
    <row r="139" spans="2:48" ht="18" customHeight="1" thickBot="1" x14ac:dyDescent="0.3">
      <c r="B139" s="16"/>
      <c r="C139" s="172" t="str">
        <f>IFERROR(IF(C138="","",VLOOKUP(C138,LISTAS!$F$5:$G$1004,2,0)),"0")</f>
        <v/>
      </c>
      <c r="D139" s="235"/>
      <c r="E139" s="128"/>
      <c r="F139" s="51"/>
      <c r="G139" s="176"/>
      <c r="H139" s="11"/>
      <c r="I139" s="11"/>
      <c r="J139" s="11"/>
      <c r="K139" s="166"/>
      <c r="L139" s="11"/>
      <c r="M139" s="12"/>
      <c r="N139" s="12"/>
      <c r="O139" s="180"/>
      <c r="P139" s="12"/>
      <c r="Q139" s="8"/>
      <c r="R139" s="182"/>
      <c r="S139" s="8"/>
      <c r="T139" s="8"/>
      <c r="U139" s="8"/>
      <c r="V139" s="182"/>
      <c r="W139" s="8"/>
      <c r="X139" s="62"/>
      <c r="Y139" s="182"/>
      <c r="Z139" s="8"/>
      <c r="AA139" s="8"/>
      <c r="AB139" s="11"/>
      <c r="AC139" s="182"/>
      <c r="AD139" s="8"/>
      <c r="AE139" s="8"/>
      <c r="AF139" s="8"/>
      <c r="AG139" s="181"/>
      <c r="AH139" s="78"/>
      <c r="AI139" s="123"/>
      <c r="AJ139" s="235"/>
      <c r="AK139" s="172" t="str">
        <f>IFERROR(IF(AK138="","",VLOOKUP(AK138,LISTAS!$F$5:$G$1004,2,0)),"0")</f>
        <v/>
      </c>
      <c r="AL139" s="11"/>
      <c r="AP139" s="13">
        <f>IF(AR139&lt;&gt;"",1+COUNTIF(AP136:AP138,"1")+COUNTIF(AP136:AP138,"2")+COUNTIF(AP136:AP138,"3"),"")</f>
        <v>4</v>
      </c>
      <c r="AQ139" s="14" t="str">
        <f t="shared" si="6"/>
        <v>LUGAR</v>
      </c>
      <c r="AR139" s="21" t="str">
        <f>IF(AR137&lt;&gt;"",IF(O163=AR137,O165,IF(O165=AR137,O163,IF(Y163=AR137,Y165,IF(Y165=AR137,Y163)))),"")</f>
        <v>LUÍSA COSTA RAMOS</v>
      </c>
      <c r="AS139" s="15" t="str">
        <f>IFERROR(IF(AR139="","",VLOOKUP(AR139,LISTAS!$F$5:$G$1004,2,0)),"0")</f>
        <v>COLÉGIO ENGENHEIRO SALVADOR ARENA</v>
      </c>
      <c r="AT139" s="15">
        <f t="shared" si="7"/>
        <v>50</v>
      </c>
      <c r="AU139" s="15">
        <f t="shared" si="8"/>
        <v>50</v>
      </c>
    </row>
    <row r="140" spans="2:48" ht="18" customHeight="1" x14ac:dyDescent="0.25">
      <c r="B140" s="16"/>
      <c r="C140" s="166"/>
      <c r="D140" s="11"/>
      <c r="E140" s="11"/>
      <c r="F140" s="17"/>
      <c r="G140" s="171" t="str">
        <f>IF(D136&lt;&gt;"",IF(D138&lt;&gt;"",IF(D136=D138,"",IF(D136&gt;D138,C136,C138)),""),"")</f>
        <v>LETICIA TADOKORO</v>
      </c>
      <c r="H140" s="234">
        <v>2</v>
      </c>
      <c r="I140" s="51">
        <f>IF(H140&lt;&gt;"",H140,"")</f>
        <v>2</v>
      </c>
      <c r="J140" s="51" t="str">
        <f>IF(H140&lt;&gt;"",IF(G140="","",G140),"")</f>
        <v>LETICIA TADOKORO</v>
      </c>
      <c r="K140" s="176">
        <f>IF(I140&lt;&gt;"",IF(I142&lt;&gt;"",SMALL(I140:J142,1),""),"")</f>
        <v>0</v>
      </c>
      <c r="L140" s="51"/>
      <c r="M140" s="11"/>
      <c r="N140" s="11"/>
      <c r="O140" s="166"/>
      <c r="P140" s="11"/>
      <c r="Q140" s="8"/>
      <c r="R140" s="182"/>
      <c r="S140" s="8"/>
      <c r="T140" s="8"/>
      <c r="U140" s="8"/>
      <c r="V140" s="182"/>
      <c r="W140" s="8"/>
      <c r="X140" s="62"/>
      <c r="Y140" s="182"/>
      <c r="Z140" s="8"/>
      <c r="AA140" s="8"/>
      <c r="AB140" s="11"/>
      <c r="AC140" s="182"/>
      <c r="AD140" s="8"/>
      <c r="AE140" s="67"/>
      <c r="AF140" s="234">
        <v>2</v>
      </c>
      <c r="AG140" s="171" t="str">
        <f>IF(AJ136&lt;&gt;"",IF(AJ138&lt;&gt;"",IF(AJ136=AJ138,"",IF(AJ136&gt;AJ138,AK136,AK138)),""),"")</f>
        <v>LUÍSA COSTA RAMOS</v>
      </c>
      <c r="AH140" s="65"/>
      <c r="AI140" s="8"/>
      <c r="AJ140" s="11"/>
      <c r="AK140" s="166"/>
      <c r="AL140" s="11"/>
      <c r="AP140" s="13" t="str">
        <f>IF(AR140&lt;&gt;"",1+COUNTIF(AP136:AP139,"1")+COUNTIF(AP136:AP139,"2")+COUNTIF(AP136:AP139,"3")+COUNTIF(AP136:AP139,"4"),"")</f>
        <v/>
      </c>
      <c r="AQ140" s="14" t="str">
        <f t="shared" si="6"/>
        <v/>
      </c>
      <c r="AR140" s="21" t="str">
        <f>IF(AR136&lt;&gt;"",IF(K148=AR136,K150,IF(K150=AR136,K148,IF(K178=AR136,K180,IF(K180=AR136,K178,IF(AC148=AR136,AC150,IF(AC150=AR136,AC148,IF(AC178=AR136,AC180,IF(AC180=AR136,AC178)))))))),"")</f>
        <v/>
      </c>
      <c r="AS140" s="15" t="str">
        <f>IFERROR(IF(AR140="","",VLOOKUP(AR140,LISTAS!$F$5:$G$1004,2,0)),"0")</f>
        <v/>
      </c>
      <c r="AT140" s="15" t="str">
        <f t="shared" si="7"/>
        <v/>
      </c>
      <c r="AU140" s="15" t="str">
        <f t="shared" si="8"/>
        <v/>
      </c>
    </row>
    <row r="141" spans="2:48" ht="18" customHeight="1" thickBot="1" x14ac:dyDescent="0.3">
      <c r="B141" s="16"/>
      <c r="C141" s="166"/>
      <c r="D141" s="11"/>
      <c r="E141" s="11"/>
      <c r="F141" s="17"/>
      <c r="G141" s="172" t="str">
        <f>IFERROR(IF(G140="","",VLOOKUP(G140,LISTAS!$F$5:$G$1004,2,0)),"0")</f>
        <v>COLÉGIO ARBOS SÃO CAETANO DO SUL</v>
      </c>
      <c r="H141" s="235"/>
      <c r="I141" s="51"/>
      <c r="J141" s="51"/>
      <c r="K141" s="176"/>
      <c r="L141" s="51"/>
      <c r="M141" s="11"/>
      <c r="N141" s="11"/>
      <c r="O141" s="166"/>
      <c r="P141" s="11"/>
      <c r="Q141" s="8"/>
      <c r="R141" s="182"/>
      <c r="S141" s="8"/>
      <c r="T141" s="8"/>
      <c r="U141" s="8"/>
      <c r="V141" s="182"/>
      <c r="W141" s="8"/>
      <c r="X141" s="62"/>
      <c r="Y141" s="182"/>
      <c r="Z141" s="8"/>
      <c r="AA141" s="8"/>
      <c r="AB141" s="11"/>
      <c r="AC141" s="182"/>
      <c r="AD141" s="8"/>
      <c r="AE141" s="67"/>
      <c r="AF141" s="235"/>
      <c r="AG141" s="172" t="str">
        <f>IFERROR(IF(AG140="","",VLOOKUP(AG140,LISTAS!$F$5:$G$1004,2,0)),"0")</f>
        <v>COLÉGIO ENGENHEIRO SALVADOR ARENA</v>
      </c>
      <c r="AH141" s="65"/>
      <c r="AI141" s="8"/>
      <c r="AJ141" s="11"/>
      <c r="AK141" s="166"/>
      <c r="AL141" s="11"/>
      <c r="AP141" s="13" t="str">
        <f>IF(AR141&lt;&gt;"",1+COUNTIF(AP136:AP140,"1")+COUNTIF(AP136:AP140,"2")+COUNTIF(AP136:AP140,"3")+COUNTIF(AP136:AP140,"4")+COUNTIF(AP136:AP140,"5"),"")</f>
        <v/>
      </c>
      <c r="AQ141" s="14" t="str">
        <f t="shared" si="6"/>
        <v/>
      </c>
      <c r="AR141" s="21" t="str">
        <f>IF(AR137&lt;&gt;"",IF(K148=AR137,K150,IF(K150=AR137,K148,IF(K178=AR137,K180,IF(K180=AR137,K178,IF(AC148=AR137,AC150,IF(AC150=AR137,AC148,IF(AC178=AR137,AC180,IF(AC180=AR137,AC178)))))))),"")</f>
        <v/>
      </c>
      <c r="AS141" s="15" t="str">
        <f>IFERROR(IF(AR141="","",VLOOKUP(AR141,LISTAS!$F$5:$G$1004,2,0)),"0")</f>
        <v/>
      </c>
      <c r="AT141" s="15" t="str">
        <f t="shared" si="7"/>
        <v/>
      </c>
      <c r="AU141" s="15" t="str">
        <f t="shared" si="8"/>
        <v/>
      </c>
    </row>
    <row r="142" spans="2:48" ht="18" customHeight="1" x14ac:dyDescent="0.25">
      <c r="B142" s="16"/>
      <c r="C142" s="166"/>
      <c r="D142" s="11"/>
      <c r="E142" s="18"/>
      <c r="F142" s="19"/>
      <c r="G142" s="171" t="str">
        <f>IF(D144&lt;&gt;"",IF(D146&lt;&gt;"",IF(D144=D146,"",IF(D144&gt;D146,C144,C146)),""),"")</f>
        <v/>
      </c>
      <c r="H142" s="234">
        <v>0</v>
      </c>
      <c r="I142" s="52">
        <f>IF(H142&lt;&gt;"",H142,"")</f>
        <v>0</v>
      </c>
      <c r="J142" s="51" t="str">
        <f>IF(H142&lt;&gt;"",IF(G142="","",G142),"")</f>
        <v/>
      </c>
      <c r="K142" s="176" t="str">
        <f>VLOOKUP(K140,I140:J142,2,0)</f>
        <v/>
      </c>
      <c r="L142" s="51"/>
      <c r="M142" s="11"/>
      <c r="N142" s="11"/>
      <c r="O142" s="166"/>
      <c r="P142" s="11"/>
      <c r="Q142" s="8"/>
      <c r="R142" s="182"/>
      <c r="S142" s="8"/>
      <c r="T142" s="8"/>
      <c r="U142" s="8"/>
      <c r="V142" s="182"/>
      <c r="W142" s="8"/>
      <c r="X142" s="62"/>
      <c r="Y142" s="182"/>
      <c r="Z142" s="8"/>
      <c r="AA142" s="8"/>
      <c r="AB142" s="11"/>
      <c r="AC142" s="182"/>
      <c r="AD142" s="65"/>
      <c r="AE142" s="68"/>
      <c r="AF142" s="234">
        <v>0</v>
      </c>
      <c r="AG142" s="171" t="str">
        <f>IF(AJ144&lt;&gt;"",IF(AJ146&lt;&gt;"",IF(AJ144=AJ146,"",IF(AJ144&gt;AJ146,AK144,AK146)),""),"")</f>
        <v/>
      </c>
      <c r="AH142" s="66"/>
      <c r="AI142" s="8"/>
      <c r="AJ142" s="11"/>
      <c r="AK142" s="166"/>
      <c r="AL142" s="11"/>
      <c r="AN142" s="2"/>
      <c r="AO142" s="2"/>
      <c r="AP142" s="13">
        <f>IF(AR142&lt;&gt;"",1+COUNTIF(AP136:AP141,"1")+COUNTIF(AP136:AP141,"2")+COUNTIF(AP136:AP141,"3")+COUNTIF(AP136:AP141,"4")+COUNTIF(AP136:AP141,"5")+COUNTIF(AP136:AP141,"6"),"")</f>
        <v>5</v>
      </c>
      <c r="AQ142" s="14" t="str">
        <f t="shared" si="6"/>
        <v>LUGAR</v>
      </c>
      <c r="AR142" s="21" t="str">
        <f>IF(AR138&lt;&gt;"",IF(K148=AR138,K150,IF(K150=AR138,K148,IF(K178=AR138,K180,IF(K180=AR138,K178,IF(AC148=AR138,AC150,IF(AC150=AR138,AC148,IF(AC178=AR138,AC180,IF(AC180=AR138,AC178)))))))),"")</f>
        <v>MARÍLIA MIRANDA BRITO</v>
      </c>
      <c r="AS142" s="15" t="str">
        <f>IFERROR(IF(AR142="","",VLOOKUP(AR142,LISTAS!$F$5:$G$1004,2,0)),"0")</f>
        <v>COLÉGIO ENGENHEIRO SALVADOR ARENA</v>
      </c>
      <c r="AT142" s="15">
        <f t="shared" si="7"/>
        <v>45</v>
      </c>
      <c r="AU142" s="15">
        <f t="shared" si="8"/>
        <v>45</v>
      </c>
      <c r="AV142" s="2"/>
    </row>
    <row r="143" spans="2:48" ht="18" customHeight="1" thickBot="1" x14ac:dyDescent="0.3">
      <c r="B143" s="16"/>
      <c r="C143" s="166"/>
      <c r="D143" s="11"/>
      <c r="E143" s="18"/>
      <c r="F143" s="11"/>
      <c r="G143" s="172" t="str">
        <f>IFERROR(IF(G142="","",VLOOKUP(G142,LISTAS!$F$5:$G$1004,2,0)),"0")</f>
        <v/>
      </c>
      <c r="H143" s="235"/>
      <c r="I143" s="54"/>
      <c r="J143" s="51"/>
      <c r="K143" s="176"/>
      <c r="L143" s="51"/>
      <c r="M143" s="11"/>
      <c r="N143" s="11"/>
      <c r="O143" s="166"/>
      <c r="P143" s="11"/>
      <c r="Q143" s="8"/>
      <c r="R143" s="182"/>
      <c r="S143" s="8"/>
      <c r="T143" s="8"/>
      <c r="U143" s="8"/>
      <c r="V143" s="182"/>
      <c r="W143" s="8"/>
      <c r="X143" s="62"/>
      <c r="Y143" s="182"/>
      <c r="Z143" s="8"/>
      <c r="AA143" s="8"/>
      <c r="AB143" s="11"/>
      <c r="AC143" s="182"/>
      <c r="AD143" s="65"/>
      <c r="AE143" s="8"/>
      <c r="AF143" s="235"/>
      <c r="AG143" s="172" t="str">
        <f>IFERROR(IF(AG142="","",VLOOKUP(AG142,LISTAS!$F$5:$G$1004,2,0)),"0")</f>
        <v/>
      </c>
      <c r="AH143" s="8"/>
      <c r="AI143" s="69"/>
      <c r="AJ143" s="11"/>
      <c r="AK143" s="166"/>
      <c r="AL143" s="11"/>
      <c r="AM143" s="2"/>
      <c r="AN143" s="2"/>
      <c r="AO143" s="2"/>
      <c r="AP143" s="13" t="str">
        <f>IF(AR143&lt;&gt;"",1+COUNTIF(AP136:AP142,"1")+COUNTIF(AP136:AP142,"2")+COUNTIF(AP136:AP142,"3")+COUNTIF(AP136:AP142,"4")+COUNTIF(AP136:AP142,"5")+COUNTIF(AP136:AP142,"6")+COUNTIF(AP136:AP142,"7"),"")</f>
        <v/>
      </c>
      <c r="AQ143" s="14" t="str">
        <f t="shared" si="6"/>
        <v/>
      </c>
      <c r="AR143" s="21" t="str">
        <f>IF(AR139&lt;&gt;"",IF(K148=AR139,K150,IF(K150=AR139,K148,IF(K178=AR139,K180,IF(K180=AR139,K178,IF(AC148=AR139,AC150,IF(AC150=AR139,AC148,IF(AC178=AR139,AC180,IF(AC180=AR139,AC178)))))))),"")</f>
        <v/>
      </c>
      <c r="AS143" s="15" t="str">
        <f>IFERROR(IF(AR143="","",VLOOKUP(AR143,LISTAS!$F$5:$G$1004,2,0)),"0")</f>
        <v/>
      </c>
      <c r="AT143" s="15" t="str">
        <f t="shared" si="7"/>
        <v/>
      </c>
      <c r="AU143" s="15" t="str">
        <f t="shared" si="8"/>
        <v/>
      </c>
      <c r="AV143" s="2"/>
    </row>
    <row r="144" spans="2:48" ht="18" customHeight="1" x14ac:dyDescent="0.25">
      <c r="B144" s="16">
        <v>17</v>
      </c>
      <c r="C144" s="171" t="str">
        <f>IF('17F GRP'!G5&gt;=3,'17F GRP'!J231,IF('17F GRP'!G5=2,"",IF('17F GRP'!G5=1,"","")))</f>
        <v/>
      </c>
      <c r="D144" s="234">
        <v>0</v>
      </c>
      <c r="E144" s="56">
        <f>IF(D144&lt;&gt;"",D144,"")</f>
        <v>0</v>
      </c>
      <c r="F144" s="51" t="str">
        <f>IF(D144&lt;&gt;"",IF(C144="","",C144),"")</f>
        <v/>
      </c>
      <c r="G144" s="176">
        <f>IF(E144&lt;&gt;"",IF(E146&lt;&gt;"",SMALL(E144:E146,1),""),"")</f>
        <v>0</v>
      </c>
      <c r="H144" s="51"/>
      <c r="I144" s="18"/>
      <c r="J144" s="11"/>
      <c r="K144" s="166"/>
      <c r="L144" s="11"/>
      <c r="M144" s="11"/>
      <c r="N144" s="11"/>
      <c r="O144" s="166"/>
      <c r="P144" s="11"/>
      <c r="Q144" s="8"/>
      <c r="R144" s="182"/>
      <c r="S144" s="8"/>
      <c r="T144" s="8"/>
      <c r="U144" s="8"/>
      <c r="V144" s="182"/>
      <c r="W144" s="8"/>
      <c r="X144" s="62"/>
      <c r="Y144" s="182"/>
      <c r="Z144" s="8"/>
      <c r="AA144" s="8"/>
      <c r="AB144" s="11"/>
      <c r="AC144" s="182"/>
      <c r="AD144" s="65"/>
      <c r="AE144" s="8"/>
      <c r="AF144" s="8"/>
      <c r="AG144" s="181">
        <f>IF(AJ144&lt;&gt;"",AJ144,"")</f>
        <v>0</v>
      </c>
      <c r="AH144" s="78" t="str">
        <f>IF(AJ144&lt;&gt;"",IF(AK144="","",AK144),"")</f>
        <v/>
      </c>
      <c r="AI144" s="53">
        <f>IF(AG144&lt;&gt;"",IF(AG146&lt;&gt;"",SMALL(AG144:AG146,1),""),"")</f>
        <v>0</v>
      </c>
      <c r="AJ144" s="234">
        <v>0</v>
      </c>
      <c r="AK144" s="171" t="str">
        <f>IF('17F GRP'!G5&gt;=3,'17F GRP'!J192,IF('17F GRP'!G5=2,"",IF('17F GRP'!G5=1,"","")))</f>
        <v/>
      </c>
      <c r="AL144" s="11">
        <v>14</v>
      </c>
      <c r="AM144" s="2"/>
      <c r="AP144" s="13" t="str">
        <f>IF(AR144&lt;&gt;"",1+COUNTIF(AP136:AP143,"1")+COUNTIF(AP136:AP143,"2")+COUNTIF(AP136:AP143,"3")+COUNTIF(AP136:AP143,"4")+COUNTIF(AP136:AP143,"5")+COUNTIF(AP136:AP143,"6")+COUNTIF(AP136:AP143,"7")+COUNTIF(AP136:AP143,"8"),"")</f>
        <v/>
      </c>
      <c r="AQ144" s="14" t="str">
        <f t="shared" si="6"/>
        <v/>
      </c>
      <c r="AR144" s="21" t="str">
        <f>IF(AR136&lt;&gt;"",IF(G140=AR136,G142,IF(G142=AR136,G140,IF(G156=AR136,G158,IF(G158=AR136,G156,IF(AG140=AR136,AG142,IF(AG142=AR136,AG140,IF(AG156=AR136,AG158,IF(AG158=AR136,AG156,IF(G170=AR136,G172,IF(G172=AR136,G170,IF(G186=AR136,G188,IF(G188=AR136,G186,IF(AG170=AR136,AG172,IF(AG172=AR136,AG170,IF(AG186=AR136,AG188,IF(AG188=AR136,AG186)))))))))))))))),"")</f>
        <v/>
      </c>
      <c r="AS144" s="15" t="str">
        <f>IFERROR(IF(AR144="","",VLOOKUP(AR144,LISTAS!$F$5:$G$1004,2,0)),"0")</f>
        <v/>
      </c>
      <c r="AT144" s="15" t="str">
        <f t="shared" si="7"/>
        <v/>
      </c>
      <c r="AU144" s="15" t="str">
        <f t="shared" si="8"/>
        <v/>
      </c>
    </row>
    <row r="145" spans="2:47" ht="18" customHeight="1" thickBot="1" x14ac:dyDescent="0.3">
      <c r="B145" s="16"/>
      <c r="C145" s="172" t="str">
        <f>IFERROR(IF(C144="","",VLOOKUP(C144,LISTAS!$F$5:$G$1004,2,0)),"0")</f>
        <v/>
      </c>
      <c r="D145" s="235"/>
      <c r="E145" s="57"/>
      <c r="F145" s="51"/>
      <c r="G145" s="176"/>
      <c r="H145" s="51"/>
      <c r="I145" s="18"/>
      <c r="J145" s="11"/>
      <c r="K145" s="166"/>
      <c r="L145" s="11"/>
      <c r="M145" s="11"/>
      <c r="N145" s="11"/>
      <c r="O145" s="166"/>
      <c r="P145" s="11"/>
      <c r="Q145" s="8"/>
      <c r="R145" s="182"/>
      <c r="S145" s="8"/>
      <c r="T145" s="8"/>
      <c r="U145" s="8"/>
      <c r="V145" s="182"/>
      <c r="W145" s="8"/>
      <c r="X145" s="62"/>
      <c r="Y145" s="182"/>
      <c r="Z145" s="8"/>
      <c r="AA145" s="8"/>
      <c r="AB145" s="11"/>
      <c r="AC145" s="182"/>
      <c r="AD145" s="65"/>
      <c r="AE145" s="8"/>
      <c r="AF145" s="8"/>
      <c r="AG145" s="181"/>
      <c r="AH145" s="78"/>
      <c r="AI145" s="124"/>
      <c r="AJ145" s="235"/>
      <c r="AK145" s="172" t="str">
        <f>IFERROR(IF(AK144="","",VLOOKUP(AK144,LISTAS!$F$5:$G$1004,2,0)),"0")</f>
        <v/>
      </c>
      <c r="AL145" s="11"/>
      <c r="AP145" s="13" t="str">
        <f>IF(AR145&lt;&gt;"",1+COUNTIF(AP136:AP144,"1")+COUNTIF(AP136:AP144,"2")+COUNTIF(AP136:AP144,"3")+COUNTIF(AP136:AP144,"4")+COUNTIF(AP136:AP144,"5")+COUNTIF(AP136:AP144,"6")+COUNTIF(AP136:AP144,"7")+COUNTIF(AP136:AP144,"8")+COUNTIF(AP136:AP144,"9"),"")</f>
        <v/>
      </c>
      <c r="AQ145" s="14" t="str">
        <f t="shared" si="6"/>
        <v/>
      </c>
      <c r="AR145" s="21" t="str">
        <f>IF(AR137&lt;&gt;"",IF(G140=AR137,G142,IF(G142=AR137,G140,IF(G156=AR137,G158,IF(G158=AR137,G156,IF(AG140=AR137,AG142,IF(AG142=AR137,AG140,IF(AG156=AR137,AG158,IF(AG158=AR137,AG156,IF(G170=AR137,G172,IF(G172=AR137,G170,IF(G186=AR137,G188,IF(G188=AR137,G186,IF(AG170=AR137,AG172,IF(AG172=AR137,AG170,IF(AG186=AR137,AG188,IF(AG188=AR137,AG186)))))))))))))))),"")</f>
        <v/>
      </c>
      <c r="AS145" s="15" t="str">
        <f>IFERROR(IF(AR145="","",VLOOKUP(AR145,LISTAS!$F$5:$G$1004,2,0)),"0")</f>
        <v/>
      </c>
      <c r="AT145" s="15" t="str">
        <f t="shared" si="7"/>
        <v/>
      </c>
      <c r="AU145" s="15" t="str">
        <f t="shared" si="8"/>
        <v/>
      </c>
    </row>
    <row r="146" spans="2:47" ht="18" customHeight="1" x14ac:dyDescent="0.25">
      <c r="B146" s="16">
        <v>16</v>
      </c>
      <c r="C146" s="171" t="str">
        <f>IF('17F GRP'!G5&gt;=3,'17F GRP'!J218,IF('17F GRP'!G5=2,"",IF('17F GRP'!G5=1,"","")))</f>
        <v/>
      </c>
      <c r="D146" s="234">
        <v>0</v>
      </c>
      <c r="E146" s="57">
        <f>IF(D146&lt;&gt;"",D146,"")</f>
        <v>0</v>
      </c>
      <c r="F146" s="51" t="str">
        <f>IF(D146&lt;&gt;"",IF(C146="","",C146),"")</f>
        <v/>
      </c>
      <c r="G146" s="176" t="str">
        <f>VLOOKUP(G144,E144:F146,2,0)</f>
        <v/>
      </c>
      <c r="H146" s="51"/>
      <c r="I146" s="18"/>
      <c r="J146" s="11"/>
      <c r="K146" s="166"/>
      <c r="L146" s="11"/>
      <c r="M146" s="11"/>
      <c r="N146" s="11"/>
      <c r="O146" s="166"/>
      <c r="P146" s="11"/>
      <c r="Q146" s="8"/>
      <c r="R146" s="182"/>
      <c r="S146" s="8"/>
      <c r="T146" s="8"/>
      <c r="U146" s="8"/>
      <c r="V146" s="182"/>
      <c r="W146" s="8"/>
      <c r="X146" s="62"/>
      <c r="Y146" s="182"/>
      <c r="Z146" s="8"/>
      <c r="AA146" s="8"/>
      <c r="AB146" s="11"/>
      <c r="AC146" s="182"/>
      <c r="AD146" s="65"/>
      <c r="AE146" s="8"/>
      <c r="AF146" s="8"/>
      <c r="AG146" s="181">
        <f>IF(AJ146&lt;&gt;"",AJ146,"")</f>
        <v>0</v>
      </c>
      <c r="AH146" s="78" t="str">
        <f>IF(AJ146&lt;&gt;"",IF(AK146="","",AK146),"")</f>
        <v/>
      </c>
      <c r="AI146" s="76" t="str">
        <f>VLOOKUP(AI144,AG144:AH146,2,0)</f>
        <v/>
      </c>
      <c r="AJ146" s="234">
        <v>0</v>
      </c>
      <c r="AK146" s="171" t="str">
        <f>IF('17F GRP'!G5&gt;=3,'17F GRP'!J257,IF('17F GRP'!G5=2,"",IF('17F GRP'!G5=1,"","")))</f>
        <v/>
      </c>
      <c r="AL146" s="11">
        <v>19</v>
      </c>
      <c r="AP146" s="13" t="str">
        <f>IF(AR146&lt;&gt;"",1+COUNTIF(AP136:AP145,"1")+COUNTIF(AP136:AP145,"2")+COUNTIF(AP136:AP145,"3")+COUNTIF(AP136:AP145,"4")+COUNTIF(AP136:AP145,"5")+COUNTIF(AP136:AP145,"6")+COUNTIF(AP136:AP145,"7")+COUNTIF(AP136:AP145,"8")+COUNTIF(AP136:AP145,"9")+COUNTIF(AP136:AP145,"10"),"")</f>
        <v/>
      </c>
      <c r="AQ146" s="14" t="str">
        <f t="shared" si="6"/>
        <v/>
      </c>
      <c r="AR146" s="21" t="str">
        <f>IF(AR138&lt;&gt;"",IF(G140=AR138,G142,IF(G142=AR138,G140,IF(G156=AR138,G158,IF(G158=AR138,G156,IF(AG140=AR138,AG142,IF(AG142=AR138,AG140,IF(AG156=AR138,AG158,IF(AG158=AR138,AG156,IF(G170=AR138,G172,IF(G172=AR138,G170,IF(G186=AR138,G188,IF(G188=AR138,G186,IF(AG170=AR138,AG172,IF(AG172=AR138,AG170,IF(AG186=AR138,AG188,IF(AG188=AR138,AG186)))))))))))))))),"")</f>
        <v/>
      </c>
      <c r="AS146" s="15" t="str">
        <f>IFERROR(IF(AR146="","",VLOOKUP(AR146,LISTAS!$F$5:$G$1004,2,0)),"0")</f>
        <v/>
      </c>
      <c r="AT146" s="15" t="str">
        <f t="shared" si="7"/>
        <v/>
      </c>
      <c r="AU146" s="15" t="str">
        <f t="shared" si="8"/>
        <v/>
      </c>
    </row>
    <row r="147" spans="2:47" ht="18" customHeight="1" thickBot="1" x14ac:dyDescent="0.3">
      <c r="B147" s="16"/>
      <c r="C147" s="172" t="str">
        <f>IFERROR(IF(C146="","",VLOOKUP(C146,LISTAS!$F$5:$G$1004,2,0)),"0")</f>
        <v/>
      </c>
      <c r="D147" s="235"/>
      <c r="E147" s="51"/>
      <c r="F147" s="51"/>
      <c r="G147" s="176"/>
      <c r="H147" s="51"/>
      <c r="I147" s="18"/>
      <c r="J147" s="11"/>
      <c r="K147" s="166"/>
      <c r="L147" s="11"/>
      <c r="M147" s="51"/>
      <c r="N147" s="51"/>
      <c r="O147" s="176"/>
      <c r="P147" s="11"/>
      <c r="Q147" s="8"/>
      <c r="R147" s="182"/>
      <c r="S147" s="8"/>
      <c r="T147" s="8"/>
      <c r="U147" s="8"/>
      <c r="V147" s="182"/>
      <c r="W147" s="8"/>
      <c r="X147" s="62"/>
      <c r="Y147" s="182"/>
      <c r="Z147" s="8"/>
      <c r="AA147" s="8"/>
      <c r="AB147" s="11"/>
      <c r="AC147" s="182"/>
      <c r="AD147" s="65"/>
      <c r="AE147" s="8"/>
      <c r="AF147" s="8"/>
      <c r="AG147" s="181"/>
      <c r="AH147" s="78"/>
      <c r="AI147" s="51"/>
      <c r="AJ147" s="235"/>
      <c r="AK147" s="172" t="str">
        <f>IFERROR(IF(AK146="","",VLOOKUP(AK146,LISTAS!$F$5:$G$1004,2,0)),"0")</f>
        <v/>
      </c>
      <c r="AL147" s="11"/>
      <c r="AP147" s="13" t="str">
        <f>IF(AR147&lt;&gt;"",1+COUNTIF(AP136:AP146,"1")+COUNTIF(AP136:AP146,"2")+COUNTIF(AP136:AP146,"3")+COUNTIF(AP136:AP146,"4")+COUNTIF(AP136:AP146,"5")+COUNTIF(AP136:AP146,"6")+COUNTIF(AP136:AP146,"7")+COUNTIF(AP136:AP146,"8")+COUNTIF(AP136:AP146,"9")+COUNTIF(AP136:AP146,"10")+COUNTIF(AP136:AP146,"11"),"")</f>
        <v/>
      </c>
      <c r="AQ147" s="14" t="str">
        <f t="shared" si="6"/>
        <v/>
      </c>
      <c r="AR147" s="21" t="str">
        <f>IF(AR139&lt;&gt;"",IF(G140=AR139,G142,IF(G142=AR139,G140,IF(G156=AR139,G158,IF(G158=AR139,G156,IF(AG140=AR139,AG142,IF(AG142=AR139,AG140,IF(AG156=AR139,AG158,IF(AG158=AR139,AG156,IF(G170=AR139,G172,IF(G172=AR139,G170,IF(G186=AR139,G188,IF(G188=AR139,G186,IF(AG170=AR139,AG172,IF(AG172=AR139,AG170,IF(AG186=AR139,AG188,IF(AG188=AR139,AG186)))))))))))))))),"")</f>
        <v/>
      </c>
      <c r="AS147" s="15" t="str">
        <f>IFERROR(IF(AR147="","",VLOOKUP(AR147,LISTAS!$F$5:$G$1004,2,0)),"0")</f>
        <v/>
      </c>
      <c r="AT147" s="15" t="str">
        <f t="shared" si="7"/>
        <v/>
      </c>
      <c r="AU147" s="15" t="str">
        <f t="shared" si="8"/>
        <v/>
      </c>
    </row>
    <row r="148" spans="2:47" ht="18" customHeight="1" x14ac:dyDescent="0.25">
      <c r="B148" s="16"/>
      <c r="C148" s="166"/>
      <c r="D148" s="11"/>
      <c r="E148" s="11"/>
      <c r="F148" s="11"/>
      <c r="G148" s="166"/>
      <c r="H148" s="11"/>
      <c r="I148" s="18"/>
      <c r="J148" s="11"/>
      <c r="K148" s="171" t="str">
        <f>IF(H140&lt;&gt;"",IF(H142&lt;&gt;"",IF(H140=H142,"",IF(H140&gt;H142,G140,G142)),""),"")</f>
        <v>LETICIA TADOKORO</v>
      </c>
      <c r="L148" s="234">
        <v>2</v>
      </c>
      <c r="M148" s="51">
        <f>IF(L148&lt;&gt;"",L148,"")</f>
        <v>2</v>
      </c>
      <c r="N148" s="51" t="str">
        <f>IF(L148&lt;&gt;"",IF(K148="","",K148),"")</f>
        <v>LETICIA TADOKORO</v>
      </c>
      <c r="O148" s="176">
        <f>IF(M148&lt;&gt;"",IF(M150&lt;&gt;"",SMALL(M148:N150,1),""),"")</f>
        <v>0</v>
      </c>
      <c r="P148" s="11"/>
      <c r="Q148" s="8"/>
      <c r="R148" s="202"/>
      <c r="S148" s="202"/>
      <c r="T148" s="202" t="s">
        <v>87</v>
      </c>
      <c r="U148" s="202"/>
      <c r="V148" s="202"/>
      <c r="W148" s="8"/>
      <c r="X148" s="62"/>
      <c r="Y148" s="182"/>
      <c r="Z148" s="8"/>
      <c r="AA148" s="8"/>
      <c r="AB148" s="234">
        <v>2</v>
      </c>
      <c r="AC148" s="171" t="str">
        <f>IF(AF140&lt;&gt;"",IF(AF142&lt;&gt;"",IF(AF140=AF142,"",IF(AF140&gt;AF142,AG140,AG142)),""),"")</f>
        <v>LUÍSA COSTA RAMOS</v>
      </c>
      <c r="AD148" s="112"/>
      <c r="AE148" s="8"/>
      <c r="AF148" s="8"/>
      <c r="AG148" s="182"/>
      <c r="AH148" s="8"/>
      <c r="AI148" s="8"/>
      <c r="AJ148" s="11"/>
      <c r="AK148" s="166"/>
      <c r="AL148" s="11"/>
      <c r="AP148" s="13" t="str">
        <f>IF(AR148&lt;&gt;"",1+COUNTIF(AP136:AP147,"1")+COUNTIF(AP136:AP147,"2")+COUNTIF(AP136:AP147,"3")+COUNTIF(AP136:AP147,"4")+COUNTIF(AP136:AP147,"5")+COUNTIF(AP136:AP147,"6")+COUNTIF(AP136:AP147,"7")+COUNTIF(AP136:AP147,"8")+COUNTIF(AP136:AP147,"9")+COUNTIF(AP136:AP147,"10")+COUNTIF(AP136:AP147,"11")+COUNTIF(AP136:AP147,"12"),"")</f>
        <v/>
      </c>
      <c r="AQ148" s="14" t="str">
        <f t="shared" si="6"/>
        <v/>
      </c>
      <c r="AR148" s="21" t="str">
        <f>IF(AR140&lt;&gt;"",IF(G140=AR140,G142,IF(G142=AR140,G140,IF(G156=AR140,G158,IF(G158=AR140,G156,IF(AG140=AR140,AG142,IF(AG142=AR140,AG140,IF(AG156=AR140,AG158,IF(AG158=AR140,AG156,IF(G170=AR140,G172,IF(G172=AR140,G170,IF(G186=AR140,G188,IF(G188=AR140,G186,IF(AG170=AR140,AG172,IF(AG172=AR140,AG170,IF(AG186=AR140,AG188,IF(AG188=AR140,AG186)))))))))))))))),"")</f>
        <v/>
      </c>
      <c r="AS148" s="15" t="str">
        <f>IFERROR(IF(AR148="","",VLOOKUP(AR148,LISTAS!$F$5:$G$1004,2,0)),"0")</f>
        <v/>
      </c>
      <c r="AT148" s="15" t="str">
        <f t="shared" si="7"/>
        <v/>
      </c>
      <c r="AU148" s="15" t="str">
        <f t="shared" si="8"/>
        <v/>
      </c>
    </row>
    <row r="149" spans="2:47" ht="18" customHeight="1" thickBot="1" x14ac:dyDescent="0.3">
      <c r="B149" s="16"/>
      <c r="C149" s="166"/>
      <c r="D149" s="11"/>
      <c r="E149" s="11"/>
      <c r="F149" s="11"/>
      <c r="G149" s="166"/>
      <c r="H149" s="11"/>
      <c r="I149" s="18"/>
      <c r="J149" s="11"/>
      <c r="K149" s="172" t="str">
        <f>IFERROR(IF(K148="","",VLOOKUP(K148,LISTAS!$F$5:$G$1004,2,0)),"0")</f>
        <v>COLÉGIO ARBOS SÃO CAETANO DO SUL</v>
      </c>
      <c r="L149" s="235"/>
      <c r="M149" s="51"/>
      <c r="N149" s="51"/>
      <c r="O149" s="176"/>
      <c r="P149" s="11"/>
      <c r="Q149" s="8"/>
      <c r="R149" s="202"/>
      <c r="S149" s="202"/>
      <c r="T149" s="202" t="s">
        <v>33</v>
      </c>
      <c r="U149" s="202"/>
      <c r="V149" s="202"/>
      <c r="W149" s="8"/>
      <c r="X149" s="62"/>
      <c r="Y149" s="182"/>
      <c r="Z149" s="8"/>
      <c r="AA149" s="8"/>
      <c r="AB149" s="235"/>
      <c r="AC149" s="172" t="str">
        <f>IFERROR(IF(AC148="","",VLOOKUP(AC148,LISTAS!$F$5:$G$1004,2,0)),"0")</f>
        <v>COLÉGIO ENGENHEIRO SALVADOR ARENA</v>
      </c>
      <c r="AD149" s="8"/>
      <c r="AE149" s="69"/>
      <c r="AF149" s="8"/>
      <c r="AG149" s="182"/>
      <c r="AH149" s="8"/>
      <c r="AI149" s="8"/>
      <c r="AJ149" s="11"/>
      <c r="AK149" s="166"/>
      <c r="AL149" s="11"/>
      <c r="AP149" s="13" t="str">
        <f>IF(AR149&lt;&gt;"",1+COUNTIF(AP136:AP148,"1")+COUNTIF(AP136:AP148,"2")+COUNTIF(AP136:AP148,"3")+COUNTIF(AP136:AP148,"4")+COUNTIF(AP136:AP148,"5")+COUNTIF(AP136:AP148,"6")+COUNTIF(AP136:AP148,"7")+COUNTIF(AP136:AP148,"8")+COUNTIF(AP136:AP148,"9")+COUNTIF(AP136:AP148,"10")+COUNTIF(AP136:AP148,"11")+COUNTIF(AP136:AP148,"12")+COUNTIF(AP136:AP148,"13"),"")</f>
        <v/>
      </c>
      <c r="AQ149" s="14" t="str">
        <f t="shared" si="6"/>
        <v/>
      </c>
      <c r="AR149" s="21" t="str">
        <f>IF(AR141&lt;&gt;"",IF(G140=AR141,G142,IF(G142=AR141,G140,IF(G156=AR141,G158,IF(G158=AR141,G156,IF(AG140=AR141,AG142,IF(AG142=AR141,AG140,IF(AG156=AR141,AG158,IF(AG158=AR141,AG156,IF(G170=AR141,G172,IF(G172=AR141,G170,IF(G186=AR141,G188,IF(G188=AR141,G186,IF(AG170=AR141,AG172,IF(AG172=AR141,AG170,IF(AG186=AR141,AG188,IF(AG188=AR141,AG186)))))))))))))))),"")</f>
        <v/>
      </c>
      <c r="AS149" s="15" t="str">
        <f>IFERROR(IF(AR149="","",VLOOKUP(AR149,LISTAS!$F$5:$G$1004,2,0)),"0")</f>
        <v/>
      </c>
      <c r="AT149" s="15" t="str">
        <f t="shared" si="7"/>
        <v/>
      </c>
      <c r="AU149" s="15" t="str">
        <f t="shared" si="8"/>
        <v/>
      </c>
    </row>
    <row r="150" spans="2:47" ht="18" customHeight="1" x14ac:dyDescent="0.25">
      <c r="B150" s="16"/>
      <c r="C150" s="166"/>
      <c r="D150" s="11"/>
      <c r="E150" s="11"/>
      <c r="F150" s="11"/>
      <c r="G150" s="166"/>
      <c r="H150" s="11"/>
      <c r="I150" s="18"/>
      <c r="J150" s="19"/>
      <c r="K150" s="171" t="str">
        <f>IF(H156&lt;&gt;"",IF(H158&lt;&gt;"",IF(H156=H158,"",IF(H156&gt;H158,G156,G158)),""),"")</f>
        <v/>
      </c>
      <c r="L150" s="234">
        <v>0</v>
      </c>
      <c r="M150" s="52">
        <f>IF(L150&lt;&gt;"",L150,"")</f>
        <v>0</v>
      </c>
      <c r="N150" s="51" t="str">
        <f>IF(L150&lt;&gt;"",IF(K150="","",K150),"")</f>
        <v/>
      </c>
      <c r="O150" s="176" t="str">
        <f>VLOOKUP(O148,M148:N150,2,0)</f>
        <v/>
      </c>
      <c r="P150" s="11"/>
      <c r="Q150" s="8"/>
      <c r="R150" s="182"/>
      <c r="S150" s="8"/>
      <c r="T150" s="8"/>
      <c r="U150" s="8"/>
      <c r="V150" s="182"/>
      <c r="W150" s="8"/>
      <c r="X150" s="62"/>
      <c r="Y150" s="182"/>
      <c r="Z150" s="65"/>
      <c r="AA150" s="68"/>
      <c r="AB150" s="234">
        <v>0</v>
      </c>
      <c r="AC150" s="171" t="str">
        <f>IF(AF156&lt;&gt;"",IF(AF158&lt;&gt;"",IF(AF156=AF158,"",IF(AF156&gt;AF158,AG156,AG158)),""),"")</f>
        <v/>
      </c>
      <c r="AD150" s="8"/>
      <c r="AE150" s="69"/>
      <c r="AF150" s="8"/>
      <c r="AG150" s="182"/>
      <c r="AH150" s="8"/>
      <c r="AI150" s="8"/>
      <c r="AJ150" s="11"/>
      <c r="AK150" s="166"/>
      <c r="AL150" s="11"/>
      <c r="AP150" s="13" t="str">
        <f>IF(AR150&lt;&gt;"",1+COUNTIF(AP136:AP149,"1")+COUNTIF(AP136:AP149,"2")+COUNTIF(AP136:AP149,"3")+COUNTIF(AP136:AP149,"4")+COUNTIF(AP136:AP149,"5")+COUNTIF(AP136:AP149,"6")+COUNTIF(AP136:AP149,"7")+COUNTIF(AP136:AP149,"8")+COUNTIF(AP136:AP149,"9")+COUNTIF(AP136:AP149,"10")+COUNTIF(AP136:AP149,"11")+COUNTIF(AP136:AP149,"12")+COUNTIF(AP136:AP149,"13")+COUNTIF(AP136:AP149,"14"),"")</f>
        <v/>
      </c>
      <c r="AQ150" s="14" t="str">
        <f t="shared" si="6"/>
        <v/>
      </c>
      <c r="AR150" s="21" t="str">
        <f>IF(AR142&lt;&gt;"",IF(G140=AR142,G142,IF(G142=AR142,G140,IF(G156=AR142,G158,IF(G158=AR142,G156,IF(AG140=AR142,AG142,IF(AG142=AR142,AG140,IF(AG156=AR142,AG158,IF(AG158=AR142,AG156,IF(G170=AR142,G172,IF(G172=AR142,G170,IF(G186=AR142,G188,IF(G188=AR142,G186,IF(AG170=AR142,AG172,IF(AG172=AR142,AG170,IF(AG186=AR142,AG188,IF(AG188=AR142,AG186)))))))))))))))),"")</f>
        <v/>
      </c>
      <c r="AS150" s="15" t="str">
        <f>IFERROR(IF(AR150="","",VLOOKUP(AR150,LISTAS!$F$5:$G$1004,2,0)),"0")</f>
        <v/>
      </c>
      <c r="AT150" s="15" t="str">
        <f t="shared" si="7"/>
        <v/>
      </c>
      <c r="AU150" s="15" t="str">
        <f t="shared" si="8"/>
        <v/>
      </c>
    </row>
    <row r="151" spans="2:47" ht="18" customHeight="1" thickBot="1" x14ac:dyDescent="0.3">
      <c r="B151" s="16"/>
      <c r="C151" s="166"/>
      <c r="D151" s="11"/>
      <c r="E151" s="11"/>
      <c r="F151" s="11"/>
      <c r="G151" s="166"/>
      <c r="H151" s="11"/>
      <c r="I151" s="18"/>
      <c r="J151" s="11"/>
      <c r="K151" s="172" t="str">
        <f>IFERROR(IF(K150="","",VLOOKUP(K150,LISTAS!$F$5:$G$1004,2,0)),"0")</f>
        <v/>
      </c>
      <c r="L151" s="235"/>
      <c r="M151" s="54"/>
      <c r="N151" s="51"/>
      <c r="O151" s="176"/>
      <c r="P151" s="11"/>
      <c r="Q151" s="8"/>
      <c r="R151" s="182"/>
      <c r="S151" s="8"/>
      <c r="T151" s="8"/>
      <c r="U151" s="8"/>
      <c r="V151" s="182"/>
      <c r="W151" s="8"/>
      <c r="X151" s="62"/>
      <c r="Y151" s="182"/>
      <c r="Z151" s="65"/>
      <c r="AA151" s="8"/>
      <c r="AB151" s="235"/>
      <c r="AC151" s="172" t="str">
        <f>IFERROR(IF(AC150="","",VLOOKUP(AC150,LISTAS!$F$5:$G$1004,2,0)),"0")</f>
        <v/>
      </c>
      <c r="AD151" s="8"/>
      <c r="AE151" s="69"/>
      <c r="AF151" s="8"/>
      <c r="AG151" s="181"/>
      <c r="AH151" s="78"/>
      <c r="AI151" s="78"/>
      <c r="AJ151" s="11"/>
      <c r="AK151" s="166"/>
      <c r="AL151" s="11"/>
      <c r="AP151" s="13" t="str">
        <f>IF(AR151&lt;&gt;"",1+COUNTIF(AP136:AP150,"1")+COUNTIF(AP136:AP150,"2")+COUNTIF(AP136:AP150,"3")+COUNTIF(AP136:AP150,"4")+COUNTIF(AP136:AP150,"5")+COUNTIF(AP136:AP150,"6")+COUNTIF(AP136:AP150,"7")+COUNTIF(AP136:AP150,"8")+COUNTIF(AP136:AP150,"9")+COUNTIF(AP136:AP150,"10")+COUNTIF(AP136:AP150,"11")+COUNTIF(AP136:AP150,"12")+COUNTIF(AP136:AP150,"13")+COUNTIF(AP136:AP150,"14")+COUNTIF(AP136:AP150,"15"),"")</f>
        <v/>
      </c>
      <c r="AQ151" s="14" t="str">
        <f t="shared" si="6"/>
        <v/>
      </c>
      <c r="AR151" s="21" t="str">
        <f>IF(AR143&lt;&gt;"",IF(G140=AR143,G142,IF(G142=AR143,G140,IF(G156=AR143,G158,IF(G158=AR143,G156,IF(AG140=AR143,AG142,IF(AG142=AR143,AG140,IF(AG156=AR143,AG158,IF(AG158=AR143,AG156,IF(G170=AR143,G172,IF(G172=AR143,G170,IF(G186=AR143,G188,IF(G188=AR143,G186,IF(AG170=AR143,AG172,IF(AG172=AR143,AG170,IF(AG186=AR143,AG188,IF(AG188=AR143,AG186)))))))))))))))),"")</f>
        <v/>
      </c>
      <c r="AS151" s="15" t="str">
        <f>IFERROR(IF(AR151="","",VLOOKUP(AR151,LISTAS!$F$5:$G$1004,2,0)),"0")</f>
        <v/>
      </c>
      <c r="AT151" s="15" t="str">
        <f t="shared" si="7"/>
        <v/>
      </c>
      <c r="AU151" s="15" t="str">
        <f t="shared" si="8"/>
        <v/>
      </c>
    </row>
    <row r="152" spans="2:47" ht="18" customHeight="1" x14ac:dyDescent="0.25">
      <c r="B152" s="16">
        <v>9</v>
      </c>
      <c r="C152" s="171" t="str">
        <f>IF('17F GRP'!G5&gt;=3,'17F GRP'!J127,IF('17F GRP'!G5=2,"",IF('17F GRP'!G5=1,"","")))</f>
        <v/>
      </c>
      <c r="D152" s="234">
        <v>0</v>
      </c>
      <c r="E152" s="51">
        <f>IF(D152&lt;&gt;"",D152,"")</f>
        <v>0</v>
      </c>
      <c r="F152" s="51" t="str">
        <f>IF(D152&lt;&gt;"",IF(C152="","",C152),"")</f>
        <v/>
      </c>
      <c r="G152" s="176">
        <f>IF(E152&lt;&gt;"",IF(E154&lt;&gt;"",SMALL(E152:E154,1),""),"")</f>
        <v>0</v>
      </c>
      <c r="H152" s="51"/>
      <c r="I152" s="18"/>
      <c r="J152" s="11"/>
      <c r="K152" s="166"/>
      <c r="L152" s="11"/>
      <c r="M152" s="54"/>
      <c r="N152" s="51"/>
      <c r="O152" s="176"/>
      <c r="P152" s="11"/>
      <c r="Q152" s="8"/>
      <c r="R152" s="182"/>
      <c r="S152" s="8"/>
      <c r="T152" s="8"/>
      <c r="U152" s="8"/>
      <c r="V152" s="182"/>
      <c r="W152" s="8"/>
      <c r="X152" s="62"/>
      <c r="Y152" s="182"/>
      <c r="Z152" s="65"/>
      <c r="AA152" s="8"/>
      <c r="AB152" s="11"/>
      <c r="AC152" s="182"/>
      <c r="AD152" s="8"/>
      <c r="AE152" s="69"/>
      <c r="AF152" s="8"/>
      <c r="AG152" s="181">
        <f>IF(AJ152&lt;&gt;"",AJ152,"")</f>
        <v>0</v>
      </c>
      <c r="AH152" s="78" t="str">
        <f>IF(AJ152&lt;&gt;"",IF(AK152="","",AK152),"")</f>
        <v/>
      </c>
      <c r="AI152" s="51">
        <f>IF(AG152&lt;&gt;"",IF(AG154&lt;&gt;"",SMALL(AG152:AG154,1),""),"")</f>
        <v>0</v>
      </c>
      <c r="AJ152" s="234">
        <v>0</v>
      </c>
      <c r="AK152" s="171" t="str">
        <f>IF('17F GRP'!G5&gt;=3,'17F GRP'!J296,IF('17F GRP'!G5=2,"",IF('17F GRP'!G5=1,"","")))</f>
        <v/>
      </c>
      <c r="AL152" s="11">
        <v>22</v>
      </c>
      <c r="AP152" s="13" t="str">
        <f>IF(AR152&lt;&gt;"",1+COUNTIF(AP136:AP151,"1")+COUNTIF(AP136:AP151,"2")+COUNTIF(AP136:AP151,"3")+COUNTIF(AP136:AP151,"4")+COUNTIF(AP136:AP151,"5")+COUNTIF(AP136:AP151,"6")+COUNTIF(AP136:AP151,"7")+COUNTIF(AP136:AP151,"8")+COUNTIF(AP136:AP151,"9")+COUNTIF(AP136:AP151,"10")+COUNTIF(AP136:AP151,"11")+COUNTIF(AP136:AP151,"12")+COUNTIF(AP136:AP151,"13")+COUNTIF(AP136:AP151,"14")+COUNTIF(AP136:AP151,"15")+COUNTIF(AP136:AP151,"16"),"")</f>
        <v/>
      </c>
      <c r="AQ152" s="14" t="str">
        <f t="shared" si="6"/>
        <v/>
      </c>
      <c r="AR152" s="21" t="str">
        <f>IF(AR136&lt;&gt;"",IF(C136=AR136,G138,IF(C138=AR136,G138,IF(C144=AR136,G146,IF(C146=AR136,G146,IF(C166=AR136,G168,IF(C168=AR136,G168,IF(C174=AR136,G176,IF(C176=AR136,G176,IF(C152=AR136,G154,IF(C154=AR136,G154,IF(C160=AR136,G162,IF(C162=AR136,G162,IF(C182=AR136,G184,IF(C184=AR136,G184,IF(C190=AR136,G192,IF(C192=AR136,G192,IF(AK136=AR136,AI138,IF(AK138=AR136,AI138,IF(AK144=AR136,AI146,IF(AK146=AR136,AI146,IF(AK166=AR136,AI168,IF(AK168=AR136,AI168,IF(AK174=AR136,AI176,IF(AK176=AR136,AI176,IF(AK152=AR136,AI154,IF(AK154=AR136,AI154,IF(AK160=AR136,AI162,IF(AK162=AR136,AI162,IF(AK182=AR136,AI184,IF(AK184=AR136,AI184,IF(AK190=AR136,AI192,IF(AK192=AR136,AI192)))))))))))))))))))))))))))))))),"")</f>
        <v/>
      </c>
      <c r="AS152" s="15" t="str">
        <f>IFERROR(IF(AR152="","",VLOOKUP(AR152,LISTAS!$F$5:$G$1004,2,0)),"0")</f>
        <v/>
      </c>
      <c r="AT152" s="15" t="str">
        <f t="shared" si="7"/>
        <v/>
      </c>
      <c r="AU152" s="15" t="str">
        <f t="shared" si="8"/>
        <v/>
      </c>
    </row>
    <row r="153" spans="2:47" ht="18" customHeight="1" thickBot="1" x14ac:dyDescent="0.3">
      <c r="B153" s="16"/>
      <c r="C153" s="172" t="str">
        <f>IFERROR(IF(C152="","",VLOOKUP(C152,LISTAS!$F$5:$G$1004,2,0)),"0")</f>
        <v/>
      </c>
      <c r="D153" s="235"/>
      <c r="E153" s="51"/>
      <c r="F153" s="51"/>
      <c r="G153" s="176"/>
      <c r="H153" s="51"/>
      <c r="I153" s="18"/>
      <c r="J153" s="11"/>
      <c r="K153" s="166"/>
      <c r="L153" s="11"/>
      <c r="M153" s="18"/>
      <c r="N153" s="11"/>
      <c r="O153" s="166"/>
      <c r="P153" s="11"/>
      <c r="Q153" s="8"/>
      <c r="R153" s="182"/>
      <c r="S153" s="8"/>
      <c r="T153" s="8"/>
      <c r="U153" s="8"/>
      <c r="V153" s="182"/>
      <c r="W153" s="8"/>
      <c r="X153" s="62"/>
      <c r="Y153" s="182"/>
      <c r="Z153" s="65"/>
      <c r="AA153" s="8"/>
      <c r="AB153" s="11"/>
      <c r="AC153" s="182"/>
      <c r="AD153" s="8"/>
      <c r="AE153" s="69"/>
      <c r="AF153" s="8"/>
      <c r="AG153" s="181"/>
      <c r="AH153" s="78"/>
      <c r="AI153" s="51"/>
      <c r="AJ153" s="235"/>
      <c r="AK153" s="172" t="str">
        <f>IFERROR(IF(AK152="","",VLOOKUP(AK152,LISTAS!$F$5:$G$1004,2,0)),"0")</f>
        <v/>
      </c>
      <c r="AL153" s="11"/>
      <c r="AP153" s="13" t="str">
        <f>IF(AR153&lt;&gt;"",1+COUNTIF(AP136:AP152,"1")+COUNTIF(AP136:AP152,"2")+COUNTIF(AP136:AP152,"3")+COUNTIF(AP136:AP152,"4")+COUNTIF(AP136:AP152,"5")+COUNTIF(AP136:AP152,"6")+COUNTIF(AP136:AP152,"7")+COUNTIF(AP136:AP152,"8")+COUNTIF(AP136:AP152,"9")+COUNTIF(AP136:AP152,"10")+COUNTIF(AP136:AP152,"11")+COUNTIF(AP136:AP152,"12")+COUNTIF(AP136:AP152,"13")+COUNTIF(AP136:AP152,"14")+COUNTIF(AP136:AP152,"15")+COUNTIF(AP136:AP152,"16")+COUNTIF(AP136:AP152,"17"),"")</f>
        <v/>
      </c>
      <c r="AQ153" s="14" t="str">
        <f t="shared" si="6"/>
        <v/>
      </c>
      <c r="AR153" s="21" t="str">
        <f>IF(AR137&lt;&gt;"",IF(C136=AR137,G138,IF(C138=AR137,G138,IF(C144=AR137,G146,IF(C146=AR137,G146,IF(C166=AR137,G168,IF(C168=AR137,G168,IF(C174=AR137,G176,IF(C176=AR137,G176,IF(C152=AR137,G154,IF(C154=AR137,G154,IF(C160=AR137,G162,IF(C162=AR137,G162,IF(C182=AR137,G184,IF(C184=AR137,G184,IF(C190=AR137,G192,IF(C192=AR137,G192,IF(AK136=AR137,AI138,IF(AK138=AR137,AI138,IF(AK144=AR137,AI146,IF(AK146=AR137,AI146,IF(AK166=AR137,AI168,IF(AK168=AR137,AI168,IF(AK174=AR137,AI176,IF(AK176=AR137,AI176,IF(AK152=AR137,AI154,IF(AK154=AR137,AI154,IF(AK160=AR137,AI162,IF(AK162=AR137,AI162,IF(AK182=AR137,AI184,IF(AK184=AR137,AI184,IF(AK190=AR137,AI192,IF(AK192=AR137,AI192)))))))))))))))))))))))))))))))),"")</f>
        <v/>
      </c>
      <c r="AS153" s="15" t="str">
        <f>IFERROR(IF(AR153="","",VLOOKUP(AR153,LISTAS!$F$5:$G$1004,2,0)),"0")</f>
        <v/>
      </c>
      <c r="AT153" s="15" t="str">
        <f t="shared" si="7"/>
        <v/>
      </c>
      <c r="AU153" s="15" t="str">
        <f t="shared" si="8"/>
        <v/>
      </c>
    </row>
    <row r="154" spans="2:47" ht="18" customHeight="1" x14ac:dyDescent="0.25">
      <c r="B154" s="16">
        <v>24</v>
      </c>
      <c r="C154" s="171" t="str">
        <f>IF('17F GRP'!G5&gt;=3,'17F GRP'!J322,IF('17F GRP'!G5=2,"",IF('17F GRP'!G5=1,"","")))</f>
        <v/>
      </c>
      <c r="D154" s="234">
        <v>0</v>
      </c>
      <c r="E154" s="52">
        <f>IF(D154&lt;&gt;"",D154,"")</f>
        <v>0</v>
      </c>
      <c r="F154" s="51" t="str">
        <f>IF(D154&lt;&gt;"",IF(C154="","",C154),"")</f>
        <v/>
      </c>
      <c r="G154" s="176" t="str">
        <f>VLOOKUP(G152,E152:F154,2,0)</f>
        <v/>
      </c>
      <c r="H154" s="51"/>
      <c r="I154" s="18"/>
      <c r="J154" s="11"/>
      <c r="K154" s="166"/>
      <c r="L154" s="11"/>
      <c r="M154" s="18"/>
      <c r="N154" s="11"/>
      <c r="O154" s="166"/>
      <c r="P154" s="11"/>
      <c r="Q154" s="8"/>
      <c r="R154" s="182"/>
      <c r="S154" s="8"/>
      <c r="T154" s="8"/>
      <c r="U154" s="8"/>
      <c r="V154" s="182"/>
      <c r="W154" s="8"/>
      <c r="X154" s="62"/>
      <c r="Y154" s="182"/>
      <c r="Z154" s="65"/>
      <c r="AA154" s="8"/>
      <c r="AB154" s="11"/>
      <c r="AC154" s="182"/>
      <c r="AD154" s="8"/>
      <c r="AE154" s="69"/>
      <c r="AF154" s="8"/>
      <c r="AG154" s="181">
        <f>IF(AJ154&lt;&gt;"",AJ154,"")</f>
        <v>0</v>
      </c>
      <c r="AH154" s="78" t="str">
        <f>IF(AJ154&lt;&gt;"",IF(AK154="","",AK154),"")</f>
        <v/>
      </c>
      <c r="AI154" s="55" t="str">
        <f>VLOOKUP(AI152,AG152:AH154,2,0)</f>
        <v/>
      </c>
      <c r="AJ154" s="234">
        <v>0</v>
      </c>
      <c r="AK154" s="171" t="str">
        <f>IF('17F GRP'!G5&gt;=3,'17F GRP'!J153,IF('17F GRP'!G5=2,"",IF('17F GRP'!G5=1,"","")))</f>
        <v/>
      </c>
      <c r="AL154" s="11">
        <v>11</v>
      </c>
      <c r="AP154" s="13" t="str">
        <f>IF(AR154&lt;&gt;"",1+COUNTIF(AP136:AP153,"1")+COUNTIF(AP136:AP153,"2")+COUNTIF(AP136:AP153,"3")+COUNTIF(AP136:AP153,"4")+COUNTIF(AP136:AP153,"5")+COUNTIF(AP136:AP153,"6")+COUNTIF(AP136:AP153,"7")+COUNTIF(AP136:AP153,"8")+COUNTIF(AP136:AP153,"9")+COUNTIF(AP136:AP153,"10")+COUNTIF(AP136:AP153,"11")+COUNTIF(AP136:AP153,"12")+COUNTIF(AP136:AP153,"13")+COUNTIF(AP136:AP153,"14")+COUNTIF(AP136:AP153,"15")+COUNTIF(AP136:AP153,"16")+COUNTIF(AP136:AP153,"17")+COUNTIF(AP136:AP153,"18"),"")</f>
        <v/>
      </c>
      <c r="AQ154" s="14" t="str">
        <f t="shared" si="6"/>
        <v/>
      </c>
      <c r="AR154" s="21" t="str">
        <f>IF(AR138&lt;&gt;"",IF(C136=AR138,G138,IF(C138=AR138,G138,IF(C144=AR138,G146,IF(C146=AR138,G146,IF(C166=AR138,G168,IF(C168=AR138,G168,IF(C174=AR138,G176,IF(C176=AR138,G176,IF(C152=AR138,G154,IF(C154=AR138,G154,IF(C160=AR138,G162,IF(C162=AR138,G162,IF(C182=AR138,G184,IF(C184=AR138,G184,IF(C190=AR138,G192,IF(C192=AR138,G192,IF(AK136=AR138,AI138,IF(AK138=AR138,AI138,IF(AK144=AR138,AI146,IF(AK146=AR138,AI146,IF(AK166=AR138,AI168,IF(AK168=AR138,AI168,IF(AK174=AR138,AI176,IF(AK176=AR138,AI176,IF(AK152=AR138,AI154,IF(AK154=AR138,AI154,IF(AK160=AR138,AI162,IF(AK162=AR138,AI162,IF(AK182=AR138,AI184,IF(AK184=AR138,AI184,IF(AK190=AR138,AI192,IF(AK192=AR138,AI192)))))))))))))))))))))))))))))))),"")</f>
        <v/>
      </c>
      <c r="AS154" s="15" t="str">
        <f>IFERROR(IF(AR154="","",VLOOKUP(AR154,LISTAS!$F$5:$G$1004,2,0)),"0")</f>
        <v/>
      </c>
      <c r="AT154" s="15" t="str">
        <f t="shared" si="7"/>
        <v/>
      </c>
      <c r="AU154" s="15" t="str">
        <f t="shared" si="8"/>
        <v/>
      </c>
    </row>
    <row r="155" spans="2:47" ht="18" customHeight="1" thickBot="1" x14ac:dyDescent="0.3">
      <c r="B155" s="16"/>
      <c r="C155" s="172" t="str">
        <f>IFERROR(IF(C154="","",VLOOKUP(C154,LISTAS!$F$5:$G$1004,2,0)),"0")</f>
        <v/>
      </c>
      <c r="D155" s="235"/>
      <c r="E155" s="128"/>
      <c r="F155" s="51"/>
      <c r="G155" s="176"/>
      <c r="H155" s="51"/>
      <c r="I155" s="54"/>
      <c r="J155" s="51"/>
      <c r="K155" s="176"/>
      <c r="L155" s="51"/>
      <c r="M155" s="54"/>
      <c r="N155" s="11"/>
      <c r="O155" s="166"/>
      <c r="P155" s="11"/>
      <c r="Q155" s="8"/>
      <c r="R155" s="182"/>
      <c r="S155" s="8"/>
      <c r="T155" s="8"/>
      <c r="U155" s="8"/>
      <c r="V155" s="182"/>
      <c r="W155" s="8"/>
      <c r="X155" s="62"/>
      <c r="Y155" s="182"/>
      <c r="Z155" s="65"/>
      <c r="AA155" s="8"/>
      <c r="AB155" s="11"/>
      <c r="AC155" s="182"/>
      <c r="AD155" s="8"/>
      <c r="AE155" s="69"/>
      <c r="AF155" s="8"/>
      <c r="AG155" s="181"/>
      <c r="AH155" s="78"/>
      <c r="AI155" s="123"/>
      <c r="AJ155" s="235"/>
      <c r="AK155" s="172" t="str">
        <f>IFERROR(IF(AK154="","",VLOOKUP(AK154,LISTAS!$F$5:$G$1004,2,0)),"0")</f>
        <v/>
      </c>
      <c r="AL155" s="11"/>
      <c r="AP155" s="13" t="str">
        <f>IF(AR155&lt;&gt;"",1+COUNTIF(AP136:AP154,"1")+COUNTIF(AP136:AP154,"2")+COUNTIF(AP136:AP154,"3")+COUNTIF(AP136:AP154,"4")+COUNTIF(AP136:AP154,"5")+COUNTIF(AP136:AP154,"6")+COUNTIF(AP136:AP154,"7")+COUNTIF(AP136:AP154,"8")+COUNTIF(AP136:AP154,"9")+COUNTIF(AP136:AP154,"10")+COUNTIF(AP136:AP154,"11")+COUNTIF(AP136:AP154,"12")+COUNTIF(AP136:AP154,"13")+COUNTIF(AP136:AP154,"14")+COUNTIF(AP136:AP154,"15")+COUNTIF(AP136:AP154,"16")+COUNTIF(AP136:AP154,"17")+COUNTIF(AP136:AP154,"18")+COUNTIF(AP136:AP154,"19"),"")</f>
        <v/>
      </c>
      <c r="AQ155" s="14" t="str">
        <f t="shared" si="6"/>
        <v/>
      </c>
      <c r="AR155" s="21" t="str">
        <f>IF(AR139&lt;&gt;"",IF(C136=AR139,G138,IF(C138=AR139,G138,IF(C144=AR139,G146,IF(C146=AR139,G146,IF(C166=AR139,G168,IF(C168=AR139,G168,IF(C174=AR139,G176,IF(C176=AR139,G176,IF(C152=AR139,G154,IF(C154=AR139,G154,IF(C160=AR139,G162,IF(C162=AR139,G162,IF(C182=AR139,G184,IF(C184=AR139,G184,IF(C190=AR139,G192,IF(C192=AR139,G192,IF(AK136=AR139,AI138,IF(AK138=AR139,AI138,IF(AK144=AR139,AI146,IF(AK146=AR139,AI146,IF(AK166=AR139,AI168,IF(AK168=AR139,AI168,IF(AK174=AR139,AI176,IF(AK176=AR139,AI176,IF(AK152=AR139,AI154,IF(AK154=AR139,AI154,IF(AK160=AR139,AI162,IF(AK162=AR139,AI162,IF(AK182=AR139,AI184,IF(AK184=AR139,AI184,IF(AK190=AR139,AI192,IF(AK192=AR139,AI192)))))))))))))))))))))))))))))))),"")</f>
        <v/>
      </c>
      <c r="AS155" s="15" t="str">
        <f>IFERROR(IF(AR155="","",VLOOKUP(AR155,LISTAS!$F$5:$G$1004,2,0)),"0")</f>
        <v/>
      </c>
      <c r="AT155" s="15" t="str">
        <f t="shared" si="7"/>
        <v/>
      </c>
      <c r="AU155" s="15" t="str">
        <f t="shared" si="8"/>
        <v/>
      </c>
    </row>
    <row r="156" spans="2:47" ht="18" customHeight="1" x14ac:dyDescent="0.25">
      <c r="B156" s="16"/>
      <c r="C156" s="166"/>
      <c r="D156" s="11"/>
      <c r="E156" s="11"/>
      <c r="F156" s="17"/>
      <c r="G156" s="171" t="str">
        <f>IF(D152&lt;&gt;"",IF(D154&lt;&gt;"",IF(D152=D154,"",IF(D152&gt;D154,C152,C154)),""),"")</f>
        <v/>
      </c>
      <c r="H156" s="234">
        <v>0</v>
      </c>
      <c r="I156" s="56">
        <f>IF(H156&lt;&gt;"",H156,"")</f>
        <v>0</v>
      </c>
      <c r="J156" s="51" t="str">
        <f>IF(H156&lt;&gt;"",IF(G156="","",G156),"")</f>
        <v/>
      </c>
      <c r="K156" s="176">
        <f>IF(I156&lt;&gt;"",IF(I158&lt;&gt;"",SMALL(I156:J158,1),""),"")</f>
        <v>0</v>
      </c>
      <c r="L156" s="51"/>
      <c r="M156" s="54"/>
      <c r="N156" s="11"/>
      <c r="O156" s="166"/>
      <c r="P156" s="11"/>
      <c r="Q156" s="8"/>
      <c r="R156" s="182"/>
      <c r="S156" s="8"/>
      <c r="T156" s="8"/>
      <c r="U156" s="8"/>
      <c r="V156" s="182"/>
      <c r="W156" s="8"/>
      <c r="X156" s="62"/>
      <c r="Y156" s="182"/>
      <c r="Z156" s="65"/>
      <c r="AA156" s="8"/>
      <c r="AB156" s="11"/>
      <c r="AC156" s="182"/>
      <c r="AD156" s="8"/>
      <c r="AE156" s="17"/>
      <c r="AF156" s="234">
        <v>0</v>
      </c>
      <c r="AG156" s="171" t="str">
        <f>IF(AJ152&lt;&gt;"",IF(AJ154&lt;&gt;"",IF(AJ152=AJ154,"",IF(AJ152&gt;AJ154,AK152,AK154)),""),"")</f>
        <v/>
      </c>
      <c r="AH156" s="65"/>
      <c r="AI156" s="8"/>
      <c r="AJ156" s="11"/>
      <c r="AK156" s="166"/>
      <c r="AL156" s="11"/>
      <c r="AP156" s="13" t="str">
        <f>IF(AR156&lt;&gt;"",1+COUNTIF(AP136:AP155,"1")+COUNTIF(AP136:AP155,"2")+COUNTIF(AP136:AP155,"3")+COUNTIF(AP136:AP155,"4")+COUNTIF(AP136:AP155,"5")+COUNTIF(AP136:AP155,"6")+COUNTIF(AP136:AP155,"7")+COUNTIF(AP136:AP155,"8")+COUNTIF(AP136:AP155,"9")+COUNTIF(AP136:AP155,"10")+COUNTIF(AP136:AP155,"11")+COUNTIF(AP136:AP155,"12")+COUNTIF(AP136:AP155,"13")+COUNTIF(AP136:AP155,"14")+COUNTIF(AP136:AP155,"15")+COUNTIF(AP136:AP155,"16")+COUNTIF(AP136:AP155,"17")+COUNTIF(AP136:AP155,"18")+COUNTIF(AP136:AP155,"19")+COUNTIF(AP136:AP155,"20"),"")</f>
        <v/>
      </c>
      <c r="AQ156" s="14" t="str">
        <f t="shared" si="6"/>
        <v/>
      </c>
      <c r="AR156" s="21" t="str">
        <f>IF(AR140&lt;&gt;"",IF(C136=AR140,G138,IF(C138=AR140,G138,IF(C144=AR140,G146,IF(C146=AR140,G146,IF(C166=AR140,G168,IF(C168=AR140,G168,IF(C174=AR140,G176,IF(C176=AR140,G176,IF(C152=AR140,G154,IF(C154=AR140,G154,IF(C160=AR140,G162,IF(C162=AR140,G162,IF(C182=AR140,G184,IF(C184=AR140,G184,IF(C190=AR140,G192,IF(C192=AR140,G192,IF(AK136=AR140,AI138,IF(AK138=AR140,AI138,IF(AK144=AR140,AI146,IF(AK146=AR140,AI146,IF(AK166=AR140,AI168,IF(AK168=AR140,AI168,IF(AK174=AR140,AI176,IF(AK176=AR140,AI176,IF(AK152=AR140,AI154,IF(AK154=AR140,AI154,IF(AK160=AR140,AI162,IF(AK162=AR140,AI162,IF(AK182=AR140,AI184,IF(AK184=AR140,AI184,IF(AK190=AR140,AI192,IF(AK192=AR140,AI192)))))))))))))))))))))))))))))))),"")</f>
        <v/>
      </c>
      <c r="AS156" s="15" t="str">
        <f>IFERROR(IF(AR156="","",VLOOKUP(AR156,LISTAS!$F$5:$G$1004,2,0)),"0")</f>
        <v/>
      </c>
      <c r="AT156" s="15" t="str">
        <f t="shared" si="7"/>
        <v/>
      </c>
      <c r="AU156" s="15" t="str">
        <f t="shared" si="8"/>
        <v/>
      </c>
    </row>
    <row r="157" spans="2:47" ht="18" customHeight="1" thickBot="1" x14ac:dyDescent="0.3">
      <c r="B157" s="16"/>
      <c r="C157" s="166"/>
      <c r="D157" s="11"/>
      <c r="E157" s="11"/>
      <c r="F157" s="17"/>
      <c r="G157" s="172" t="str">
        <f>IFERROR(IF(G156="","",VLOOKUP(G156,LISTAS!$F$5:$G$1004,2,0)),"0")</f>
        <v/>
      </c>
      <c r="H157" s="235"/>
      <c r="I157" s="57"/>
      <c r="J157" s="51"/>
      <c r="K157" s="176"/>
      <c r="L157" s="51"/>
      <c r="M157" s="54"/>
      <c r="N157" s="11"/>
      <c r="O157" s="166"/>
      <c r="P157" s="11"/>
      <c r="Q157" s="8"/>
      <c r="R157" s="182"/>
      <c r="S157" s="8"/>
      <c r="T157" s="8"/>
      <c r="U157" s="8"/>
      <c r="V157" s="182"/>
      <c r="W157" s="8"/>
      <c r="X157" s="62"/>
      <c r="Y157" s="182"/>
      <c r="Z157" s="65"/>
      <c r="AA157" s="8"/>
      <c r="AB157" s="11"/>
      <c r="AC157" s="182"/>
      <c r="AD157" s="8"/>
      <c r="AE157" s="122"/>
      <c r="AF157" s="235"/>
      <c r="AG157" s="172" t="str">
        <f>IFERROR(IF(AG156="","",VLOOKUP(AG156,LISTAS!$F$5:$G$1004,2,0)),"0")</f>
        <v/>
      </c>
      <c r="AH157" s="65"/>
      <c r="AI157" s="8"/>
      <c r="AJ157" s="11"/>
      <c r="AK157" s="166"/>
      <c r="AL157" s="11"/>
      <c r="AP157" s="13" t="str">
        <f>IF(AR157&lt;&gt;"",1+COUNTIF(AP136:AP156,"1")+COUNTIF(AP136:AP156,"2")+COUNTIF(AP136:AP156,"3")+COUNTIF(AP136:AP156,"4")+COUNTIF(AP136:AP156,"5")+COUNTIF(AP136:AP156,"6")+COUNTIF(AP136:AP156,"7")+COUNTIF(AP136:AP156,"8")+COUNTIF(AP136:AP156,"9")+COUNTIF(AP136:AP156,"10")+COUNTIF(AP136:AP156,"11")+COUNTIF(AP136:AP156,"12")+COUNTIF(AP136:AP156,"13")+COUNTIF(AP136:AP156,"14")+COUNTIF(AP136:AP156,"15")+COUNTIF(AP136:AP156,"16")+COUNTIF(AP136:AP156,"17")+COUNTIF(AP136:AP156,"18")+COUNTIF(AP136:AP156,"19")+COUNTIF(AP136:AP156,"20")+COUNTIF(AP136:AP156,"21"),"")</f>
        <v/>
      </c>
      <c r="AQ157" s="14" t="str">
        <f t="shared" si="6"/>
        <v/>
      </c>
      <c r="AR157" s="21" t="str">
        <f>IF(AR141&lt;&gt;"",IF(C136=AR141,G138,IF(C138=AR141,G138,IF(C144=AR141,G146,IF(C146=AR141,G146,IF(C166=AR141,G168,IF(C168=AR141,G168,IF(C174=AR141,G176,IF(C176=AR141,G176,IF(C152=AR141,G154,IF(C154=AR141,G154,IF(C160=AR141,G162,IF(C162=AR141,G162,IF(C182=AR141,G184,IF(C184=AR141,G184,IF(C190=AR141,G192,IF(C192=AR141,G192,IF(AK136=AR141,AI138,IF(AK138=AR141,AI138,IF(AK144=AR141,AI146,IF(AK146=AR141,AI146,IF(AK166=AR141,AI168,IF(AK168=AR141,AI168,IF(AK174=AR141,AI176,IF(AK176=AR141,AI176,IF(AK152=AR141,AI154,IF(AK154=AR141,AI154,IF(AK160=AR141,AI162,IF(AK162=AR141,AI162,IF(AK182=AR141,AI184,IF(AK184=AR141,AI184,IF(AK190=AR141,AI192,IF(AK192=AR141,AI192)))))))))))))))))))))))))))))))),"")</f>
        <v/>
      </c>
      <c r="AS157" s="15" t="str">
        <f>IFERROR(IF(AR157="","",VLOOKUP(AR157,LISTAS!$F$5:$G$1004,2,0)),"0")</f>
        <v/>
      </c>
      <c r="AT157" s="15" t="str">
        <f t="shared" si="7"/>
        <v/>
      </c>
      <c r="AU157" s="15" t="str">
        <f t="shared" si="8"/>
        <v/>
      </c>
    </row>
    <row r="158" spans="2:47" ht="18" customHeight="1" x14ac:dyDescent="0.25">
      <c r="B158" s="16"/>
      <c r="C158" s="166"/>
      <c r="D158" s="11"/>
      <c r="E158" s="18"/>
      <c r="F158" s="19"/>
      <c r="G158" s="171" t="str">
        <f>IF(D160&lt;&gt;"",IF(D162&lt;&gt;"",IF(D160=D162,"",IF(D160&gt;D162,C160,C162)),""),"")</f>
        <v/>
      </c>
      <c r="H158" s="234">
        <v>0</v>
      </c>
      <c r="I158" s="57">
        <f>IF(H158&lt;&gt;"",H158,"")</f>
        <v>0</v>
      </c>
      <c r="J158" s="51" t="str">
        <f>IF(H158&lt;&gt;"",IF(G158="","",G158),"")</f>
        <v/>
      </c>
      <c r="K158" s="176" t="str">
        <f>VLOOKUP(K156,I156:J158,2,0)</f>
        <v/>
      </c>
      <c r="L158" s="51"/>
      <c r="M158" s="54"/>
      <c r="N158" s="11"/>
      <c r="O158" s="166"/>
      <c r="P158" s="11"/>
      <c r="Q158" s="8"/>
      <c r="R158" s="182"/>
      <c r="S158" s="8"/>
      <c r="T158" s="8"/>
      <c r="U158" s="8"/>
      <c r="V158" s="182"/>
      <c r="W158" s="8"/>
      <c r="X158" s="62"/>
      <c r="Y158" s="182"/>
      <c r="Z158" s="65"/>
      <c r="AA158" s="8"/>
      <c r="AB158" s="11"/>
      <c r="AC158" s="182"/>
      <c r="AD158" s="8"/>
      <c r="AE158" s="64"/>
      <c r="AF158" s="234">
        <v>0</v>
      </c>
      <c r="AG158" s="171" t="str">
        <f>IF(AJ160&lt;&gt;"",IF(AJ162&lt;&gt;"",IF(AJ160=AJ162,"",IF(AJ160&gt;AJ162,AK160,AK162)),""),"")</f>
        <v/>
      </c>
      <c r="AH158" s="66"/>
      <c r="AI158" s="8"/>
      <c r="AJ158" s="11"/>
      <c r="AK158" s="166"/>
      <c r="AL158" s="11"/>
      <c r="AP158" s="13" t="str">
        <f>IF(AR158&lt;&gt;"",1+COUNTIF(AP136:AP157,"1")+COUNTIF(AP136:AP157,"2")+COUNTIF(AP136:AP157,"3")+COUNTIF(AP136:AP157,"4")+COUNTIF(AP136:AP157,"5")+COUNTIF(AP136:AP157,"6")+COUNTIF(AP136:AP157,"7")+COUNTIF(AP136:AP157,"8")+COUNTIF(AP136:AP157,"9")+COUNTIF(AP136:AP157,"10")+COUNTIF(AP136:AP157,"11")+COUNTIF(AP136:AP157,"12")+COUNTIF(AP136:AP157,"13")+COUNTIF(AP136:AP157,"14")+COUNTIF(AP136:AP157,"15")+COUNTIF(AP136:AP157,"16")+COUNTIF(AP136:AP157,"17")+COUNTIF(AP136:AP157,"18")+COUNTIF(AP136:AP157,"19")+COUNTIF(AP136:AP157,"20")+COUNTIF(AP136:AP157,"21")+COUNTIF(AP136:AP157,"22"),"")</f>
        <v/>
      </c>
      <c r="AQ158" s="14" t="str">
        <f t="shared" si="6"/>
        <v/>
      </c>
      <c r="AR158" s="21" t="str">
        <f>IF(AR142&lt;&gt;"",IF(C136=AR142,G138,IF(C138=AR142,G138,IF(C144=AR142,G146,IF(C146=AR142,G146,IF(C166=AR142,G168,IF(C168=AR142,G168,IF(C174=AR142,G176,IF(C176=AR142,G176,IF(C152=AR142,G154,IF(C154=AR142,G154,IF(C160=AR142,G162,IF(C162=AR142,G162,IF(C182=AR142,G184,IF(C184=AR142,G184,IF(C190=AR142,G192,IF(C192=AR142,G192,IF(AK136=AR142,AI138,IF(AK138=AR142,AI138,IF(AK144=AR142,AI146,IF(AK146=AR142,AI146,IF(AK166=AR142,AI168,IF(AK168=AR142,AI168,IF(AK174=AR142,AI176,IF(AK176=AR142,AI176,IF(AK152=AR142,AI154,IF(AK154=AR142,AI154,IF(AK160=AR142,AI162,IF(AK162=AR142,AI162,IF(AK182=AR142,AI184,IF(AK184=AR142,AI184,IF(AK190=AR142,AI192,IF(AK192=AR142,AI192)))))))))))))))))))))))))))))))),"")</f>
        <v/>
      </c>
      <c r="AS158" s="15" t="str">
        <f>IFERROR(IF(AR158="","",VLOOKUP(AR158,LISTAS!$F$5:$G$1004,2,0)),"0")</f>
        <v/>
      </c>
      <c r="AT158" s="15" t="str">
        <f t="shared" si="7"/>
        <v/>
      </c>
      <c r="AU158" s="15" t="str">
        <f t="shared" si="8"/>
        <v/>
      </c>
    </row>
    <row r="159" spans="2:47" ht="18" customHeight="1" thickBot="1" x14ac:dyDescent="0.3">
      <c r="B159" s="16"/>
      <c r="C159" s="166"/>
      <c r="D159" s="11"/>
      <c r="E159" s="18"/>
      <c r="F159" s="11"/>
      <c r="G159" s="172" t="str">
        <f>IFERROR(IF(G158="","",VLOOKUP(G158,LISTAS!$F$5:$G$1004,2,0)),"0")</f>
        <v/>
      </c>
      <c r="H159" s="235"/>
      <c r="I159" s="51"/>
      <c r="J159" s="51"/>
      <c r="K159" s="176"/>
      <c r="L159" s="51"/>
      <c r="M159" s="54"/>
      <c r="N159" s="11"/>
      <c r="O159" s="166"/>
      <c r="P159" s="11"/>
      <c r="Q159" s="8"/>
      <c r="R159" s="182"/>
      <c r="S159" s="8"/>
      <c r="T159" s="8"/>
      <c r="U159" s="8"/>
      <c r="V159" s="182"/>
      <c r="W159" s="8"/>
      <c r="X159" s="62"/>
      <c r="Y159" s="182"/>
      <c r="Z159" s="65"/>
      <c r="AA159" s="8"/>
      <c r="AB159" s="11"/>
      <c r="AC159" s="182"/>
      <c r="AD159" s="8"/>
      <c r="AE159" s="8"/>
      <c r="AF159" s="235"/>
      <c r="AG159" s="172" t="str">
        <f>IFERROR(IF(AG158="","",VLOOKUP(AG158,LISTAS!$F$5:$G$1004,2,0)),"0")</f>
        <v/>
      </c>
      <c r="AH159" s="8"/>
      <c r="AI159" s="69"/>
      <c r="AJ159" s="11"/>
      <c r="AK159" s="166"/>
      <c r="AL159" s="11"/>
      <c r="AP159" s="13" t="str">
        <f>IF(AR159&lt;&gt;"",1+COUNTIF(AP136:AP158,"1")+COUNTIF(AP136:AP158,"2")+COUNTIF(AP136:AP158,"3")+COUNTIF(AP136:AP158,"4")+COUNTIF(AP136:AP158,"5")+COUNTIF(AP136:AP158,"6")+COUNTIF(AP136:AP158,"7")+COUNTIF(AP136:AP158,"8")+COUNTIF(AP136:AP158,"9")+COUNTIF(AP136:AP158,"10")+COUNTIF(AP136:AP158,"11")+COUNTIF(AP136:AP158,"12")+COUNTIF(AP136:AP158,"13")+COUNTIF(AP136:AP158,"14")+COUNTIF(AP136:AP158,"15")+COUNTIF(AP136:AP158,"16")+COUNTIF(AP136:AP158,"17")+COUNTIF(AP136:AP158,"18")+COUNTIF(AP136:AP158,"19")+COUNTIF(AP136:AP158,"20")+COUNTIF(AP136:AP158,"21")+COUNTIF(AP136:AP158,"22")+COUNTIF(AP136:AP158,"23"),"")</f>
        <v/>
      </c>
      <c r="AQ159" s="14" t="str">
        <f t="shared" si="6"/>
        <v/>
      </c>
      <c r="AR159" s="21" t="str">
        <f>IF(AR143&lt;&gt;"",IF(C136=AR143,G138,IF(C138=AR143,G138,IF(C144=AR143,G146,IF(C146=AR143,G146,IF(C166=AR143,G168,IF(C168=AR143,G168,IF(C174=AR143,G176,IF(C176=AR143,G176,IF(C152=AR143,G154,IF(C154=AR143,G154,IF(C160=AR143,G162,IF(C162=AR143,G162,IF(C182=AR143,G184,IF(C184=AR143,G184,IF(C190=AR143,G192,IF(C192=AR143,G192,IF(AK136=AR143,AI138,IF(AK138=AR143,AI138,IF(AK144=AR143,AI146,IF(AK146=AR143,AI146,IF(AK166=AR143,AI168,IF(AK168=AR143,AI168,IF(AK174=AR143,AI176,IF(AK176=AR143,AI176,IF(AK152=AR143,AI154,IF(AK154=AR143,AI154,IF(AK160=AR143,AI162,IF(AK162=AR143,AI162,IF(AK182=AR143,AI184,IF(AK184=AR143,AI184,IF(AK190=AR143,AI192,IF(AK192=AR143,AI192)))))))))))))))))))))))))))))))),"")</f>
        <v/>
      </c>
      <c r="AS159" s="15" t="str">
        <f>IFERROR(IF(AR159="","",VLOOKUP(AR159,LISTAS!$F$5:$G$1004,2,0)),"0")</f>
        <v/>
      </c>
      <c r="AT159" s="15" t="str">
        <f t="shared" si="7"/>
        <v/>
      </c>
      <c r="AU159" s="15" t="str">
        <f t="shared" si="8"/>
        <v/>
      </c>
    </row>
    <row r="160" spans="2:47" ht="18" customHeight="1" x14ac:dyDescent="0.25">
      <c r="B160" s="16">
        <v>25</v>
      </c>
      <c r="C160" s="171" t="str">
        <f>IF('17F GRP'!G5&gt;=3,'17F GRP'!J335,IF('17F GRP'!G5=2,"",IF('17F GRP'!G5=1,"","")))</f>
        <v/>
      </c>
      <c r="D160" s="234">
        <v>0</v>
      </c>
      <c r="E160" s="56">
        <f>IF(D160&lt;&gt;"",D160,"")</f>
        <v>0</v>
      </c>
      <c r="F160" s="51" t="str">
        <f>IF(D160&lt;&gt;"",IF(C160="","",C160),"")</f>
        <v/>
      </c>
      <c r="G160" s="176">
        <f>IF(E160&lt;&gt;"",IF(E162&lt;&gt;"",SMALL(E160:E162,1),""),"")</f>
        <v>0</v>
      </c>
      <c r="H160" s="51"/>
      <c r="I160" s="51"/>
      <c r="J160" s="51"/>
      <c r="K160" s="176"/>
      <c r="L160" s="51"/>
      <c r="M160" s="54"/>
      <c r="N160" s="11"/>
      <c r="O160" s="166"/>
      <c r="P160" s="11"/>
      <c r="Q160" s="8"/>
      <c r="R160" s="182"/>
      <c r="S160" s="8"/>
      <c r="T160" s="8"/>
      <c r="U160" s="8"/>
      <c r="V160" s="182"/>
      <c r="W160" s="8"/>
      <c r="X160" s="62"/>
      <c r="Y160" s="182"/>
      <c r="Z160" s="65"/>
      <c r="AA160" s="8"/>
      <c r="AB160" s="11"/>
      <c r="AC160" s="182"/>
      <c r="AD160" s="8"/>
      <c r="AE160" s="8"/>
      <c r="AF160" s="8"/>
      <c r="AG160" s="181">
        <f>IF(AJ160&lt;&gt;"",AJ160,"")</f>
        <v>0</v>
      </c>
      <c r="AH160" s="78" t="str">
        <f>IF(AJ160&lt;&gt;"",IF(AK160="","",AK160),"")</f>
        <v/>
      </c>
      <c r="AI160" s="53">
        <f>IF(AG160&lt;&gt;"",IF(AG162&lt;&gt;"",SMALL(AG160:AG162,1),""),"")</f>
        <v>0</v>
      </c>
      <c r="AJ160" s="234">
        <v>0</v>
      </c>
      <c r="AK160" s="171" t="str">
        <f>IF('17F GRP'!G5&gt;=3,'17F GRP'!J361,IF('17F GRP'!G5=2,"",IF('17F GRP'!G5=1,"","")))</f>
        <v/>
      </c>
      <c r="AL160" s="11">
        <v>27</v>
      </c>
      <c r="AP160" s="13" t="str">
        <f>IF(AR160&lt;&gt;"",1+COUNTIF(AP136:AP159,"1")+COUNTIF(AP136:AP159,"2")+COUNTIF(AP136:AP159,"3")+COUNTIF(AP136:AP159,"4")+COUNTIF(AP136:AP159,"5")+COUNTIF(AP136:AP159,"6")+COUNTIF(AP136:AP159,"7")+COUNTIF(AP136:AP159,"8")+COUNTIF(AP136:AP159,"9")+COUNTIF(AP136:AP159,"10")+COUNTIF(AP136:AP159,"11")+COUNTIF(AP136:AP159,"12")+COUNTIF(AP136:AP159,"13")+COUNTIF(AP136:AP159,"14")+COUNTIF(AP136:AP159,"15")+COUNTIF(AP136:AP159,"16")+COUNTIF(AP136:AP159,"17")+COUNTIF(AP136:AP159,"18")+COUNTIF(AP136:AP159,"19")+COUNTIF(AP136:AP159,"20")+COUNTIF(AP136:AP159,"21")+COUNTIF(AP136:AP159,"22")+COUNTIF(AP136:AP159,"23")+COUNTIF(AP136:AP159,"24"),"")</f>
        <v/>
      </c>
      <c r="AQ160" s="14" t="str">
        <f t="shared" si="6"/>
        <v/>
      </c>
      <c r="AR160" s="21" t="str">
        <f>IF(AR144&lt;&gt;"",IF(C136=AR144,G138,IF(C138=AR144,G138,IF(C144=AR144,G146,IF(C146=AR144,G146,IF(C166=AR144,G168,IF(C168=AR144,G168,IF(C174=AR144,G176,IF(C176=AR144,G176,IF(C152=AR144,G154,IF(C154=AR144,G154,IF(C160=AR144,G162,IF(C162=AR144,G162,IF(C182=AR144,G184,IF(C184=AR144,G184,IF(C190=AR144,G192,IF(C192=AR144,G192,IF(AK136=AR144,AI138,IF(AK138=AR144,AI138,IF(AK144=AR144,AI146,IF(AK146=AR144,AI146,IF(AK166=AR144,AI168,IF(AK168=AR144,AI168,IF(AK174=AR144,AI176,IF(AK176=AR144,AI176,IF(AK152=AR144,AI154,IF(AK154=AR144,AI154,IF(AK160=AR144,AI162,IF(AK162=AR144,AI162,IF(AK182=AR144,AI184,IF(AK184=AR144,AI184,IF(AK190=AR144,AI192,IF(AK192=AR144,AI192)))))))))))))))))))))))))))))))),"")</f>
        <v/>
      </c>
      <c r="AS160" s="15" t="str">
        <f>IFERROR(IF(AR160="","",VLOOKUP(AR160,LISTAS!$F$5:$G$1004,2,0)),"0")</f>
        <v/>
      </c>
      <c r="AT160" s="15" t="str">
        <f t="shared" si="7"/>
        <v/>
      </c>
      <c r="AU160" s="15" t="str">
        <f t="shared" si="8"/>
        <v/>
      </c>
    </row>
    <row r="161" spans="2:47" ht="18" customHeight="1" thickBot="1" x14ac:dyDescent="0.3">
      <c r="B161" s="16"/>
      <c r="C161" s="172" t="str">
        <f>IFERROR(IF(C160="","",VLOOKUP(C160,LISTAS!$F$5:$G$1004,2,0)),"0")</f>
        <v/>
      </c>
      <c r="D161" s="235"/>
      <c r="E161" s="57"/>
      <c r="F161" s="51"/>
      <c r="G161" s="176"/>
      <c r="H161" s="51"/>
      <c r="I161" s="11"/>
      <c r="J161" s="11"/>
      <c r="K161" s="166"/>
      <c r="L161" s="11"/>
      <c r="M161" s="18"/>
      <c r="N161" s="11"/>
      <c r="O161" s="166"/>
      <c r="P161" s="11"/>
      <c r="Q161" s="8"/>
      <c r="R161" s="182"/>
      <c r="S161" s="8"/>
      <c r="T161" s="8"/>
      <c r="U161" s="8"/>
      <c r="V161" s="182"/>
      <c r="W161" s="8"/>
      <c r="X161" s="62"/>
      <c r="Y161" s="182"/>
      <c r="Z161" s="65"/>
      <c r="AA161" s="8"/>
      <c r="AB161" s="11"/>
      <c r="AC161" s="182"/>
      <c r="AD161" s="8"/>
      <c r="AE161" s="8"/>
      <c r="AF161" s="8"/>
      <c r="AG161" s="181"/>
      <c r="AH161" s="78"/>
      <c r="AI161" s="124"/>
      <c r="AJ161" s="235"/>
      <c r="AK161" s="172" t="str">
        <f>IFERROR(IF(AK160="","",VLOOKUP(AK160,LISTAS!$F$5:$G$1004,2,0)),"0")</f>
        <v/>
      </c>
      <c r="AL161" s="11"/>
      <c r="AP161" s="13" t="str">
        <f>IF(AR161&lt;&gt;"",1+COUNTIF(AP136:AP160,"1")+COUNTIF(AP136:AP160,"2")+COUNTIF(AP136:AP160,"3")+COUNTIF(AP136:AP160,"4")+COUNTIF(AP136:AP160,"5")+COUNTIF(AP136:AP160,"6")+COUNTIF(AP136:AP160,"7")+COUNTIF(AP136:AP160,"8")+COUNTIF(AP136:AP160,"9")+COUNTIF(AP136:AP160,"10")+COUNTIF(AP136:AP160,"11")+COUNTIF(AP136:AP160,"12")+COUNTIF(AP136:AP160,"13")+COUNTIF(AP136:AP160,"14")+COUNTIF(AP136:AP160,"15")+COUNTIF(AP136:AP160,"16")+COUNTIF(AP136:AP160,"17")+COUNTIF(AP136:AP160,"18")+COUNTIF(AP136:AP160,"19")+COUNTIF(AP136:AP160,"20")+COUNTIF(AP136:AP160,"21")+COUNTIF(AP136:AP160,"22")+COUNTIF(AP136:AP160,"23")+COUNTIF(AP136:AP160,"24")+COUNTIF(AP136:AP160,"25"),"")</f>
        <v/>
      </c>
      <c r="AQ161" s="14" t="str">
        <f t="shared" si="6"/>
        <v/>
      </c>
      <c r="AR161" s="21" t="str">
        <f>IF(AR145&lt;&gt;"",IF(C136=AR145,G138,IF(C138=AR145,G138,IF(C144=AR145,G146,IF(C146=AR145,G146,IF(C166=AR145,G168,IF(C168=AR145,G168,IF(C174=AR145,G176,IF(C176=AR145,G176,IF(C152=AR145,G154,IF(C154=AR145,G154,IF(C160=AR145,G162,IF(C162=AR145,G162,IF(C182=AR145,G184,IF(C184=AR145,G184,IF(C190=AR145,G192,IF(C192=AR145,G192,IF(AK136=AR145,AI138,IF(AK138=AR145,AI138,IF(AK144=AR145,AI146,IF(AK146=AR145,AI146,IF(AK166=AR145,AI168,IF(AK168=AR145,AI168,IF(AK174=AR145,AI176,IF(AK176=AR145,AI176,IF(AK152=AR145,AI154,IF(AK154=AR145,AI154,IF(AK160=AR145,AI162,IF(AK162=AR145,AI162,IF(AK182=AR145,AI184,IF(AK184=AR145,AI184,IF(AK190=AR145,AI192,IF(AK192=AR145,AI192)))))))))))))))))))))))))))))))),"")</f>
        <v/>
      </c>
      <c r="AS161" s="15" t="str">
        <f>IFERROR(IF(AR161="","",VLOOKUP(AR161,LISTAS!$F$5:$G$1004,2,0)),"0")</f>
        <v/>
      </c>
      <c r="AT161" s="15" t="str">
        <f t="shared" si="7"/>
        <v/>
      </c>
      <c r="AU161" s="15" t="str">
        <f t="shared" si="8"/>
        <v/>
      </c>
    </row>
    <row r="162" spans="2:47" ht="18" customHeight="1" thickBot="1" x14ac:dyDescent="0.3">
      <c r="B162" s="16">
        <v>8</v>
      </c>
      <c r="C162" s="171" t="str">
        <f>IF('17F GRP'!G5&gt;=3,'17F GRP'!J114,IF('17F GRP'!G5=2,"",IF('17F GRP'!G5=1,"","")))</f>
        <v/>
      </c>
      <c r="D162" s="234">
        <v>0</v>
      </c>
      <c r="E162" s="57">
        <f>IF(D162&lt;&gt;"",D162,"")</f>
        <v>0</v>
      </c>
      <c r="F162" s="51" t="str">
        <f>IF(D162&lt;&gt;"",IF(C162="","",C162),"")</f>
        <v/>
      </c>
      <c r="G162" s="176" t="str">
        <f>VLOOKUP(G160,E160:F162,2,0)</f>
        <v/>
      </c>
      <c r="H162" s="51"/>
      <c r="I162" s="11"/>
      <c r="J162" s="11"/>
      <c r="K162" s="166"/>
      <c r="L162" s="11"/>
      <c r="M162" s="18"/>
      <c r="N162" s="11"/>
      <c r="O162" s="166"/>
      <c r="P162" s="11"/>
      <c r="Q162" s="8"/>
      <c r="R162" s="236" t="s">
        <v>37</v>
      </c>
      <c r="S162" s="236"/>
      <c r="T162" s="236"/>
      <c r="U162" s="236"/>
      <c r="V162" s="236"/>
      <c r="W162" s="8"/>
      <c r="X162" s="62"/>
      <c r="Y162" s="182"/>
      <c r="Z162" s="65"/>
      <c r="AA162" s="8"/>
      <c r="AB162" s="11"/>
      <c r="AC162" s="182"/>
      <c r="AD162" s="8"/>
      <c r="AE162" s="8"/>
      <c r="AF162" s="8"/>
      <c r="AG162" s="181">
        <f>IF(AJ162&lt;&gt;"",AJ162,"")</f>
        <v>0</v>
      </c>
      <c r="AH162" s="78" t="str">
        <f>IF(AJ162&lt;&gt;"",IF(AK162="","",AK162),"")</f>
        <v/>
      </c>
      <c r="AI162" s="125" t="str">
        <f>VLOOKUP(AI160,AG160:AH162,2,0)</f>
        <v/>
      </c>
      <c r="AJ162" s="234">
        <v>0</v>
      </c>
      <c r="AK162" s="171" t="str">
        <f>IF('17F GRP'!G5&gt;=3,'17F GRP'!J88,IF('17F GRP'!G5=2,"",IF('17F GRP'!G5=1,"","")))</f>
        <v/>
      </c>
      <c r="AL162" s="11">
        <v>6</v>
      </c>
      <c r="AP162" s="13" t="str">
        <f>IF(AR162&lt;&gt;"",1+COUNTIF(AP136:AP161,"1")+COUNTIF(AP136:AP161,"2")+COUNTIF(AP136:AP161,"3")+COUNTIF(AP136:AP161,"4")+COUNTIF(AP136:AP161,"5")+COUNTIF(AP136:AP161,"6")+COUNTIF(AP136:AP161,"7")+COUNTIF(AP136:AP161,"8")+COUNTIF(AP136:AP161,"9")+COUNTIF(AP136:AP161,"10")+COUNTIF(AP136:AP161,"11")+COUNTIF(AP136:AP161,"12")+COUNTIF(AP136:AP161,"13")+COUNTIF(AP136:AP161,"14")+COUNTIF(AP136:AP161,"15")+COUNTIF(AP136:AP161,"16")+COUNTIF(AP136:AP161,"17")+COUNTIF(AP136:AP161,"18")+COUNTIF(AP136:AP161,"19")+COUNTIF(AP136:AP161,"20")+COUNTIF(AP136:AP161,"21")+COUNTIF(AP136:AP161,"22")+COUNTIF(AP136:AP161,"23")+COUNTIF(AP136:AP161,"24")+COUNTIF(AP136:AP161,"25")+COUNTIF(AP136:AP161,"26"),"")</f>
        <v/>
      </c>
      <c r="AQ162" s="14" t="str">
        <f t="shared" si="6"/>
        <v/>
      </c>
      <c r="AR162" s="21" t="str">
        <f>IF(AR146&lt;&gt;"",IF(C136=AR146,G138,IF(C138=AR146,G138,IF(C144=AR146,G146,IF(C146=AR146,G146,IF(C166=AR146,G168,IF(C168=AR146,G168,IF(C174=AR146,G176,IF(C176=AR146,G176,IF(C152=AR146,G154,IF(C154=AR146,G154,IF(C160=AR146,G162,IF(C162=AR146,G162,IF(C182=AR146,G184,IF(C184=AR146,G184,IF(C190=AR146,G192,IF(C192=AR146,G192,IF(AK136=AR146,AI138,IF(AK138=AR146,AI138,IF(AK144=AR146,AI146,IF(AK146=AR146,AI146,IF(AK166=AR146,AI168,IF(AK168=AR146,AI168,IF(AK174=AR146,AI176,IF(AK176=AR146,AI176,IF(AK152=AR146,AI154,IF(AK154=AR146,AI154,IF(AK160=AR146,AI162,IF(AK162=AR146,AI162,IF(AK182=AR146,AI184,IF(AK184=AR146,AI184,IF(AK190=AR146,AI192,IF(AK192=AR146,AI192)))))))))))))))))))))))))))))))),"")</f>
        <v/>
      </c>
      <c r="AS162" s="15" t="str">
        <f>IFERROR(IF(AR162="","",VLOOKUP(AR162,LISTAS!$F$5:$G$1004,2,0)),"0")</f>
        <v/>
      </c>
      <c r="AT162" s="15" t="str">
        <f t="shared" si="7"/>
        <v/>
      </c>
      <c r="AU162" s="15" t="str">
        <f t="shared" si="8"/>
        <v/>
      </c>
    </row>
    <row r="163" spans="2:47" ht="18" customHeight="1" thickBot="1" x14ac:dyDescent="0.3">
      <c r="B163" s="16"/>
      <c r="C163" s="172" t="str">
        <f>IFERROR(IF(C162="","",VLOOKUP(C162,LISTAS!$F$5:$G$1004,2,0)),"0")</f>
        <v/>
      </c>
      <c r="D163" s="235"/>
      <c r="E163" s="51"/>
      <c r="F163" s="51"/>
      <c r="G163" s="176"/>
      <c r="H163" s="51"/>
      <c r="I163" s="11"/>
      <c r="J163" s="11"/>
      <c r="K163" s="166"/>
      <c r="L163" s="11"/>
      <c r="M163" s="18"/>
      <c r="N163" s="11"/>
      <c r="O163" s="171" t="str">
        <f>IF(L148&lt;&gt;"",IF(L150&lt;&gt;"",IF(L148=L150,"",IF(L148&gt;L150,K148,K150)),""),"")</f>
        <v>LETICIA TADOKORO</v>
      </c>
      <c r="P163" s="234">
        <v>1</v>
      </c>
      <c r="Q163" s="8"/>
      <c r="R163" s="167"/>
      <c r="S163" s="71"/>
      <c r="T163" s="71"/>
      <c r="U163" s="71"/>
      <c r="V163" s="167"/>
      <c r="W163" s="8"/>
      <c r="X163" s="234">
        <v>0</v>
      </c>
      <c r="Y163" s="171" t="str">
        <f>IF(AB148&lt;&gt;"",IF(AB150&lt;&gt;"",IF(AB148=AB150,"",IF(AB148&gt;AB150,AC148,AC150)),""),"")</f>
        <v>LUÍSA COSTA RAMOS</v>
      </c>
      <c r="Z163" s="65"/>
      <c r="AA163" s="8"/>
      <c r="AB163" s="11"/>
      <c r="AC163" s="182"/>
      <c r="AD163" s="8"/>
      <c r="AE163" s="8"/>
      <c r="AF163" s="8"/>
      <c r="AG163" s="181"/>
      <c r="AH163" s="78"/>
      <c r="AI163" s="51"/>
      <c r="AJ163" s="235"/>
      <c r="AK163" s="172" t="str">
        <f>IFERROR(IF(AK162="","",VLOOKUP(AK162,LISTAS!$F$5:$G$1004,2,0)),"0")</f>
        <v/>
      </c>
      <c r="AL163" s="11"/>
      <c r="AP163" s="13" t="str">
        <f>IF(AR163&lt;&gt;"",1+COUNTIF(AP136:AP162,"1")+COUNTIF(AP136:AP162,"2")+COUNTIF(AP136:AP162,"3")+COUNTIF(AP136:AP162,"4")+COUNTIF(AP136:AP162,"5")+COUNTIF(AP136:AP162,"6")+COUNTIF(AP136:AP162,"7")+COUNTIF(AP136:AP162,"8")+COUNTIF(AP136:AP162,"9")+COUNTIF(AP136:AP162,"10")+COUNTIF(AP136:AP162,"11")+COUNTIF(AP136:AP162,"12")+COUNTIF(AP136:AP162,"13")+COUNTIF(AP136:AP162,"14")+COUNTIF(AP136:AP162,"15")+COUNTIF(AP136:AP162,"16")+COUNTIF(AP136:AP162,"17")+COUNTIF(AP136:AP162,"18")+COUNTIF(AP136:AP162,"19")+COUNTIF(AP136:AP162,"20")+COUNTIF(AP136:AP162,"21")+COUNTIF(AP136:AP162,"22")+COUNTIF(AP136:AP162,"23")+COUNTIF(AP136:AP162,"24")+COUNTIF(AP136:AP162,"25")+COUNTIF(AP136:AP162,"26")+COUNTIF(AP136:AP162,"27"),"")</f>
        <v/>
      </c>
      <c r="AQ163" s="14" t="str">
        <f t="shared" si="6"/>
        <v/>
      </c>
      <c r="AR163" s="21" t="str">
        <f>IF(AR147&lt;&gt;"",IF(C136=AR147,G138,IF(C138=AR147,G138,IF(C144=AR147,G146,IF(C146=AR147,G146,IF(C166=AR147,G168,IF(C168=AR147,G168,IF(C174=AR147,G176,IF(C176=AR147,G176,IF(C152=AR147,G154,IF(C154=AR147,G154,IF(C160=AR147,G162,IF(C162=AR147,G162,IF(C182=AR147,G184,IF(C184=AR147,G184,IF(C190=AR147,G192,IF(C192=AR147,G192,IF(AK136=AR147,AI138,IF(AK138=AR147,AI138,IF(AK144=AR147,AI146,IF(AK146=AR147,AI146,IF(AK166=AR147,AI168,IF(AK168=AR147,AI168,IF(AK174=AR147,AI176,IF(AK176=AR147,AI176,IF(AK152=AR147,AI154,IF(AK154=AR147,AI154,IF(AK160=AR147,AI162,IF(AK162=AR147,AI162,IF(AK182=AR147,AI184,IF(AK184=AR147,AI184,IF(AK190=AR147,AI192,IF(AK192=AR147,AI192)))))))))))))))))))))))))))))))),"")</f>
        <v/>
      </c>
      <c r="AS163" s="15" t="str">
        <f>IFERROR(IF(AR163="","",VLOOKUP(AR163,LISTAS!$F$5:$G$1004,2,0)),"0")</f>
        <v/>
      </c>
      <c r="AT163" s="15" t="str">
        <f t="shared" si="7"/>
        <v/>
      </c>
      <c r="AU163" s="15" t="str">
        <f t="shared" si="8"/>
        <v/>
      </c>
    </row>
    <row r="164" spans="2:47" ht="18" customHeight="1" thickBot="1" x14ac:dyDescent="0.3">
      <c r="B164" s="16"/>
      <c r="C164" s="166"/>
      <c r="D164" s="11"/>
      <c r="E164" s="11"/>
      <c r="F164" s="11"/>
      <c r="G164" s="166"/>
      <c r="H164" s="11"/>
      <c r="I164" s="11"/>
      <c r="J164" s="11"/>
      <c r="K164" s="166"/>
      <c r="L164" s="11"/>
      <c r="M164" s="18"/>
      <c r="N164" s="11"/>
      <c r="O164" s="172" t="str">
        <f>IFERROR(IF(O163="","",VLOOKUP(O163,LISTAS!$F$5:$G$1004,2,0)),"0")</f>
        <v>COLÉGIO ARBOS SÃO CAETANO DO SUL</v>
      </c>
      <c r="P164" s="235"/>
      <c r="Q164" s="8"/>
      <c r="R164" s="171" t="str">
        <f>IF(P163&lt;&gt;"",IF(P165&lt;&gt;"",IF(P163=P165,"",IF(P163&gt;P165,O163,O165)),""),"")</f>
        <v>LETICIA TADOKORO</v>
      </c>
      <c r="S164" s="234">
        <v>1</v>
      </c>
      <c r="T164" s="237" t="s">
        <v>38</v>
      </c>
      <c r="U164" s="234">
        <v>0</v>
      </c>
      <c r="V164" s="171" t="str">
        <f>IF(X163&lt;&gt;"",IF(X165&lt;&gt;"",IF(X163=X165,"",IF(X163&gt;X165,Y163,Y165)),""),"")</f>
        <v>HELOÍSA APARECIDA OLIVEIRA RIBEIRO</v>
      </c>
      <c r="W164" s="112"/>
      <c r="X164" s="235"/>
      <c r="Y164" s="172" t="str">
        <f>IFERROR(IF(Y163="","",VLOOKUP(Y163,LISTAS!$F$5:$G$1004,2,0)),"0")</f>
        <v>COLÉGIO ENGENHEIRO SALVADOR ARENA</v>
      </c>
      <c r="Z164" s="112"/>
      <c r="AA164" s="8"/>
      <c r="AB164" s="11"/>
      <c r="AC164" s="182"/>
      <c r="AD164" s="8"/>
      <c r="AE164" s="8"/>
      <c r="AF164" s="8"/>
      <c r="AG164" s="182"/>
      <c r="AH164" s="8"/>
      <c r="AI164" s="8"/>
      <c r="AJ164" s="11"/>
      <c r="AK164" s="166"/>
      <c r="AL164" s="11"/>
      <c r="AP164" s="13" t="str">
        <f>IF(AR164&lt;&gt;"",1+COUNTIF(AP136:AP163,"1")+COUNTIF(AP136:AP163,"2")+COUNTIF(AP136:AP163,"3")+COUNTIF(AP136:AP163,"4")+COUNTIF(AP136:AP163,"5")+COUNTIF(AP136:AP163,"6")+COUNTIF(AP136:AP163,"7")+COUNTIF(AP136:AP163,"8")+COUNTIF(AP136:AP163,"9")+COUNTIF(AP136:AP163,"10")+COUNTIF(AP136:AP163,"11")+COUNTIF(AP136:AP163,"12")+COUNTIF(AP136:AP163,"13")+COUNTIF(AP136:AP163,"14")+COUNTIF(AP136:AP163,"15")+COUNTIF(AP136:AP163,"16")+COUNTIF(AP136:AP163,"17")+COUNTIF(AP136:AP163,"18")+COUNTIF(AP136:AP163,"19")+COUNTIF(AP136:AP163,"20")+COUNTIF(AP136:AP163,"21")+COUNTIF(AP136:AP163,"22")+COUNTIF(AP136:AP163,"23")+COUNTIF(AP136:AP163,"24")+COUNTIF(AP136:AP163,"25")+COUNTIF(AP136:AP163,"26")+COUNTIF(AP136:AP163,"27")+COUNTIF(AP136:AP163,"28"),"")</f>
        <v/>
      </c>
      <c r="AQ164" s="14" t="str">
        <f t="shared" si="6"/>
        <v/>
      </c>
      <c r="AR164" s="21" t="str">
        <f>IF(AR148&lt;&gt;"",IF(C136=AR148,G138,IF(C138=AR148,G138,IF(C144=AR148,G146,IF(C146=AR148,G146,IF(C166=AR148,G168,IF(C168=AR148,G168,IF(C174=AR148,G176,IF(C176=AR148,G176,IF(C152=AR148,G154,IF(C154=AR148,G154,IF(C160=AR148,G162,IF(C162=AR148,G162,IF(C182=AR148,G184,IF(C184=AR148,G184,IF(C190=AR148,G192,IF(C192=AR148,G192,IF(AK136=AR148,AI138,IF(AK138=AR148,AI138,IF(AK144=AR148,AI146,IF(AK146=AR148,AI146,IF(AK166=AR148,AI168,IF(AK168=AR148,AI168,IF(AK174=AR148,AI176,IF(AK176=AR148,AI176,IF(AK152=AR148,AI154,IF(AK154=AR148,AI154,IF(AK160=AR148,AI162,IF(AK162=AR148,AI162,IF(AK182=AR148,AI184,IF(AK184=AR148,AI184,IF(AK190=AR148,AI192,IF(AK192=AR148,AI192)))))))))))))))))))))))))))))))),"")</f>
        <v/>
      </c>
      <c r="AS164" s="15" t="str">
        <f>IFERROR(IF(AR164="","",VLOOKUP(AR164,LISTAS!$F$5:$G$1004,2,0)),"0")</f>
        <v/>
      </c>
      <c r="AT164" s="15" t="str">
        <f t="shared" si="7"/>
        <v/>
      </c>
      <c r="AU164" s="15" t="str">
        <f t="shared" si="8"/>
        <v/>
      </c>
    </row>
    <row r="165" spans="2:47" ht="18" customHeight="1" thickBot="1" x14ac:dyDescent="0.3">
      <c r="B165" s="16"/>
      <c r="C165" s="166"/>
      <c r="D165" s="11"/>
      <c r="E165" s="11"/>
      <c r="F165" s="11"/>
      <c r="G165" s="166"/>
      <c r="H165" s="11"/>
      <c r="I165" s="11"/>
      <c r="J165" s="11"/>
      <c r="K165" s="166"/>
      <c r="L165" s="11"/>
      <c r="M165" s="18"/>
      <c r="N165" s="19"/>
      <c r="O165" s="171" t="str">
        <f>IF(L178&lt;&gt;"",IF(L180&lt;&gt;"",IF(L178=L180,"",IF(L178&gt;L180,K178,K180)),""),"")</f>
        <v>YASMIN DE SANTANA VERIDIANO</v>
      </c>
      <c r="P165" s="234">
        <v>0</v>
      </c>
      <c r="Q165" s="72"/>
      <c r="R165" s="172" t="str">
        <f>IFERROR(IF(R164="","",VLOOKUP(R164,LISTAS!$F$5:$G$1004,2,0)),"0")</f>
        <v>COLÉGIO ARBOS SÃO CAETANO DO SUL</v>
      </c>
      <c r="S165" s="235"/>
      <c r="T165" s="237"/>
      <c r="U165" s="235"/>
      <c r="V165" s="172" t="str">
        <f>IFERROR(IF(V164="","",VLOOKUP(V164,LISTAS!$F$5:$G$1004,2,0)),"0")</f>
        <v>COLÉGIO ENGENHEIRO SALVADOR ARENA</v>
      </c>
      <c r="W165" s="66"/>
      <c r="X165" s="234">
        <v>1</v>
      </c>
      <c r="Y165" s="171" t="str">
        <f>IF(AB178&lt;&gt;"",IF(AB180&lt;&gt;"",IF(AB178=AB180,"",IF(AB178&gt;AB180,AC178,AC180)),""),"")</f>
        <v>HELOÍSA APARECIDA OLIVEIRA RIBEIRO</v>
      </c>
      <c r="Z165" s="66"/>
      <c r="AA165" s="8"/>
      <c r="AB165" s="11"/>
      <c r="AC165" s="182"/>
      <c r="AD165" s="8"/>
      <c r="AE165" s="8"/>
      <c r="AF165" s="8"/>
      <c r="AG165" s="182"/>
      <c r="AH165" s="8"/>
      <c r="AI165" s="8"/>
      <c r="AJ165" s="11"/>
      <c r="AK165" s="166"/>
      <c r="AL165" s="11"/>
      <c r="AP165" s="13" t="str">
        <f>IF(AR165&lt;&gt;"",1+COUNTIF(AP136:AP164,"1")+COUNTIF(AP136:AP164,"2")+COUNTIF(AP136:AP164,"3")+COUNTIF(AP136:AP164,"4")+COUNTIF(AP136:AP164,"5")+COUNTIF(AP136:AP164,"6")+COUNTIF(AP136:AP164,"7")+COUNTIF(AP136:AP164,"8")+COUNTIF(AP136:AP164,"9")+COUNTIF(AP136:AP164,"10")+COUNTIF(AP136:AP164,"11")+COUNTIF(AP136:AP164,"12")+COUNTIF(AP136:AP164,"13")+COUNTIF(AP136:AP164,"14")+COUNTIF(AP136:AP164,"15")+COUNTIF(AP136:AP164,"16")+COUNTIF(AP136:AP164,"17")+COUNTIF(AP136:AP164,"18")+COUNTIF(AP136:AP164,"19")+COUNTIF(AP136:AP164,"20")+COUNTIF(AP136:AP164,"21")+COUNTIF(AP136:AP164,"22")+COUNTIF(AP136:AP164,"23")+COUNTIF(AP136:AP164,"24")+COUNTIF(AP136:AP164,"25")+COUNTIF(AP136:AP164,"26")+COUNTIF(AP136:AP164,"27")+COUNTIF(AP136:AP164,"28")+COUNTIF(AP136:AP164,"29"),"")</f>
        <v/>
      </c>
      <c r="AQ165" s="14" t="str">
        <f t="shared" si="6"/>
        <v/>
      </c>
      <c r="AR165" s="21" t="str">
        <f>IF(AR149&lt;&gt;"",IF(C136=AR149,G138,IF(C138=AR149,G138,IF(C144=AR149,G146,IF(C146=AR149,G146,IF(C166=AR149,G168,IF(C168=AR149,G168,IF(C174=AR149,G176,IF(C176=AR149,G176,IF(C152=AR149,G154,IF(C154=AR149,G154,IF(C160=AR149,G162,IF(C162=AR149,G162,IF(C182=AR149,G184,IF(C184=AR149,G184,IF(C190=AR149,G192,IF(C192=AR149,G192,IF(AK136=AR149,AI138,IF(AK138=AR149,AI138,IF(AK144=AR149,AI146,IF(AK146=AR149,AI146,IF(AK166=AR149,AI168,IF(AK168=AR149,AI168,IF(AK174=AR149,AI176,IF(AK176=AR149,AI176,IF(AK152=AR149,AI154,IF(AK154=AR149,AI154,IF(AK160=AR149,AI162,IF(AK162=AR149,AI162,IF(AK182=AR149,AI184,IF(AK184=AR149,AI184,IF(AK190=AR149,AI192,IF(AK192=AR149,AI192)))))))))))))))))))))))))))))))),"")</f>
        <v/>
      </c>
      <c r="AS165" s="15" t="str">
        <f>IFERROR(IF(AR165="","",VLOOKUP(AR165,LISTAS!$F$5:$G$1004,2,0)),"0")</f>
        <v/>
      </c>
      <c r="AT165" s="15" t="str">
        <f t="shared" si="7"/>
        <v/>
      </c>
      <c r="AU165" s="15" t="str">
        <f t="shared" si="8"/>
        <v/>
      </c>
    </row>
    <row r="166" spans="2:47" ht="18" customHeight="1" thickBot="1" x14ac:dyDescent="0.3">
      <c r="B166" s="16">
        <v>5</v>
      </c>
      <c r="C166" s="171" t="str">
        <f>IF('17F GRP'!G5&gt;=3,'17F GRP'!J75,IF('17F GRP'!G5=2,"",IF('17F GRP'!G5=1,"","")))</f>
        <v>YASMIN DE SANTANA VERIDIANO</v>
      </c>
      <c r="D166" s="234">
        <v>2</v>
      </c>
      <c r="E166" s="51">
        <f>IF(D166&lt;&gt;"",D166,"")</f>
        <v>2</v>
      </c>
      <c r="F166" s="51" t="str">
        <f>IF(D166&lt;&gt;"",IF(C166="","",C166),"")</f>
        <v>YASMIN DE SANTANA VERIDIANO</v>
      </c>
      <c r="G166" s="176">
        <f>IF(E166&lt;&gt;"",IF(E168&lt;&gt;"",SMALL(E166:E168,1),""),"")</f>
        <v>0</v>
      </c>
      <c r="H166" s="51"/>
      <c r="I166" s="51"/>
      <c r="J166" s="11"/>
      <c r="K166" s="166"/>
      <c r="L166" s="11"/>
      <c r="M166" s="18"/>
      <c r="N166" s="8"/>
      <c r="O166" s="172" t="str">
        <f>IFERROR(IF(O165="","",VLOOKUP(O165,LISTAS!$F$5:$G$1004,2,0)),"0")</f>
        <v>COLÉGIO ENGENHEIRO SALVADOR ARENA</v>
      </c>
      <c r="P166" s="235"/>
      <c r="Q166" s="60"/>
      <c r="R166" s="182"/>
      <c r="S166" s="8"/>
      <c r="T166" s="8"/>
      <c r="U166" s="8"/>
      <c r="V166" s="182"/>
      <c r="W166" s="8"/>
      <c r="X166" s="235"/>
      <c r="Y166" s="172" t="str">
        <f>IFERROR(IF(Y165="","",VLOOKUP(Y165,LISTAS!$F$5:$G$1004,2,0)),"0")</f>
        <v>COLÉGIO ENGENHEIRO SALVADOR ARENA</v>
      </c>
      <c r="Z166" s="65"/>
      <c r="AA166" s="8"/>
      <c r="AB166" s="11"/>
      <c r="AC166" s="182"/>
      <c r="AD166" s="8"/>
      <c r="AE166" s="8"/>
      <c r="AF166" s="8"/>
      <c r="AG166" s="181">
        <f>IF(AJ166&lt;&gt;"",AJ166,"")</f>
        <v>0</v>
      </c>
      <c r="AH166" s="78" t="str">
        <f>IF(AJ166&lt;&gt;"",IF(AK166="","",AK166),"")</f>
        <v/>
      </c>
      <c r="AI166" s="51">
        <f>IF(AG166&lt;&gt;"",IF(AG168&lt;&gt;"",SMALL(AG166:AG168,1),""),"")</f>
        <v>0</v>
      </c>
      <c r="AJ166" s="234">
        <v>0</v>
      </c>
      <c r="AK166" s="171" t="str">
        <f>IF('17F GRP'!G5&gt;=3,'17F GRP'!J101,IF('17F GRP'!G5=2,"",IF('17F GRP'!G5=1,"","")))</f>
        <v/>
      </c>
      <c r="AL166" s="11">
        <v>7</v>
      </c>
      <c r="AP166" s="13" t="str">
        <f>IF(AR166&lt;&gt;"",1+COUNTIF(AP136:AP165,"1")+COUNTIF(AP136:AP165,"2")+COUNTIF(AP136:AP165,"3")+COUNTIF(AP136:AP165,"4")+COUNTIF(AP136:AP165,"5")+COUNTIF(AP136:AP165,"6")+COUNTIF(AP136:AP165,"7")+COUNTIF(AP136:AP165,"8")+COUNTIF(AP136:AP165,"9")+COUNTIF(AP136:AP165,"10")+COUNTIF(AP136:AP165,"11")+COUNTIF(AP136:AP165,"12")+COUNTIF(AP136:AP165,"13")+COUNTIF(AP136:AP165,"14")+COUNTIF(AP136:AP165,"15")+COUNTIF(AP136:AP165,"16")+COUNTIF(AP136:AP165,"17")+COUNTIF(AP136:AP165,"18")+COUNTIF(AP136:AP165,"19")+COUNTIF(AP136:AP165,"20")+COUNTIF(AP136:AP165,"21")+COUNTIF(AP136:AP165,"22")+COUNTIF(AP136:AP165,"23")+COUNTIF(AP136:AP165,"24")+COUNTIF(AP136:AP165,"25")+COUNTIF(AP136:AP165,"26")+COUNTIF(AP136:AP165,"27")+COUNTIF(AP136:AP165,"28")+COUNTIF(AP136:AP165,"29")+COUNTIF(AP136:AP165,"30"),"")</f>
        <v/>
      </c>
      <c r="AQ166" s="14" t="str">
        <f t="shared" si="6"/>
        <v/>
      </c>
      <c r="AR166" s="21" t="str">
        <f>IF(AR150&lt;&gt;"",IF(C136=AR150,G138,IF(C138=AR150,G138,IF(C144=AR150,G146,IF(C146=AR150,G146,IF(C166=AR150,G168,IF(C168=AR150,G168,IF(C174=AR150,G176,IF(C176=AR150,G176,IF(C152=AR150,G154,IF(C154=AR150,G154,IF(C160=AR150,G162,IF(C162=AR150,G162,IF(C182=AR150,G184,IF(C184=AR150,G184,IF(C190=AR150,G192,IF(C192=AR150,G192,IF(AK136=AR150,AI138,IF(AK138=AR150,AI138,IF(AK144=AR150,AI146,IF(AK146=AR150,AI146,IF(AK166=AR150,AI168,IF(AK168=AR150,AI168,IF(AK174=AR150,AI176,IF(AK176=AR150,AI176,IF(AK152=AR150,AI154,IF(AK154=AR150,AI154,IF(AK160=AR150,AI162,IF(AK162=AR150,AI162,IF(AK182=AR150,AI184,IF(AK184=AR150,AI184,IF(AK190=AR150,AI192,IF(AK192=AR150,AI192)))))))))))))))))))))))))))))))),"")</f>
        <v/>
      </c>
      <c r="AS166" s="15" t="str">
        <f>IFERROR(IF(AR166="","",VLOOKUP(AR166,LISTAS!$F$5:$G$1004,2,0)),"0")</f>
        <v/>
      </c>
      <c r="AT166" s="15" t="str">
        <f t="shared" si="7"/>
        <v/>
      </c>
      <c r="AU166" s="15" t="str">
        <f t="shared" si="8"/>
        <v/>
      </c>
    </row>
    <row r="167" spans="2:47" ht="18" customHeight="1" thickBot="1" x14ac:dyDescent="0.3">
      <c r="B167" s="16"/>
      <c r="C167" s="172" t="str">
        <f>IFERROR(IF(C166="","",VLOOKUP(C166,LISTAS!$F$5:$G$1004,2,0)),"0")</f>
        <v>COLÉGIO ENGENHEIRO SALVADOR ARENA</v>
      </c>
      <c r="D167" s="235"/>
      <c r="E167" s="51"/>
      <c r="F167" s="51"/>
      <c r="G167" s="176"/>
      <c r="H167" s="51"/>
      <c r="I167" s="51"/>
      <c r="J167" s="51"/>
      <c r="K167" s="176"/>
      <c r="L167" s="51"/>
      <c r="M167" s="54"/>
      <c r="N167" s="78"/>
      <c r="O167" s="181"/>
      <c r="P167" s="78"/>
      <c r="Q167" s="78"/>
      <c r="R167" s="182"/>
      <c r="S167" s="8"/>
      <c r="T167" s="8"/>
      <c r="U167" s="8"/>
      <c r="V167" s="182"/>
      <c r="W167" s="8"/>
      <c r="X167" s="62"/>
      <c r="Y167" s="182"/>
      <c r="Z167" s="65"/>
      <c r="AA167" s="8"/>
      <c r="AB167" s="11"/>
      <c r="AC167" s="182"/>
      <c r="AD167" s="8"/>
      <c r="AE167" s="8"/>
      <c r="AF167" s="8"/>
      <c r="AG167" s="181"/>
      <c r="AH167" s="78"/>
      <c r="AI167" s="51"/>
      <c r="AJ167" s="235"/>
      <c r="AK167" s="172" t="str">
        <f>IFERROR(IF(AK166="","",VLOOKUP(AK166,LISTAS!$F$5:$G$1004,2,0)),"0")</f>
        <v/>
      </c>
      <c r="AL167" s="11"/>
      <c r="AP167" s="13" t="str">
        <f>IF(AR167&lt;&gt;"",1+COUNTIF(AP136:AP166,"1")+COUNTIF(AP136:AP166,"2")+COUNTIF(AP136:AP166,"3")+COUNTIF(AP136:AP166,"4")+COUNTIF(AP136:AP166,"5")+COUNTIF(AP136:AP166,"6")+COUNTIF(AP136:AP166,"7")+COUNTIF(AP136:AP166,"8")+COUNTIF(AP136:AP166,"9")+COUNTIF(AP136:AP166,"10")+COUNTIF(AP136:AP166,"11")+COUNTIF(AP136:AP166,"12")+COUNTIF(AP136:AP166,"13")+COUNTIF(AP136:AP166,"14")+COUNTIF(AP136:AP166,"15")+COUNTIF(AP136:AP166,"16")+COUNTIF(AP136:AP166,"17")+COUNTIF(AP136:AP166,"18")+COUNTIF(AP136:AP166,"19")+COUNTIF(AP136:AP166,"20")+COUNTIF(AP136:AP166,"21")+COUNTIF(AP136:AP166,"22")+COUNTIF(AP136:AP166,"23")+COUNTIF(AP136:AP166,"24")+COUNTIF(AP136:AP166,"25")+COUNTIF(AP136:AP166,"26")+COUNTIF(AP136:AP166,"27")+COUNTIF(AP136:AP166,"28")+COUNTIF(AP136:AP166,"29")+COUNTIF(AP136:AP166,"30")+COUNTIF(AP136:AP166,"31"),"")</f>
        <v/>
      </c>
      <c r="AQ167" s="14" t="str">
        <f t="shared" si="6"/>
        <v/>
      </c>
      <c r="AR167" s="21" t="str">
        <f>IF(AR151&lt;&gt;"",IF(C136=AR151,G138,IF(C138=AR151,G138,IF(C144=AR151,G146,IF(C146=AR151,G146,IF(C166=AR151,G168,IF(C168=AR151,G168,IF(C174=AR151,G176,IF(C176=AR151,G176,IF(C152=AR151,G154,IF(C154=AR151,G154,IF(C160=AR151,G162,IF(C162=AR151,G162,IF(C182=AR151,G184,IF(C184=AR151,G184,IF(C190=AR151,G192,IF(C192=AR151,G192,IF(AK136=AR151,AI138,IF(AK138=AR151,AI138,IF(AK144=AR151,AI146,IF(AK146=AR151,AI146,IF(AK166=AR151,AI168,IF(AK168=AR151,AI168,IF(AK174=AR151,AI176,IF(AK176=AR151,AI176,IF(AK152=AR151,AI154,IF(AK154=AR151,AI154,IF(AK160=AR151,AI162,IF(AK162=AR151,AI162,IF(AK182=AR151,AI184,IF(AK184=AR151,AI184,IF(AK190=AR151,AI192,IF(AK192=AR151,AI192)))))))))))))))))))))))))))))))),"")</f>
        <v/>
      </c>
      <c r="AS167" s="15" t="str">
        <f>IFERROR(IF(AR167="","",VLOOKUP(AR167,LISTAS!$F$5:$G$1004,2,0)),"0")</f>
        <v/>
      </c>
      <c r="AT167" s="15" t="str">
        <f>IF(AP167="","",IF(AP167=1,100,IF(AP167=2,80,IF(AP167=3,70,IF(AP167=4,50,IF(AP167=5,45,IF(AP167=6,40,IF(AP167=7,35,IF(AP167=8,30,IF(AP167=9,28,IF(AP167=10,28,IF(AP167=11,28,IF(AP167=12,28,IF(AP167=13,28,IF(AP167=14,28,IF(AP167=15,28,IF(AP167=16,28,IF(AP167&gt;16,"",""))))))))))))))))))</f>
        <v/>
      </c>
      <c r="AU167" s="15" t="str">
        <f>IF(AP167="","",IF($AS$5="NÃO","",IF(AP167=1,100,IF(AP167=2,80,IF(AP167=3,70,IF(AP167=4,50,IF(AP167=5,45,IF(AP167=6,40,IF(AP167=7,35,IF(AP167=8,30,IF(AP167=9,28,IF(AP167=10,28,IF(AP167=11,28,IF(AP167=12,28,IF(AP167=13,28,IF(AP167=14,28,IF(AP167=15,28,IF(AP167=16,28,IF(AP167&gt;16,"","")))))))))))))))))))</f>
        <v/>
      </c>
    </row>
    <row r="168" spans="2:47" ht="18" customHeight="1" x14ac:dyDescent="0.25">
      <c r="B168" s="16">
        <v>28</v>
      </c>
      <c r="C168" s="171" t="str">
        <f>IF('17F GRP'!G5&gt;=3,'17F GRP'!J374,IF('17F GRP'!G5=2,"",IF('17F GRP'!G5=1,"","")))</f>
        <v/>
      </c>
      <c r="D168" s="234">
        <v>0</v>
      </c>
      <c r="E168" s="52">
        <f>IF(D168&lt;&gt;"",D168,"")</f>
        <v>0</v>
      </c>
      <c r="F168" s="51" t="str">
        <f>IF(D168&lt;&gt;"",IF(C168="","",C168),"")</f>
        <v/>
      </c>
      <c r="G168" s="176" t="str">
        <f>VLOOKUP(G166,E166:F168,2,0)</f>
        <v/>
      </c>
      <c r="H168" s="51"/>
      <c r="I168" s="51"/>
      <c r="J168" s="51"/>
      <c r="K168" s="176"/>
      <c r="L168" s="51"/>
      <c r="M168" s="54"/>
      <c r="N168" s="51">
        <f>IF(P163&lt;&gt;"",P163,"")</f>
        <v>1</v>
      </c>
      <c r="O168" s="176" t="str">
        <f>IF(P163&lt;&gt;"",O163,"")</f>
        <v>LETICIA TADOKORO</v>
      </c>
      <c r="P168" s="51">
        <f>IF(N168&lt;&gt;"",IF(N170&lt;&gt;"",LARGE(N168:N170,1),""),"")</f>
        <v>1</v>
      </c>
      <c r="Q168" s="78"/>
      <c r="R168" s="182"/>
      <c r="S168" s="8"/>
      <c r="T168" s="8"/>
      <c r="U168" s="8"/>
      <c r="V168" s="182"/>
      <c r="W168" s="8"/>
      <c r="X168" s="62"/>
      <c r="Y168" s="182"/>
      <c r="Z168" s="65"/>
      <c r="AA168" s="8"/>
      <c r="AB168" s="11"/>
      <c r="AC168" s="182"/>
      <c r="AD168" s="8"/>
      <c r="AE168" s="8"/>
      <c r="AF168" s="8"/>
      <c r="AG168" s="181">
        <f>IF(AJ168&lt;&gt;"",AJ168,"")</f>
        <v>0</v>
      </c>
      <c r="AH168" s="78" t="str">
        <f>IF(AJ168&lt;&gt;"",IF(AK168="","",AK168),"")</f>
        <v/>
      </c>
      <c r="AI168" s="55" t="str">
        <f>VLOOKUP(AI166,AG166:AH168,2,0)</f>
        <v/>
      </c>
      <c r="AJ168" s="234">
        <v>0</v>
      </c>
      <c r="AK168" s="171" t="str">
        <f>IF('17F GRP'!G5&gt;=3,'17F GRP'!J348,IF('17F GRP'!G5=2,"",IF('17F GRP'!G5=1,"","")))</f>
        <v/>
      </c>
      <c r="AL168" s="11">
        <v>26</v>
      </c>
    </row>
    <row r="169" spans="2:47" ht="18" customHeight="1" thickBot="1" x14ac:dyDescent="0.3">
      <c r="B169" s="16"/>
      <c r="C169" s="172" t="str">
        <f>IFERROR(IF(C168="","",VLOOKUP(C168,LISTAS!$F$5:$G$1004,2,0)),"0")</f>
        <v/>
      </c>
      <c r="D169" s="235"/>
      <c r="E169" s="128"/>
      <c r="F169" s="51"/>
      <c r="G169" s="176"/>
      <c r="H169" s="51"/>
      <c r="I169" s="51"/>
      <c r="J169" s="51"/>
      <c r="K169" s="176"/>
      <c r="L169" s="51"/>
      <c r="M169" s="54"/>
      <c r="N169" s="51"/>
      <c r="O169" s="176"/>
      <c r="P169" s="51"/>
      <c r="Q169" s="78"/>
      <c r="R169" s="182"/>
      <c r="S169" s="8"/>
      <c r="T169" s="8"/>
      <c r="U169" s="8"/>
      <c r="V169" s="182"/>
      <c r="W169" s="8"/>
      <c r="X169" s="62"/>
      <c r="Y169" s="182"/>
      <c r="Z169" s="65"/>
      <c r="AA169" s="8"/>
      <c r="AB169" s="11"/>
      <c r="AC169" s="182"/>
      <c r="AD169" s="8"/>
      <c r="AE169" s="8"/>
      <c r="AF169" s="8"/>
      <c r="AG169" s="181"/>
      <c r="AH169" s="78"/>
      <c r="AI169" s="123"/>
      <c r="AJ169" s="235"/>
      <c r="AK169" s="172" t="str">
        <f>IFERROR(IF(AK168="","",VLOOKUP(AK168,LISTAS!$F$5:$G$1004,2,0)),"0")</f>
        <v/>
      </c>
      <c r="AL169" s="11"/>
    </row>
    <row r="170" spans="2:47" ht="18" customHeight="1" x14ac:dyDescent="0.25">
      <c r="B170" s="16"/>
      <c r="C170" s="166"/>
      <c r="D170" s="11"/>
      <c r="E170" s="11"/>
      <c r="F170" s="17"/>
      <c r="G170" s="171" t="str">
        <f>IF(D166&lt;&gt;"",IF(D168&lt;&gt;"",IF(D166=D168,"",IF(D166&gt;D168,C166,C168)),""),"")</f>
        <v>YASMIN DE SANTANA VERIDIANO</v>
      </c>
      <c r="H170" s="234">
        <v>2</v>
      </c>
      <c r="I170" s="51">
        <f>IF(H170&lt;&gt;"",H170,"")</f>
        <v>2</v>
      </c>
      <c r="J170" s="51" t="str">
        <f>IF(H170&lt;&gt;"",IF(G170="","",G170),"")</f>
        <v>YASMIN DE SANTANA VERIDIANO</v>
      </c>
      <c r="K170" s="176">
        <f>IF(I170&lt;&gt;"",IF(I172&lt;&gt;"",SMALL(I170:J172,1),""),"")</f>
        <v>0</v>
      </c>
      <c r="L170" s="51"/>
      <c r="M170" s="54"/>
      <c r="N170" s="51">
        <f>IF(P165&lt;&gt;"",P165,"")</f>
        <v>0</v>
      </c>
      <c r="O170" s="176" t="str">
        <f>IF(P165&lt;&gt;"",O165,"")</f>
        <v>YASMIN DE SANTANA VERIDIANO</v>
      </c>
      <c r="P170" s="51" t="str">
        <f>VLOOKUP(P168,N168:O170,2,0)</f>
        <v>LETICIA TADOKORO</v>
      </c>
      <c r="Q170" s="78"/>
      <c r="R170" s="182"/>
      <c r="S170" s="8"/>
      <c r="T170" s="8"/>
      <c r="U170" s="8"/>
      <c r="V170" s="182"/>
      <c r="W170" s="8"/>
      <c r="X170" s="62"/>
      <c r="Y170" s="182"/>
      <c r="Z170" s="65"/>
      <c r="AA170" s="8"/>
      <c r="AB170" s="11"/>
      <c r="AC170" s="182"/>
      <c r="AD170" s="8"/>
      <c r="AE170" s="67"/>
      <c r="AF170" s="234">
        <v>0</v>
      </c>
      <c r="AG170" s="171" t="str">
        <f>IF(AJ166&lt;&gt;"",IF(AJ168&lt;&gt;"",IF(AJ166=AJ168,"",IF(AJ166&gt;AJ168,AK166,AK168)),""),"")</f>
        <v/>
      </c>
      <c r="AH170" s="65"/>
      <c r="AI170" s="8"/>
      <c r="AJ170" s="11"/>
      <c r="AK170" s="166"/>
      <c r="AL170" s="11"/>
      <c r="AP170" s="2"/>
      <c r="AQ170" s="2"/>
      <c r="AR170" s="2"/>
      <c r="AS170" s="2"/>
      <c r="AT170" s="2"/>
      <c r="AU170" s="2"/>
    </row>
    <row r="171" spans="2:47" ht="18" customHeight="1" thickBot="1" x14ac:dyDescent="0.3">
      <c r="B171" s="16"/>
      <c r="C171" s="166"/>
      <c r="D171" s="11"/>
      <c r="E171" s="11"/>
      <c r="F171" s="17"/>
      <c r="G171" s="172" t="str">
        <f>IFERROR(IF(G170="","",VLOOKUP(G170,LISTAS!$F$5:$G$1004,2,0)),"0")</f>
        <v>COLÉGIO ENGENHEIRO SALVADOR ARENA</v>
      </c>
      <c r="H171" s="235"/>
      <c r="I171" s="51"/>
      <c r="J171" s="51"/>
      <c r="K171" s="176"/>
      <c r="L171" s="51"/>
      <c r="M171" s="54"/>
      <c r="N171" s="51"/>
      <c r="O171" s="176"/>
      <c r="P171" s="51"/>
      <c r="Q171" s="78"/>
      <c r="R171" s="182"/>
      <c r="S171" s="8"/>
      <c r="T171" s="8"/>
      <c r="U171" s="8"/>
      <c r="V171" s="182"/>
      <c r="W171" s="8"/>
      <c r="X171" s="62"/>
      <c r="Y171" s="182"/>
      <c r="Z171" s="65"/>
      <c r="AA171" s="8"/>
      <c r="AB171" s="11"/>
      <c r="AC171" s="182"/>
      <c r="AD171" s="8"/>
      <c r="AE171" s="67"/>
      <c r="AF171" s="235"/>
      <c r="AG171" s="172" t="str">
        <f>IFERROR(IF(AG170="","",VLOOKUP(AG170,LISTAS!$F$5:$G$1004,2,0)),"0")</f>
        <v/>
      </c>
      <c r="AH171" s="65"/>
      <c r="AI171" s="8"/>
      <c r="AJ171" s="11"/>
      <c r="AK171" s="166"/>
      <c r="AL171" s="11"/>
      <c r="AP171" s="2"/>
      <c r="AQ171" s="2"/>
      <c r="AR171" s="2"/>
      <c r="AS171" s="2"/>
      <c r="AT171" s="2"/>
      <c r="AU171" s="2"/>
    </row>
    <row r="172" spans="2:47" ht="18" customHeight="1" x14ac:dyDescent="0.25">
      <c r="B172" s="16"/>
      <c r="C172" s="166"/>
      <c r="D172" s="11"/>
      <c r="E172" s="18"/>
      <c r="F172" s="19"/>
      <c r="G172" s="171" t="str">
        <f>IF(D174&lt;&gt;"",IF(D176&lt;&gt;"",IF(D174=D176,"",IF(D174&gt;D176,C174,C176)),""),"")</f>
        <v/>
      </c>
      <c r="H172" s="234">
        <v>0</v>
      </c>
      <c r="I172" s="52">
        <f>IF(H172&lt;&gt;"",H172,"")</f>
        <v>0</v>
      </c>
      <c r="J172" s="51" t="str">
        <f>IF(H172&lt;&gt;"",IF(G172="","",G172),"")</f>
        <v/>
      </c>
      <c r="K172" s="176" t="str">
        <f>VLOOKUP(K170,I170:J172,2,0)</f>
        <v/>
      </c>
      <c r="L172" s="51"/>
      <c r="M172" s="54"/>
      <c r="N172" s="51">
        <f>IF(P163&lt;&gt;"",P163,"")</f>
        <v>1</v>
      </c>
      <c r="O172" s="176" t="str">
        <f>IF(P163&lt;&gt;"",O163,"")</f>
        <v>LETICIA TADOKORO</v>
      </c>
      <c r="P172" s="51">
        <f>IF(N172&lt;&gt;"",IF(N174&lt;&gt;"",SMALL(N172:N174,1),""),"")</f>
        <v>0</v>
      </c>
      <c r="Q172" s="78"/>
      <c r="R172" s="182"/>
      <c r="S172" s="8"/>
      <c r="T172" s="8"/>
      <c r="U172" s="8"/>
      <c r="V172" s="182"/>
      <c r="W172" s="8"/>
      <c r="X172" s="62"/>
      <c r="Y172" s="182"/>
      <c r="Z172" s="65"/>
      <c r="AA172" s="8"/>
      <c r="AB172" s="11"/>
      <c r="AC172" s="182"/>
      <c r="AD172" s="65"/>
      <c r="AE172" s="68"/>
      <c r="AF172" s="234">
        <v>0</v>
      </c>
      <c r="AG172" s="171" t="str">
        <f>IF(AJ174&lt;&gt;"",IF(AJ176&lt;&gt;"",IF(AJ174=AJ176,"",IF(AJ174&gt;AJ176,AK174,AK176)),""),"")</f>
        <v/>
      </c>
      <c r="AH172" s="66"/>
      <c r="AI172" s="8"/>
      <c r="AJ172" s="11"/>
      <c r="AK172" s="166"/>
      <c r="AL172" s="11"/>
    </row>
    <row r="173" spans="2:47" ht="18" customHeight="1" thickBot="1" x14ac:dyDescent="0.3">
      <c r="B173" s="16"/>
      <c r="C173" s="166"/>
      <c r="D173" s="11"/>
      <c r="E173" s="18"/>
      <c r="F173" s="11"/>
      <c r="G173" s="172" t="str">
        <f>IFERROR(IF(G172="","",VLOOKUP(G172,LISTAS!$F$5:$G$1004,2,0)),"0")</f>
        <v/>
      </c>
      <c r="H173" s="235"/>
      <c r="I173" s="54"/>
      <c r="J173" s="51"/>
      <c r="K173" s="176"/>
      <c r="L173" s="51"/>
      <c r="M173" s="54"/>
      <c r="N173" s="51"/>
      <c r="O173" s="176"/>
      <c r="P173" s="51"/>
      <c r="Q173" s="78"/>
      <c r="R173" s="182"/>
      <c r="S173" s="8"/>
      <c r="T173" s="8"/>
      <c r="U173" s="8"/>
      <c r="V173" s="182"/>
      <c r="W173" s="8"/>
      <c r="X173" s="62"/>
      <c r="Y173" s="182"/>
      <c r="Z173" s="8"/>
      <c r="AA173" s="69"/>
      <c r="AB173" s="11"/>
      <c r="AC173" s="182"/>
      <c r="AD173" s="65"/>
      <c r="AE173" s="8"/>
      <c r="AF173" s="235"/>
      <c r="AG173" s="172" t="str">
        <f>IFERROR(IF(AG172="","",VLOOKUP(AG172,LISTAS!$F$5:$G$1004,2,0)),"0")</f>
        <v/>
      </c>
      <c r="AH173" s="8"/>
      <c r="AI173" s="69"/>
      <c r="AJ173" s="11"/>
      <c r="AK173" s="166"/>
      <c r="AL173" s="11"/>
    </row>
    <row r="174" spans="2:47" ht="18" customHeight="1" x14ac:dyDescent="0.25">
      <c r="B174" s="16">
        <v>12</v>
      </c>
      <c r="C174" s="171" t="str">
        <f>IF('17F GRP'!G5&gt;=3,'17F GRP'!J166,IF('17F GRP'!G5=2,"",IF('17F GRP'!G5=1,"","")))</f>
        <v/>
      </c>
      <c r="D174" s="234">
        <v>0</v>
      </c>
      <c r="E174" s="56">
        <f>IF(D174&lt;&gt;"",D174,"")</f>
        <v>0</v>
      </c>
      <c r="F174" s="51" t="str">
        <f>IF(D174&lt;&gt;"",IF(C174="","",C174),"")</f>
        <v/>
      </c>
      <c r="G174" s="176">
        <f>IF(E174&lt;&gt;"",IF(E176&lt;&gt;"",SMALL(E174:E176,1),""),"")</f>
        <v>0</v>
      </c>
      <c r="H174" s="51"/>
      <c r="I174" s="54"/>
      <c r="J174" s="51"/>
      <c r="K174" s="176"/>
      <c r="L174" s="51"/>
      <c r="M174" s="54"/>
      <c r="N174" s="51">
        <f>IF(P165&lt;&gt;"",P165,"")</f>
        <v>0</v>
      </c>
      <c r="O174" s="176" t="str">
        <f>IF(P165&lt;&gt;"",O165,"")</f>
        <v>YASMIN DE SANTANA VERIDIANO</v>
      </c>
      <c r="P174" s="51" t="str">
        <f>VLOOKUP(P172,N172:O174,2,0)</f>
        <v>YASMIN DE SANTANA VERIDIANO</v>
      </c>
      <c r="Q174" s="78"/>
      <c r="R174" s="182"/>
      <c r="S174" s="8"/>
      <c r="T174" s="8"/>
      <c r="U174" s="8"/>
      <c r="V174" s="182"/>
      <c r="W174" s="8"/>
      <c r="X174" s="62"/>
      <c r="Y174" s="182"/>
      <c r="Z174" s="8"/>
      <c r="AA174" s="69"/>
      <c r="AB174" s="11"/>
      <c r="AC174" s="182"/>
      <c r="AD174" s="65"/>
      <c r="AE174" s="8"/>
      <c r="AF174" s="8"/>
      <c r="AG174" s="181">
        <f>IF(AJ174&lt;&gt;"",AJ174,"")</f>
        <v>0</v>
      </c>
      <c r="AH174" s="78" t="str">
        <f>IF(AJ174&lt;&gt;"",IF(AK174="","",AK174),"")</f>
        <v/>
      </c>
      <c r="AI174" s="53">
        <f>IF(AG174&lt;&gt;"",IF(AG176&lt;&gt;"",SMALL(AG174:AG176,1),""),"")</f>
        <v>0</v>
      </c>
      <c r="AJ174" s="234">
        <v>0</v>
      </c>
      <c r="AK174" s="171" t="str">
        <f>IF('17F GRP'!G5&gt;=3,'17F GRP'!J140,IF('17F GRP'!G5=2,"",IF('17F GRP'!G5=1,"","")))</f>
        <v/>
      </c>
      <c r="AL174" s="11">
        <v>10</v>
      </c>
    </row>
    <row r="175" spans="2:47" ht="18" customHeight="1" thickBot="1" x14ac:dyDescent="0.3">
      <c r="B175" s="16"/>
      <c r="C175" s="172" t="str">
        <f>IFERROR(IF(C174="","",VLOOKUP(C174,LISTAS!$F$5:$G$1004,2,0)),"0")</f>
        <v/>
      </c>
      <c r="D175" s="235"/>
      <c r="E175" s="57"/>
      <c r="F175" s="51"/>
      <c r="G175" s="176"/>
      <c r="H175" s="51"/>
      <c r="I175" s="54"/>
      <c r="J175" s="51"/>
      <c r="K175" s="176"/>
      <c r="L175" s="51"/>
      <c r="M175" s="54"/>
      <c r="N175" s="51"/>
      <c r="O175" s="176"/>
      <c r="P175" s="51"/>
      <c r="Q175" s="78"/>
      <c r="R175" s="182"/>
      <c r="S175" s="8"/>
      <c r="T175" s="8"/>
      <c r="U175" s="8"/>
      <c r="V175" s="182"/>
      <c r="W175" s="8"/>
      <c r="X175" s="62"/>
      <c r="Y175" s="182"/>
      <c r="Z175" s="8"/>
      <c r="AA175" s="69"/>
      <c r="AB175" s="11"/>
      <c r="AC175" s="182"/>
      <c r="AD175" s="65"/>
      <c r="AE175" s="8"/>
      <c r="AF175" s="8"/>
      <c r="AG175" s="181"/>
      <c r="AH175" s="78"/>
      <c r="AI175" s="124"/>
      <c r="AJ175" s="235"/>
      <c r="AK175" s="172" t="str">
        <f>IFERROR(IF(AK174="","",VLOOKUP(AK174,LISTAS!$F$5:$G$1004,2,0)),"0")</f>
        <v/>
      </c>
      <c r="AL175" s="11"/>
    </row>
    <row r="176" spans="2:47" ht="18" customHeight="1" x14ac:dyDescent="0.25">
      <c r="B176" s="16">
        <v>21</v>
      </c>
      <c r="C176" s="171" t="str">
        <f>IF('17F GRP'!G5&gt;=3,'17F GRP'!J283,IF('17F GRP'!G5=2,"",IF('17F GRP'!G5=1,"","")))</f>
        <v/>
      </c>
      <c r="D176" s="234">
        <v>0</v>
      </c>
      <c r="E176" s="57">
        <f>IF(D176&lt;&gt;"",D176,"")</f>
        <v>0</v>
      </c>
      <c r="F176" s="51" t="str">
        <f>IF(D176&lt;&gt;"",IF(C176="","",C176),"")</f>
        <v/>
      </c>
      <c r="G176" s="176" t="str">
        <f>VLOOKUP(G174,E174:F176,2,0)</f>
        <v/>
      </c>
      <c r="H176" s="51"/>
      <c r="I176" s="54"/>
      <c r="J176" s="51"/>
      <c r="K176" s="176"/>
      <c r="L176" s="51"/>
      <c r="M176" s="54"/>
      <c r="N176" s="51"/>
      <c r="O176" s="176"/>
      <c r="P176" s="51"/>
      <c r="Q176" s="78"/>
      <c r="R176" s="182"/>
      <c r="S176" s="8"/>
      <c r="T176" s="8"/>
      <c r="U176" s="8"/>
      <c r="V176" s="182"/>
      <c r="W176" s="8"/>
      <c r="X176" s="62"/>
      <c r="Y176" s="182"/>
      <c r="Z176" s="8"/>
      <c r="AA176" s="69"/>
      <c r="AB176" s="11"/>
      <c r="AC176" s="182"/>
      <c r="AD176" s="65"/>
      <c r="AE176" s="8"/>
      <c r="AF176" s="8"/>
      <c r="AG176" s="181">
        <f>IF(AJ176&lt;&gt;"",AJ176,"")</f>
        <v>0</v>
      </c>
      <c r="AH176" s="78" t="str">
        <f>IF(AJ176&lt;&gt;"",IF(AK176="","",AK176),"")</f>
        <v/>
      </c>
      <c r="AI176" s="125" t="str">
        <f>VLOOKUP(AI174,AG174:AH176,2,0)</f>
        <v/>
      </c>
      <c r="AJ176" s="234">
        <v>0</v>
      </c>
      <c r="AK176" s="171" t="str">
        <f>IF('17F GRP'!G5&gt;=3,'17F GRP'!J309,IF('17F GRP'!G5=2,"",IF('17F GRP'!G5=1,"","")))</f>
        <v/>
      </c>
      <c r="AL176" s="11">
        <v>23</v>
      </c>
    </row>
    <row r="177" spans="2:38" ht="18" customHeight="1" thickBot="1" x14ac:dyDescent="0.3">
      <c r="B177" s="16"/>
      <c r="C177" s="172" t="str">
        <f>IFERROR(IF(C176="","",VLOOKUP(C176,LISTAS!$F$5:$G$1004,2,0)),"0")</f>
        <v/>
      </c>
      <c r="D177" s="235"/>
      <c r="E177" s="51"/>
      <c r="F177" s="51"/>
      <c r="G177" s="176"/>
      <c r="H177" s="51"/>
      <c r="I177" s="54"/>
      <c r="J177" s="51"/>
      <c r="K177" s="176"/>
      <c r="L177" s="51"/>
      <c r="M177" s="54"/>
      <c r="N177" s="51"/>
      <c r="O177" s="176"/>
      <c r="P177" s="51"/>
      <c r="Q177" s="78"/>
      <c r="R177" s="182"/>
      <c r="S177" s="8"/>
      <c r="T177" s="8"/>
      <c r="U177" s="8"/>
      <c r="V177" s="182"/>
      <c r="W177" s="8"/>
      <c r="X177" s="62"/>
      <c r="Y177" s="182"/>
      <c r="Z177" s="8"/>
      <c r="AA177" s="69"/>
      <c r="AB177" s="11"/>
      <c r="AC177" s="182"/>
      <c r="AD177" s="65"/>
      <c r="AE177" s="8"/>
      <c r="AF177" s="8"/>
      <c r="AG177" s="181"/>
      <c r="AH177" s="78"/>
      <c r="AI177" s="51"/>
      <c r="AJ177" s="235"/>
      <c r="AK177" s="172" t="str">
        <f>IFERROR(IF(AK176="","",VLOOKUP(AK176,LISTAS!$F$5:$G$1004,2,0)),"0")</f>
        <v/>
      </c>
      <c r="AL177" s="11"/>
    </row>
    <row r="178" spans="2:38" ht="18" customHeight="1" x14ac:dyDescent="0.25">
      <c r="B178" s="16"/>
      <c r="C178" s="166"/>
      <c r="D178" s="11"/>
      <c r="E178" s="11"/>
      <c r="F178" s="11"/>
      <c r="G178" s="166"/>
      <c r="H178" s="11"/>
      <c r="I178" s="18"/>
      <c r="J178" s="11"/>
      <c r="K178" s="171" t="str">
        <f>IF(H170&lt;&gt;"",IF(H172&lt;&gt;"",IF(H170=H172,"",IF(H170&gt;H172,G170,G172)),""),"")</f>
        <v>YASMIN DE SANTANA VERIDIANO</v>
      </c>
      <c r="L178" s="234">
        <v>1</v>
      </c>
      <c r="M178" s="56">
        <f>IF(L178&lt;&gt;"",L178,"")</f>
        <v>1</v>
      </c>
      <c r="N178" s="51" t="str">
        <f>IF(L178&lt;&gt;"",IF(K178="","",K178),"")</f>
        <v>YASMIN DE SANTANA VERIDIANO</v>
      </c>
      <c r="O178" s="176">
        <f>IF(M178&lt;&gt;"",IF(M180&lt;&gt;"",SMALL(M178:N180,1),""),"")</f>
        <v>0</v>
      </c>
      <c r="P178" s="11"/>
      <c r="Q178" s="8"/>
      <c r="R178" s="182"/>
      <c r="S178" s="8"/>
      <c r="T178" s="8"/>
      <c r="U178" s="8"/>
      <c r="V178" s="182"/>
      <c r="W178" s="8"/>
      <c r="X178" s="62"/>
      <c r="Y178" s="182"/>
      <c r="Z178" s="8"/>
      <c r="AA178" s="70"/>
      <c r="AB178" s="234">
        <v>0</v>
      </c>
      <c r="AC178" s="171" t="str">
        <f>IF(AF170&lt;&gt;"",IF(AF172&lt;&gt;"",IF(AF170=AF172,"",IF(AF170&gt;AF172,AG170,AG172)),""),"")</f>
        <v/>
      </c>
      <c r="AD178" s="112"/>
      <c r="AE178" s="8"/>
      <c r="AF178" s="8"/>
      <c r="AG178" s="181"/>
      <c r="AH178" s="78"/>
      <c r="AI178" s="78"/>
      <c r="AJ178" s="11"/>
      <c r="AK178" s="166"/>
      <c r="AL178" s="11"/>
    </row>
    <row r="179" spans="2:38" ht="18" customHeight="1" thickBot="1" x14ac:dyDescent="0.3">
      <c r="B179" s="16"/>
      <c r="C179" s="166"/>
      <c r="D179" s="11"/>
      <c r="E179" s="11"/>
      <c r="F179" s="11"/>
      <c r="G179" s="166"/>
      <c r="H179" s="11"/>
      <c r="I179" s="18"/>
      <c r="J179" s="11"/>
      <c r="K179" s="172" t="str">
        <f>IFERROR(IF(K178="","",VLOOKUP(K178,LISTAS!$F$5:$G$1004,2,0)),"0")</f>
        <v>COLÉGIO ENGENHEIRO SALVADOR ARENA</v>
      </c>
      <c r="L179" s="235"/>
      <c r="M179" s="57"/>
      <c r="N179" s="51"/>
      <c r="O179" s="176"/>
      <c r="P179" s="11"/>
      <c r="Q179" s="8"/>
      <c r="R179" s="182"/>
      <c r="S179" s="8"/>
      <c r="T179" s="8"/>
      <c r="U179" s="8"/>
      <c r="V179" s="182"/>
      <c r="W179" s="8"/>
      <c r="X179" s="62"/>
      <c r="Y179" s="182"/>
      <c r="Z179" s="8"/>
      <c r="AA179" s="8"/>
      <c r="AB179" s="235"/>
      <c r="AC179" s="172" t="str">
        <f>IFERROR(IF(AC178="","",VLOOKUP(AC178,LISTAS!$F$5:$G$1004,2,0)),"0")</f>
        <v/>
      </c>
      <c r="AD179" s="8"/>
      <c r="AE179" s="69"/>
      <c r="AF179" s="8"/>
      <c r="AG179" s="182"/>
      <c r="AH179" s="8"/>
      <c r="AI179" s="8"/>
      <c r="AJ179" s="11"/>
      <c r="AK179" s="166"/>
      <c r="AL179" s="11"/>
    </row>
    <row r="180" spans="2:38" ht="18" customHeight="1" x14ac:dyDescent="0.25">
      <c r="B180" s="16"/>
      <c r="C180" s="166"/>
      <c r="D180" s="11"/>
      <c r="E180" s="11"/>
      <c r="F180" s="11"/>
      <c r="G180" s="166"/>
      <c r="H180" s="11"/>
      <c r="I180" s="18"/>
      <c r="J180" s="19"/>
      <c r="K180" s="171" t="str">
        <f>IF(H186&lt;&gt;"",IF(H188&lt;&gt;"",IF(H186=H188,"",IF(H186&gt;H188,G186,G188)),""),"")</f>
        <v>MARÍLIA MIRANDA BRITO</v>
      </c>
      <c r="L180" s="234">
        <v>0</v>
      </c>
      <c r="M180" s="57">
        <f>IF(L180&lt;&gt;"",L180,"")</f>
        <v>0</v>
      </c>
      <c r="N180" s="51" t="str">
        <f>IF(L180&lt;&gt;"",IF(K180="","",K180),"")</f>
        <v>MARÍLIA MIRANDA BRITO</v>
      </c>
      <c r="O180" s="176" t="str">
        <f>VLOOKUP(O178,M178:N180,2,0)</f>
        <v>MARÍLIA MIRANDA BRITO</v>
      </c>
      <c r="P180" s="11"/>
      <c r="Q180" s="8"/>
      <c r="R180" s="182"/>
      <c r="S180" s="8"/>
      <c r="T180" s="8"/>
      <c r="U180" s="8"/>
      <c r="V180" s="182"/>
      <c r="W180" s="8"/>
      <c r="X180" s="62"/>
      <c r="Y180" s="182"/>
      <c r="Z180" s="8"/>
      <c r="AA180" s="8"/>
      <c r="AB180" s="234">
        <v>2</v>
      </c>
      <c r="AC180" s="171" t="str">
        <f>IF(AF186&lt;&gt;"",IF(AF188&lt;&gt;"",IF(AF186=AF188,"",IF(AF186&gt;AF188,AG186,AG188)),""),"")</f>
        <v>HELOÍSA APARECIDA OLIVEIRA RIBEIRO</v>
      </c>
      <c r="AD180" s="8"/>
      <c r="AE180" s="69"/>
      <c r="AF180" s="8"/>
      <c r="AG180" s="182"/>
      <c r="AH180" s="8"/>
      <c r="AI180" s="8"/>
      <c r="AJ180" s="11"/>
      <c r="AK180" s="166"/>
      <c r="AL180" s="11"/>
    </row>
    <row r="181" spans="2:38" ht="18" customHeight="1" thickBot="1" x14ac:dyDescent="0.3">
      <c r="B181" s="16"/>
      <c r="C181" s="166"/>
      <c r="D181" s="11"/>
      <c r="E181" s="11"/>
      <c r="F181" s="11"/>
      <c r="G181" s="166"/>
      <c r="H181" s="11"/>
      <c r="I181" s="18"/>
      <c r="J181" s="11"/>
      <c r="K181" s="172" t="str">
        <f>IFERROR(IF(K180="","",VLOOKUP(K180,LISTAS!$F$5:$G$1004,2,0)),"0")</f>
        <v>COLÉGIO ENGENHEIRO SALVADOR ARENA</v>
      </c>
      <c r="L181" s="235"/>
      <c r="M181" s="51"/>
      <c r="N181" s="51"/>
      <c r="O181" s="176"/>
      <c r="P181" s="11"/>
      <c r="Q181" s="8"/>
      <c r="R181" s="182"/>
      <c r="S181" s="8"/>
      <c r="T181" s="8"/>
      <c r="U181" s="8"/>
      <c r="V181" s="182"/>
      <c r="W181" s="8"/>
      <c r="X181" s="62"/>
      <c r="Y181" s="182"/>
      <c r="Z181" s="8"/>
      <c r="AA181" s="8"/>
      <c r="AB181" s="235"/>
      <c r="AC181" s="172" t="str">
        <f>IFERROR(IF(AC180="","",VLOOKUP(AC180,LISTAS!$F$5:$G$1004,2,0)),"0")</f>
        <v>COLÉGIO ENGENHEIRO SALVADOR ARENA</v>
      </c>
      <c r="AD181" s="8"/>
      <c r="AE181" s="69"/>
      <c r="AF181" s="8"/>
      <c r="AG181" s="182"/>
      <c r="AH181" s="8"/>
      <c r="AI181" s="8"/>
      <c r="AJ181" s="11"/>
      <c r="AK181" s="166"/>
      <c r="AL181" s="11"/>
    </row>
    <row r="182" spans="2:38" ht="18" customHeight="1" x14ac:dyDescent="0.25">
      <c r="B182" s="16">
        <v>20</v>
      </c>
      <c r="C182" s="171" t="str">
        <f>IF('17F GRP'!G5&gt;=3,'17F GRP'!J270,IF('17F GRP'!G5=2,"",IF('17F GRP'!G5=1,"","")))</f>
        <v/>
      </c>
      <c r="D182" s="234">
        <v>0</v>
      </c>
      <c r="E182" s="51">
        <f>IF(D182&lt;&gt;"",D182,"")</f>
        <v>0</v>
      </c>
      <c r="F182" s="51" t="str">
        <f>IF(D182&lt;&gt;"",IF(C182="","",C182),"")</f>
        <v/>
      </c>
      <c r="G182" s="176">
        <f>IF(E182&lt;&gt;"",IF(E184&lt;&gt;"",SMALL(E182:E184,1),""),"")</f>
        <v>0</v>
      </c>
      <c r="H182" s="51"/>
      <c r="I182" s="18"/>
      <c r="J182" s="11"/>
      <c r="K182" s="166"/>
      <c r="L182" s="11"/>
      <c r="M182" s="11"/>
      <c r="N182" s="11"/>
      <c r="O182" s="166"/>
      <c r="P182" s="11"/>
      <c r="Q182" s="8"/>
      <c r="R182" s="182"/>
      <c r="S182" s="8"/>
      <c r="T182" s="8"/>
      <c r="U182" s="8"/>
      <c r="V182" s="182"/>
      <c r="W182" s="8"/>
      <c r="X182" s="62"/>
      <c r="Y182" s="182"/>
      <c r="Z182" s="8"/>
      <c r="AA182" s="8"/>
      <c r="AB182" s="11"/>
      <c r="AC182" s="182"/>
      <c r="AD182" s="8"/>
      <c r="AE182" s="69"/>
      <c r="AF182" s="8"/>
      <c r="AG182" s="181">
        <f>IF(AJ182&lt;&gt;"",AJ182,"")</f>
        <v>0</v>
      </c>
      <c r="AH182" s="78" t="str">
        <f>IF(AJ182&lt;&gt;"",IF(AK182="","",AK182),"")</f>
        <v/>
      </c>
      <c r="AI182" s="51">
        <f>IF(AG182&lt;&gt;"",IF(AG184&lt;&gt;"",SMALL(AG182:AG184,1),""),"")</f>
        <v>0</v>
      </c>
      <c r="AJ182" s="234">
        <v>0</v>
      </c>
      <c r="AK182" s="171" t="str">
        <f>IF('17F GRP'!G5&gt;=3,'17F GRP'!J205,IF('17F GRP'!G5=2,"",IF('17F GRP'!G5=1,"","")))</f>
        <v/>
      </c>
      <c r="AL182" s="11">
        <v>15</v>
      </c>
    </row>
    <row r="183" spans="2:38" ht="18" customHeight="1" thickBot="1" x14ac:dyDescent="0.3">
      <c r="B183" s="16"/>
      <c r="C183" s="172" t="str">
        <f>IFERROR(IF(C182="","",VLOOKUP(C182,LISTAS!$F$5:$G$1004,2,0)),"0")</f>
        <v/>
      </c>
      <c r="D183" s="235"/>
      <c r="E183" s="51"/>
      <c r="F183" s="51"/>
      <c r="G183" s="176"/>
      <c r="H183" s="51"/>
      <c r="I183" s="18"/>
      <c r="J183" s="11"/>
      <c r="K183" s="166"/>
      <c r="L183" s="11"/>
      <c r="M183" s="11"/>
      <c r="N183" s="11"/>
      <c r="O183" s="166"/>
      <c r="P183" s="11"/>
      <c r="Q183" s="8"/>
      <c r="R183" s="182"/>
      <c r="S183" s="8"/>
      <c r="T183" s="8"/>
      <c r="U183" s="8"/>
      <c r="V183" s="182"/>
      <c r="W183" s="8"/>
      <c r="X183" s="62"/>
      <c r="Y183" s="182"/>
      <c r="Z183" s="8"/>
      <c r="AA183" s="8"/>
      <c r="AB183" s="11"/>
      <c r="AC183" s="182"/>
      <c r="AD183" s="8"/>
      <c r="AE183" s="69"/>
      <c r="AF183" s="8"/>
      <c r="AG183" s="181"/>
      <c r="AH183" s="78"/>
      <c r="AI183" s="51"/>
      <c r="AJ183" s="235"/>
      <c r="AK183" s="172" t="str">
        <f>IFERROR(IF(AK182="","",VLOOKUP(AK182,LISTAS!$F$5:$G$1004,2,0)),"0")</f>
        <v/>
      </c>
      <c r="AL183" s="11"/>
    </row>
    <row r="184" spans="2:38" ht="18" customHeight="1" x14ac:dyDescent="0.25">
      <c r="B184" s="16">
        <v>13</v>
      </c>
      <c r="C184" s="171" t="str">
        <f>IF('17F GRP'!G5&gt;=3,'17F GRP'!J179,IF('17F GRP'!G5=2,"",IF('17F GRP'!G5=1,"","")))</f>
        <v/>
      </c>
      <c r="D184" s="234">
        <v>0</v>
      </c>
      <c r="E184" s="52">
        <f>IF(D184&lt;&gt;"",D184,"")</f>
        <v>0</v>
      </c>
      <c r="F184" s="51" t="str">
        <f>IF(D184&lt;&gt;"",IF(C184="","",C184),"")</f>
        <v/>
      </c>
      <c r="G184" s="176" t="str">
        <f>VLOOKUP(G182,E182:F184,2,0)</f>
        <v/>
      </c>
      <c r="H184" s="51"/>
      <c r="I184" s="18"/>
      <c r="J184" s="11"/>
      <c r="K184" s="166"/>
      <c r="L184" s="11"/>
      <c r="M184" s="11"/>
      <c r="N184" s="11"/>
      <c r="O184" s="166"/>
      <c r="P184" s="11"/>
      <c r="Q184" s="8"/>
      <c r="R184" s="182"/>
      <c r="S184" s="8"/>
      <c r="T184" s="8"/>
      <c r="U184" s="8"/>
      <c r="V184" s="182"/>
      <c r="W184" s="8"/>
      <c r="X184" s="62"/>
      <c r="Y184" s="182"/>
      <c r="Z184" s="8"/>
      <c r="AA184" s="8"/>
      <c r="AB184" s="11"/>
      <c r="AC184" s="182"/>
      <c r="AD184" s="8"/>
      <c r="AE184" s="69"/>
      <c r="AF184" s="8"/>
      <c r="AG184" s="181">
        <f>IF(AJ184&lt;&gt;"",AJ184,"")</f>
        <v>0</v>
      </c>
      <c r="AH184" s="78" t="str">
        <f>IF(AJ184&lt;&gt;"",IF(AK184="","",AK184),"")</f>
        <v/>
      </c>
      <c r="AI184" s="55" t="str">
        <f>VLOOKUP(AI182,AG182:AH184,2,0)</f>
        <v/>
      </c>
      <c r="AJ184" s="234">
        <v>0</v>
      </c>
      <c r="AK184" s="171" t="str">
        <f>IF('17F GRP'!G5&gt;=3,'17F GRP'!J244,IF('17F GRP'!G5=2,"",IF('17F GRP'!G5=1,"","")))</f>
        <v/>
      </c>
      <c r="AL184" s="11">
        <v>18</v>
      </c>
    </row>
    <row r="185" spans="2:38" ht="18" customHeight="1" thickBot="1" x14ac:dyDescent="0.3">
      <c r="B185" s="16"/>
      <c r="C185" s="172" t="str">
        <f>IFERROR(IF(C184="","",VLOOKUP(C184,LISTAS!$F$5:$G$1004,2,0)),"0")</f>
        <v/>
      </c>
      <c r="D185" s="235"/>
      <c r="E185" s="121"/>
      <c r="F185" s="11"/>
      <c r="G185" s="166"/>
      <c r="H185" s="11"/>
      <c r="I185" s="18"/>
      <c r="J185" s="11"/>
      <c r="K185" s="166"/>
      <c r="L185" s="11"/>
      <c r="M185" s="11"/>
      <c r="N185" s="11"/>
      <c r="O185" s="166"/>
      <c r="P185" s="11"/>
      <c r="Q185" s="8"/>
      <c r="R185" s="182"/>
      <c r="S185" s="8"/>
      <c r="T185" s="8"/>
      <c r="U185" s="8"/>
      <c r="V185" s="182"/>
      <c r="W185" s="8"/>
      <c r="X185" s="62"/>
      <c r="Y185" s="182"/>
      <c r="Z185" s="8"/>
      <c r="AA185" s="8"/>
      <c r="AB185" s="11"/>
      <c r="AC185" s="182"/>
      <c r="AD185" s="8"/>
      <c r="AE185" s="69"/>
      <c r="AF185" s="8"/>
      <c r="AG185" s="181"/>
      <c r="AH185" s="126"/>
      <c r="AI185" s="51"/>
      <c r="AJ185" s="235"/>
      <c r="AK185" s="172" t="str">
        <f>IFERROR(IF(AK184="","",VLOOKUP(AK184,LISTAS!$F$5:$G$1004,2,0)),"0")</f>
        <v/>
      </c>
      <c r="AL185" s="11"/>
    </row>
    <row r="186" spans="2:38" ht="18" customHeight="1" x14ac:dyDescent="0.25">
      <c r="B186" s="16"/>
      <c r="C186" s="166"/>
      <c r="D186" s="11"/>
      <c r="E186" s="11"/>
      <c r="F186" s="17"/>
      <c r="G186" s="171" t="str">
        <f>IF(D182&lt;&gt;"",IF(D184&lt;&gt;"",IF(D182=D184,"",IF(D182&gt;D184,C182,C184)),""),"")</f>
        <v/>
      </c>
      <c r="H186" s="234">
        <v>0</v>
      </c>
      <c r="I186" s="56">
        <f>IF(H186&lt;&gt;"",H186,"")</f>
        <v>0</v>
      </c>
      <c r="J186" s="51" t="str">
        <f>IF(H186&lt;&gt;"",IF(G186="","",G186),"")</f>
        <v/>
      </c>
      <c r="K186" s="176">
        <f>IF(I186&lt;&gt;"",IF(I188&lt;&gt;"",SMALL(I186:J188,1),""),"")</f>
        <v>0</v>
      </c>
      <c r="L186" s="11"/>
      <c r="M186" s="11"/>
      <c r="N186" s="11"/>
      <c r="O186" s="166"/>
      <c r="P186" s="11"/>
      <c r="Q186" s="8"/>
      <c r="R186" s="182"/>
      <c r="S186" s="8"/>
      <c r="T186" s="8"/>
      <c r="U186" s="8"/>
      <c r="V186" s="182"/>
      <c r="W186" s="8"/>
      <c r="X186" s="62"/>
      <c r="Y186" s="182"/>
      <c r="Z186" s="8"/>
      <c r="AA186" s="8"/>
      <c r="AB186" s="11"/>
      <c r="AC186" s="182"/>
      <c r="AD186" s="8"/>
      <c r="AE186" s="69"/>
      <c r="AF186" s="234">
        <v>0</v>
      </c>
      <c r="AG186" s="171" t="str">
        <f>IF(AJ182&lt;&gt;"",IF(AJ184&lt;&gt;"",IF(AJ182=AJ184,"",IF(AJ182&gt;AJ184,AK182,AK184)),""),"")</f>
        <v/>
      </c>
      <c r="AH186" s="65"/>
      <c r="AI186" s="8"/>
      <c r="AJ186" s="11"/>
      <c r="AK186" s="166"/>
      <c r="AL186" s="11"/>
    </row>
    <row r="187" spans="2:38" ht="18" customHeight="1" thickBot="1" x14ac:dyDescent="0.3">
      <c r="B187" s="16"/>
      <c r="C187" s="166"/>
      <c r="D187" s="11"/>
      <c r="E187" s="11"/>
      <c r="F187" s="17"/>
      <c r="G187" s="172" t="str">
        <f>IFERROR(IF(G186="","",VLOOKUP(G186,LISTAS!$F$5:$G$1004,2,0)),"0")</f>
        <v/>
      </c>
      <c r="H187" s="235"/>
      <c r="I187" s="57"/>
      <c r="J187" s="51"/>
      <c r="K187" s="176"/>
      <c r="L187" s="11"/>
      <c r="M187" s="11"/>
      <c r="N187" s="11"/>
      <c r="O187" s="166"/>
      <c r="P187" s="11"/>
      <c r="Q187" s="8"/>
      <c r="R187" s="182"/>
      <c r="S187" s="8"/>
      <c r="T187" s="8"/>
      <c r="U187" s="8"/>
      <c r="V187" s="182"/>
      <c r="W187" s="8"/>
      <c r="X187" s="62"/>
      <c r="Y187" s="182"/>
      <c r="Z187" s="8"/>
      <c r="AA187" s="8"/>
      <c r="AB187" s="11"/>
      <c r="AC187" s="182"/>
      <c r="AD187" s="8"/>
      <c r="AE187" s="70"/>
      <c r="AF187" s="235"/>
      <c r="AG187" s="172" t="str">
        <f>IFERROR(IF(AG186="","",VLOOKUP(AG186,LISTAS!$F$5:$G$1004,2,0)),"0")</f>
        <v/>
      </c>
      <c r="AH187" s="65"/>
      <c r="AI187" s="8"/>
      <c r="AJ187" s="11"/>
      <c r="AK187" s="166"/>
      <c r="AL187" s="11"/>
    </row>
    <row r="188" spans="2:38" ht="18" customHeight="1" x14ac:dyDescent="0.25">
      <c r="B188" s="16"/>
      <c r="C188" s="166"/>
      <c r="D188" s="11"/>
      <c r="E188" s="18"/>
      <c r="F188" s="19"/>
      <c r="G188" s="171" t="str">
        <f>IF(D190&lt;&gt;"",IF(D192&lt;&gt;"",IF(D190=D192,"",IF(D190&gt;D192,C190,C192)),""),"")</f>
        <v>MARÍLIA MIRANDA BRITO</v>
      </c>
      <c r="H188" s="234">
        <v>2</v>
      </c>
      <c r="I188" s="57">
        <f>IF(H188&lt;&gt;"",H188,"")</f>
        <v>2</v>
      </c>
      <c r="J188" s="51" t="str">
        <f>IF(H188&lt;&gt;"",IF(G188="","",G188),"")</f>
        <v>MARÍLIA MIRANDA BRITO</v>
      </c>
      <c r="K188" s="176" t="str">
        <f>VLOOKUP(K186,I186:J188,2,0)</f>
        <v/>
      </c>
      <c r="L188" s="11"/>
      <c r="M188" s="11"/>
      <c r="N188" s="11"/>
      <c r="O188" s="166"/>
      <c r="P188" s="11"/>
      <c r="Q188" s="8"/>
      <c r="R188" s="182"/>
      <c r="S188" s="8"/>
      <c r="T188" s="8"/>
      <c r="U188" s="8"/>
      <c r="V188" s="182"/>
      <c r="W188" s="8"/>
      <c r="X188" s="62"/>
      <c r="Y188" s="182"/>
      <c r="Z188" s="8"/>
      <c r="AA188" s="8"/>
      <c r="AB188" s="11"/>
      <c r="AC188" s="182"/>
      <c r="AD188" s="8"/>
      <c r="AE188" s="64"/>
      <c r="AF188" s="234">
        <v>2</v>
      </c>
      <c r="AG188" s="171" t="str">
        <f>IF(AJ190&lt;&gt;"",IF(AJ192&lt;&gt;"",IF(AJ190=AJ192,"",IF(AJ190&gt;AJ192,AK190,AK192)),""),"")</f>
        <v>HELOÍSA APARECIDA OLIVEIRA RIBEIRO</v>
      </c>
      <c r="AH188" s="66"/>
      <c r="AI188" s="8"/>
      <c r="AJ188" s="11"/>
      <c r="AK188" s="166"/>
      <c r="AL188" s="11"/>
    </row>
    <row r="189" spans="2:38" ht="18" customHeight="1" thickBot="1" x14ac:dyDescent="0.3">
      <c r="B189" s="16"/>
      <c r="C189" s="166"/>
      <c r="D189" s="11"/>
      <c r="E189" s="18"/>
      <c r="F189" s="11"/>
      <c r="G189" s="172" t="str">
        <f>IFERROR(IF(G188="","",VLOOKUP(G188,LISTAS!$F$5:$G$1004,2,0)),"0")</f>
        <v>COLÉGIO ENGENHEIRO SALVADOR ARENA</v>
      </c>
      <c r="H189" s="235"/>
      <c r="I189" s="51"/>
      <c r="J189" s="51"/>
      <c r="K189" s="176"/>
      <c r="L189" s="11"/>
      <c r="M189" s="11"/>
      <c r="N189" s="11"/>
      <c r="O189" s="166"/>
      <c r="P189" s="11"/>
      <c r="Q189" s="8"/>
      <c r="R189" s="182"/>
      <c r="S189" s="8"/>
      <c r="T189" s="8"/>
      <c r="U189" s="8"/>
      <c r="V189" s="182"/>
      <c r="W189" s="8"/>
      <c r="X189" s="62"/>
      <c r="Y189" s="182"/>
      <c r="Z189" s="8"/>
      <c r="AA189" s="8"/>
      <c r="AB189" s="11"/>
      <c r="AC189" s="182"/>
      <c r="AD189" s="8"/>
      <c r="AE189" s="8"/>
      <c r="AF189" s="235"/>
      <c r="AG189" s="172" t="str">
        <f>IFERROR(IF(AG188="","",VLOOKUP(AG188,LISTAS!$F$5:$G$1004,2,0)),"0")</f>
        <v>COLÉGIO ENGENHEIRO SALVADOR ARENA</v>
      </c>
      <c r="AH189" s="8"/>
      <c r="AI189" s="69"/>
      <c r="AJ189" s="11"/>
      <c r="AK189" s="166"/>
      <c r="AL189" s="11"/>
    </row>
    <row r="190" spans="2:38" ht="18" customHeight="1" x14ac:dyDescent="0.25">
      <c r="B190" s="16">
        <v>29</v>
      </c>
      <c r="C190" s="171" t="str">
        <f>IF('17F GRP'!G5&gt;=3,'17F GRP'!J387,IF('17F GRP'!G5=2,"",IF('17F GRP'!G5=1,"","")))</f>
        <v/>
      </c>
      <c r="D190" s="234">
        <v>0</v>
      </c>
      <c r="E190" s="56">
        <f>IF(D190&lt;&gt;"",D190,"")</f>
        <v>0</v>
      </c>
      <c r="F190" s="51" t="str">
        <f>IF(D190&lt;&gt;"",IF(C190="","",C190),"")</f>
        <v/>
      </c>
      <c r="G190" s="176">
        <f>IF(E190&lt;&gt;"",IF(E192&lt;&gt;"",SMALL(E190:E192,1),""),"")</f>
        <v>0</v>
      </c>
      <c r="H190" s="51"/>
      <c r="I190" s="11"/>
      <c r="J190" s="11"/>
      <c r="K190" s="166"/>
      <c r="L190" s="11"/>
      <c r="M190" s="11"/>
      <c r="N190" s="11"/>
      <c r="O190" s="166"/>
      <c r="P190" s="11"/>
      <c r="Q190" s="8"/>
      <c r="R190" s="182"/>
      <c r="S190" s="8"/>
      <c r="T190" s="8"/>
      <c r="U190" s="8"/>
      <c r="V190" s="182"/>
      <c r="W190" s="8"/>
      <c r="X190" s="62"/>
      <c r="Y190" s="182"/>
      <c r="Z190" s="8"/>
      <c r="AA190" s="8"/>
      <c r="AB190" s="11"/>
      <c r="AC190" s="182"/>
      <c r="AD190" s="8"/>
      <c r="AE190" s="8"/>
      <c r="AF190" s="8"/>
      <c r="AG190" s="181">
        <f>IF(AJ190&lt;&gt;"",AJ190,"")</f>
        <v>0</v>
      </c>
      <c r="AH190" s="78" t="str">
        <f>IF(AJ190&lt;&gt;"",IF(AK190="","",AK190),"")</f>
        <v/>
      </c>
      <c r="AI190" s="53">
        <f>IF(AG190&lt;&gt;"",IF(AG192&lt;&gt;"",SMALL(AG190:AG192,1),""),"")</f>
        <v>0</v>
      </c>
      <c r="AJ190" s="234">
        <v>0</v>
      </c>
      <c r="AK190" s="171" t="str">
        <f>IF('17F GRP'!G5&gt;=3,'17F GRP'!J413,IF('17F GRP'!G5=2,"",IF('17F GRP'!G5=1,"","")))</f>
        <v/>
      </c>
      <c r="AL190" s="11">
        <v>31</v>
      </c>
    </row>
    <row r="191" spans="2:38" ht="18" customHeight="1" thickBot="1" x14ac:dyDescent="0.3">
      <c r="B191" s="16"/>
      <c r="C191" s="172" t="str">
        <f>IFERROR(IF(C190="","",VLOOKUP(C190,LISTAS!$F$5:$G$1004,2,0)),"0")</f>
        <v/>
      </c>
      <c r="D191" s="235"/>
      <c r="E191" s="57"/>
      <c r="F191" s="51"/>
      <c r="G191" s="176"/>
      <c r="H191" s="51"/>
      <c r="I191" s="11"/>
      <c r="J191" s="11"/>
      <c r="K191" s="166"/>
      <c r="L191" s="11"/>
      <c r="M191" s="11"/>
      <c r="N191" s="11"/>
      <c r="O191" s="166"/>
      <c r="P191" s="11"/>
      <c r="Q191" s="8"/>
      <c r="R191" s="182"/>
      <c r="S191" s="8"/>
      <c r="T191" s="8"/>
      <c r="U191" s="8"/>
      <c r="V191" s="182"/>
      <c r="W191" s="8"/>
      <c r="X191" s="62"/>
      <c r="Y191" s="182"/>
      <c r="Z191" s="8"/>
      <c r="AA191" s="8"/>
      <c r="AB191" s="11"/>
      <c r="AC191" s="182"/>
      <c r="AD191" s="8"/>
      <c r="AE191" s="8"/>
      <c r="AF191" s="8"/>
      <c r="AG191" s="181"/>
      <c r="AH191" s="78"/>
      <c r="AI191" s="77"/>
      <c r="AJ191" s="235"/>
      <c r="AK191" s="172" t="str">
        <f>IFERROR(IF(AK190="","",VLOOKUP(AK190,LISTAS!$F$5:$G$1004,2,0)),"0")</f>
        <v/>
      </c>
      <c r="AL191" s="11"/>
    </row>
    <row r="192" spans="2:38" ht="45" x14ac:dyDescent="0.25">
      <c r="B192" s="16">
        <v>4</v>
      </c>
      <c r="C192" s="171" t="str">
        <f>IF('17F GRP'!G5&gt;=3,'17F GRP'!J62,IF('17F GRP'!G5=2,"",IF('17F GRP'!G5=1,"","")))</f>
        <v>MARÍLIA MIRANDA BRITO</v>
      </c>
      <c r="D192" s="234">
        <v>2</v>
      </c>
      <c r="E192" s="57">
        <f>IF(D192&lt;&gt;"",D192,"")</f>
        <v>2</v>
      </c>
      <c r="F192" s="51" t="str">
        <f>IF(D192&lt;&gt;"",IF(C192="","",C192),"")</f>
        <v>MARÍLIA MIRANDA BRITO</v>
      </c>
      <c r="G192" s="176" t="str">
        <f>VLOOKUP(G190,E190:F192,2,0)</f>
        <v/>
      </c>
      <c r="H192" s="51"/>
      <c r="I192" s="11"/>
      <c r="J192" s="11"/>
      <c r="K192" s="166"/>
      <c r="L192" s="11"/>
      <c r="M192" s="11"/>
      <c r="N192" s="11"/>
      <c r="O192" s="166"/>
      <c r="P192" s="11"/>
      <c r="Q192" s="8"/>
      <c r="R192" s="182"/>
      <c r="S192" s="8"/>
      <c r="T192" s="8"/>
      <c r="U192" s="8"/>
      <c r="V192" s="182"/>
      <c r="W192" s="8"/>
      <c r="X192" s="62"/>
      <c r="Y192" s="182"/>
      <c r="Z192" s="8"/>
      <c r="AA192" s="8"/>
      <c r="AB192" s="11"/>
      <c r="AC192" s="182"/>
      <c r="AD192" s="8"/>
      <c r="AE192" s="8"/>
      <c r="AF192" s="8"/>
      <c r="AG192" s="181">
        <f>IF(AJ192&lt;&gt;"",AJ192,"")</f>
        <v>2</v>
      </c>
      <c r="AH192" s="78" t="str">
        <f>IF(AJ192&lt;&gt;"",IF(AK192="","",AK192),"")</f>
        <v>HELOÍSA APARECIDA OLIVEIRA RIBEIRO</v>
      </c>
      <c r="AI192" s="76" t="str">
        <f>VLOOKUP(AI190,AG190:AH192,2,0)</f>
        <v/>
      </c>
      <c r="AJ192" s="234">
        <v>2</v>
      </c>
      <c r="AK192" s="171" t="str">
        <f>IF('17F GRP'!G5&gt;=3,'17F GRP'!J32,IF('17F GRP'!G5=2,IF('17F GRP'!H8=3,'17F GRP'!J32,""),IF('17F GRP'!G5=1,"","")))</f>
        <v>HELOÍSA APARECIDA OLIVEIRA RIBEIRO</v>
      </c>
      <c r="AL192" s="11">
        <v>2</v>
      </c>
    </row>
    <row r="193" spans="2:38" ht="45.75" thickBot="1" x14ac:dyDescent="0.3">
      <c r="B193" s="16"/>
      <c r="C193" s="172" t="str">
        <f>IFERROR(IF(C192="","",VLOOKUP(C192,LISTAS!$F$5:$G$1004,2,0)),"0")</f>
        <v>COLÉGIO ENGENHEIRO SALVADOR ARENA</v>
      </c>
      <c r="D193" s="235"/>
      <c r="E193" s="51"/>
      <c r="F193" s="51"/>
      <c r="G193" s="176"/>
      <c r="H193" s="51"/>
      <c r="I193" s="11"/>
      <c r="J193" s="11"/>
      <c r="K193" s="166"/>
      <c r="L193" s="11"/>
      <c r="M193" s="11"/>
      <c r="N193" s="11"/>
      <c r="O193" s="166"/>
      <c r="P193" s="11"/>
      <c r="Q193" s="8"/>
      <c r="R193" s="182"/>
      <c r="S193" s="8"/>
      <c r="T193" s="8"/>
      <c r="U193" s="8"/>
      <c r="V193" s="182"/>
      <c r="W193" s="8"/>
      <c r="X193" s="62"/>
      <c r="Y193" s="182"/>
      <c r="Z193" s="8"/>
      <c r="AA193" s="8"/>
      <c r="AB193" s="11"/>
      <c r="AC193" s="182"/>
      <c r="AD193" s="8"/>
      <c r="AE193" s="8"/>
      <c r="AF193" s="8"/>
      <c r="AG193" s="181"/>
      <c r="AH193" s="78"/>
      <c r="AI193" s="51"/>
      <c r="AJ193" s="235"/>
      <c r="AK193" s="172" t="str">
        <f>IFERROR(IF(AK192="","",VLOOKUP(AK192,LISTAS!$F$5:$G$1004,2,0)),"0")</f>
        <v>COLÉGIO ENGENHEIRO SALVADOR ARENA</v>
      </c>
      <c r="AL193" s="11"/>
    </row>
    <row r="194" spans="2:38" x14ac:dyDescent="0.25">
      <c r="B194" s="16"/>
      <c r="C194" s="167"/>
      <c r="D194" s="71"/>
      <c r="E194" s="127"/>
      <c r="F194" s="127"/>
      <c r="G194" s="177"/>
      <c r="H194" s="127"/>
      <c r="I194" s="71"/>
      <c r="J194" s="71"/>
      <c r="K194" s="167"/>
      <c r="L194" s="71"/>
      <c r="M194" s="71"/>
      <c r="N194" s="71"/>
      <c r="O194" s="167"/>
      <c r="P194" s="71"/>
      <c r="Q194" s="8"/>
      <c r="R194" s="182"/>
      <c r="S194" s="8"/>
      <c r="T194" s="8"/>
      <c r="U194" s="8"/>
      <c r="V194" s="182"/>
      <c r="W194" s="8"/>
      <c r="X194" s="62"/>
      <c r="Y194" s="182"/>
      <c r="Z194" s="8"/>
      <c r="AA194" s="8"/>
      <c r="AB194" s="11"/>
      <c r="AC194" s="182"/>
      <c r="AD194" s="8"/>
      <c r="AE194" s="8"/>
      <c r="AF194" s="8"/>
      <c r="AG194" s="182"/>
      <c r="AH194" s="8"/>
      <c r="AI194" s="8"/>
      <c r="AJ194" s="71"/>
      <c r="AK194" s="167"/>
      <c r="AL194" s="11"/>
    </row>
    <row r="195" spans="2:38" x14ac:dyDescent="0.25">
      <c r="B195" s="11"/>
      <c r="C195" s="167"/>
      <c r="D195" s="71"/>
      <c r="E195" s="71"/>
      <c r="F195" s="71"/>
      <c r="G195" s="167"/>
      <c r="H195" s="71"/>
      <c r="I195" s="71"/>
      <c r="J195" s="71"/>
      <c r="K195" s="167"/>
      <c r="L195" s="71"/>
      <c r="M195" s="71"/>
      <c r="N195" s="71"/>
      <c r="O195" s="167"/>
      <c r="P195" s="71"/>
      <c r="Q195" s="8"/>
      <c r="R195" s="182"/>
      <c r="S195" s="8"/>
      <c r="T195" s="8"/>
      <c r="U195" s="8"/>
      <c r="V195" s="182"/>
      <c r="W195" s="8"/>
      <c r="X195" s="62"/>
      <c r="Y195" s="182"/>
      <c r="Z195" s="8"/>
      <c r="AA195" s="8"/>
      <c r="AB195" s="11"/>
      <c r="AC195" s="182"/>
      <c r="AD195" s="8"/>
      <c r="AE195" s="8"/>
      <c r="AF195" s="8"/>
      <c r="AG195" s="182"/>
      <c r="AH195" s="8"/>
      <c r="AI195" s="8"/>
      <c r="AJ195" s="71"/>
      <c r="AK195" s="167"/>
      <c r="AL195" s="11"/>
    </row>
    <row r="196" spans="2:38" x14ac:dyDescent="0.25">
      <c r="B196" s="2"/>
      <c r="D196" s="2"/>
      <c r="E196" s="2"/>
      <c r="F196" s="2"/>
      <c r="G196" s="163"/>
      <c r="H196" s="2"/>
      <c r="I196" s="2"/>
      <c r="J196" s="2"/>
      <c r="K196" s="163"/>
      <c r="L196" s="2"/>
      <c r="M196" s="2"/>
      <c r="N196" s="2"/>
      <c r="O196" s="163"/>
      <c r="P196" s="2"/>
      <c r="W196" s="2"/>
      <c r="Y196" s="163"/>
      <c r="Z196" s="2"/>
      <c r="AA196" s="2"/>
      <c r="AB196" s="2"/>
      <c r="AC196" s="163"/>
      <c r="AD196" s="2"/>
      <c r="AE196" s="2"/>
      <c r="AF196" s="2"/>
      <c r="AG196" s="163"/>
      <c r="AH196" s="2"/>
      <c r="AI196" s="2"/>
      <c r="AJ196" s="2"/>
      <c r="AK196" s="163"/>
    </row>
    <row r="197" spans="2:38" x14ac:dyDescent="0.25">
      <c r="B197" s="2"/>
      <c r="D197" s="2"/>
      <c r="E197" s="2"/>
      <c r="F197" s="2"/>
      <c r="G197" s="163"/>
      <c r="H197" s="2"/>
      <c r="I197" s="2"/>
      <c r="J197" s="2"/>
      <c r="K197" s="163"/>
      <c r="L197" s="2"/>
      <c r="M197" s="2"/>
      <c r="N197" s="2"/>
      <c r="O197" s="163"/>
      <c r="P197" s="2"/>
      <c r="W197" s="2"/>
      <c r="Y197" s="163"/>
      <c r="Z197" s="2"/>
      <c r="AA197" s="2"/>
      <c r="AB197" s="2"/>
      <c r="AC197" s="163"/>
      <c r="AD197" s="2"/>
      <c r="AE197" s="2"/>
      <c r="AF197" s="2"/>
      <c r="AG197" s="163"/>
      <c r="AH197" s="2"/>
      <c r="AI197" s="2"/>
      <c r="AJ197" s="2"/>
      <c r="AK197" s="163"/>
    </row>
    <row r="198" spans="2:38" x14ac:dyDescent="0.25">
      <c r="B198" s="2"/>
      <c r="D198" s="2"/>
      <c r="E198" s="2"/>
      <c r="F198" s="2"/>
      <c r="G198" s="163"/>
      <c r="H198" s="2"/>
      <c r="I198" s="2"/>
      <c r="J198" s="2"/>
      <c r="K198" s="163"/>
      <c r="L198" s="2"/>
      <c r="M198" s="2"/>
      <c r="N198" s="2"/>
      <c r="O198" s="163"/>
      <c r="P198" s="2"/>
      <c r="W198" s="2"/>
      <c r="Y198" s="163"/>
      <c r="Z198" s="2"/>
      <c r="AA198" s="2"/>
      <c r="AB198" s="2"/>
      <c r="AC198" s="163"/>
      <c r="AD198" s="2"/>
      <c r="AE198" s="2"/>
      <c r="AF198" s="2"/>
      <c r="AG198" s="163"/>
      <c r="AH198" s="2"/>
      <c r="AI198" s="2"/>
      <c r="AJ198" s="2"/>
      <c r="AK198" s="163"/>
    </row>
    <row r="199" spans="2:38" x14ac:dyDescent="0.25">
      <c r="B199" s="2"/>
      <c r="D199" s="2"/>
      <c r="E199" s="2"/>
      <c r="F199" s="2"/>
      <c r="G199" s="163"/>
      <c r="H199" s="2"/>
      <c r="I199" s="2"/>
      <c r="J199" s="2"/>
      <c r="K199" s="163"/>
      <c r="L199" s="2"/>
      <c r="M199" s="2"/>
      <c r="N199" s="2"/>
      <c r="O199" s="163"/>
      <c r="P199" s="2"/>
      <c r="W199" s="2"/>
      <c r="Y199" s="163"/>
      <c r="Z199" s="2"/>
      <c r="AA199" s="2"/>
      <c r="AB199" s="2"/>
      <c r="AC199" s="163"/>
      <c r="AD199" s="2"/>
      <c r="AE199" s="2"/>
      <c r="AF199" s="2"/>
      <c r="AG199" s="163"/>
      <c r="AH199" s="2"/>
      <c r="AI199" s="2"/>
      <c r="AJ199" s="2"/>
      <c r="AK199" s="163"/>
    </row>
    <row r="200" spans="2:38" x14ac:dyDescent="0.25">
      <c r="B200" s="2"/>
      <c r="D200" s="2"/>
      <c r="E200" s="2"/>
      <c r="F200" s="2"/>
      <c r="G200" s="163"/>
      <c r="H200" s="2"/>
      <c r="I200" s="2"/>
      <c r="J200" s="2"/>
      <c r="K200" s="163"/>
      <c r="L200" s="2"/>
      <c r="M200" s="2"/>
      <c r="N200" s="2"/>
      <c r="O200" s="163"/>
      <c r="P200" s="2"/>
      <c r="W200" s="2"/>
      <c r="Y200" s="163"/>
      <c r="Z200" s="2"/>
      <c r="AA200" s="2"/>
      <c r="AB200" s="2"/>
      <c r="AC200" s="163"/>
      <c r="AD200" s="2"/>
      <c r="AE200" s="2"/>
      <c r="AF200" s="2"/>
      <c r="AG200" s="163"/>
      <c r="AH200" s="2"/>
      <c r="AI200" s="2"/>
      <c r="AJ200" s="2"/>
      <c r="AK200" s="163"/>
    </row>
  </sheetData>
  <mergeCells count="205">
    <mergeCell ref="B2:AL4"/>
    <mergeCell ref="B5:D5"/>
    <mergeCell ref="AP5:AQ5"/>
    <mergeCell ref="B6:AL6"/>
    <mergeCell ref="H14:H15"/>
    <mergeCell ref="AF14:AF15"/>
    <mergeCell ref="D16:D17"/>
    <mergeCell ref="AJ16:AJ17"/>
    <mergeCell ref="AP2:AU3"/>
    <mergeCell ref="AP6:AU6"/>
    <mergeCell ref="D18:D19"/>
    <mergeCell ref="AJ18:AJ19"/>
    <mergeCell ref="AP7:AQ7"/>
    <mergeCell ref="D8:D9"/>
    <mergeCell ref="AJ8:AJ9"/>
    <mergeCell ref="D10:D11"/>
    <mergeCell ref="AJ10:AJ11"/>
    <mergeCell ref="H12:H13"/>
    <mergeCell ref="AF12:AF13"/>
    <mergeCell ref="D26:D27"/>
    <mergeCell ref="AJ26:AJ27"/>
    <mergeCell ref="H28:H29"/>
    <mergeCell ref="AF28:AF29"/>
    <mergeCell ref="H30:H31"/>
    <mergeCell ref="AF30:AF31"/>
    <mergeCell ref="L20:L21"/>
    <mergeCell ref="AB20:AB21"/>
    <mergeCell ref="L22:L23"/>
    <mergeCell ref="AB22:AB23"/>
    <mergeCell ref="D24:D25"/>
    <mergeCell ref="AJ24:AJ25"/>
    <mergeCell ref="P37:P38"/>
    <mergeCell ref="X37:X38"/>
    <mergeCell ref="D38:D39"/>
    <mergeCell ref="AJ38:AJ39"/>
    <mergeCell ref="D40:D41"/>
    <mergeCell ref="AJ40:AJ41"/>
    <mergeCell ref="D32:D33"/>
    <mergeCell ref="AJ32:AJ33"/>
    <mergeCell ref="D34:D35"/>
    <mergeCell ref="R34:V34"/>
    <mergeCell ref="AJ34:AJ35"/>
    <mergeCell ref="P35:P36"/>
    <mergeCell ref="X35:X36"/>
    <mergeCell ref="S36:S37"/>
    <mergeCell ref="T36:T37"/>
    <mergeCell ref="U36:U37"/>
    <mergeCell ref="D48:D49"/>
    <mergeCell ref="AJ48:AJ49"/>
    <mergeCell ref="L50:L51"/>
    <mergeCell ref="AB50:AB51"/>
    <mergeCell ref="L52:L53"/>
    <mergeCell ref="AB52:AB53"/>
    <mergeCell ref="H42:H43"/>
    <mergeCell ref="AF42:AF43"/>
    <mergeCell ref="H44:H45"/>
    <mergeCell ref="AF44:AF45"/>
    <mergeCell ref="D46:D47"/>
    <mergeCell ref="AJ46:AJ47"/>
    <mergeCell ref="H60:H61"/>
    <mergeCell ref="AF60:AF61"/>
    <mergeCell ref="D62:D63"/>
    <mergeCell ref="AJ62:AJ63"/>
    <mergeCell ref="D64:D65"/>
    <mergeCell ref="AJ64:AJ65"/>
    <mergeCell ref="D54:D55"/>
    <mergeCell ref="AJ54:AJ55"/>
    <mergeCell ref="D56:D57"/>
    <mergeCell ref="AJ56:AJ57"/>
    <mergeCell ref="H58:H59"/>
    <mergeCell ref="AF58:AF59"/>
    <mergeCell ref="H76:H77"/>
    <mergeCell ref="AF76:AF77"/>
    <mergeCell ref="H78:H79"/>
    <mergeCell ref="AF78:AF79"/>
    <mergeCell ref="D80:D81"/>
    <mergeCell ref="AJ80:AJ81"/>
    <mergeCell ref="B70:AL70"/>
    <mergeCell ref="AP71:AQ71"/>
    <mergeCell ref="D72:D73"/>
    <mergeCell ref="AJ72:AJ73"/>
    <mergeCell ref="D74:D75"/>
    <mergeCell ref="AJ74:AJ75"/>
    <mergeCell ref="AP70:AU70"/>
    <mergeCell ref="D88:D89"/>
    <mergeCell ref="AJ88:AJ89"/>
    <mergeCell ref="D90:D91"/>
    <mergeCell ref="AJ90:AJ91"/>
    <mergeCell ref="H92:H93"/>
    <mergeCell ref="AF92:AF93"/>
    <mergeCell ref="D82:D83"/>
    <mergeCell ref="AJ82:AJ83"/>
    <mergeCell ref="L84:L85"/>
    <mergeCell ref="AB84:AB85"/>
    <mergeCell ref="L86:L87"/>
    <mergeCell ref="AB86:AB87"/>
    <mergeCell ref="H94:H95"/>
    <mergeCell ref="AF94:AF95"/>
    <mergeCell ref="D96:D97"/>
    <mergeCell ref="AJ96:AJ97"/>
    <mergeCell ref="D98:D99"/>
    <mergeCell ref="R98:V98"/>
    <mergeCell ref="AJ98:AJ99"/>
    <mergeCell ref="P99:P100"/>
    <mergeCell ref="X99:X100"/>
    <mergeCell ref="S100:S101"/>
    <mergeCell ref="D104:D105"/>
    <mergeCell ref="AJ104:AJ105"/>
    <mergeCell ref="H106:H107"/>
    <mergeCell ref="AF106:AF107"/>
    <mergeCell ref="H108:H109"/>
    <mergeCell ref="AF108:AF109"/>
    <mergeCell ref="T100:T101"/>
    <mergeCell ref="U100:U101"/>
    <mergeCell ref="P101:P102"/>
    <mergeCell ref="X101:X102"/>
    <mergeCell ref="D102:D103"/>
    <mergeCell ref="AJ102:AJ103"/>
    <mergeCell ref="L116:L117"/>
    <mergeCell ref="AB116:AB117"/>
    <mergeCell ref="D118:D119"/>
    <mergeCell ref="AJ118:AJ119"/>
    <mergeCell ref="D120:D121"/>
    <mergeCell ref="AJ120:AJ121"/>
    <mergeCell ref="D110:D111"/>
    <mergeCell ref="AJ110:AJ111"/>
    <mergeCell ref="D112:D113"/>
    <mergeCell ref="AJ112:AJ113"/>
    <mergeCell ref="L114:L115"/>
    <mergeCell ref="AB114:AB115"/>
    <mergeCell ref="D128:D129"/>
    <mergeCell ref="AJ128:AJ129"/>
    <mergeCell ref="B134:AL134"/>
    <mergeCell ref="AP135:AQ135"/>
    <mergeCell ref="D136:D137"/>
    <mergeCell ref="AJ136:AJ137"/>
    <mergeCell ref="H122:H123"/>
    <mergeCell ref="AF122:AF123"/>
    <mergeCell ref="H124:H125"/>
    <mergeCell ref="AF124:AF125"/>
    <mergeCell ref="D126:D127"/>
    <mergeCell ref="AJ126:AJ127"/>
    <mergeCell ref="AP134:AU134"/>
    <mergeCell ref="D144:D145"/>
    <mergeCell ref="AJ144:AJ145"/>
    <mergeCell ref="D146:D147"/>
    <mergeCell ref="AJ146:AJ147"/>
    <mergeCell ref="L148:L149"/>
    <mergeCell ref="AB148:AB149"/>
    <mergeCell ref="D138:D139"/>
    <mergeCell ref="AJ138:AJ139"/>
    <mergeCell ref="H140:H141"/>
    <mergeCell ref="AF140:AF141"/>
    <mergeCell ref="H142:H143"/>
    <mergeCell ref="AF142:AF143"/>
    <mergeCell ref="H156:H157"/>
    <mergeCell ref="AF156:AF157"/>
    <mergeCell ref="H158:H159"/>
    <mergeCell ref="AF158:AF159"/>
    <mergeCell ref="D160:D161"/>
    <mergeCell ref="AJ160:AJ161"/>
    <mergeCell ref="L150:L151"/>
    <mergeCell ref="AB150:AB151"/>
    <mergeCell ref="D152:D153"/>
    <mergeCell ref="AJ152:AJ153"/>
    <mergeCell ref="D154:D155"/>
    <mergeCell ref="AJ154:AJ155"/>
    <mergeCell ref="D166:D167"/>
    <mergeCell ref="AJ166:AJ167"/>
    <mergeCell ref="D168:D169"/>
    <mergeCell ref="AJ168:AJ169"/>
    <mergeCell ref="H170:H171"/>
    <mergeCell ref="AF170:AF171"/>
    <mergeCell ref="D162:D163"/>
    <mergeCell ref="R162:V162"/>
    <mergeCell ref="AJ162:AJ163"/>
    <mergeCell ref="P163:P164"/>
    <mergeCell ref="X163:X164"/>
    <mergeCell ref="S164:S165"/>
    <mergeCell ref="T164:T165"/>
    <mergeCell ref="U164:U165"/>
    <mergeCell ref="P165:P166"/>
    <mergeCell ref="X165:X166"/>
    <mergeCell ref="L178:L179"/>
    <mergeCell ref="AB178:AB179"/>
    <mergeCell ref="L180:L181"/>
    <mergeCell ref="AB180:AB181"/>
    <mergeCell ref="D182:D183"/>
    <mergeCell ref="AJ182:AJ183"/>
    <mergeCell ref="H172:H173"/>
    <mergeCell ref="AF172:AF173"/>
    <mergeCell ref="D174:D175"/>
    <mergeCell ref="AJ174:AJ175"/>
    <mergeCell ref="D176:D177"/>
    <mergeCell ref="AJ176:AJ177"/>
    <mergeCell ref="D190:D191"/>
    <mergeCell ref="AJ190:AJ191"/>
    <mergeCell ref="D192:D193"/>
    <mergeCell ref="AJ192:AJ193"/>
    <mergeCell ref="D184:D185"/>
    <mergeCell ref="AJ184:AJ185"/>
    <mergeCell ref="H186:H187"/>
    <mergeCell ref="AF186:AF187"/>
    <mergeCell ref="H188:H189"/>
    <mergeCell ref="AF188:AF189"/>
  </mergeCells>
  <printOptions horizontalCentered="1"/>
  <pageMargins left="0.23622047244094491" right="0.23622047244094491" top="0.74803149606299213" bottom="0.74803149606299213" header="0.31496062992125984" footer="0.31496062992125984"/>
  <pageSetup paperSize="9" scale="13"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LISTAS!$D$5:$D$6</xm:f>
          </x14:formula1>
          <xm:sqref>AS5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17">
    <tabColor theme="4" tint="0.39997558519241921"/>
  </sheetPr>
  <dimension ref="B1:Q432"/>
  <sheetViews>
    <sheetView showGridLines="0" topLeftCell="A163" zoomScale="85" zoomScaleNormal="85" workbookViewId="0">
      <selection activeCell="D171" sqref="D171:E171"/>
    </sheetView>
  </sheetViews>
  <sheetFormatPr defaultColWidth="25.28515625" defaultRowHeight="16.5" x14ac:dyDescent="0.25"/>
  <cols>
    <col min="1" max="1" width="1.140625" style="1" customWidth="1"/>
    <col min="2" max="2" width="49.7109375" style="1" customWidth="1"/>
    <col min="3" max="3" width="41.140625" style="2" bestFit="1" customWidth="1"/>
    <col min="4" max="8" width="8" style="1" customWidth="1"/>
    <col min="9" max="9" width="8.140625" style="1" customWidth="1"/>
    <col min="10" max="10" width="49.85546875" style="1" customWidth="1"/>
    <col min="11" max="11" width="21.42578125" style="1" customWidth="1"/>
    <col min="12" max="12" width="14.42578125" style="1" customWidth="1"/>
    <col min="13" max="13" width="7" style="20" bestFit="1" customWidth="1"/>
    <col min="14" max="14" width="10.42578125" style="20" bestFit="1" customWidth="1"/>
    <col min="15" max="15" width="8.42578125" style="20" bestFit="1" customWidth="1"/>
    <col min="16" max="16" width="10.42578125" style="20" bestFit="1" customWidth="1"/>
    <col min="17" max="17" width="25.28515625" style="20"/>
    <col min="18" max="16384" width="25.28515625" style="1"/>
  </cols>
  <sheetData>
    <row r="1" spans="2:17" ht="6" customHeight="1" x14ac:dyDescent="0.25"/>
    <row r="2" spans="2:17" s="3" customFormat="1" ht="60.75" customHeight="1" x14ac:dyDescent="0.25">
      <c r="B2" s="233"/>
      <c r="C2" s="233"/>
      <c r="D2" s="233"/>
      <c r="E2" s="233"/>
      <c r="F2" s="233"/>
      <c r="G2" s="233"/>
      <c r="H2" s="233"/>
      <c r="I2" s="233"/>
      <c r="J2" s="233"/>
      <c r="K2" s="233"/>
      <c r="L2" s="233"/>
      <c r="M2" s="25"/>
      <c r="N2" s="25"/>
      <c r="O2" s="25"/>
      <c r="P2" s="25"/>
      <c r="Q2" s="25"/>
    </row>
    <row r="3" spans="2:17" s="3" customFormat="1" ht="60.75" customHeight="1" x14ac:dyDescent="0.25">
      <c r="B3" s="233"/>
      <c r="C3" s="233"/>
      <c r="D3" s="233"/>
      <c r="E3" s="233"/>
      <c r="F3" s="233"/>
      <c r="G3" s="233"/>
      <c r="H3" s="233"/>
      <c r="I3" s="233"/>
      <c r="J3" s="233"/>
      <c r="K3" s="233"/>
      <c r="L3" s="233"/>
      <c r="M3" s="25"/>
      <c r="N3" s="25"/>
      <c r="O3" s="25"/>
      <c r="P3" s="25"/>
      <c r="Q3" s="25"/>
    </row>
    <row r="4" spans="2:17" s="3" customFormat="1" ht="13.5" customHeight="1" x14ac:dyDescent="0.25">
      <c r="B4" s="233"/>
      <c r="C4" s="233"/>
      <c r="D4" s="233"/>
      <c r="E4" s="233"/>
      <c r="F4" s="233"/>
      <c r="G4" s="233"/>
      <c r="H4" s="233"/>
      <c r="I4" s="233"/>
      <c r="J4" s="233"/>
      <c r="K4" s="233"/>
      <c r="L4" s="233"/>
      <c r="M4" s="25"/>
      <c r="N4" s="25"/>
      <c r="O4" s="25"/>
      <c r="P4" s="25"/>
      <c r="Q4" s="25"/>
    </row>
    <row r="5" spans="2:17" s="3" customFormat="1" ht="30" customHeight="1" x14ac:dyDescent="0.25">
      <c r="B5" s="59" t="s">
        <v>34</v>
      </c>
      <c r="C5" s="221" t="s">
        <v>82</v>
      </c>
      <c r="D5" s="222"/>
      <c r="E5" s="222"/>
      <c r="F5" s="222"/>
      <c r="G5" s="120">
        <v>13</v>
      </c>
      <c r="I5" s="4"/>
      <c r="J5" s="4"/>
      <c r="M5" s="25"/>
      <c r="N5" s="25"/>
      <c r="O5" s="25"/>
      <c r="P5" s="25"/>
      <c r="Q5" s="25"/>
    </row>
    <row r="6" spans="2:17" ht="30" customHeight="1" x14ac:dyDescent="0.25">
      <c r="B6" s="161" t="s">
        <v>39</v>
      </c>
      <c r="C6" s="79"/>
      <c r="D6" s="263" t="s">
        <v>42</v>
      </c>
      <c r="E6" s="264"/>
      <c r="F6" s="264"/>
      <c r="G6" s="265"/>
      <c r="H6" s="113"/>
      <c r="I6" s="263" t="s">
        <v>3</v>
      </c>
      <c r="J6" s="264"/>
      <c r="K6" s="264"/>
      <c r="L6" s="265"/>
    </row>
    <row r="7" spans="2:17" ht="18" customHeight="1" x14ac:dyDescent="0.25">
      <c r="B7" s="131" t="s">
        <v>15</v>
      </c>
      <c r="C7" s="28" t="s">
        <v>0</v>
      </c>
      <c r="D7" s="28" t="s">
        <v>43</v>
      </c>
      <c r="E7" s="28" t="s">
        <v>44</v>
      </c>
      <c r="F7" s="28" t="s">
        <v>77</v>
      </c>
      <c r="G7" s="28" t="s">
        <v>78</v>
      </c>
      <c r="H7" s="114"/>
      <c r="I7" s="28" t="s">
        <v>18</v>
      </c>
      <c r="J7" s="28" t="s">
        <v>15</v>
      </c>
      <c r="K7" s="28" t="s">
        <v>0</v>
      </c>
      <c r="L7" s="28" t="s">
        <v>45</v>
      </c>
    </row>
    <row r="8" spans="2:17" ht="18" customHeight="1" x14ac:dyDescent="0.25">
      <c r="B8" s="33" t="s">
        <v>556</v>
      </c>
      <c r="C8" s="33" t="str">
        <f>IFERROR(IF(B8="","",VLOOKUP(B8,LISTAS!$F$5:$G$1004,2,0)),"0")</f>
        <v>COLEGIO PETROPOLIS</v>
      </c>
      <c r="D8" s="33" t="str">
        <f>IF(H8&lt;3,"",IF(H8=3,IF(D16&lt;&gt;"",IF(H16&lt;&gt;"",IF(D16&lt;&gt;H16,IF(D16&gt;H16,"V","D"),""),""),""),IF(H8=4,IF(D16&lt;&gt;"",IF(H16&lt;&gt;"",IF(D16&lt;&gt;H16,IF(D16&gt;H16,"V","D"),""),""),""),IF(H8=5,IF(D16&lt;&gt;"",IF(H16&lt;&gt;"",IF(D16&lt;&gt;H16,IF(D16&gt;H16,"V","D"),""),""),"")))))</f>
        <v>V</v>
      </c>
      <c r="E8" s="33" t="str">
        <f>IF(H8&lt;3,"",IF(H8=3,IF(D18&lt;&gt;"",IF(H18&lt;&gt;"",IF(D18&lt;&gt;H18,IF(D18&gt;H18,"V","D"),""),""),""),IF(H8=4,IF(D18&lt;&gt;"",IF(H18&lt;&gt;"",IF(D18&lt;&gt;H18,IF(D18&gt;H18,"V","D"),""),""),""),IF(H8=5,IF(D20&lt;&gt;"",IF(H20&lt;&gt;"",IF(D20&lt;&gt;H20,IF(D18&gt;H18,"D","V"),""),""),"")))))</f>
        <v>V</v>
      </c>
      <c r="F8" s="33" t="str">
        <f>IF(H8&lt;4,"-",IF(H8=3,"",IF(H8=4,IF(D21&lt;&gt;"",IF(H21&lt;&gt;"",IF(D21&lt;&gt;H21,IF(D21&gt;H21,"V","D"),""),""),""),IF(H8=5,IF(D23&lt;&gt;"",IF(H23&lt;&gt;"",IF(D23&lt;&gt;H23,IF(D23&gt;H23,"D","V"),""),""),"")))))</f>
        <v>-</v>
      </c>
      <c r="G8" s="33" t="str">
        <f>IF(H8&lt;5,"-",IF(H8=3,"",IF(H8=4,"",IF(H8=5,IF(D25&lt;&gt;"",IF(H25&lt;&gt;"",IF(D25&lt;&gt;H25,IF(D25&gt;H25,"D","V"),""),""),"")))))</f>
        <v>-</v>
      </c>
      <c r="H8" s="117">
        <f>COUNTA(B8:B12)</f>
        <v>3</v>
      </c>
      <c r="I8" s="33">
        <f>IF(B8&lt;&gt;"",1,"")</f>
        <v>1</v>
      </c>
      <c r="J8" s="33" t="str">
        <f>IF(I8&lt;&gt;"",P8,"")</f>
        <v>EDUARDO HIDEYOSHI</v>
      </c>
      <c r="K8" s="33" t="str">
        <f>IFERROR(IF(J8="","",VLOOKUP(J8,LISTAS!$F$5:$G$1004,2,0)),"0")</f>
        <v>COLEGIO PETROPOLIS</v>
      </c>
      <c r="L8" s="130" t="str">
        <f>IF(B8&lt;&gt;"",IF(G5=1,"OURO",IF(G5=2,IF(H8&lt;3,"",IF(H8&gt;4,"",IF(H8=3,"OURO",IF(H8=4,"OURO")))),IF(G5&gt;=3,"OURO",""))),"")</f>
        <v>OURO</v>
      </c>
      <c r="M8" s="20">
        <f>IF(B8&lt;&gt;"",COUNTIF(D8:G8,"V")+(SUMIF(B16:B25,B8,D16:E25)/1000)+(SUMIF(J16:J25,B8,H16:I25)/1000)-(SUMIF(B16:B25,B8,H16:I25)/1000)-(SUMIF(J16:J25,B8,D16:E25)/1000)+0.005,"")</f>
        <v>2.0089999999999999</v>
      </c>
      <c r="N8" s="20" t="str">
        <f>IF(B8="","",B8)</f>
        <v>EDUARDO HIDEYOSHI</v>
      </c>
      <c r="O8" s="20">
        <f>IF(B8&lt;&gt;"",LARGE(M8:M12,1),"")</f>
        <v>2.0089999999999999</v>
      </c>
      <c r="P8" s="20" t="str">
        <f>VLOOKUP(O8,M8:N12,2,0)</f>
        <v>EDUARDO HIDEYOSHI</v>
      </c>
    </row>
    <row r="9" spans="2:17" ht="18" customHeight="1" x14ac:dyDescent="0.25">
      <c r="B9" s="33" t="s">
        <v>551</v>
      </c>
      <c r="C9" s="33" t="str">
        <f>IFERROR(IF(B9="","",VLOOKUP(B9,LISTAS!$F$5:$G$1004,2,0)),"0")</f>
        <v>COLÉGIO ARBOS - UNIDADE SANTO ANDRÉ</v>
      </c>
      <c r="D9" s="33" t="str">
        <f>IF(H8&lt;3,"",IF(H8=3,IF(D17&lt;&gt;"",IF(H17&lt;&gt;"",IF(D17&lt;&gt;H17,IF(D17&gt;H17,"V","D"),""),""),""),IF(H8=4,IF(D17&lt;&gt;"",IF(H17&lt;&gt;"",IF(D17&lt;&gt;H17,IF(D17&gt;H17,"V","D"),""),""),""),IF(H8=5,IF(D17&lt;&gt;"",IF(H17&lt;&gt;"",IF(D17&lt;&gt;H17,IF(D17&gt;H17,"V","D"),""),""),"")))))</f>
        <v>V</v>
      </c>
      <c r="E9" s="33" t="str">
        <f>IF(H8&lt;3,"",IF(H8=3,IF(D18&lt;&gt;"",IF(H18&lt;&gt;"",IF(D18&lt;&gt;H18,IF(D18&gt;H18,"D","V"),""),""),""),IF(H8=4,IF(D19&lt;&gt;"",IF(H19&lt;&gt;"",IF(D19&lt;&gt;H19,IF(D19&gt;H19,"V","D"),""),""),""),IF(H8=5,IF(D18&lt;&gt;"",IF(H18&lt;&gt;"",IF(D18&lt;&gt;H18,IF(D18&gt;H18,"V","D"),""),""),"")))))</f>
        <v>D</v>
      </c>
      <c r="F9" s="33" t="str">
        <f>IF(H8&lt;4,"-",IF(H8=3,"",IF(H8=4,IF(D21&lt;&gt;"",IF(H21&lt;&gt;"",IF(D21&lt;&gt;H21,IF(D21&gt;H21,"D","V"),""),""),""),IF(H8=5,IF(D22&lt;&gt;"",IF(H22&lt;&gt;"",IF(D22&lt;&gt;H22,IF(D22&gt;H22,"D","V"),""),""),"")))))</f>
        <v>-</v>
      </c>
      <c r="G9" s="33" t="str">
        <f>IF(H8&lt;5,"-",IF(H8=3,"",IF(H8=4,"",IF(H8=5,IF(D25&lt;&gt;"",IF(H25&lt;&gt;"",IF(D25&lt;&gt;H25,IF(D25&gt;H25,"V","D"),""),""),"")))))</f>
        <v>-</v>
      </c>
      <c r="H9" s="115"/>
      <c r="I9" s="33">
        <f>IF(B9&lt;&gt;"",2,"")</f>
        <v>2</v>
      </c>
      <c r="J9" s="33" t="str">
        <f>IF(I9&lt;&gt;"",P9,"")</f>
        <v>ARTHUR HENRIQUE SOARES GONÇALVES</v>
      </c>
      <c r="K9" s="33" t="str">
        <f>IFERROR(IF(J9="","",VLOOKUP(J9,LISTAS!$F$5:$G$1004,2,0)),"0")</f>
        <v>COLÉGIO ARBOS - UNIDADE SANTO ANDRÉ</v>
      </c>
      <c r="L9" s="130" t="str">
        <f>IF(B9&lt;&gt;"",IF(G5=1,"OURO",IF(G5=2,IF(H8&lt;3,"",IF(H8&gt;4,"",IF(H8=3,"PRATA",IF(H8=4,"OURO")))),IF(G5&gt;=3,"PRATA",""))),"")</f>
        <v>PRATA</v>
      </c>
      <c r="M9" s="118">
        <f>IF(B9&lt;&gt;"",COUNTIF(D9:G9,"V")+(SUMIF(B16:B25,B9,D16:E25)/1000)+(SUMIF(J16:J25,B9,H16:I25)/1000)-(SUMIF(B16:B25,B9,H16:I25)/1000)-(SUMIF(J16:J25,B9,D16:E25)/1000)+0.004,"")</f>
        <v>1.004</v>
      </c>
      <c r="N9" s="20" t="str">
        <f t="shared" ref="N9" si="0">IF(B9="","",B9)</f>
        <v>ARTHUR HENRIQUE SOARES GONÇALVES</v>
      </c>
      <c r="O9" s="20">
        <f>IF(B9&lt;&gt;"",LARGE(M8:M12,2),"")</f>
        <v>1.004</v>
      </c>
      <c r="P9" s="20" t="str">
        <f>VLOOKUP(O9,M8:N12,2,0)</f>
        <v>ARTHUR HENRIQUE SOARES GONÇALVES</v>
      </c>
    </row>
    <row r="10" spans="2:17" ht="18" customHeight="1" x14ac:dyDescent="0.25">
      <c r="B10" s="33" t="s">
        <v>550</v>
      </c>
      <c r="C10" s="33" t="str">
        <f>IFERROR(IF(B10="","",VLOOKUP(B10,LISTAS!$F$5:$G$1004,2,0)),"0")</f>
        <v>COLÉGIO ENGENHEIRO SALVADOR ARENA</v>
      </c>
      <c r="D10" s="33" t="str">
        <f>IF(H8&lt;3,"",IF(H8=3,IF(D16&lt;&gt;"",IF(H16&lt;&gt;"",IF(D16&lt;&gt;H16,IF(D16&gt;H16,"D","V"),""),""),""),IF(H8=4,IF(D17&lt;&gt;"",IF(H17&lt;&gt;"",IF(D17&lt;&gt;H17,IF(D17&gt;H17,"D","V"),""),""),""),IF(H8=5,IF(D18&lt;&gt;"",IF(H18&lt;&gt;"",IF(D18&lt;&gt;H18,IF(D18&gt;H18,"D","V"),""),""),"")))))</f>
        <v>D</v>
      </c>
      <c r="E10" s="33" t="str">
        <f>IF(H8&lt;3,"",IF(H8=3,IF(D17&lt;&gt;"",IF(H17&lt;&gt;"",IF(D17&lt;&gt;H17,IF(D17&gt;H17,"D","V"),""),""),""),IF(H8=4,IF(D18&lt;&gt;"",IF(H18&lt;&gt;"",IF(D18&lt;&gt;H18,IF(D18&gt;H18,"D","V"),""),""),""),IF(H8=5,IF(D21&lt;&gt;"",IF(H21&lt;&gt;"",IF(D21&lt;&gt;H21,IF(D21&gt;H21,"D","V"),""),""),"")))))</f>
        <v>D</v>
      </c>
      <c r="F10" s="33" t="str">
        <f>IF(H8&lt;4,"-",IF(H8=3,"",IF(H8=4,IF(D20&lt;&gt;"",IF(H20&lt;&gt;"",IF(D20&lt;&gt;H20,IF(D20&gt;H20,"V","D"),""),""),""),IF(H8=5,IF(D23&lt;&gt;"",IF(H23&lt;&gt;"",IF(D23&lt;&gt;H23,IF(D23&gt;H23,"V","D"),""),""),"")))))</f>
        <v>-</v>
      </c>
      <c r="G10" s="33" t="str">
        <f>IF(H8&lt;5,"-",IF(H8=3,"",IF(H8=4,"",IF(H8=5,IF(D24&lt;&gt;"",IF(H24&lt;&gt;"",IF(D24&lt;&gt;H24,IF(D24&gt;H24,"V","D"),""),""),"")))))</f>
        <v>-</v>
      </c>
      <c r="H10" s="115"/>
      <c r="I10" s="33">
        <f>IF(B10&lt;&gt;"",3,"")</f>
        <v>3</v>
      </c>
      <c r="J10" s="33" t="str">
        <f>IF(I10&lt;&gt;"",P10,"")</f>
        <v>ANDRÉ YUJI YOSHIDA MEIRA</v>
      </c>
      <c r="K10" s="33" t="str">
        <f>IFERROR(IF(J10="","",VLOOKUP(J10,LISTAS!$F$5:$G$1004,2,0)),"0")</f>
        <v>COLÉGIO ENGENHEIRO SALVADOR ARENA</v>
      </c>
      <c r="L10" s="130" t="str">
        <f>IF(B10&lt;&gt;"",IF(G5=1,"OURO",IF(G5=2,IF(H8&lt;3,"",IF(H8&gt;4,"",IF(H8=3,"BRONZE",IF(H8=4,"PRATA")))),IF(G5&gt;=3,"BRONZE",""))),"")</f>
        <v>BRONZE</v>
      </c>
      <c r="M10" s="118">
        <f>IF(B10&lt;&gt;"",COUNTIF(D10:G10,"V")+(SUMIF(B16:B25,B10,D16:E25)/1000)+(SUMIF(J16:J25,B10,H16:I25)/1000)-(SUMIF(B16:B25,B10,H16:I25)/1000)-(SUMIF(J16:J25,B10,D16:E25)/1000)+0.003,"")</f>
        <v>-1E-3</v>
      </c>
      <c r="N10" s="20" t="str">
        <f>IF(B10="","",B10)</f>
        <v>ANDRÉ YUJI YOSHIDA MEIRA</v>
      </c>
      <c r="O10" s="20">
        <f>IF(B10&lt;&gt;"",LARGE(M8:M12,3),"")</f>
        <v>-1E-3</v>
      </c>
      <c r="P10" s="20" t="str">
        <f>VLOOKUP(O10,M8:N12,2,0)</f>
        <v>ANDRÉ YUJI YOSHIDA MEIRA</v>
      </c>
    </row>
    <row r="11" spans="2:17" ht="18" customHeight="1" x14ac:dyDescent="0.25">
      <c r="B11" s="33"/>
      <c r="C11" s="33" t="str">
        <f>IFERROR(IF(B11="","",VLOOKUP(B11,LISTAS!$F$5:$G$1004,2,0)),"0")</f>
        <v/>
      </c>
      <c r="D11" s="33" t="str">
        <f>IF(H8&lt;3,"",IF(H8=3,"",IF(H8=4,IF(D16&lt;&gt;"",IF(H16&lt;&gt;"",IF(D16&lt;&gt;H16,IF(D16&gt;H16,"D","V"),""),""),""),IF(H8=5,IF(D17&lt;&gt;"",IF(H17&lt;&gt;"",IF(D17&lt;&gt;H17,IF(D17&gt;H17,"D","V"),""),""),"")))))</f>
        <v/>
      </c>
      <c r="E11" s="33" t="str">
        <f>IF(H8&lt;3,"",IF(H8=3,"",IF(H8=4,IF(D19&lt;&gt;"",IF(H19&lt;&gt;"",IF(D19&lt;&gt;H19,IF(D19&gt;H19,"D","V"),""),""),""),IF(H8=5,IF(D19&lt;&gt;"",IF(H19&lt;&gt;"",IF(D19&lt;&gt;H19,IF(D19&gt;H19,"V","D"),""),""),"")))))</f>
        <v/>
      </c>
      <c r="F11" s="33" t="str">
        <f>IF(H8&lt;4,"-",IF(H8=3,"",IF(H8=4,IF(D20&lt;&gt;"",IF(H20&lt;&gt;"",IF(D20&lt;&gt;H20,IF(D20&gt;H20,"D","V"),""),""),""),IF(H8=5,IF(D20&lt;&gt;"",IF(H20&lt;&gt;"",IF(D20&lt;&gt;H20,IF(D20&gt;H20,"V","D"),""),""),"")))))</f>
        <v>-</v>
      </c>
      <c r="G11" s="33" t="str">
        <f>IF(H8&lt;5,"-",IF(H8=3,"",IF(H8=4,"",IF(H8=5,IF(D24&lt;&gt;"",IF(H24&lt;&gt;"",IF(D24&lt;&gt;H24,IF(D24&gt;H24,"D","V"),""),""),"")))))</f>
        <v>-</v>
      </c>
      <c r="H11" s="115"/>
      <c r="I11" s="33" t="str">
        <f>IF(B11&lt;&gt;"",4,"")</f>
        <v/>
      </c>
      <c r="J11" s="33" t="str">
        <f>IF(I11&lt;&gt;"",P11,"")</f>
        <v/>
      </c>
      <c r="K11" s="33" t="str">
        <f>IFERROR(IF(J11="","",VLOOKUP(J11,LISTAS!$F$5:$G$1004,2,0)),"0")</f>
        <v/>
      </c>
      <c r="L11" s="130" t="str">
        <f>IF(B11&lt;&gt;"",IF(G5=1,"OURO",IF(G5=2,IF(H8&lt;3,"",IF(H8&gt;4,"",IF(H8=3,"",IF(H8=4,"PRATA")))),IF(G5&gt;=3,"",""))),"")</f>
        <v/>
      </c>
      <c r="M11" s="20" t="str">
        <f>IF(B11&lt;&gt;"",COUNTIF(D11:G11,"V")+(SUMIF(B16:B25,B11,D16:E25)/1000)+(SUMIF(J16:J25,B11,H16:I25)/1000)-(SUMIF(B16:B25,B11,H16:I25)/1000)-(SUMIF(J16:J25,B11,D16:E25)/1000)+0.002,"")</f>
        <v/>
      </c>
      <c r="N11" s="20" t="str">
        <f>IF(B11="","",B11)</f>
        <v/>
      </c>
      <c r="O11" s="20" t="str">
        <f>IF(B11&lt;&gt;"",LARGE(M8:M12,4),"")</f>
        <v/>
      </c>
      <c r="P11" s="20" t="str">
        <f>VLOOKUP(O11,M8:N12,2,0)</f>
        <v/>
      </c>
    </row>
    <row r="12" spans="2:17" ht="18" customHeight="1" x14ac:dyDescent="0.25">
      <c r="B12" s="33"/>
      <c r="C12" s="33" t="str">
        <f>IFERROR(IF(B12="","",VLOOKUP(B12,LISTAS!$F$5:$G$1004,2,0)),"0")</f>
        <v/>
      </c>
      <c r="D12" s="33" t="str">
        <f>IF(H8&lt;3,"",IF(H8=3,"",IF(H8=4,"",IF(H8=5,IF(D16&lt;&gt;"",IF(H16&lt;&gt;"",IF(D16&lt;&gt;H16,IF(D16&gt;H16,"D","V"),""),""),"")))))</f>
        <v/>
      </c>
      <c r="E12" s="33" t="str">
        <f>IF(H8&lt;3,"",IF(H8=3,"",IF(H8=4,"",IF(H8=5,IF(D19&lt;&gt;"",IF(H19&lt;&gt;"",IF(D19&lt;&gt;H19,IF(D19&gt;H19,"D","V"),""),""),"")))))</f>
        <v/>
      </c>
      <c r="F12" s="33" t="str">
        <f>IF(H8&lt;4,"-",IF(H8=3,"",IF(H8=4,"",IF(H8=5,IF(D21&lt;&gt;"",IF(H21&lt;&gt;"",IF(D21&lt;&gt;H21,IF(D21&gt;H21,"V","D"),""),""),"")))))</f>
        <v>-</v>
      </c>
      <c r="G12" s="33" t="str">
        <f>IF(H8&lt;5,"-",IF(H8=3,"",IF(H8=4,"",IF(H8=5,IF(D22&lt;&gt;"",IF(H22&lt;&gt;"",IF(D22&lt;&gt;H22,IF(D22&gt;H22,"V","D"),""),""),"")))))</f>
        <v>-</v>
      </c>
      <c r="H12" s="116"/>
      <c r="I12" s="33" t="str">
        <f>IF(B12&lt;&gt;"",5,"")</f>
        <v/>
      </c>
      <c r="J12" s="33" t="str">
        <f>IF(I12&lt;&gt;"",P12,"")</f>
        <v/>
      </c>
      <c r="K12" s="33" t="str">
        <f>IFERROR(IF(J12="","",VLOOKUP(J12,LISTAS!$F$5:$G$1004,2,0)),"0")</f>
        <v/>
      </c>
      <c r="L12" s="130" t="str">
        <f>IF(B12&lt;&gt;"",IF(G5=1,"OURO",IF(G5=2,IF(H8&lt;3,"",IF(H8&gt;4,"",IF(H8=3,"",IF(H8=4,"")))),IF(G5&gt;=3,"",""))),"")</f>
        <v/>
      </c>
      <c r="M12" s="20" t="str">
        <f>IF(B12&lt;&gt;"",COUNTIF(D12:G12,"V")+(SUMIF(B16:B25,B12,D16:E25)/1000)+(SUMIF(J16:J25,B12,H16:I25)/1000)-(SUMIF(B16:B25,B12,H16:I25)/1000)-(SUMIF(J16:J25,B12,D16:E25)/1000)+0.001,"")</f>
        <v/>
      </c>
      <c r="N12" s="20" t="str">
        <f>IF(B12="","",B12)</f>
        <v/>
      </c>
      <c r="O12" s="20" t="str">
        <f>IF(B12&lt;&gt;"",LARGE(M8:M12,5),"")</f>
        <v/>
      </c>
      <c r="P12" s="20" t="str">
        <f>VLOOKUP(O12,M8:N12,2,0)</f>
        <v/>
      </c>
    </row>
    <row r="13" spans="2:17" ht="18" customHeight="1" x14ac:dyDescent="0.25">
      <c r="B13" s="79"/>
      <c r="C13" s="79"/>
      <c r="D13" s="79"/>
      <c r="E13" s="79"/>
      <c r="F13" s="79"/>
      <c r="G13" s="79"/>
      <c r="I13" s="80"/>
      <c r="J13" s="79"/>
      <c r="K13" s="81"/>
      <c r="L13" s="81"/>
    </row>
    <row r="14" spans="2:17" ht="23.25" customHeight="1" x14ac:dyDescent="0.25">
      <c r="B14" s="82" t="s">
        <v>40</v>
      </c>
      <c r="C14" s="79"/>
      <c r="D14" s="79"/>
      <c r="E14" s="79"/>
      <c r="F14" s="79"/>
      <c r="G14" s="79"/>
      <c r="H14" s="79"/>
      <c r="I14" s="79"/>
      <c r="J14" s="79"/>
      <c r="K14" s="79"/>
      <c r="L14" s="79"/>
    </row>
    <row r="15" spans="2:17" ht="18" customHeight="1" x14ac:dyDescent="0.25">
      <c r="B15" s="132" t="s">
        <v>15</v>
      </c>
      <c r="C15" s="132" t="s">
        <v>0</v>
      </c>
      <c r="D15" s="258" t="s">
        <v>41</v>
      </c>
      <c r="E15" s="259"/>
      <c r="F15" s="259"/>
      <c r="G15" s="259"/>
      <c r="H15" s="259"/>
      <c r="I15" s="260"/>
      <c r="J15" s="132" t="s">
        <v>15</v>
      </c>
      <c r="K15" s="132" t="s">
        <v>0</v>
      </c>
      <c r="L15" s="79"/>
    </row>
    <row r="16" spans="2:17" ht="18" customHeight="1" x14ac:dyDescent="0.25">
      <c r="B16" s="33" t="str">
        <f>IF(H8=3,B8,IF(H8=4,B8,IF(H8=5,B8,"")))</f>
        <v>EDUARDO HIDEYOSHI</v>
      </c>
      <c r="C16" s="33" t="str">
        <f>IFERROR(IF(B16="","",VLOOKUP(B16,LISTAS!$F$5:$G$1004,2,0)),"0")</f>
        <v>COLEGIO PETROPOLIS</v>
      </c>
      <c r="D16" s="253">
        <v>2</v>
      </c>
      <c r="E16" s="254"/>
      <c r="F16" s="253" t="s">
        <v>38</v>
      </c>
      <c r="G16" s="254"/>
      <c r="H16" s="253">
        <v>0</v>
      </c>
      <c r="I16" s="254"/>
      <c r="J16" s="111" t="str">
        <f>IF(H8=3,B10,IF(H8=4,B11,IF(H8=5,B12,"")))</f>
        <v>ANDRÉ YUJI YOSHIDA MEIRA</v>
      </c>
      <c r="K16" s="33" t="str">
        <f>IFERROR(IF(J16="","",VLOOKUP(J16,LISTAS!$F$5:$G$1004,2,0)),"0")</f>
        <v>COLÉGIO ENGENHEIRO SALVADOR ARENA</v>
      </c>
      <c r="L16" s="81"/>
    </row>
    <row r="17" spans="2:16" ht="18" customHeight="1" x14ac:dyDescent="0.25">
      <c r="B17" s="33" t="str">
        <f>IF(H8=3,B9,IF(H8=4,B9,IF(H8=5,B9,"")))</f>
        <v>ARTHUR HENRIQUE SOARES GONÇALVES</v>
      </c>
      <c r="C17" s="33" t="str">
        <f>IFERROR(IF(B17="","",VLOOKUP(B17,LISTAS!$F$5:$G$1004,2,0)),"0")</f>
        <v>COLÉGIO ARBOS - UNIDADE SANTO ANDRÉ</v>
      </c>
      <c r="D17" s="253">
        <v>2</v>
      </c>
      <c r="E17" s="254"/>
      <c r="F17" s="253" t="s">
        <v>38</v>
      </c>
      <c r="G17" s="254"/>
      <c r="H17" s="253">
        <v>0</v>
      </c>
      <c r="I17" s="254"/>
      <c r="J17" s="111" t="str">
        <f>IF(H8=3,B10,IF(H8=4,B10,IF(H8=5,B11,"")))</f>
        <v>ANDRÉ YUJI YOSHIDA MEIRA</v>
      </c>
      <c r="K17" s="33" t="str">
        <f>IFERROR(IF(J17="","",VLOOKUP(J17,LISTAS!$F$5:$G$1004,2,0)),"0")</f>
        <v>COLÉGIO ENGENHEIRO SALVADOR ARENA</v>
      </c>
      <c r="L17" s="79"/>
    </row>
    <row r="18" spans="2:16" ht="18" customHeight="1" x14ac:dyDescent="0.25">
      <c r="B18" s="33" t="str">
        <f>IF(H8=3,B8,IF(H8=4,B8,IF(H8=5,B9,"")))</f>
        <v>EDUARDO HIDEYOSHI</v>
      </c>
      <c r="C18" s="33" t="str">
        <f>IFERROR(IF(B18="","",VLOOKUP(B18,LISTAS!$F$5:$G$1004,2,0)),"0")</f>
        <v>COLEGIO PETROPOLIS</v>
      </c>
      <c r="D18" s="253">
        <v>2</v>
      </c>
      <c r="E18" s="254"/>
      <c r="F18" s="253" t="s">
        <v>38</v>
      </c>
      <c r="G18" s="254"/>
      <c r="H18" s="253">
        <v>0</v>
      </c>
      <c r="I18" s="254"/>
      <c r="J18" s="111" t="str">
        <f>IF(H8=3,B9,IF(H8=4,B10,IF(H8=5,B10,"")))</f>
        <v>ARTHUR HENRIQUE SOARES GONÇALVES</v>
      </c>
      <c r="K18" s="33" t="str">
        <f>IFERROR(IF(J18="","",VLOOKUP(J18,LISTAS!$F$5:$G$1004,2,0)),"0")</f>
        <v>COLÉGIO ARBOS - UNIDADE SANTO ANDRÉ</v>
      </c>
      <c r="L18" s="81"/>
    </row>
    <row r="19" spans="2:16" ht="18" customHeight="1" x14ac:dyDescent="0.25">
      <c r="B19" s="33" t="str">
        <f>IF(H8=3,"",IF(H8=4,B9,IF(H8=5,B11,"")))</f>
        <v/>
      </c>
      <c r="C19" s="33" t="str">
        <f>IFERROR(IF(B19="","",VLOOKUP(B19,LISTAS!$F$5:$G$1004,2,0)),"0")</f>
        <v/>
      </c>
      <c r="D19" s="253"/>
      <c r="E19" s="254"/>
      <c r="F19" s="253" t="s">
        <v>38</v>
      </c>
      <c r="G19" s="254"/>
      <c r="H19" s="253"/>
      <c r="I19" s="254"/>
      <c r="J19" s="111" t="str">
        <f>IF(H8=3,"",IF(H8=4,B11,IF(H8=5,B12,"")))</f>
        <v/>
      </c>
      <c r="K19" s="33" t="str">
        <f>IFERROR(IF(J19="","",VLOOKUP(J19,LISTAS!$F$5:$G$1004,2,0)),"0")</f>
        <v/>
      </c>
      <c r="L19" s="81"/>
    </row>
    <row r="20" spans="2:16" ht="18" customHeight="1" x14ac:dyDescent="0.25">
      <c r="B20" s="33" t="str">
        <f>IF(H8=3,"",IF(H8=4,B10,IF(H8=5,B11,"")))</f>
        <v/>
      </c>
      <c r="C20" s="33" t="str">
        <f>IFERROR(IF(B20="","",VLOOKUP(B20,LISTAS!$F$5:$G$1004,2,0)),"0")</f>
        <v/>
      </c>
      <c r="D20" s="253"/>
      <c r="E20" s="254"/>
      <c r="F20" s="253" t="s">
        <v>38</v>
      </c>
      <c r="G20" s="254"/>
      <c r="H20" s="253"/>
      <c r="I20" s="254"/>
      <c r="J20" s="111" t="str">
        <f>IF(H8=3,"",IF(H8=4,B11,IF(H8=5,B8,"")))</f>
        <v/>
      </c>
      <c r="K20" s="33" t="str">
        <f>IFERROR(IF(J20="","",VLOOKUP(J20,LISTAS!$F$5:$G$1004,2,0)),"0")</f>
        <v/>
      </c>
      <c r="L20" s="81"/>
    </row>
    <row r="21" spans="2:16" ht="18" customHeight="1" x14ac:dyDescent="0.25">
      <c r="B21" s="33" t="str">
        <f>IF(H8=3,"",IF(H8=4,B8,IF(H8=5,B12,"")))</f>
        <v/>
      </c>
      <c r="C21" s="33" t="str">
        <f>IFERROR(IF(B21="","",VLOOKUP(B21,LISTAS!$F$5:$G$1004,2,0)),"0")</f>
        <v/>
      </c>
      <c r="D21" s="253"/>
      <c r="E21" s="254"/>
      <c r="F21" s="253" t="s">
        <v>38</v>
      </c>
      <c r="G21" s="254"/>
      <c r="H21" s="253"/>
      <c r="I21" s="254"/>
      <c r="J21" s="111" t="str">
        <f>IF(H8=3,"",IF(H8=4,B9,IF(H8=5,B10,"")))</f>
        <v/>
      </c>
      <c r="K21" s="33" t="str">
        <f>IFERROR(IF(J21="","",VLOOKUP(J21,LISTAS!$F$5:$G$1004,2,0)),"0")</f>
        <v/>
      </c>
      <c r="L21" s="81"/>
    </row>
    <row r="22" spans="2:16" ht="18" customHeight="1" x14ac:dyDescent="0.25">
      <c r="B22" s="33" t="str">
        <f>IF(H8=3,"",IF(H8=4,"",IF(H8=5,B12,"")))</f>
        <v/>
      </c>
      <c r="C22" s="33" t="str">
        <f>IFERROR(IF(B22="","",VLOOKUP(B22,LISTAS!$F$5:$G$1004,2,0)),"0")</f>
        <v/>
      </c>
      <c r="D22" s="253"/>
      <c r="E22" s="254"/>
      <c r="F22" s="253" t="s">
        <v>38</v>
      </c>
      <c r="G22" s="254"/>
      <c r="H22" s="253"/>
      <c r="I22" s="254"/>
      <c r="J22" s="111" t="str">
        <f>IF(H8=3,"",IF(H8=4,"",IF(H8=5,B9,"")))</f>
        <v/>
      </c>
      <c r="K22" s="33" t="str">
        <f>IFERROR(IF(J22="","",VLOOKUP(J22,LISTAS!$F$5:$G$1004,2,0)),"0")</f>
        <v/>
      </c>
      <c r="L22" s="81"/>
    </row>
    <row r="23" spans="2:16" ht="18" customHeight="1" x14ac:dyDescent="0.25">
      <c r="B23" s="99" t="str">
        <f>IF(H8=3,"",IF(H8=4,"",IF(H8=5,B10,"")))</f>
        <v/>
      </c>
      <c r="C23" s="33" t="str">
        <f>IFERROR(IF(B23="","",VLOOKUP(B23,LISTAS!$F$5:$G$1004,2,0)),"0")</f>
        <v/>
      </c>
      <c r="D23" s="253"/>
      <c r="E23" s="254"/>
      <c r="F23" s="253" t="s">
        <v>38</v>
      </c>
      <c r="G23" s="254"/>
      <c r="H23" s="253"/>
      <c r="I23" s="254"/>
      <c r="J23" s="111" t="str">
        <f>IF(H8=3,"",IF(H8=4,"",IF(H8=5,B8,"")))</f>
        <v/>
      </c>
      <c r="K23" s="33" t="str">
        <f>IFERROR(IF(J23="","",VLOOKUP(J23,LISTAS!$F$5:$G$1004,2,0)),"0")</f>
        <v/>
      </c>
      <c r="L23" s="81"/>
    </row>
    <row r="24" spans="2:16" ht="18" customHeight="1" x14ac:dyDescent="0.25">
      <c r="B24" s="33" t="str">
        <f>IF(H8=3,"",IF(H8=4,"",IF(H8=5,B10,"")))</f>
        <v/>
      </c>
      <c r="C24" s="33" t="str">
        <f>IFERROR(IF(B24="","",VLOOKUP(B24,LISTAS!$F$5:$G$1004,2,0)),"0")</f>
        <v/>
      </c>
      <c r="D24" s="253"/>
      <c r="E24" s="254"/>
      <c r="F24" s="253" t="s">
        <v>38</v>
      </c>
      <c r="G24" s="254"/>
      <c r="H24" s="253"/>
      <c r="I24" s="254"/>
      <c r="J24" s="111" t="str">
        <f>IF(H8=3,"",IF(H8=4,"",IF(H8=5,B11,"")))</f>
        <v/>
      </c>
      <c r="K24" s="33" t="str">
        <f>IFERROR(IF(J24="","",VLOOKUP(J24,LISTAS!$F$5:$G$1004,2,0)),"0")</f>
        <v/>
      </c>
      <c r="L24" s="81"/>
    </row>
    <row r="25" spans="2:16" ht="18" customHeight="1" x14ac:dyDescent="0.25">
      <c r="B25" s="99" t="str">
        <f>IF(H8=3,"",IF(H8=4,"",IF(H8=5,B9,"")))</f>
        <v/>
      </c>
      <c r="C25" s="33" t="str">
        <f>IFERROR(IF(B25="","",VLOOKUP(B25,LISTAS!$F$5:$G$1004,2,0)),"0")</f>
        <v/>
      </c>
      <c r="D25" s="253"/>
      <c r="E25" s="254"/>
      <c r="F25" s="261" t="s">
        <v>38</v>
      </c>
      <c r="G25" s="262"/>
      <c r="H25" s="253"/>
      <c r="I25" s="254"/>
      <c r="J25" s="111" t="str">
        <f>IF(H8=3,"",IF(H8=4,"",IF(H8=5,B8,"")))</f>
        <v/>
      </c>
      <c r="K25" s="33" t="str">
        <f>IFERROR(IF(J25="","",VLOOKUP(J25,LISTAS!$F$5:$G$1004,2,0)),"0")</f>
        <v/>
      </c>
      <c r="L25" s="81"/>
    </row>
    <row r="28" spans="2:16" ht="30" customHeight="1" x14ac:dyDescent="0.25">
      <c r="B28" s="161" t="s">
        <v>46</v>
      </c>
      <c r="C28" s="79"/>
      <c r="D28" s="255" t="s">
        <v>42</v>
      </c>
      <c r="E28" s="256"/>
      <c r="F28" s="256"/>
      <c r="G28" s="257"/>
      <c r="H28" s="113"/>
      <c r="I28" s="255" t="s">
        <v>3</v>
      </c>
      <c r="J28" s="256"/>
      <c r="K28" s="256"/>
      <c r="L28" s="256"/>
    </row>
    <row r="29" spans="2:16" ht="18" customHeight="1" x14ac:dyDescent="0.25">
      <c r="B29" s="132" t="s">
        <v>15</v>
      </c>
      <c r="C29" s="132" t="s">
        <v>0</v>
      </c>
      <c r="D29" s="132" t="s">
        <v>43</v>
      </c>
      <c r="E29" s="132" t="s">
        <v>44</v>
      </c>
      <c r="F29" s="132" t="s">
        <v>77</v>
      </c>
      <c r="G29" s="132" t="s">
        <v>78</v>
      </c>
      <c r="H29" s="114"/>
      <c r="I29" s="132" t="s">
        <v>18</v>
      </c>
      <c r="J29" s="132" t="s">
        <v>15</v>
      </c>
      <c r="K29" s="132" t="s">
        <v>0</v>
      </c>
      <c r="L29" s="132" t="s">
        <v>45</v>
      </c>
    </row>
    <row r="30" spans="2:16" ht="18" customHeight="1" x14ac:dyDescent="0.25">
      <c r="B30" s="33" t="s">
        <v>601</v>
      </c>
      <c r="C30" s="33" t="str">
        <f>IFERROR(IF(B30="","",VLOOKUP(B30,LISTAS!$F$5:$G$1004,2,0)),"0")</f>
        <v>BYE</v>
      </c>
      <c r="D30" s="33" t="str">
        <f>IF(H30&lt;3,"",IF(H30=3,IF(D37&lt;&gt;"",IF(H37&lt;&gt;"",IF(D37&lt;&gt;H37,IF(D37&gt;H37,"V","D"),""),""),""),IF(H30=4,IF(D37&lt;&gt;"",IF(H37&lt;&gt;"",IF(D37&lt;&gt;H37,IF(D37&gt;H37,"V","D"),""),""),""))))</f>
        <v>D</v>
      </c>
      <c r="E30" s="33" t="str">
        <f>IF(H30&lt;3,"",IF(H30=3,IF(D39&lt;&gt;"",IF(H39&lt;&gt;"",IF(D39&lt;&gt;H39,IF(D39&gt;H39,"V","D"),""),""),""),IF(H30=4,IF(D39&lt;&gt;"",IF(H39&lt;&gt;"",IF(D39&lt;&gt;H39,IF(D39&gt;H39,"V","D"),""),""),""))))</f>
        <v>D</v>
      </c>
      <c r="F30" s="33" t="str">
        <f>IF(H30&lt;4,"-",IF(H30=3,"",IF(H30=4,IF(D42&lt;&gt;"",IF(H42&lt;&gt;"",IF(D42&lt;&gt;H42,IF(D42&gt;H42,"V","D"),""),""),""))))</f>
        <v>-</v>
      </c>
      <c r="G30" s="33" t="s">
        <v>81</v>
      </c>
      <c r="H30" s="117">
        <f>COUNTA(B30:B33)</f>
        <v>3</v>
      </c>
      <c r="I30" s="33">
        <f>IF(B30&lt;&gt;"",1,"")</f>
        <v>1</v>
      </c>
      <c r="J30" s="33" t="str">
        <f>IF(I30&lt;&gt;"",P30,"")</f>
        <v>ENZO VERTICCHIO DI LULLO</v>
      </c>
      <c r="K30" s="33" t="str">
        <f>IFERROR(IF(J30="","",VLOOKUP(J30,LISTAS!$F$5:$G$1004,2,0)),"0")</f>
        <v>COLÉGIO ARBOS SÃO CAETANO DO SUL</v>
      </c>
      <c r="L30" s="130" t="str">
        <f>IF(B30&lt;&gt;"",IF(G5=1,"OURO",IF(G5=2,IF(H8&lt;3,"",IF(H8=3,"OURO",IF(H8=4,"OURO"))),IF(G5&gt;=3,"OURO",""))),"")</f>
        <v>OURO</v>
      </c>
      <c r="M30" s="20">
        <f>IF(B30&lt;&gt;"",COUNTIF(D30:G30,"V")+(SUMIF(B37:B42,B30,D37:E42)/1000)+(SUMIF(J37:J42,B30,H37:I42)/1000)-(SUMIF(B37:B42,B30,H37:I42)/1000)-(SUMIF(J37:J42,B30,D37:E42)/1000)+0.005,"")</f>
        <v>1E-3</v>
      </c>
      <c r="N30" s="20" t="str">
        <f>IF(B30="","",B30)</f>
        <v>BYE</v>
      </c>
      <c r="O30" s="20">
        <f>IF(B30&lt;&gt;"",LARGE(M30:M33,1),"")</f>
        <v>2.0069999999999997</v>
      </c>
      <c r="P30" s="20" t="str">
        <f>VLOOKUP(O30,M30:N33,2,0)</f>
        <v>ENZO VERTICCHIO DI LULLO</v>
      </c>
    </row>
    <row r="31" spans="2:16" ht="18" customHeight="1" x14ac:dyDescent="0.25">
      <c r="B31" s="33" t="s">
        <v>557</v>
      </c>
      <c r="C31" s="33" t="str">
        <f>IFERROR(IF(B31="","",VLOOKUP(B31,LISTAS!$F$5:$G$1004,2,0)),"0")</f>
        <v>COLÉGIO ARBOS SÃO CAETANO DO SUL</v>
      </c>
      <c r="D31" s="33" t="str">
        <f>IF(H30&lt;3,"",IF(H30=3,IF(D38&lt;&gt;"",IF(H38&lt;&gt;"",IF(D38&lt;&gt;H38,IF(D38&gt;H38,"V","D"),""),""),""),IF(H30=4,IF(D38&lt;&gt;"",IF(H38&lt;&gt;"",IF(D38&lt;&gt;H38,IF(D38&gt;H38,"V","D"),""),""),""))))</f>
        <v>V</v>
      </c>
      <c r="E31" s="33" t="str">
        <f>IF(H30&lt;3,"",IF(H30=3,IF(D39&lt;&gt;"",IF(H39&lt;&gt;"",IF(D39&lt;&gt;H39,IF(D39&gt;H39,"D","V"),""),""),""),IF(H30=4,IF(D40&lt;&gt;"",IF(H40&lt;&gt;"",IF(D40&lt;&gt;H40,IF(D40&gt;H40,"V","D"),""),""),""))))</f>
        <v>V</v>
      </c>
      <c r="F31" s="33" t="str">
        <f>IF(H30&lt;4,"-",IF(H30=3,"",IF(H30=4,IF(D42&lt;&gt;"",IF(H42&lt;&gt;"",IF(D42&lt;&gt;H42,IF(D42&gt;H42,"D","V"),""),""),""))))</f>
        <v>-</v>
      </c>
      <c r="G31" s="33" t="s">
        <v>81</v>
      </c>
      <c r="H31" s="117"/>
      <c r="I31" s="33">
        <f>IF(B31&lt;&gt;"",2,"")</f>
        <v>2</v>
      </c>
      <c r="J31" s="33" t="str">
        <f>IF(I31&lt;&gt;"",P31,"")</f>
        <v>BRUNO MARTINS GARCIA</v>
      </c>
      <c r="K31" s="33" t="str">
        <f>IFERROR(IF(J31="","",VLOOKUP(J31,LISTAS!$F$5:$G$1004,2,0)),"0")</f>
        <v>COLÉGIO ENGENHEIRO SALVADOR ARENA</v>
      </c>
      <c r="L31" s="130" t="str">
        <f>IF(B31&lt;&gt;"",IF(G5=1,"OURO",IF(G5=2,IF(H8&lt;3,"",IF(H8=3,"PRATA",IF(H8=4,"OURO"))),IF(G5&gt;=3,"PRATA",""))),"")</f>
        <v>PRATA</v>
      </c>
      <c r="M31" s="118">
        <f>IF(B31&lt;&gt;"",COUNTIF(D31:G31,"V")+(SUMIF(B37:B42,B31,D37:E42)/1000)+(SUMIF(J37:J42,B31,H37:I42)/1000)-(SUMIF(B37:B42,B31,H37:I42)/1000)-(SUMIF(J37:J42,B31,D37:E42)/1000)+0.004,"")</f>
        <v>2.0069999999999997</v>
      </c>
      <c r="N31" s="20" t="str">
        <f t="shared" ref="N31" si="1">IF(B31="","",B31)</f>
        <v>ENZO VERTICCHIO DI LULLO</v>
      </c>
      <c r="O31" s="20">
        <f>IF(B31&lt;&gt;"",LARGE(M30:M33,2),"")</f>
        <v>1.0039999999999998</v>
      </c>
      <c r="P31" s="20" t="str">
        <f>VLOOKUP(O31,M30:N33,2,0)</f>
        <v>BRUNO MARTINS GARCIA</v>
      </c>
    </row>
    <row r="32" spans="2:16" ht="18" customHeight="1" x14ac:dyDescent="0.25">
      <c r="B32" s="33" t="s">
        <v>554</v>
      </c>
      <c r="C32" s="33" t="str">
        <f>IFERROR(IF(B32="","",VLOOKUP(B32,LISTAS!$F$5:$G$1004,2,0)),"0")</f>
        <v>COLÉGIO ENGENHEIRO SALVADOR ARENA</v>
      </c>
      <c r="D32" s="33" t="str">
        <f>IF(H30&lt;3,"",IF(H30=3,IF(D37&lt;&gt;"",IF(H37&lt;&gt;"",IF(D37&lt;&gt;H37,IF(D37&gt;H37,"D","V"),""),""),""),IF(H30=4,IF(D38&lt;&gt;"",IF(H38&lt;&gt;"",IF(D38&lt;&gt;H38,IF(D38&gt;H38,"D","V"),""),""),""))))</f>
        <v>V</v>
      </c>
      <c r="E32" s="33" t="str">
        <f>IF(H30&lt;3,"",IF(H30=3,IF(D38&lt;&gt;"",IF(H38&lt;&gt;"",IF(D38&lt;&gt;H38,IF(D38&gt;H38,"D","V"),""),""),""),IF(H30=4,IF(D39&lt;&gt;"",IF(H39&lt;&gt;"",IF(D39&lt;&gt;H39,IF(D39&gt;H39,"D","V"),""),""),""))))</f>
        <v>D</v>
      </c>
      <c r="F32" s="33" t="str">
        <f>IF(H30&lt;4,"-",IF(H30=3,"-",IF(H30=4,IF(D41&lt;&gt;"",IF(H41&lt;&gt;"",IF(D41&lt;&gt;H41,IF(D41&gt;H41,"V","D"),""),""),""))))</f>
        <v>-</v>
      </c>
      <c r="G32" s="33" t="s">
        <v>81</v>
      </c>
      <c r="H32" s="117"/>
      <c r="I32" s="33">
        <f>IF(B32&lt;&gt;"",3,"")</f>
        <v>3</v>
      </c>
      <c r="J32" s="33" t="str">
        <f>IF(I32&lt;&gt;"",P32,"")</f>
        <v>BYE</v>
      </c>
      <c r="K32" s="33" t="str">
        <f>IFERROR(IF(J32="","",VLOOKUP(J32,LISTAS!$F$5:$G$1004,2,0)),"0")</f>
        <v>BYE</v>
      </c>
      <c r="L32" s="130" t="str">
        <f>IF(B32&lt;&gt;"",IF(G5=1,"OURO",IF(G5=2,IF(H8&lt;3,"",IF(H8=3,"BRONZE",IF(H8=4,"PRATA"))),IF(G5&gt;=3,"BRONZE",""))),"")</f>
        <v>BRONZE</v>
      </c>
      <c r="M32" s="118">
        <f>IF(B32&lt;&gt;"",COUNTIF(D32:G32,"V")+(SUMIF(B37:B42,B32,D37:E42)/1000)+(SUMIF(J37:J42,B32,H37:I42)/1000)-(SUMIF(B37:B42,B32,H37:I42)/1000)-(SUMIF(J37:J42,B32,D37:E42)/1000)+0.003,"")</f>
        <v>1.0039999999999998</v>
      </c>
      <c r="N32" s="20" t="str">
        <f>IF(B32="","",B32)</f>
        <v>BRUNO MARTINS GARCIA</v>
      </c>
      <c r="O32" s="20">
        <f>IF(B32&lt;&gt;"",LARGE(M30:M33,3),"")</f>
        <v>1E-3</v>
      </c>
      <c r="P32" s="20" t="str">
        <f>VLOOKUP(O32,M30:N33,2,0)</f>
        <v>BYE</v>
      </c>
    </row>
    <row r="33" spans="2:16" ht="18" customHeight="1" x14ac:dyDescent="0.25">
      <c r="B33" s="33"/>
      <c r="C33" s="33" t="str">
        <f>IFERROR(IF(B33="","",VLOOKUP(B33,LISTAS!$F$5:$G$1004,2,0)),"0")</f>
        <v/>
      </c>
      <c r="D33" s="33" t="str">
        <f>IF(H30&lt;3,"",IF(H30=3,"",IF(H30=4,IF(D37&lt;&gt;"",IF(H37&lt;&gt;"",IF(D37&lt;&gt;H37,IF(D37&gt;H37,"D","V"),""),""),""))))</f>
        <v/>
      </c>
      <c r="E33" s="33" t="str">
        <f>IF(H30&lt;3,"",IF(H30=3,"",IF(H30=4,IF(D40&lt;&gt;"",IF(H40&lt;&gt;"",IF(D40&lt;&gt;H40,IF(D40&gt;H40,"D","V"),""),""),""))))</f>
        <v/>
      </c>
      <c r="F33" s="33" t="str">
        <f>IF(H30&lt;4,"-",IF(H30=3,"",IF(H30=4,IF(D41&lt;&gt;"",IF(H41&lt;&gt;"",IF(D41&lt;&gt;H41,IF(D41&gt;H41,"D","V"),""),""),""))))</f>
        <v>-</v>
      </c>
      <c r="G33" s="33" t="s">
        <v>81</v>
      </c>
      <c r="H33" s="117"/>
      <c r="I33" s="33" t="str">
        <f>IF(B33&lt;&gt;"",4,"")</f>
        <v/>
      </c>
      <c r="J33" s="33" t="str">
        <f>IF(I33&lt;&gt;"",P33,"")</f>
        <v/>
      </c>
      <c r="K33" s="33" t="str">
        <f>IFERROR(IF(J33="","",VLOOKUP(J33,LISTAS!$F$5:$G$1004,2,0)),"0")</f>
        <v/>
      </c>
      <c r="L33" s="130" t="str">
        <f>IF(B33&lt;&gt;"",IF(G5=1,"OURO",IF(G5=2,IF(H8&lt;3,"",IF(H8=3,"",IF(H8=4,"PRATA"))),IF(G5&gt;=3,"",""))),"")</f>
        <v/>
      </c>
      <c r="M33" s="20" t="str">
        <f>IF(B33&lt;&gt;"",COUNTIF(D33:G33,"V")+(SUMIF(B37:B42,B33,D37:E42)/1000)+(SUMIF(J37:J42,B33,H37:I42)/1000)-(SUMIF(B37:B42,B33,H37:I42)/1000)-(SUMIF(J37:J42,B33,D37:E42)/1000)+0.002,"")</f>
        <v/>
      </c>
      <c r="N33" s="20" t="str">
        <f>IF(B33="","",B33)</f>
        <v/>
      </c>
      <c r="O33" s="20" t="str">
        <f>IF(B33&lt;&gt;"",LARGE(M30:M33,4),"")</f>
        <v/>
      </c>
      <c r="P33" s="20" t="str">
        <f>VLOOKUP(O33,M30:N33,2,0)</f>
        <v/>
      </c>
    </row>
    <row r="34" spans="2:16" ht="18" customHeight="1" x14ac:dyDescent="0.25">
      <c r="B34" s="79"/>
      <c r="C34" s="79"/>
      <c r="D34" s="79"/>
      <c r="E34" s="79"/>
      <c r="F34" s="79"/>
      <c r="G34" s="79"/>
      <c r="I34" s="80"/>
      <c r="J34" s="79"/>
      <c r="K34" s="81"/>
      <c r="L34" s="81"/>
    </row>
    <row r="35" spans="2:16" ht="23.25" customHeight="1" x14ac:dyDescent="0.25">
      <c r="B35" s="82" t="s">
        <v>40</v>
      </c>
      <c r="C35" s="79"/>
      <c r="D35" s="79"/>
      <c r="E35" s="79"/>
      <c r="F35" s="79"/>
      <c r="G35" s="79"/>
      <c r="H35" s="79"/>
      <c r="I35" s="79"/>
      <c r="J35" s="79"/>
      <c r="K35" s="79"/>
      <c r="L35" s="79"/>
    </row>
    <row r="36" spans="2:16" ht="18" customHeight="1" x14ac:dyDescent="0.25">
      <c r="B36" s="132" t="s">
        <v>15</v>
      </c>
      <c r="C36" s="132" t="s">
        <v>0</v>
      </c>
      <c r="D36" s="258" t="s">
        <v>41</v>
      </c>
      <c r="E36" s="259"/>
      <c r="F36" s="259"/>
      <c r="G36" s="259"/>
      <c r="H36" s="259"/>
      <c r="I36" s="260"/>
      <c r="J36" s="132" t="s">
        <v>15</v>
      </c>
      <c r="K36" s="132" t="s">
        <v>0</v>
      </c>
      <c r="L36" s="79"/>
    </row>
    <row r="37" spans="2:16" ht="18" customHeight="1" x14ac:dyDescent="0.25">
      <c r="B37" s="33" t="str">
        <f>IF(H30=3,B30,IF(H30=4,B30,""))</f>
        <v>BYE</v>
      </c>
      <c r="C37" s="33" t="str">
        <f>IFERROR(IF(B37="","",VLOOKUP(B37,LISTAS!$F$5:$G$1004,2,0)),"0")</f>
        <v>BYE</v>
      </c>
      <c r="D37" s="253">
        <v>0</v>
      </c>
      <c r="E37" s="254"/>
      <c r="F37" s="253" t="s">
        <v>38</v>
      </c>
      <c r="G37" s="254"/>
      <c r="H37" s="253">
        <v>2</v>
      </c>
      <c r="I37" s="254"/>
      <c r="J37" s="111" t="str">
        <f>IF(H30=3,B32,IF(H30=4,B33,""))</f>
        <v>BRUNO MARTINS GARCIA</v>
      </c>
      <c r="K37" s="33" t="str">
        <f>IFERROR(IF(J37="","",VLOOKUP(J37,LISTAS!$F$5:$G$1004,2,0)),"0")</f>
        <v>COLÉGIO ENGENHEIRO SALVADOR ARENA</v>
      </c>
      <c r="L37" s="81"/>
    </row>
    <row r="38" spans="2:16" ht="18" customHeight="1" x14ac:dyDescent="0.25">
      <c r="B38" s="33" t="str">
        <f>IF(H30=3,B31,IF(H30=4,B31,""))</f>
        <v>ENZO VERTICCHIO DI LULLO</v>
      </c>
      <c r="C38" s="33" t="str">
        <f>IFERROR(IF(B38="","",VLOOKUP(B38,LISTAS!$F$5:$G$1004,2,0)),"0")</f>
        <v>COLÉGIO ARBOS SÃO CAETANO DO SUL</v>
      </c>
      <c r="D38" s="253">
        <v>2</v>
      </c>
      <c r="E38" s="254"/>
      <c r="F38" s="253" t="s">
        <v>38</v>
      </c>
      <c r="G38" s="254"/>
      <c r="H38" s="253">
        <v>1</v>
      </c>
      <c r="I38" s="254"/>
      <c r="J38" s="111" t="str">
        <f>IF(H30=3,B32,IF(H30=4,B32,""))</f>
        <v>BRUNO MARTINS GARCIA</v>
      </c>
      <c r="K38" s="33" t="str">
        <f>IFERROR(IF(J38="","",VLOOKUP(J38,LISTAS!$F$5:$G$1004,2,0)),"0")</f>
        <v>COLÉGIO ENGENHEIRO SALVADOR ARENA</v>
      </c>
      <c r="L38" s="79"/>
    </row>
    <row r="39" spans="2:16" ht="18" customHeight="1" x14ac:dyDescent="0.25">
      <c r="B39" s="33" t="str">
        <f>IF(H30=3,B30,IF(H30=4,B30,""))</f>
        <v>BYE</v>
      </c>
      <c r="C39" s="33" t="str">
        <f>IFERROR(IF(B39="","",VLOOKUP(B39,LISTAS!$F$5:$G$1004,2,0)),"0")</f>
        <v>BYE</v>
      </c>
      <c r="D39" s="253">
        <v>0</v>
      </c>
      <c r="E39" s="254"/>
      <c r="F39" s="253" t="s">
        <v>38</v>
      </c>
      <c r="G39" s="254"/>
      <c r="H39" s="253">
        <v>2</v>
      </c>
      <c r="I39" s="254"/>
      <c r="J39" s="111" t="str">
        <f>IF(H30=3,B31,IF(H30=4,B32,""))</f>
        <v>ENZO VERTICCHIO DI LULLO</v>
      </c>
      <c r="K39" s="33" t="str">
        <f>IFERROR(IF(J39="","",VLOOKUP(J39,LISTAS!$F$5:$G$1004,2,0)),"0")</f>
        <v>COLÉGIO ARBOS SÃO CAETANO DO SUL</v>
      </c>
      <c r="L39" s="81"/>
    </row>
    <row r="40" spans="2:16" ht="18" customHeight="1" x14ac:dyDescent="0.25">
      <c r="B40" s="33" t="str">
        <f>IF(H30=3,"",IF(H30=4,B31,""))</f>
        <v/>
      </c>
      <c r="C40" s="33" t="str">
        <f>IFERROR(IF(B40="","",VLOOKUP(B40,LISTAS!$F$5:$G$1004,2,0)),"0")</f>
        <v/>
      </c>
      <c r="D40" s="253"/>
      <c r="E40" s="254"/>
      <c r="F40" s="253" t="s">
        <v>38</v>
      </c>
      <c r="G40" s="254"/>
      <c r="H40" s="253"/>
      <c r="I40" s="254"/>
      <c r="J40" s="111" t="str">
        <f>IF(H30=3,"",IF(H30=4,B33,""))</f>
        <v/>
      </c>
      <c r="K40" s="33" t="str">
        <f>IFERROR(IF(J40="","",VLOOKUP(J40,LISTAS!$F$5:$G$1004,2,0)),"0")</f>
        <v/>
      </c>
      <c r="L40" s="81"/>
    </row>
    <row r="41" spans="2:16" ht="18" customHeight="1" x14ac:dyDescent="0.25">
      <c r="B41" s="33" t="str">
        <f>IF(H30=3,"",IF(H30=4,B32,""))</f>
        <v/>
      </c>
      <c r="C41" s="33" t="str">
        <f>IFERROR(IF(B41="","",VLOOKUP(B41,LISTAS!$F$5:$G$1004,2,0)),"0")</f>
        <v/>
      </c>
      <c r="D41" s="253"/>
      <c r="E41" s="254"/>
      <c r="F41" s="253" t="s">
        <v>38</v>
      </c>
      <c r="G41" s="254"/>
      <c r="H41" s="253"/>
      <c r="I41" s="254"/>
      <c r="J41" s="111" t="str">
        <f>IF(H30=3,"",IF(H30=4,B33,""))</f>
        <v/>
      </c>
      <c r="K41" s="33" t="str">
        <f>IFERROR(IF(J41="","",VLOOKUP(J41,LISTAS!$F$5:$G$1004,2,0)),"0")</f>
        <v/>
      </c>
      <c r="L41" s="81"/>
    </row>
    <row r="42" spans="2:16" ht="18" customHeight="1" x14ac:dyDescent="0.25">
      <c r="B42" s="33" t="str">
        <f>IF(H30=3,"",IF(H30=4,B30,""))</f>
        <v/>
      </c>
      <c r="C42" s="33" t="str">
        <f>IFERROR(IF(B42="","",VLOOKUP(B42,LISTAS!$F$5:$G$1004,2,0)),"0")</f>
        <v/>
      </c>
      <c r="D42" s="253"/>
      <c r="E42" s="254"/>
      <c r="F42" s="253" t="s">
        <v>38</v>
      </c>
      <c r="G42" s="254"/>
      <c r="H42" s="253"/>
      <c r="I42" s="254"/>
      <c r="J42" s="111" t="str">
        <f>IF(H30=3,"",IF(H30=4,B31,""))</f>
        <v/>
      </c>
      <c r="K42" s="33" t="str">
        <f>IFERROR(IF(J42="","",VLOOKUP(J42,LISTAS!$F$5:$G$1004,2,0)),"0")</f>
        <v/>
      </c>
      <c r="L42" s="81"/>
    </row>
    <row r="45" spans="2:16" ht="30" customHeight="1" x14ac:dyDescent="0.25">
      <c r="B45" s="161" t="s">
        <v>47</v>
      </c>
      <c r="C45" s="79"/>
      <c r="D45" s="255" t="s">
        <v>42</v>
      </c>
      <c r="E45" s="256"/>
      <c r="F45" s="256"/>
      <c r="G45" s="257"/>
      <c r="H45" s="113"/>
      <c r="I45" s="255" t="s">
        <v>3</v>
      </c>
      <c r="J45" s="256"/>
      <c r="K45" s="256"/>
      <c r="L45" s="256"/>
    </row>
    <row r="46" spans="2:16" ht="18" customHeight="1" x14ac:dyDescent="0.25">
      <c r="B46" s="132" t="s">
        <v>15</v>
      </c>
      <c r="C46" s="132" t="s">
        <v>0</v>
      </c>
      <c r="D46" s="132" t="s">
        <v>43</v>
      </c>
      <c r="E46" s="132" t="s">
        <v>44</v>
      </c>
      <c r="F46" s="132" t="s">
        <v>77</v>
      </c>
      <c r="G46" s="132" t="s">
        <v>78</v>
      </c>
      <c r="H46" s="114"/>
      <c r="I46" s="132" t="s">
        <v>18</v>
      </c>
      <c r="J46" s="132" t="s">
        <v>15</v>
      </c>
      <c r="K46" s="132" t="s">
        <v>0</v>
      </c>
      <c r="L46" s="132" t="s">
        <v>45</v>
      </c>
    </row>
    <row r="47" spans="2:16" ht="18" customHeight="1" x14ac:dyDescent="0.25">
      <c r="B47" s="33" t="s">
        <v>555</v>
      </c>
      <c r="C47" s="33" t="str">
        <f>IFERROR(IF(B47="","",VLOOKUP(B47,LISTAS!$F$5:$G$1004,2,0)),"0")</f>
        <v>COLÉGIO ENGENHEIRO SALVADOR ARENA</v>
      </c>
      <c r="D47" s="33" t="str">
        <f>IF(H47&lt;3,"",IF(H47=3,IF(D53&lt;&gt;"",IF(H53&lt;&gt;"",IF(D53&lt;&gt;H53,IF(D53&gt;H53,"V","D"),""),""),"")))</f>
        <v>D</v>
      </c>
      <c r="E47" s="33" t="str">
        <f>IF(H47&lt;3,"",IF(H47=3,IF(D55&lt;&gt;"",IF(H55&lt;&gt;"",IF(D55&lt;&gt;H55,IF(D55&gt;H55,"V","D"),""),""),"")))</f>
        <v>D</v>
      </c>
      <c r="F47" s="33" t="s">
        <v>81</v>
      </c>
      <c r="G47" s="33" t="s">
        <v>81</v>
      </c>
      <c r="H47" s="117">
        <f>COUNTA(B47:B49)</f>
        <v>3</v>
      </c>
      <c r="I47" s="33">
        <f>IF(B47&lt;&gt;"",1,"")</f>
        <v>1</v>
      </c>
      <c r="J47" s="33" t="str">
        <f>IF(I47&lt;&gt;"",P47,"")</f>
        <v>FELIPE HIDEKI MIAZAKI</v>
      </c>
      <c r="K47" s="33" t="str">
        <f>IFERROR(IF(J47="","",VLOOKUP(J47,LISTAS!$F$5:$G$1004,2,0)),"0")</f>
        <v>LICEU JARDIM</v>
      </c>
      <c r="L47" s="130" t="str">
        <f>IF(H47=3,"OURO",IF(H47=4,"OURO",IF(H47=5,"OURO","")))</f>
        <v>OURO</v>
      </c>
      <c r="M47" s="20">
        <f>IF(B47&lt;&gt;"",COUNTIF(D47:G47,"V")+(SUMIF(B53:B55,B47,D53:E55)/1000)+(SUMIF(J53:J55,B47,H53:I55)/1000)-(SUMIF(B53:B55,B47,H53:I55)/1000)-(SUMIF(J53:J55,B47,D53:E55)/1000)+0.003,"")</f>
        <v>-1E-3</v>
      </c>
      <c r="N47" s="20" t="str">
        <f>IF(B47="","",B47)</f>
        <v>CAUÃ NAVARRO BRUZATI</v>
      </c>
      <c r="O47" s="20">
        <f>IF(B47&lt;&gt;"",LARGE(M47:M49,1),"")</f>
        <v>2.0059999999999993</v>
      </c>
      <c r="P47" s="20" t="str">
        <f>VLOOKUP(O47,M47:N49,2,0)</f>
        <v>FELIPE HIDEKI MIAZAKI</v>
      </c>
    </row>
    <row r="48" spans="2:16" ht="18" customHeight="1" x14ac:dyDescent="0.25">
      <c r="B48" s="33" t="s">
        <v>559</v>
      </c>
      <c r="C48" s="33" t="str">
        <f>IFERROR(IF(B48="","",VLOOKUP(B48,LISTAS!$F$5:$G$1004,2,0)),"0")</f>
        <v>LICEU JARDIM</v>
      </c>
      <c r="D48" s="33" t="str">
        <f>IF(H47&lt;3,"",IF(H47=3,IF(D54&lt;&gt;"",IF(H54&lt;&gt;"",IF(D54&lt;&gt;H54,IF(D54&gt;H54,"V","D"),""),""),"")))</f>
        <v>V</v>
      </c>
      <c r="E48" s="33" t="str">
        <f>IF(H47&lt;3,"",IF(H47=3,IF(D55&lt;&gt;"",IF(H55&lt;&gt;"",IF(D55&lt;&gt;H55,IF(D55&gt;H55,"D","V"),""),""),"")))</f>
        <v>V</v>
      </c>
      <c r="F48" s="33" t="s">
        <v>81</v>
      </c>
      <c r="G48" s="33" t="s">
        <v>81</v>
      </c>
      <c r="H48" s="117"/>
      <c r="I48" s="33">
        <f>IF(B48&lt;&gt;"",2,"")</f>
        <v>2</v>
      </c>
      <c r="J48" s="33" t="str">
        <f>IF(I48&lt;&gt;"",P48,"")</f>
        <v>VINICIUS FOZ DE BARROS</v>
      </c>
      <c r="K48" s="33" t="str">
        <f>IFERROR(IF(J48="","",VLOOKUP(J48,LISTAS!$F$5:$G$1004,2,0)),"0")</f>
        <v>ESCOLA PRÓ CONHECER</v>
      </c>
      <c r="L48" s="130" t="str">
        <f>IF(H47=3,"PRATA",IF(H47=4,"OURO",IF(H47=5,"OURO","")))</f>
        <v>PRATA</v>
      </c>
      <c r="M48" s="20">
        <f>IF(B48&lt;&gt;"",COUNTIF(D48:G48,"V")+(SUMIF(B53:B55,B48,D53:E55)/1000)+(SUMIF(J53:J55,B48,H53:I55)/1000)-(SUMIF(B53:B55,B48,H53:I55)/1000)-(SUMIF(J53:J55,B48,D53:E55)/1000)+0.002,"")</f>
        <v>2.0059999999999993</v>
      </c>
      <c r="N48" s="20" t="str">
        <f t="shared" ref="N48" si="2">IF(B48="","",B48)</f>
        <v>FELIPE HIDEKI MIAZAKI</v>
      </c>
      <c r="O48" s="20">
        <f>IF(B48&lt;&gt;"",LARGE(M47:M49,2),"")</f>
        <v>1.0009999999999999</v>
      </c>
      <c r="P48" s="20" t="str">
        <f>VLOOKUP(O48,M47:N49,2,0)</f>
        <v>VINICIUS FOZ DE BARROS</v>
      </c>
    </row>
    <row r="49" spans="2:16" ht="18" customHeight="1" x14ac:dyDescent="0.25">
      <c r="B49" s="33" t="s">
        <v>597</v>
      </c>
      <c r="C49" s="33" t="str">
        <f>IFERROR(IF(B49="","",VLOOKUP(B49,LISTAS!$F$5:$G$1004,2,0)),"0")</f>
        <v>ESCOLA PRÓ CONHECER</v>
      </c>
      <c r="D49" s="33" t="str">
        <f>IF(H47&lt;3,"",IF(H47=3,IF(D53&lt;&gt;"",IF(H53&lt;&gt;"",IF(D53&lt;&gt;H53,IF(D53&gt;H53,"D","V"),""),""),"")))</f>
        <v>V</v>
      </c>
      <c r="E49" s="33" t="str">
        <f>IF(H47&lt;3,"",IF(H47=3,IF(D54&lt;&gt;"",IF(H54&lt;&gt;"",IF(D54&lt;&gt;H54,IF(D54&gt;H54,"D","V"),""),""),"")))</f>
        <v>D</v>
      </c>
      <c r="F49" s="33" t="s">
        <v>81</v>
      </c>
      <c r="G49" s="33" t="s">
        <v>81</v>
      </c>
      <c r="H49" s="117"/>
      <c r="I49" s="33">
        <f>IF(B49&lt;&gt;"",3,"")</f>
        <v>3</v>
      </c>
      <c r="J49" s="33" t="str">
        <f>IF(I49&lt;&gt;"",P49,"")</f>
        <v>CAUÃ NAVARRO BRUZATI</v>
      </c>
      <c r="K49" s="33" t="str">
        <f>IFERROR(IF(J49="","",VLOOKUP(J49,LISTAS!$F$5:$G$1004,2,0)),"0")</f>
        <v>COLÉGIO ENGENHEIRO SALVADOR ARENA</v>
      </c>
      <c r="L49" s="130" t="str">
        <f>IF(H47=3,"BRONZE",IF(H47=4,"PRATA",IF(H47=5,"OURO","")))</f>
        <v>BRONZE</v>
      </c>
      <c r="M49" s="20">
        <f>IF(B49&lt;&gt;"",COUNTIF(D49:G49,"V")+(SUMIF(B53:B55,B49,D53:E55)/1000)+(SUMIF(J53:J55,B49,H53:I55)/1000)-(SUMIF(B53:B55,B49,H53:I55)/1000)-(SUMIF(J53:J55,B49,D53:E55)/1000)+0.001,"")</f>
        <v>1.0009999999999999</v>
      </c>
      <c r="N49" s="20" t="str">
        <f>IF(B49="","",B49)</f>
        <v>VINICIUS FOZ DE BARROS</v>
      </c>
      <c r="O49" s="20">
        <f>IF(B49&lt;&gt;"",LARGE(M47:M49,3),"")</f>
        <v>-1E-3</v>
      </c>
      <c r="P49" s="20" t="str">
        <f>VLOOKUP(O49,M47:N49,2,0)</f>
        <v>CAUÃ NAVARRO BRUZATI</v>
      </c>
    </row>
    <row r="50" spans="2:16" ht="18" customHeight="1" x14ac:dyDescent="0.25">
      <c r="B50" s="79"/>
      <c r="C50" s="79"/>
      <c r="D50" s="79"/>
      <c r="E50" s="79"/>
      <c r="F50" s="79"/>
      <c r="G50" s="79"/>
      <c r="I50" s="80"/>
      <c r="J50" s="79"/>
      <c r="K50" s="81"/>
      <c r="L50" s="81"/>
    </row>
    <row r="51" spans="2:16" ht="23.25" customHeight="1" x14ac:dyDescent="0.25">
      <c r="B51" s="82" t="s">
        <v>40</v>
      </c>
      <c r="C51" s="79"/>
      <c r="D51" s="79"/>
      <c r="E51" s="79"/>
      <c r="F51" s="79"/>
      <c r="G51" s="79"/>
      <c r="H51" s="79"/>
      <c r="I51" s="79"/>
      <c r="J51" s="79"/>
      <c r="K51" s="79"/>
      <c r="L51" s="79"/>
    </row>
    <row r="52" spans="2:16" ht="18" customHeight="1" x14ac:dyDescent="0.25">
      <c r="B52" s="132" t="s">
        <v>15</v>
      </c>
      <c r="C52" s="132" t="s">
        <v>0</v>
      </c>
      <c r="D52" s="258" t="s">
        <v>41</v>
      </c>
      <c r="E52" s="259"/>
      <c r="F52" s="259"/>
      <c r="G52" s="259"/>
      <c r="H52" s="259"/>
      <c r="I52" s="260"/>
      <c r="J52" s="132" t="s">
        <v>15</v>
      </c>
      <c r="K52" s="132" t="s">
        <v>0</v>
      </c>
      <c r="L52" s="79"/>
    </row>
    <row r="53" spans="2:16" ht="18" customHeight="1" x14ac:dyDescent="0.25">
      <c r="B53" s="33" t="str">
        <f>IF(H47=3,B47,"")</f>
        <v>CAUÃ NAVARRO BRUZATI</v>
      </c>
      <c r="C53" s="33" t="str">
        <f>IFERROR(IF(B53="","",VLOOKUP(B53,LISTAS!$F$5:$G$1004,2,0)),"0")</f>
        <v>COLÉGIO ENGENHEIRO SALVADOR ARENA</v>
      </c>
      <c r="D53" s="253">
        <v>0</v>
      </c>
      <c r="E53" s="254"/>
      <c r="F53" s="253" t="s">
        <v>38</v>
      </c>
      <c r="G53" s="254"/>
      <c r="H53" s="253">
        <v>2</v>
      </c>
      <c r="I53" s="254"/>
      <c r="J53" s="111" t="str">
        <f>IF(H47=3,B49,"")</f>
        <v>VINICIUS FOZ DE BARROS</v>
      </c>
      <c r="K53" s="33" t="str">
        <f>IFERROR(IF(J53="","",VLOOKUP(J53,LISTAS!$F$5:$G$1004,2,0)),"0")</f>
        <v>ESCOLA PRÓ CONHECER</v>
      </c>
      <c r="L53" s="81"/>
    </row>
    <row r="54" spans="2:16" ht="18" customHeight="1" x14ac:dyDescent="0.25">
      <c r="B54" s="33" t="str">
        <f>IF(H47=3,B48,"")</f>
        <v>FELIPE HIDEKI MIAZAKI</v>
      </c>
      <c r="C54" s="33" t="str">
        <f>IFERROR(IF(B54="","",VLOOKUP(B54,LISTAS!$F$5:$G$1004,2,0)),"0")</f>
        <v>LICEU JARDIM</v>
      </c>
      <c r="D54" s="253">
        <v>2</v>
      </c>
      <c r="E54" s="254"/>
      <c r="F54" s="253" t="s">
        <v>38</v>
      </c>
      <c r="G54" s="254"/>
      <c r="H54" s="253">
        <v>0</v>
      </c>
      <c r="I54" s="254"/>
      <c r="J54" s="111" t="str">
        <f>IF(H47=3,B49,"")</f>
        <v>VINICIUS FOZ DE BARROS</v>
      </c>
      <c r="K54" s="33" t="str">
        <f>IFERROR(IF(J54="","",VLOOKUP(J54,LISTAS!$F$5:$G$1004,2,0)),"0")</f>
        <v>ESCOLA PRÓ CONHECER</v>
      </c>
      <c r="L54" s="79"/>
    </row>
    <row r="55" spans="2:16" ht="18" customHeight="1" x14ac:dyDescent="0.25">
      <c r="B55" s="33" t="str">
        <f>IF(H47=3,B47,"")</f>
        <v>CAUÃ NAVARRO BRUZATI</v>
      </c>
      <c r="C55" s="33" t="str">
        <f>IFERROR(IF(B55="","",VLOOKUP(B55,LISTAS!$F$5:$G$1004,2,0)),"0")</f>
        <v>COLÉGIO ENGENHEIRO SALVADOR ARENA</v>
      </c>
      <c r="D55" s="253">
        <v>0</v>
      </c>
      <c r="E55" s="254"/>
      <c r="F55" s="253" t="s">
        <v>38</v>
      </c>
      <c r="G55" s="254"/>
      <c r="H55" s="253">
        <v>2</v>
      </c>
      <c r="I55" s="254"/>
      <c r="J55" s="111" t="str">
        <f>IF(H47=3,B48,"")</f>
        <v>FELIPE HIDEKI MIAZAKI</v>
      </c>
      <c r="K55" s="33" t="str">
        <f>IFERROR(IF(J55="","",VLOOKUP(J55,LISTAS!$F$5:$G$1004,2,0)),"0")</f>
        <v>LICEU JARDIM</v>
      </c>
      <c r="L55" s="81"/>
    </row>
    <row r="58" spans="2:16" ht="30" customHeight="1" x14ac:dyDescent="0.25">
      <c r="B58" s="161" t="s">
        <v>48</v>
      </c>
      <c r="C58" s="79"/>
      <c r="D58" s="255" t="s">
        <v>42</v>
      </c>
      <c r="E58" s="256"/>
      <c r="F58" s="256"/>
      <c r="G58" s="257"/>
      <c r="H58" s="113"/>
      <c r="I58" s="255" t="s">
        <v>3</v>
      </c>
      <c r="J58" s="256"/>
      <c r="K58" s="256"/>
      <c r="L58" s="256"/>
    </row>
    <row r="59" spans="2:16" ht="18" customHeight="1" x14ac:dyDescent="0.25">
      <c r="B59" s="132" t="s">
        <v>15</v>
      </c>
      <c r="C59" s="132" t="s">
        <v>0</v>
      </c>
      <c r="D59" s="132" t="s">
        <v>43</v>
      </c>
      <c r="E59" s="132" t="s">
        <v>44</v>
      </c>
      <c r="F59" s="132" t="s">
        <v>77</v>
      </c>
      <c r="G59" s="132" t="s">
        <v>78</v>
      </c>
      <c r="H59" s="114"/>
      <c r="I59" s="132" t="s">
        <v>18</v>
      </c>
      <c r="J59" s="132" t="s">
        <v>15</v>
      </c>
      <c r="K59" s="132" t="s">
        <v>0</v>
      </c>
      <c r="L59" s="132" t="s">
        <v>45</v>
      </c>
    </row>
    <row r="60" spans="2:16" ht="18" customHeight="1" x14ac:dyDescent="0.25">
      <c r="B60" s="33" t="s">
        <v>547</v>
      </c>
      <c r="C60" s="33" t="str">
        <f>IFERROR(IF(B60="","",VLOOKUP(B60,LISTAS!$F$5:$G$1004,2,0)),"0")</f>
        <v>ESCOLA STAGIUM</v>
      </c>
      <c r="D60" s="33" t="str">
        <f>IF(H60&lt;3,"",IF(H60=3,IF(D66&lt;&gt;"",IF(H66&lt;&gt;"",IF(D66&lt;&gt;H66,IF(D66&gt;H66,"V","D"),""),""),"")))</f>
        <v>D</v>
      </c>
      <c r="E60" s="33" t="str">
        <f>IF(H60&lt;3,"",IF(H60=3,IF(D68&lt;&gt;"",IF(H68&lt;&gt;"",IF(D68&lt;&gt;H68,IF(D68&gt;H68,"V","D"),""),""),"")))</f>
        <v>D</v>
      </c>
      <c r="F60" s="33" t="s">
        <v>81</v>
      </c>
      <c r="G60" s="33" t="s">
        <v>81</v>
      </c>
      <c r="H60" s="117">
        <f>COUNTA(B60:B62)</f>
        <v>3</v>
      </c>
      <c r="I60" s="33">
        <f>IF(B60&lt;&gt;"",1,"")</f>
        <v>1</v>
      </c>
      <c r="J60" s="33" t="str">
        <f>IF(I60&lt;&gt;"",P60,"")</f>
        <v>FREDERICO DE OLIVEIRA LIMA SHIRAI</v>
      </c>
      <c r="K60" s="33" t="str">
        <f>IFERROR(IF(J60="","",VLOOKUP(J60,LISTAS!$F$5:$G$1004,2,0)),"0")</f>
        <v>COLÉGIO ENGENHEIRO SALVADOR ARENA</v>
      </c>
      <c r="L60" s="130" t="str">
        <f>IF(H60=3,"OURO",IF(H60=4,"OURO",IF(H60=5,"OURO","")))</f>
        <v>OURO</v>
      </c>
      <c r="M60" s="20">
        <f>IF(B60&lt;&gt;"",COUNTIF(D60:G60,"V")+(SUMIF(B66:B68,B60,D66:E68)/1000)+(SUMIF(J66:J68,B60,H66:I68)/1000)-(SUMIF(B66:B68,B60,H66:I68)/1000)-(SUMIF(J66:J68,B60,D66:E68)/1000)+0.003,"")</f>
        <v>-1E-3</v>
      </c>
      <c r="N60" s="20" t="str">
        <f>IF(B60="","",B60)</f>
        <v>ÁLVARO LUIS ALBANEZ VIEIRA DA SILVA</v>
      </c>
      <c r="O60" s="20">
        <f>IF(B60&lt;&gt;"",LARGE(M60:M62,1),"")</f>
        <v>2.0049999999999999</v>
      </c>
      <c r="P60" s="20" t="str">
        <f>VLOOKUP(O60,M60:N62,2,0)</f>
        <v>FREDERICO DE OLIVEIRA LIMA SHIRAI</v>
      </c>
    </row>
    <row r="61" spans="2:16" ht="18" customHeight="1" x14ac:dyDescent="0.25">
      <c r="B61" s="33" t="s">
        <v>601</v>
      </c>
      <c r="C61" s="33" t="str">
        <f>IFERROR(IF(B61="","",VLOOKUP(B61,LISTAS!$F$5:$G$1004,2,0)),"0")</f>
        <v>BYE</v>
      </c>
      <c r="D61" s="33" t="str">
        <f>IF(H60&lt;3,"",IF(H60=3,IF(D67&lt;&gt;"",IF(H67&lt;&gt;"",IF(D67&lt;&gt;H67,IF(D67&gt;H67,"V","D"),""),""),"")))</f>
        <v>D</v>
      </c>
      <c r="E61" s="33" t="str">
        <f>IF(H60&lt;3,"",IF(H60=3,IF(D68&lt;&gt;"",IF(H68&lt;&gt;"",IF(D68&lt;&gt;H68,IF(D68&gt;H68,"D","V"),""),""),"")))</f>
        <v>V</v>
      </c>
      <c r="F61" s="33" t="s">
        <v>81</v>
      </c>
      <c r="G61" s="33" t="s">
        <v>81</v>
      </c>
      <c r="H61" s="117"/>
      <c r="I61" s="33">
        <f>IF(B61&lt;&gt;"",2,"")</f>
        <v>2</v>
      </c>
      <c r="J61" s="33" t="str">
        <f>IF(I61&lt;&gt;"",P61,"")</f>
        <v>BYE</v>
      </c>
      <c r="K61" s="33" t="str">
        <f>IFERROR(IF(J61="","",VLOOKUP(J61,LISTAS!$F$5:$G$1004,2,0)),"0")</f>
        <v>BYE</v>
      </c>
      <c r="L61" s="130" t="str">
        <f>IF(H60=3,"PRATA",IF(H60=4,"OURO",IF(H60=5,"OURO","")))</f>
        <v>PRATA</v>
      </c>
      <c r="M61" s="20">
        <f>IF(B61&lt;&gt;"",COUNTIF(D61:G61,"V")+(SUMIF(B66:B68,B61,D66:E68)/1000)+(SUMIF(J66:J68,B61,H66:I68)/1000)-(SUMIF(B66:B68,B61,H66:I68)/1000)-(SUMIF(J66:J68,B61,D66:E68)/1000)+0.002,"")</f>
        <v>1.002</v>
      </c>
      <c r="N61" s="20" t="str">
        <f t="shared" ref="N61" si="3">IF(B61="","",B61)</f>
        <v>BYE</v>
      </c>
      <c r="O61" s="20">
        <f>IF(B61&lt;&gt;"",LARGE(M60:M62,2),"")</f>
        <v>1.002</v>
      </c>
      <c r="P61" s="20" t="str">
        <f>VLOOKUP(O61,M60:N62,2,0)</f>
        <v>BYE</v>
      </c>
    </row>
    <row r="62" spans="2:16" ht="18" customHeight="1" x14ac:dyDescent="0.25">
      <c r="B62" s="33" t="s">
        <v>560</v>
      </c>
      <c r="C62" s="33" t="str">
        <f>IFERROR(IF(B62="","",VLOOKUP(B62,LISTAS!$F$5:$G$1004,2,0)),"0")</f>
        <v>COLÉGIO ENGENHEIRO SALVADOR ARENA</v>
      </c>
      <c r="D62" s="33" t="str">
        <f>IF(H60&lt;3,"",IF(H60=3,IF(D66&lt;&gt;"",IF(H66&lt;&gt;"",IF(D66&lt;&gt;H66,IF(D66&gt;H66,"D","V"),""),""),"")))</f>
        <v>V</v>
      </c>
      <c r="E62" s="33" t="str">
        <f>IF(H60&lt;3,"",IF(H60=3,IF(D67&lt;&gt;"",IF(H67&lt;&gt;"",IF(D67&lt;&gt;H67,IF(D67&gt;H67,"D","V"),""),""),"")))</f>
        <v>V</v>
      </c>
      <c r="F62" s="33" t="s">
        <v>81</v>
      </c>
      <c r="G62" s="33" t="s">
        <v>81</v>
      </c>
      <c r="H62" s="117"/>
      <c r="I62" s="33">
        <f>IF(B62&lt;&gt;"",3,"")</f>
        <v>3</v>
      </c>
      <c r="J62" s="33" t="str">
        <f>IF(I62&lt;&gt;"",P62,"")</f>
        <v>ÁLVARO LUIS ALBANEZ VIEIRA DA SILVA</v>
      </c>
      <c r="K62" s="33" t="str">
        <f>IFERROR(IF(J62="","",VLOOKUP(J62,LISTAS!$F$5:$G$1004,2,0)),"0")</f>
        <v>ESCOLA STAGIUM</v>
      </c>
      <c r="L62" s="130" t="str">
        <f>IF(H60=3,"BRONZE",IF(H60=4,"PRATA",IF(H60=5,"OURO","")))</f>
        <v>BRONZE</v>
      </c>
      <c r="M62" s="20">
        <f>IF(B62&lt;&gt;"",COUNTIF(D62:G62,"V")+(SUMIF(B66:B68,B62,D66:E68)/1000)+(SUMIF(J66:J68,B62,H66:I68)/1000)-(SUMIF(B66:B68,B62,H66:I68)/1000)-(SUMIF(J66:J68,B62,D66:E68)/1000)+0.001,"")</f>
        <v>2.0049999999999999</v>
      </c>
      <c r="N62" s="20" t="str">
        <f>IF(B62="","",B62)</f>
        <v>FREDERICO DE OLIVEIRA LIMA SHIRAI</v>
      </c>
      <c r="O62" s="20">
        <f>IF(B62&lt;&gt;"",LARGE(M60:M62,3),"")</f>
        <v>-1E-3</v>
      </c>
      <c r="P62" s="20" t="str">
        <f>VLOOKUP(O62,M60:N62,2,0)</f>
        <v>ÁLVARO LUIS ALBANEZ VIEIRA DA SILVA</v>
      </c>
    </row>
    <row r="63" spans="2:16" ht="18" customHeight="1" x14ac:dyDescent="0.25">
      <c r="B63" s="79"/>
      <c r="C63" s="79"/>
      <c r="D63" s="79"/>
      <c r="E63" s="79"/>
      <c r="F63" s="79"/>
      <c r="G63" s="79"/>
      <c r="I63" s="80"/>
      <c r="J63" s="79"/>
      <c r="K63" s="81"/>
      <c r="L63" s="81"/>
    </row>
    <row r="64" spans="2:16" ht="23.25" customHeight="1" x14ac:dyDescent="0.25">
      <c r="B64" s="82" t="s">
        <v>40</v>
      </c>
      <c r="C64" s="79"/>
      <c r="D64" s="79"/>
      <c r="E64" s="79"/>
      <c r="F64" s="79"/>
      <c r="G64" s="79"/>
      <c r="H64" s="79"/>
      <c r="I64" s="79"/>
      <c r="J64" s="79"/>
      <c r="K64" s="79"/>
      <c r="L64" s="79"/>
    </row>
    <row r="65" spans="2:16" ht="18" customHeight="1" x14ac:dyDescent="0.25">
      <c r="B65" s="132" t="s">
        <v>15</v>
      </c>
      <c r="C65" s="132" t="s">
        <v>0</v>
      </c>
      <c r="D65" s="258" t="s">
        <v>41</v>
      </c>
      <c r="E65" s="259"/>
      <c r="F65" s="259"/>
      <c r="G65" s="259"/>
      <c r="H65" s="259"/>
      <c r="I65" s="260"/>
      <c r="J65" s="132" t="s">
        <v>15</v>
      </c>
      <c r="K65" s="132" t="s">
        <v>0</v>
      </c>
      <c r="L65" s="79"/>
    </row>
    <row r="66" spans="2:16" ht="18" customHeight="1" x14ac:dyDescent="0.25">
      <c r="B66" s="33" t="str">
        <f>IF(H60=3,B60,"")</f>
        <v>ÁLVARO LUIS ALBANEZ VIEIRA DA SILVA</v>
      </c>
      <c r="C66" s="33" t="str">
        <f>IFERROR(IF(B66="","",VLOOKUP(B66,LISTAS!$F$5:$G$1004,2,0)),"0")</f>
        <v>ESCOLA STAGIUM</v>
      </c>
      <c r="D66" s="253">
        <v>0</v>
      </c>
      <c r="E66" s="254"/>
      <c r="F66" s="253" t="s">
        <v>38</v>
      </c>
      <c r="G66" s="254"/>
      <c r="H66" s="253">
        <v>2</v>
      </c>
      <c r="I66" s="254"/>
      <c r="J66" s="111" t="str">
        <f>IF(H60=3,B62,"")</f>
        <v>FREDERICO DE OLIVEIRA LIMA SHIRAI</v>
      </c>
      <c r="K66" s="33" t="str">
        <f>IFERROR(IF(J66="","",VLOOKUP(J66,LISTAS!$F$5:$G$1004,2,0)),"0")</f>
        <v>COLÉGIO ENGENHEIRO SALVADOR ARENA</v>
      </c>
      <c r="L66" s="81"/>
    </row>
    <row r="67" spans="2:16" ht="18" customHeight="1" x14ac:dyDescent="0.25">
      <c r="B67" s="33" t="str">
        <f>IF(H60=3,B61,"")</f>
        <v>BYE</v>
      </c>
      <c r="C67" s="33" t="str">
        <f>IFERROR(IF(B67="","",VLOOKUP(B67,LISTAS!$F$5:$G$1004,2,0)),"0")</f>
        <v>BYE</v>
      </c>
      <c r="D67" s="253">
        <v>0</v>
      </c>
      <c r="E67" s="254"/>
      <c r="F67" s="253" t="s">
        <v>38</v>
      </c>
      <c r="G67" s="254"/>
      <c r="H67" s="253">
        <v>2</v>
      </c>
      <c r="I67" s="254"/>
      <c r="J67" s="111" t="str">
        <f>IF(H60=3,B62,"")</f>
        <v>FREDERICO DE OLIVEIRA LIMA SHIRAI</v>
      </c>
      <c r="K67" s="33" t="str">
        <f>IFERROR(IF(J67="","",VLOOKUP(J67,LISTAS!$F$5:$G$1004,2,0)),"0")</f>
        <v>COLÉGIO ENGENHEIRO SALVADOR ARENA</v>
      </c>
      <c r="L67" s="79"/>
    </row>
    <row r="68" spans="2:16" ht="18" customHeight="1" x14ac:dyDescent="0.25">
      <c r="B68" s="33" t="str">
        <f>IF(H60=3,B60,"")</f>
        <v>ÁLVARO LUIS ALBANEZ VIEIRA DA SILVA</v>
      </c>
      <c r="C68" s="33" t="str">
        <f>IFERROR(IF(B68="","",VLOOKUP(B68,LISTAS!$F$5:$G$1004,2,0)),"0")</f>
        <v>ESCOLA STAGIUM</v>
      </c>
      <c r="D68" s="253">
        <v>0</v>
      </c>
      <c r="E68" s="254"/>
      <c r="F68" s="253" t="s">
        <v>38</v>
      </c>
      <c r="G68" s="254"/>
      <c r="H68" s="253">
        <v>2</v>
      </c>
      <c r="I68" s="254"/>
      <c r="J68" s="111" t="str">
        <f>IF(H60=3,B61,"")</f>
        <v>BYE</v>
      </c>
      <c r="K68" s="33" t="str">
        <f>IFERROR(IF(J68="","",VLOOKUP(J68,LISTAS!$F$5:$G$1004,2,0)),"0")</f>
        <v>BYE</v>
      </c>
      <c r="L68" s="81"/>
    </row>
    <row r="71" spans="2:16" ht="30" customHeight="1" x14ac:dyDescent="0.25">
      <c r="B71" s="161" t="s">
        <v>49</v>
      </c>
      <c r="C71" s="79"/>
      <c r="D71" s="255" t="s">
        <v>42</v>
      </c>
      <c r="E71" s="256"/>
      <c r="F71" s="256"/>
      <c r="G71" s="257"/>
      <c r="H71" s="113"/>
      <c r="I71" s="255" t="s">
        <v>3</v>
      </c>
      <c r="J71" s="256"/>
      <c r="K71" s="256"/>
      <c r="L71" s="256"/>
    </row>
    <row r="72" spans="2:16" ht="18" customHeight="1" x14ac:dyDescent="0.25">
      <c r="B72" s="132" t="s">
        <v>15</v>
      </c>
      <c r="C72" s="132" t="s">
        <v>0</v>
      </c>
      <c r="D72" s="132" t="s">
        <v>43</v>
      </c>
      <c r="E72" s="132" t="s">
        <v>44</v>
      </c>
      <c r="F72" s="132" t="s">
        <v>77</v>
      </c>
      <c r="G72" s="132" t="s">
        <v>78</v>
      </c>
      <c r="H72" s="114"/>
      <c r="I72" s="132" t="s">
        <v>18</v>
      </c>
      <c r="J72" s="132" t="s">
        <v>15</v>
      </c>
      <c r="K72" s="132" t="s">
        <v>0</v>
      </c>
      <c r="L72" s="132" t="s">
        <v>45</v>
      </c>
    </row>
    <row r="73" spans="2:16" ht="18" customHeight="1" x14ac:dyDescent="0.25">
      <c r="B73" s="33" t="s">
        <v>575</v>
      </c>
      <c r="C73" s="33" t="str">
        <f>IFERROR(IF(B73="","",VLOOKUP(B73,LISTAS!$F$5:$G$1004,2,0)),"0")</f>
        <v>COLÉGIO ARBOS - UNIDADE SANTO ANDRÉ</v>
      </c>
      <c r="D73" s="33" t="str">
        <f>IF(H73&lt;3,"",IF(H73=3,IF(D79&lt;&gt;"",IF(H79&lt;&gt;"",IF(D79&lt;&gt;H79,IF(D79&gt;H79,"V","D"),""),""),"")))</f>
        <v>D</v>
      </c>
      <c r="E73" s="33" t="str">
        <f>IF(H73&lt;3,"",IF(H73=3,IF(D81&lt;&gt;"",IF(H81&lt;&gt;"",IF(D81&lt;&gt;H81,IF(D81&gt;H81,"V","D"),""),""),"")))</f>
        <v>V</v>
      </c>
      <c r="F73" s="33" t="s">
        <v>81</v>
      </c>
      <c r="G73" s="33" t="s">
        <v>81</v>
      </c>
      <c r="H73" s="117">
        <f>COUNTA(B73:B75)</f>
        <v>3</v>
      </c>
      <c r="I73" s="33">
        <f>IF(B73&lt;&gt;"",1,"")</f>
        <v>1</v>
      </c>
      <c r="J73" s="33" t="str">
        <f>IF(I73&lt;&gt;"",P73,"")</f>
        <v>GUSTAVO KENJI ETO</v>
      </c>
      <c r="K73" s="33" t="str">
        <f>IFERROR(IF(J73="","",VLOOKUP(J73,LISTAS!$F$5:$G$1004,2,0)),"0")</f>
        <v>COLÉGIO ENGENHEIRO SALVADOR ARENA</v>
      </c>
      <c r="L73" s="130" t="str">
        <f>IF(H73=3,"OURO",IF(H73=4,"OURO",IF(H73=5,"OURO","")))</f>
        <v>OURO</v>
      </c>
      <c r="M73" s="20">
        <f>IF(B73&lt;&gt;"",COUNTIF(D73:G73,"V")+(SUMIF(B79:B81,B73,D79:E81)/1000)+(SUMIF(J79:J81,B73,H79:I81)/1000)-(SUMIF(B79:B81,B73,H79:I81)/1000)-(SUMIF(J79:J81,B73,D79:E81)/1000)+0.003,"")</f>
        <v>1.002</v>
      </c>
      <c r="N73" s="20" t="str">
        <f>IF(B73="","",B73)</f>
        <v>LUCA COSTA GUERRA</v>
      </c>
      <c r="O73" s="20">
        <f>IF(B73&lt;&gt;"",LARGE(M73:M75,1),"")</f>
        <v>2.0049999999999999</v>
      </c>
      <c r="P73" s="20" t="str">
        <f>VLOOKUP(O73,M73:N75,2,0)</f>
        <v>GUSTAVO KENJI ETO</v>
      </c>
    </row>
    <row r="74" spans="2:16" ht="18" customHeight="1" x14ac:dyDescent="0.25">
      <c r="B74" s="33" t="s">
        <v>592</v>
      </c>
      <c r="C74" s="33" t="str">
        <f>IFERROR(IF(B74="","",VLOOKUP(B74,LISTAS!$F$5:$G$1004,2,0)),"0")</f>
        <v>COLÉGIO ARBOS DE SÃO BERNARDO DO CAMPO</v>
      </c>
      <c r="D74" s="33" t="str">
        <f>IF(H73&lt;3,"",IF(H73=3,IF(D80&lt;&gt;"",IF(H80&lt;&gt;"",IF(D80&lt;&gt;H80,IF(D80&gt;H80,"V","D"),""),""),"")))</f>
        <v>D</v>
      </c>
      <c r="E74" s="33" t="str">
        <f>IF(H73&lt;3,"",IF(H73=3,IF(D81&lt;&gt;"",IF(H81&lt;&gt;"",IF(D81&lt;&gt;H81,IF(D81&gt;H81,"D","V"),""),""),"")))</f>
        <v>D</v>
      </c>
      <c r="F74" s="33" t="s">
        <v>81</v>
      </c>
      <c r="G74" s="33" t="s">
        <v>81</v>
      </c>
      <c r="H74" s="117"/>
      <c r="I74" s="33">
        <f>IF(B74&lt;&gt;"",2,"")</f>
        <v>2</v>
      </c>
      <c r="J74" s="33" t="str">
        <f>IF(I74&lt;&gt;"",P74,"")</f>
        <v>LUCA COSTA GUERRA</v>
      </c>
      <c r="K74" s="33" t="str">
        <f>IFERROR(IF(J74="","",VLOOKUP(J74,LISTAS!$F$5:$G$1004,2,0)),"0")</f>
        <v>COLÉGIO ARBOS - UNIDADE SANTO ANDRÉ</v>
      </c>
      <c r="L74" s="130" t="str">
        <f>IF(H73=3,"PRATA",IF(H73=4,"OURO",IF(H73=5,"OURO","")))</f>
        <v>PRATA</v>
      </c>
      <c r="M74" s="20">
        <f>IF(B74&lt;&gt;"",COUNTIF(D74:G74,"V")+(SUMIF(B79:B81,B74,D79:E81)/1000)+(SUMIF(J79:J81,B74,H79:I81)/1000)-(SUMIF(B79:B81,B74,H79:I81)/1000)-(SUMIF(J79:J81,B74,D79:E81)/1000)+0.002,"")</f>
        <v>-1E-3</v>
      </c>
      <c r="N74" s="20" t="str">
        <f t="shared" ref="N74" si="4">IF(B74="","",B74)</f>
        <v>MURILO ANDRADE</v>
      </c>
      <c r="O74" s="20">
        <f>IF(B74&lt;&gt;"",LARGE(M73:M75,2),"")</f>
        <v>1.002</v>
      </c>
      <c r="P74" s="20" t="str">
        <f>VLOOKUP(O74,M73:N75,2,0)</f>
        <v>LUCA COSTA GUERRA</v>
      </c>
    </row>
    <row r="75" spans="2:16" ht="18" customHeight="1" x14ac:dyDescent="0.25">
      <c r="B75" s="33" t="s">
        <v>564</v>
      </c>
      <c r="C75" s="33" t="str">
        <f>IFERROR(IF(B75="","",VLOOKUP(B75,LISTAS!$F$5:$G$1004,2,0)),"0")</f>
        <v>COLÉGIO ENGENHEIRO SALVADOR ARENA</v>
      </c>
      <c r="D75" s="33" t="str">
        <f>IF(H73&lt;3,"",IF(H73=3,IF(D79&lt;&gt;"",IF(H79&lt;&gt;"",IF(D79&lt;&gt;H79,IF(D79&gt;H79,"D","V"),""),""),"")))</f>
        <v>V</v>
      </c>
      <c r="E75" s="33" t="str">
        <f>IF(H73&lt;3,"",IF(H73=3,IF(D80&lt;&gt;"",IF(H80&lt;&gt;"",IF(D80&lt;&gt;H80,IF(D80&gt;H80,"D","V"),""),""),"")))</f>
        <v>V</v>
      </c>
      <c r="F75" s="33" t="s">
        <v>81</v>
      </c>
      <c r="G75" s="33" t="s">
        <v>81</v>
      </c>
      <c r="H75" s="117"/>
      <c r="I75" s="33">
        <f>IF(B75&lt;&gt;"",3,"")</f>
        <v>3</v>
      </c>
      <c r="J75" s="33" t="str">
        <f>IF(I75&lt;&gt;"",P75,"")</f>
        <v>MURILO ANDRADE</v>
      </c>
      <c r="K75" s="33" t="str">
        <f>IFERROR(IF(J75="","",VLOOKUP(J75,LISTAS!$F$5:$G$1004,2,0)),"0")</f>
        <v>COLÉGIO ARBOS DE SÃO BERNARDO DO CAMPO</v>
      </c>
      <c r="L75" s="130" t="str">
        <f>IF(H73=3,"BRONZE",IF(H73=4,"PRATA",IF(H73=5,"OURO","")))</f>
        <v>BRONZE</v>
      </c>
      <c r="M75" s="20">
        <f>IF(B75&lt;&gt;"",COUNTIF(D75:G75,"V")+(SUMIF(B79:B81,B75,D79:E81)/1000)+(SUMIF(J79:J81,B75,H79:I81)/1000)-(SUMIF(B79:B81,B75,H79:I81)/1000)-(SUMIF(J79:J81,B75,D79:E81)/1000)+0.001,"")</f>
        <v>2.0049999999999999</v>
      </c>
      <c r="N75" s="20" t="str">
        <f>IF(B75="","",B75)</f>
        <v>GUSTAVO KENJI ETO</v>
      </c>
      <c r="O75" s="20">
        <f>IF(B75&lt;&gt;"",LARGE(M73:M75,3),"")</f>
        <v>-1E-3</v>
      </c>
      <c r="P75" s="20" t="str">
        <f>VLOOKUP(O75,M73:N75,2,0)</f>
        <v>MURILO ANDRADE</v>
      </c>
    </row>
    <row r="76" spans="2:16" ht="18" customHeight="1" x14ac:dyDescent="0.25">
      <c r="B76" s="79"/>
      <c r="C76" s="79"/>
      <c r="D76" s="79"/>
      <c r="E76" s="79"/>
      <c r="F76" s="79"/>
      <c r="G76" s="79"/>
      <c r="I76" s="80"/>
      <c r="J76" s="79"/>
      <c r="K76" s="81"/>
      <c r="L76" s="81"/>
    </row>
    <row r="77" spans="2:16" ht="23.25" customHeight="1" x14ac:dyDescent="0.25">
      <c r="B77" s="82" t="s">
        <v>40</v>
      </c>
      <c r="C77" s="79"/>
      <c r="D77" s="79"/>
      <c r="E77" s="79"/>
      <c r="F77" s="79"/>
      <c r="G77" s="79"/>
      <c r="H77" s="79"/>
      <c r="I77" s="79"/>
      <c r="J77" s="79"/>
      <c r="K77" s="79"/>
      <c r="L77" s="79"/>
    </row>
    <row r="78" spans="2:16" ht="18" customHeight="1" x14ac:dyDescent="0.25">
      <c r="B78" s="132" t="s">
        <v>15</v>
      </c>
      <c r="C78" s="132" t="s">
        <v>0</v>
      </c>
      <c r="D78" s="258" t="s">
        <v>41</v>
      </c>
      <c r="E78" s="259"/>
      <c r="F78" s="259"/>
      <c r="G78" s="259"/>
      <c r="H78" s="259"/>
      <c r="I78" s="260"/>
      <c r="J78" s="132" t="s">
        <v>15</v>
      </c>
      <c r="K78" s="132" t="s">
        <v>0</v>
      </c>
      <c r="L78" s="79"/>
    </row>
    <row r="79" spans="2:16" ht="18" customHeight="1" x14ac:dyDescent="0.25">
      <c r="B79" s="33" t="str">
        <f>IF(H73=3,B73,"")</f>
        <v>LUCA COSTA GUERRA</v>
      </c>
      <c r="C79" s="33" t="str">
        <f>IFERROR(IF(B79="","",VLOOKUP(B79,LISTAS!$F$5:$G$1004,2,0)),"0")</f>
        <v>COLÉGIO ARBOS - UNIDADE SANTO ANDRÉ</v>
      </c>
      <c r="D79" s="253">
        <v>0</v>
      </c>
      <c r="E79" s="254"/>
      <c r="F79" s="253" t="s">
        <v>38</v>
      </c>
      <c r="G79" s="254"/>
      <c r="H79" s="253">
        <v>2</v>
      </c>
      <c r="I79" s="254"/>
      <c r="J79" s="111" t="str">
        <f>IF(H73=3,B75,"")</f>
        <v>GUSTAVO KENJI ETO</v>
      </c>
      <c r="K79" s="33" t="str">
        <f>IFERROR(IF(J79="","",VLOOKUP(J79,LISTAS!$F$5:$G$1004,2,0)),"0")</f>
        <v>COLÉGIO ENGENHEIRO SALVADOR ARENA</v>
      </c>
      <c r="L79" s="81"/>
    </row>
    <row r="80" spans="2:16" ht="18" customHeight="1" x14ac:dyDescent="0.25">
      <c r="B80" s="33" t="str">
        <f>IF(H73=3,B74,"")</f>
        <v>MURILO ANDRADE</v>
      </c>
      <c r="C80" s="33" t="str">
        <f>IFERROR(IF(B80="","",VLOOKUP(B80,LISTAS!$F$5:$G$1004,2,0)),"0")</f>
        <v>COLÉGIO ARBOS DE SÃO BERNARDO DO CAMPO</v>
      </c>
      <c r="D80" s="253">
        <v>0</v>
      </c>
      <c r="E80" s="254"/>
      <c r="F80" s="253" t="s">
        <v>38</v>
      </c>
      <c r="G80" s="254"/>
      <c r="H80" s="253">
        <v>2</v>
      </c>
      <c r="I80" s="254"/>
      <c r="J80" s="111" t="str">
        <f>IF(H73=3,B75,"")</f>
        <v>GUSTAVO KENJI ETO</v>
      </c>
      <c r="K80" s="33" t="str">
        <f>IFERROR(IF(J80="","",VLOOKUP(J80,LISTAS!$F$5:$G$1004,2,0)),"0")</f>
        <v>COLÉGIO ENGENHEIRO SALVADOR ARENA</v>
      </c>
      <c r="L80" s="79"/>
    </row>
    <row r="81" spans="2:16" ht="18" customHeight="1" x14ac:dyDescent="0.25">
      <c r="B81" s="33" t="str">
        <f>IF(H73=3,B73,"")</f>
        <v>LUCA COSTA GUERRA</v>
      </c>
      <c r="C81" s="33" t="str">
        <f>IFERROR(IF(B81="","",VLOOKUP(B81,LISTAS!$F$5:$G$1004,2,0)),"0")</f>
        <v>COLÉGIO ARBOS - UNIDADE SANTO ANDRÉ</v>
      </c>
      <c r="D81" s="253">
        <v>2</v>
      </c>
      <c r="E81" s="254"/>
      <c r="F81" s="253" t="s">
        <v>38</v>
      </c>
      <c r="G81" s="254"/>
      <c r="H81" s="253">
        <v>1</v>
      </c>
      <c r="I81" s="254"/>
      <c r="J81" s="111" t="str">
        <f>IF(H73=3,B74,"")</f>
        <v>MURILO ANDRADE</v>
      </c>
      <c r="K81" s="33" t="str">
        <f>IFERROR(IF(J81="","",VLOOKUP(J81,LISTAS!$F$5:$G$1004,2,0)),"0")</f>
        <v>COLÉGIO ARBOS DE SÃO BERNARDO DO CAMPO</v>
      </c>
      <c r="L81" s="81"/>
    </row>
    <row r="84" spans="2:16" ht="30" customHeight="1" x14ac:dyDescent="0.25">
      <c r="B84" s="161" t="s">
        <v>50</v>
      </c>
      <c r="C84" s="79"/>
      <c r="D84" s="255" t="s">
        <v>42</v>
      </c>
      <c r="E84" s="256"/>
      <c r="F84" s="256"/>
      <c r="G84" s="257"/>
      <c r="H84" s="113"/>
      <c r="I84" s="255" t="s">
        <v>3</v>
      </c>
      <c r="J84" s="256"/>
      <c r="K84" s="256"/>
      <c r="L84" s="256"/>
    </row>
    <row r="85" spans="2:16" ht="18" customHeight="1" x14ac:dyDescent="0.25">
      <c r="B85" s="132" t="s">
        <v>15</v>
      </c>
      <c r="C85" s="132" t="s">
        <v>0</v>
      </c>
      <c r="D85" s="132" t="s">
        <v>43</v>
      </c>
      <c r="E85" s="132" t="s">
        <v>44</v>
      </c>
      <c r="F85" s="132" t="s">
        <v>77</v>
      </c>
      <c r="G85" s="132" t="s">
        <v>78</v>
      </c>
      <c r="H85" s="114"/>
      <c r="I85" s="132" t="s">
        <v>18</v>
      </c>
      <c r="J85" s="132" t="s">
        <v>15</v>
      </c>
      <c r="K85" s="132" t="s">
        <v>0</v>
      </c>
      <c r="L85" s="132" t="s">
        <v>45</v>
      </c>
    </row>
    <row r="86" spans="2:16" ht="18" customHeight="1" x14ac:dyDescent="0.25">
      <c r="B86" s="33" t="s">
        <v>568</v>
      </c>
      <c r="C86" s="33" t="str">
        <f>IFERROR(IF(B86="","",VLOOKUP(B86,LISTAS!$F$5:$G$1004,2,0)),"0")</f>
        <v>COLÉGIO ENGENHEIRO SALVADOR ARENA</v>
      </c>
      <c r="D86" s="33" t="str">
        <f>IF(H86&lt;3,"",IF(H86=3,IF(D92&lt;&gt;"",IF(H92&lt;&gt;"",IF(D92&lt;&gt;H92,IF(D92&gt;H92,"V","D"),""),""),"")))</f>
        <v>D</v>
      </c>
      <c r="E86" s="33" t="str">
        <f>IF(H86&lt;3,"",IF(H86=3,IF(D94&lt;&gt;"",IF(H94&lt;&gt;"",IF(D94&lt;&gt;H94,IF(D94&gt;H94,"V","D"),""),""),"")))</f>
        <v>D</v>
      </c>
      <c r="F86" s="33" t="s">
        <v>81</v>
      </c>
      <c r="G86" s="33" t="s">
        <v>81</v>
      </c>
      <c r="H86" s="117">
        <f>COUNTA(B86:B88)</f>
        <v>3</v>
      </c>
      <c r="I86" s="33">
        <f>IF(B86&lt;&gt;"",1,"")</f>
        <v>1</v>
      </c>
      <c r="J86" s="33" t="str">
        <f>IF(I86&lt;&gt;"",P86,"")</f>
        <v>MARCOS GENARI DE CARVALHO</v>
      </c>
      <c r="K86" s="33" t="str">
        <f>IFERROR(IF(J86="","",VLOOKUP(J86,LISTAS!$F$5:$G$1004,2,0)),"0")</f>
        <v>ESCOLA PRÓ CONHECER</v>
      </c>
      <c r="L86" s="130" t="str">
        <f>IF(H86=3,"OURO",IF(H86=4,"OURO",IF(H86=5,"OURO","")))</f>
        <v>OURO</v>
      </c>
      <c r="M86" s="20">
        <f>IF(B86&lt;&gt;"",COUNTIF(D86:G86,"V")+(SUMIF(B92:B94,B86,D92:E94)/1000)+(SUMIF(J92:J94,B86,H92:I94)/1000)-(SUMIF(B92:B94,B86,H92:I94)/1000)-(SUMIF(J92:J94,B86,D92:E94)/1000)+0.003,"")</f>
        <v>0</v>
      </c>
      <c r="N86" s="20" t="str">
        <f>IF(B86="","",B86)</f>
        <v>JOÃO FELIPE CAVALCANTE DE SÁ</v>
      </c>
      <c r="O86" s="20">
        <f>IF(B86&lt;&gt;"",LARGE(M86:M88,1),"")</f>
        <v>2.0059999999999993</v>
      </c>
      <c r="P86" s="20" t="str">
        <f>VLOOKUP(O86,M86:N88,2,0)</f>
        <v>MARCOS GENARI DE CARVALHO</v>
      </c>
    </row>
    <row r="87" spans="2:16" ht="18" customHeight="1" x14ac:dyDescent="0.25">
      <c r="B87" s="33" t="s">
        <v>587</v>
      </c>
      <c r="C87" s="33" t="str">
        <f>IFERROR(IF(B87="","",VLOOKUP(B87,LISTAS!$F$5:$G$1004,2,0)),"0")</f>
        <v>ESCOLA PRÓ CONHECER</v>
      </c>
      <c r="D87" s="33" t="str">
        <f>IF(H86&lt;3,"",IF(H86=3,IF(D93&lt;&gt;"",IF(H93&lt;&gt;"",IF(D93&lt;&gt;H93,IF(D93&gt;H93,"V","D"),""),""),"")))</f>
        <v>V</v>
      </c>
      <c r="E87" s="33" t="str">
        <f>IF(H86&lt;3,"",IF(H86=3,IF(D94&lt;&gt;"",IF(H94&lt;&gt;"",IF(D94&lt;&gt;H94,IF(D94&gt;H94,"D","V"),""),""),"")))</f>
        <v>V</v>
      </c>
      <c r="F87" s="33" t="s">
        <v>81</v>
      </c>
      <c r="G87" s="33" t="s">
        <v>81</v>
      </c>
      <c r="H87" s="117"/>
      <c r="I87" s="33">
        <f>IF(B87&lt;&gt;"",2,"")</f>
        <v>2</v>
      </c>
      <c r="J87" s="33" t="str">
        <f>IF(I87&lt;&gt;"",P87,"")</f>
        <v>LUCAS AFONSO DI RENZO</v>
      </c>
      <c r="K87" s="33" t="str">
        <f>IFERROR(IF(J87="","",VLOOKUP(J87,LISTAS!$F$5:$G$1004,2,0)),"0")</f>
        <v>COLÉGIO ARBOS - UNIDADE SANTO ANDRÉ</v>
      </c>
      <c r="L87" s="130" t="str">
        <f>IF(H86=3,"PRATA",IF(H86=4,"OURO",IF(H86=5,"OURO","")))</f>
        <v>PRATA</v>
      </c>
      <c r="M87" s="20">
        <f>IF(B87&lt;&gt;"",COUNTIF(D87:G87,"V")+(SUMIF(B92:B94,B87,D92:E94)/1000)+(SUMIF(J92:J94,B87,H92:I94)/1000)-(SUMIF(B92:B94,B87,H92:I94)/1000)-(SUMIF(J92:J94,B87,D92:E94)/1000)+0.002,"")</f>
        <v>2.0059999999999993</v>
      </c>
      <c r="N87" s="20" t="str">
        <f t="shared" ref="N87" si="5">IF(B87="","",B87)</f>
        <v>MARCOS GENARI DE CARVALHO</v>
      </c>
      <c r="O87" s="20">
        <f>IF(B87&lt;&gt;"",LARGE(M86:M88,2),"")</f>
        <v>1</v>
      </c>
      <c r="P87" s="20" t="str">
        <f>VLOOKUP(O87,M86:N88,2,0)</f>
        <v>LUCAS AFONSO DI RENZO</v>
      </c>
    </row>
    <row r="88" spans="2:16" ht="18" customHeight="1" x14ac:dyDescent="0.25">
      <c r="B88" s="33" t="s">
        <v>576</v>
      </c>
      <c r="C88" s="33" t="str">
        <f>IFERROR(IF(B88="","",VLOOKUP(B88,LISTAS!$F$5:$G$1004,2,0)),"0")</f>
        <v>COLÉGIO ARBOS - UNIDADE SANTO ANDRÉ</v>
      </c>
      <c r="D88" s="33" t="str">
        <f>IF(H86&lt;3,"",IF(H86=3,IF(D92&lt;&gt;"",IF(H92&lt;&gt;"",IF(D92&lt;&gt;H92,IF(D92&gt;H92,"D","V"),""),""),"")))</f>
        <v>V</v>
      </c>
      <c r="E88" s="33" t="str">
        <f>IF(H86&lt;3,"",IF(H86=3,IF(D93&lt;&gt;"",IF(H93&lt;&gt;"",IF(D93&lt;&gt;H93,IF(D93&gt;H93,"D","V"),""),""),"")))</f>
        <v>D</v>
      </c>
      <c r="F88" s="33" t="s">
        <v>81</v>
      </c>
      <c r="G88" s="33" t="s">
        <v>81</v>
      </c>
      <c r="H88" s="117"/>
      <c r="I88" s="33">
        <f>IF(B88&lt;&gt;"",3,"")</f>
        <v>3</v>
      </c>
      <c r="J88" s="33" t="str">
        <f>IF(I88&lt;&gt;"",P88,"")</f>
        <v>JOÃO FELIPE CAVALCANTE DE SÁ</v>
      </c>
      <c r="K88" s="33" t="str">
        <f>IFERROR(IF(J88="","",VLOOKUP(J88,LISTAS!$F$5:$G$1004,2,0)),"0")</f>
        <v>COLÉGIO ENGENHEIRO SALVADOR ARENA</v>
      </c>
      <c r="L88" s="130" t="str">
        <f>IF(H86=3,"BRONZE",IF(H86=4,"PRATA",IF(H86=5,"OURO","")))</f>
        <v>BRONZE</v>
      </c>
      <c r="M88" s="20">
        <f>IF(B88&lt;&gt;"",COUNTIF(D88:G88,"V")+(SUMIF(B92:B94,B88,D92:E94)/1000)+(SUMIF(J92:J94,B88,H92:I94)/1000)-(SUMIF(B92:B94,B88,H92:I94)/1000)-(SUMIF(J92:J94,B88,D92:E94)/1000)+0.001,"")</f>
        <v>1</v>
      </c>
      <c r="N88" s="20" t="str">
        <f>IF(B88="","",B88)</f>
        <v>LUCAS AFONSO DI RENZO</v>
      </c>
      <c r="O88" s="20">
        <f>IF(B88&lt;&gt;"",LARGE(M86:M88,3),"")</f>
        <v>0</v>
      </c>
      <c r="P88" s="20" t="str">
        <f>VLOOKUP(O88,M86:N88,2,0)</f>
        <v>JOÃO FELIPE CAVALCANTE DE SÁ</v>
      </c>
    </row>
    <row r="89" spans="2:16" ht="18" customHeight="1" x14ac:dyDescent="0.25">
      <c r="B89" s="79"/>
      <c r="C89" s="79"/>
      <c r="D89" s="79"/>
      <c r="E89" s="79"/>
      <c r="F89" s="79"/>
      <c r="G89" s="79"/>
      <c r="I89" s="80"/>
      <c r="J89" s="79"/>
      <c r="K89" s="81"/>
      <c r="L89" s="81"/>
    </row>
    <row r="90" spans="2:16" ht="23.25" customHeight="1" x14ac:dyDescent="0.25">
      <c r="B90" s="82" t="s">
        <v>40</v>
      </c>
      <c r="C90" s="79"/>
      <c r="D90" s="79"/>
      <c r="E90" s="79"/>
      <c r="F90" s="79"/>
      <c r="G90" s="79"/>
      <c r="H90" s="79"/>
      <c r="I90" s="79"/>
      <c r="J90" s="79"/>
      <c r="K90" s="79"/>
      <c r="L90" s="79"/>
    </row>
    <row r="91" spans="2:16" ht="18" customHeight="1" x14ac:dyDescent="0.25">
      <c r="B91" s="132" t="s">
        <v>15</v>
      </c>
      <c r="C91" s="132" t="s">
        <v>0</v>
      </c>
      <c r="D91" s="258" t="s">
        <v>41</v>
      </c>
      <c r="E91" s="259"/>
      <c r="F91" s="259"/>
      <c r="G91" s="259"/>
      <c r="H91" s="259"/>
      <c r="I91" s="260"/>
      <c r="J91" s="132" t="s">
        <v>15</v>
      </c>
      <c r="K91" s="132" t="s">
        <v>0</v>
      </c>
      <c r="L91" s="79"/>
    </row>
    <row r="92" spans="2:16" ht="18" customHeight="1" x14ac:dyDescent="0.25">
      <c r="B92" s="33" t="str">
        <f>IF(H86=3,B86,"")</f>
        <v>JOÃO FELIPE CAVALCANTE DE SÁ</v>
      </c>
      <c r="C92" s="33" t="str">
        <f>IFERROR(IF(B92="","",VLOOKUP(B92,LISTAS!$F$5:$G$1004,2,0)),"0")</f>
        <v>COLÉGIO ENGENHEIRO SALVADOR ARENA</v>
      </c>
      <c r="D92" s="253">
        <v>1</v>
      </c>
      <c r="E92" s="254"/>
      <c r="F92" s="253" t="s">
        <v>38</v>
      </c>
      <c r="G92" s="254"/>
      <c r="H92" s="253">
        <v>2</v>
      </c>
      <c r="I92" s="254"/>
      <c r="J92" s="111" t="str">
        <f>IF(H86=3,B88,"")</f>
        <v>LUCAS AFONSO DI RENZO</v>
      </c>
      <c r="K92" s="33" t="str">
        <f>IFERROR(IF(J92="","",VLOOKUP(J92,LISTAS!$F$5:$G$1004,2,0)),"0")</f>
        <v>COLÉGIO ARBOS - UNIDADE SANTO ANDRÉ</v>
      </c>
      <c r="L92" s="81"/>
    </row>
    <row r="93" spans="2:16" ht="18" customHeight="1" x14ac:dyDescent="0.25">
      <c r="B93" s="33" t="str">
        <f>IF(H86=3,B87,"")</f>
        <v>MARCOS GENARI DE CARVALHO</v>
      </c>
      <c r="C93" s="33" t="str">
        <f>IFERROR(IF(B93="","",VLOOKUP(B93,LISTAS!$F$5:$G$1004,2,0)),"0")</f>
        <v>ESCOLA PRÓ CONHECER</v>
      </c>
      <c r="D93" s="253">
        <v>2</v>
      </c>
      <c r="E93" s="254"/>
      <c r="F93" s="253" t="s">
        <v>38</v>
      </c>
      <c r="G93" s="254"/>
      <c r="H93" s="253">
        <v>0</v>
      </c>
      <c r="I93" s="254"/>
      <c r="J93" s="111" t="str">
        <f>IF(H86=3,B88,"")</f>
        <v>LUCAS AFONSO DI RENZO</v>
      </c>
      <c r="K93" s="33" t="str">
        <f>IFERROR(IF(J93="","",VLOOKUP(J93,LISTAS!$F$5:$G$1004,2,0)),"0")</f>
        <v>COLÉGIO ARBOS - UNIDADE SANTO ANDRÉ</v>
      </c>
      <c r="L93" s="79"/>
    </row>
    <row r="94" spans="2:16" ht="18" customHeight="1" x14ac:dyDescent="0.25">
      <c r="B94" s="33" t="str">
        <f>IF(H86=3,B86,"")</f>
        <v>JOÃO FELIPE CAVALCANTE DE SÁ</v>
      </c>
      <c r="C94" s="33" t="str">
        <f>IFERROR(IF(B94="","",VLOOKUP(B94,LISTAS!$F$5:$G$1004,2,0)),"0")</f>
        <v>COLÉGIO ENGENHEIRO SALVADOR ARENA</v>
      </c>
      <c r="D94" s="253">
        <v>0</v>
      </c>
      <c r="E94" s="254"/>
      <c r="F94" s="253" t="s">
        <v>38</v>
      </c>
      <c r="G94" s="254"/>
      <c r="H94" s="253">
        <v>2</v>
      </c>
      <c r="I94" s="254"/>
      <c r="J94" s="111" t="str">
        <f>IF(H86=3,B87,"")</f>
        <v>MARCOS GENARI DE CARVALHO</v>
      </c>
      <c r="K94" s="33" t="str">
        <f>IFERROR(IF(J94="","",VLOOKUP(J94,LISTAS!$F$5:$G$1004,2,0)),"0")</f>
        <v>ESCOLA PRÓ CONHECER</v>
      </c>
      <c r="L94" s="81"/>
    </row>
    <row r="97" spans="2:16" ht="30" customHeight="1" x14ac:dyDescent="0.25">
      <c r="B97" s="161" t="s">
        <v>51</v>
      </c>
      <c r="C97" s="79"/>
      <c r="D97" s="255" t="s">
        <v>42</v>
      </c>
      <c r="E97" s="256"/>
      <c r="F97" s="256"/>
      <c r="G97" s="257"/>
      <c r="H97" s="113"/>
      <c r="I97" s="255" t="s">
        <v>3</v>
      </c>
      <c r="J97" s="256"/>
      <c r="K97" s="256"/>
      <c r="L97" s="256"/>
    </row>
    <row r="98" spans="2:16" ht="18" customHeight="1" x14ac:dyDescent="0.25">
      <c r="B98" s="132" t="s">
        <v>15</v>
      </c>
      <c r="C98" s="132" t="s">
        <v>0</v>
      </c>
      <c r="D98" s="132" t="s">
        <v>43</v>
      </c>
      <c r="E98" s="132" t="s">
        <v>44</v>
      </c>
      <c r="F98" s="132" t="s">
        <v>77</v>
      </c>
      <c r="G98" s="132" t="s">
        <v>78</v>
      </c>
      <c r="H98" s="114"/>
      <c r="I98" s="132" t="s">
        <v>18</v>
      </c>
      <c r="J98" s="132" t="s">
        <v>15</v>
      </c>
      <c r="K98" s="132" t="s">
        <v>0</v>
      </c>
      <c r="L98" s="132" t="s">
        <v>45</v>
      </c>
    </row>
    <row r="99" spans="2:16" ht="18" customHeight="1" x14ac:dyDescent="0.25">
      <c r="B99" s="33" t="s">
        <v>578</v>
      </c>
      <c r="C99" s="33" t="str">
        <f>IFERROR(IF(B99="","",VLOOKUP(B99,LISTAS!$F$5:$G$1004,2,0)),"0")</f>
        <v>COLÉGIO ARBOS - UNIDADE SANTO ANDRÉ</v>
      </c>
      <c r="D99" s="33" t="str">
        <f>IF(H99&lt;3,"",IF(H99=3,IF(D105&lt;&gt;"",IF(H105&lt;&gt;"",IF(D105&lt;&gt;H105,IF(D105&gt;H105,"V","D"),""),""),"")))</f>
        <v>V</v>
      </c>
      <c r="E99" s="33" t="str">
        <f>IF(H99&lt;3,"",IF(H99=3,IF(D107&lt;&gt;"",IF(H107&lt;&gt;"",IF(D107&lt;&gt;H107,IF(D107&gt;H107,"V","D"),""),""),"")))</f>
        <v>V</v>
      </c>
      <c r="F99" s="33" t="s">
        <v>81</v>
      </c>
      <c r="G99" s="33" t="s">
        <v>81</v>
      </c>
      <c r="H99" s="117">
        <f>COUNTA(B99:B101)</f>
        <v>3</v>
      </c>
      <c r="I99" s="33">
        <f>IF(B99&lt;&gt;"",1,"")</f>
        <v>1</v>
      </c>
      <c r="J99" s="33" t="str">
        <f>IF(I99&lt;&gt;"",P99,"")</f>
        <v>LUCAS SATOSHI SASAKI</v>
      </c>
      <c r="K99" s="33" t="str">
        <f>IFERROR(IF(J99="","",VLOOKUP(J99,LISTAS!$F$5:$G$1004,2,0)),"0")</f>
        <v>COLÉGIO ARBOS - UNIDADE SANTO ANDRÉ</v>
      </c>
      <c r="L99" s="130" t="str">
        <f>IF(H99=3,"OURO",IF(H99=4,"OURO",IF(H99=5,"OURO","")))</f>
        <v>OURO</v>
      </c>
      <c r="M99" s="20">
        <f>IF(B99&lt;&gt;"",COUNTIF(D99:G99,"V")+(SUMIF(B105:B107,B99,D105:E107)/1000)+(SUMIF(J105:J107,B99,H105:I107)/1000)-(SUMIF(B105:B107,B99,H105:I107)/1000)-(SUMIF(J105:J107,B99,D105:E107)/1000)+0.003,"")</f>
        <v>2.0070000000000001</v>
      </c>
      <c r="N99" s="20" t="str">
        <f>IF(B99="","",B99)</f>
        <v>LUCAS SATOSHI SASAKI</v>
      </c>
      <c r="O99" s="20">
        <f>IF(B99&lt;&gt;"",LARGE(M99:M101,1),"")</f>
        <v>2.0070000000000001</v>
      </c>
      <c r="P99" s="20" t="str">
        <f>VLOOKUP(O99,M99:N101,2,0)</f>
        <v>LUCAS SATOSHI SASAKI</v>
      </c>
    </row>
    <row r="100" spans="2:16" ht="18" customHeight="1" x14ac:dyDescent="0.25">
      <c r="B100" s="33" t="s">
        <v>571</v>
      </c>
      <c r="C100" s="33" t="str">
        <f>IFERROR(IF(B100="","",VLOOKUP(B100,LISTAS!$F$5:$G$1004,2,0)),"0")</f>
        <v>COLÉGIO ENGENHEIRO SALVADOR ARENA</v>
      </c>
      <c r="D100" s="33" t="str">
        <f>IF(H99&lt;3,"",IF(H99=3,IF(D106&lt;&gt;"",IF(H106&lt;&gt;"",IF(D106&lt;&gt;H106,IF(D106&gt;H106,"V","D"),""),""),"")))</f>
        <v>V</v>
      </c>
      <c r="E100" s="33" t="str">
        <f>IF(H99&lt;3,"",IF(H99=3,IF(D107&lt;&gt;"",IF(H107&lt;&gt;"",IF(D107&lt;&gt;H107,IF(D107&gt;H107,"D","V"),""),""),"")))</f>
        <v>D</v>
      </c>
      <c r="F100" s="33" t="s">
        <v>81</v>
      </c>
      <c r="G100" s="33" t="s">
        <v>81</v>
      </c>
      <c r="H100" s="117"/>
      <c r="I100" s="33">
        <f>IF(B100&lt;&gt;"",2,"")</f>
        <v>2</v>
      </c>
      <c r="J100" s="33" t="str">
        <f>IF(I100&lt;&gt;"",P100,"")</f>
        <v>KAUE KALYNYTSCHENKO GONÇALVES</v>
      </c>
      <c r="K100" s="33" t="str">
        <f>IFERROR(IF(J100="","",VLOOKUP(J100,LISTAS!$F$5:$G$1004,2,0)),"0")</f>
        <v>COLÉGIO ENGENHEIRO SALVADOR ARENA</v>
      </c>
      <c r="L100" s="130" t="str">
        <f>IF(H99=3,"PRATA",IF(H99=4,"OURO",IF(H99=5,"OURO","")))</f>
        <v>PRATA</v>
      </c>
      <c r="M100" s="20">
        <f>IF(B100&lt;&gt;"",COUNTIF(D100:G100,"V")+(SUMIF(B105:B107,B100,D105:E107)/1000)+(SUMIF(J105:J107,B100,H105:I107)/1000)-(SUMIF(B105:B107,B100,H105:I107)/1000)-(SUMIF(J105:J107,B100,D105:E107)/1000)+0.002,"")</f>
        <v>1.0010000000000001</v>
      </c>
      <c r="N100" s="20" t="str">
        <f t="shared" ref="N100" si="6">IF(B100="","",B100)</f>
        <v>KAUE KALYNYTSCHENKO GONÇALVES</v>
      </c>
      <c r="O100" s="20">
        <f>IF(B100&lt;&gt;"",LARGE(M99:M101,2),"")</f>
        <v>1.0010000000000001</v>
      </c>
      <c r="P100" s="20" t="str">
        <f>VLOOKUP(O100,M99:N101,2,0)</f>
        <v>KAUE KALYNYTSCHENKO GONÇALVES</v>
      </c>
    </row>
    <row r="101" spans="2:16" ht="18" customHeight="1" x14ac:dyDescent="0.25">
      <c r="B101" s="33" t="s">
        <v>574</v>
      </c>
      <c r="C101" s="33" t="str">
        <f>IFERROR(IF(B101="","",VLOOKUP(B101,LISTAS!$F$5:$G$1004,2,0)),"0")</f>
        <v>ESCOLA PRÓ CONHECER</v>
      </c>
      <c r="D101" s="33" t="str">
        <f>IF(H99&lt;3,"",IF(H99=3,IF(D105&lt;&gt;"",IF(H105&lt;&gt;"",IF(D105&lt;&gt;H105,IF(D105&gt;H105,"D","V"),""),""),"")))</f>
        <v>D</v>
      </c>
      <c r="E101" s="33" t="str">
        <f>IF(H99&lt;3,"",IF(H99=3,IF(D106&lt;&gt;"",IF(H106&lt;&gt;"",IF(D106&lt;&gt;H106,IF(D106&gt;H106,"D","V"),""),""),"")))</f>
        <v>D</v>
      </c>
      <c r="F101" s="33" t="s">
        <v>81</v>
      </c>
      <c r="G101" s="33" t="s">
        <v>81</v>
      </c>
      <c r="H101" s="117"/>
      <c r="I101" s="33">
        <f>IF(B101&lt;&gt;"",3,"")</f>
        <v>3</v>
      </c>
      <c r="J101" s="33" t="str">
        <f>IF(I101&lt;&gt;"",P101,"")</f>
        <v>LEANDRO SAKATA MOURA</v>
      </c>
      <c r="K101" s="33" t="str">
        <f>IFERROR(IF(J101="","",VLOOKUP(J101,LISTAS!$F$5:$G$1004,2,0)),"0")</f>
        <v>ESCOLA PRÓ CONHECER</v>
      </c>
      <c r="L101" s="130" t="str">
        <f>IF(H99=3,"BRONZE",IF(H99=4,"PRATA",IF(H99=5,"OURO","")))</f>
        <v>BRONZE</v>
      </c>
      <c r="M101" s="20">
        <f>IF(B101&lt;&gt;"",COUNTIF(D101:G101,"V")+(SUMIF(B105:B107,B101,D105:E107)/1000)+(SUMIF(J105:J107,B101,H105:I107)/1000)-(SUMIF(B105:B107,B101,H105:I107)/1000)-(SUMIF(J105:J107,B101,D105:E107)/1000)+0.001,"")</f>
        <v>-2E-3</v>
      </c>
      <c r="N101" s="20" t="str">
        <f>IF(B101="","",B101)</f>
        <v>LEANDRO SAKATA MOURA</v>
      </c>
      <c r="O101" s="20">
        <f>IF(B101&lt;&gt;"",LARGE(M99:M101,3),"")</f>
        <v>-2E-3</v>
      </c>
      <c r="P101" s="20" t="str">
        <f>VLOOKUP(O101,M99:N101,2,0)</f>
        <v>LEANDRO SAKATA MOURA</v>
      </c>
    </row>
    <row r="102" spans="2:16" ht="18" customHeight="1" x14ac:dyDescent="0.25">
      <c r="B102" s="79"/>
      <c r="C102" s="79"/>
      <c r="D102" s="79"/>
      <c r="E102" s="79"/>
      <c r="F102" s="79"/>
      <c r="G102" s="79"/>
      <c r="I102" s="80"/>
      <c r="J102" s="79"/>
      <c r="K102" s="81"/>
      <c r="L102" s="81"/>
    </row>
    <row r="103" spans="2:16" ht="23.25" customHeight="1" x14ac:dyDescent="0.25">
      <c r="B103" s="82" t="s">
        <v>40</v>
      </c>
      <c r="C103" s="79"/>
      <c r="D103" s="79"/>
      <c r="E103" s="79"/>
      <c r="F103" s="79"/>
      <c r="G103" s="79"/>
      <c r="H103" s="79"/>
      <c r="I103" s="79"/>
      <c r="J103" s="79"/>
      <c r="K103" s="79"/>
      <c r="L103" s="79"/>
    </row>
    <row r="104" spans="2:16" ht="18" customHeight="1" x14ac:dyDescent="0.25">
      <c r="B104" s="132" t="s">
        <v>15</v>
      </c>
      <c r="C104" s="132" t="s">
        <v>0</v>
      </c>
      <c r="D104" s="258" t="s">
        <v>41</v>
      </c>
      <c r="E104" s="259"/>
      <c r="F104" s="259"/>
      <c r="G104" s="259"/>
      <c r="H104" s="259"/>
      <c r="I104" s="260"/>
      <c r="J104" s="132" t="s">
        <v>15</v>
      </c>
      <c r="K104" s="132" t="s">
        <v>0</v>
      </c>
      <c r="L104" s="79"/>
    </row>
    <row r="105" spans="2:16" ht="18" customHeight="1" x14ac:dyDescent="0.25">
      <c r="B105" s="33" t="str">
        <f>IF(H99=3,B99,"")</f>
        <v>LUCAS SATOSHI SASAKI</v>
      </c>
      <c r="C105" s="33" t="str">
        <f>IFERROR(IF(B105="","",VLOOKUP(B105,LISTAS!$F$5:$G$1004,2,0)),"0")</f>
        <v>COLÉGIO ARBOS - UNIDADE SANTO ANDRÉ</v>
      </c>
      <c r="D105" s="253">
        <v>2</v>
      </c>
      <c r="E105" s="254"/>
      <c r="F105" s="253" t="s">
        <v>38</v>
      </c>
      <c r="G105" s="254"/>
      <c r="H105" s="253">
        <v>0</v>
      </c>
      <c r="I105" s="254"/>
      <c r="J105" s="111" t="str">
        <f>IF(H99=3,B101,"")</f>
        <v>LEANDRO SAKATA MOURA</v>
      </c>
      <c r="K105" s="33" t="str">
        <f>IFERROR(IF(J105="","",VLOOKUP(J105,LISTAS!$F$5:$G$1004,2,0)),"0")</f>
        <v>ESCOLA PRÓ CONHECER</v>
      </c>
      <c r="L105" s="81"/>
    </row>
    <row r="106" spans="2:16" ht="18" customHeight="1" x14ac:dyDescent="0.25">
      <c r="B106" s="33" t="str">
        <f>IF(H99=3,B100,"")</f>
        <v>KAUE KALYNYTSCHENKO GONÇALVES</v>
      </c>
      <c r="C106" s="33" t="str">
        <f>IFERROR(IF(B106="","",VLOOKUP(B106,LISTAS!$F$5:$G$1004,2,0)),"0")</f>
        <v>COLÉGIO ENGENHEIRO SALVADOR ARENA</v>
      </c>
      <c r="D106" s="253">
        <v>2</v>
      </c>
      <c r="E106" s="254"/>
      <c r="F106" s="253" t="s">
        <v>38</v>
      </c>
      <c r="G106" s="254"/>
      <c r="H106" s="253">
        <v>1</v>
      </c>
      <c r="I106" s="254"/>
      <c r="J106" s="111" t="str">
        <f>IF(H99=3,B101,"")</f>
        <v>LEANDRO SAKATA MOURA</v>
      </c>
      <c r="K106" s="33" t="str">
        <f>IFERROR(IF(J106="","",VLOOKUP(J106,LISTAS!$F$5:$G$1004,2,0)),"0")</f>
        <v>ESCOLA PRÓ CONHECER</v>
      </c>
      <c r="L106" s="79"/>
    </row>
    <row r="107" spans="2:16" ht="18" customHeight="1" x14ac:dyDescent="0.25">
      <c r="B107" s="33" t="str">
        <f>IF(H99=3,B99,"")</f>
        <v>LUCAS SATOSHI SASAKI</v>
      </c>
      <c r="C107" s="33" t="str">
        <f>IFERROR(IF(B107="","",VLOOKUP(B107,LISTAS!$F$5:$G$1004,2,0)),"0")</f>
        <v>COLÉGIO ARBOS - UNIDADE SANTO ANDRÉ</v>
      </c>
      <c r="D107" s="253">
        <v>2</v>
      </c>
      <c r="E107" s="254"/>
      <c r="F107" s="253" t="s">
        <v>38</v>
      </c>
      <c r="G107" s="254"/>
      <c r="H107" s="253">
        <v>0</v>
      </c>
      <c r="I107" s="254"/>
      <c r="J107" s="111" t="str">
        <f>IF(H99=3,B100,"")</f>
        <v>KAUE KALYNYTSCHENKO GONÇALVES</v>
      </c>
      <c r="K107" s="33" t="str">
        <f>IFERROR(IF(J107="","",VLOOKUP(J107,LISTAS!$F$5:$G$1004,2,0)),"0")</f>
        <v>COLÉGIO ENGENHEIRO SALVADOR ARENA</v>
      </c>
      <c r="L107" s="81"/>
    </row>
    <row r="110" spans="2:16" ht="30" customHeight="1" x14ac:dyDescent="0.25">
      <c r="B110" s="161" t="s">
        <v>52</v>
      </c>
      <c r="C110" s="79"/>
      <c r="D110" s="255" t="s">
        <v>42</v>
      </c>
      <c r="E110" s="256"/>
      <c r="F110" s="256"/>
      <c r="G110" s="257"/>
      <c r="H110" s="113"/>
      <c r="I110" s="255" t="s">
        <v>3</v>
      </c>
      <c r="J110" s="256"/>
      <c r="K110" s="256"/>
      <c r="L110" s="256"/>
    </row>
    <row r="111" spans="2:16" ht="18" customHeight="1" x14ac:dyDescent="0.25">
      <c r="B111" s="132" t="s">
        <v>15</v>
      </c>
      <c r="C111" s="132" t="s">
        <v>0</v>
      </c>
      <c r="D111" s="132" t="s">
        <v>43</v>
      </c>
      <c r="E111" s="132" t="s">
        <v>44</v>
      </c>
      <c r="F111" s="132" t="s">
        <v>77</v>
      </c>
      <c r="G111" s="132" t="s">
        <v>78</v>
      </c>
      <c r="H111" s="114"/>
      <c r="I111" s="132" t="s">
        <v>18</v>
      </c>
      <c r="J111" s="132" t="s">
        <v>15</v>
      </c>
      <c r="K111" s="132" t="s">
        <v>0</v>
      </c>
      <c r="L111" s="132" t="s">
        <v>45</v>
      </c>
    </row>
    <row r="112" spans="2:16" ht="18" customHeight="1" x14ac:dyDescent="0.25">
      <c r="B112" s="33" t="s">
        <v>581</v>
      </c>
      <c r="C112" s="33" t="str">
        <f>IFERROR(IF(B112="","",VLOOKUP(B112,LISTAS!$F$5:$G$1004,2,0)),"0")</f>
        <v>E.E. 20 DE AGOSTO</v>
      </c>
      <c r="D112" s="33" t="str">
        <f>IF(H112&lt;3,"",IF(H112=3,IF(D118&lt;&gt;"",IF(H118&lt;&gt;"",IF(D118&lt;&gt;H118,IF(D118&gt;H118,"V","D"),""),""),"")))</f>
        <v>V</v>
      </c>
      <c r="E112" s="33" t="str">
        <f>IF(H112&lt;3,"",IF(H112=3,IF(D120&lt;&gt;"",IF(H120&lt;&gt;"",IF(D120&lt;&gt;H120,IF(D120&gt;H120,"V","D"),""),""),"")))</f>
        <v>V</v>
      </c>
      <c r="F112" s="33" t="s">
        <v>81</v>
      </c>
      <c r="G112" s="33" t="s">
        <v>81</v>
      </c>
      <c r="H112" s="117">
        <f>COUNTA(B112:B114)</f>
        <v>3</v>
      </c>
      <c r="I112" s="33">
        <f>IF(B112&lt;&gt;"",1,"")</f>
        <v>1</v>
      </c>
      <c r="J112" s="33" t="str">
        <f>IF(I112&lt;&gt;"",P112,"")</f>
        <v>LUIS FELIPE DE SOUSA FERREIRA</v>
      </c>
      <c r="K112" s="33" t="str">
        <f>IFERROR(IF(J112="","",VLOOKUP(J112,LISTAS!$F$5:$G$1004,2,0)),"0")</f>
        <v>E.E. 20 DE AGOSTO</v>
      </c>
      <c r="L112" s="130" t="str">
        <f>IF(H112=3,"OURO",IF(H112=4,"OURO",IF(H112=5,"OURO","")))</f>
        <v>OURO</v>
      </c>
      <c r="M112" s="20">
        <f>IF(B112&lt;&gt;"",COUNTIF(D112:G112,"V")+(SUMIF(B118:B120,B112,D118:E120)/1000)+(SUMIF(J118:J120,B112,H118:I120)/1000)-(SUMIF(B118:B120,B112,H118:I120)/1000)-(SUMIF(J118:J120,B112,D118:E120)/1000)+0.003,"")</f>
        <v>2.0070000000000001</v>
      </c>
      <c r="N112" s="20" t="str">
        <f>IF(B112="","",B112)</f>
        <v>LUIS FELIPE DE SOUSA FERREIRA</v>
      </c>
      <c r="O112" s="20">
        <f>IF(B112&lt;&gt;"",LARGE(M112:M114,1),"")</f>
        <v>2.0070000000000001</v>
      </c>
      <c r="P112" s="20" t="str">
        <f>VLOOKUP(O112,M112:N114,2,0)</f>
        <v>LUIS FELIPE DE SOUSA FERREIRA</v>
      </c>
    </row>
    <row r="113" spans="2:16" ht="18" customHeight="1" x14ac:dyDescent="0.25">
      <c r="B113" s="33" t="s">
        <v>579</v>
      </c>
      <c r="C113" s="33" t="str">
        <f>IFERROR(IF(B113="","",VLOOKUP(B113,LISTAS!$F$5:$G$1004,2,0)),"0")</f>
        <v>COLÉGIO ARBOS - UNIDADE SANTO ANDRÉ</v>
      </c>
      <c r="D113" s="33" t="str">
        <f>IF(H112&lt;3,"",IF(H112=3,IF(D119&lt;&gt;"",IF(H119&lt;&gt;"",IF(D119&lt;&gt;H119,IF(D119&gt;H119,"V","D"),""),""),"")))</f>
        <v>V</v>
      </c>
      <c r="E113" s="33" t="str">
        <f>IF(H112&lt;3,"",IF(H112=3,IF(D120&lt;&gt;"",IF(H120&lt;&gt;"",IF(D120&lt;&gt;H120,IF(D120&gt;H120,"D","V"),""),""),"")))</f>
        <v>D</v>
      </c>
      <c r="F113" s="33" t="s">
        <v>81</v>
      </c>
      <c r="G113" s="33" t="s">
        <v>81</v>
      </c>
      <c r="H113" s="117"/>
      <c r="I113" s="33">
        <f>IF(B113&lt;&gt;"",2,"")</f>
        <v>2</v>
      </c>
      <c r="J113" s="33" t="str">
        <f>IF(I113&lt;&gt;"",P113,"")</f>
        <v>LUCAS VICENTE LATORRE</v>
      </c>
      <c r="K113" s="33" t="str">
        <f>IFERROR(IF(J113="","",VLOOKUP(J113,LISTAS!$F$5:$G$1004,2,0)),"0")</f>
        <v>COLÉGIO ARBOS - UNIDADE SANTO ANDRÉ</v>
      </c>
      <c r="L113" s="130" t="str">
        <f>IF(H112=3,"PRATA",IF(H112=4,"OURO",IF(H112=5,"OURO","")))</f>
        <v>PRATA</v>
      </c>
      <c r="M113" s="20">
        <f>IF(B113&lt;&gt;"",COUNTIF(D113:G113,"V")+(SUMIF(B118:B120,B113,D118:E120)/1000)+(SUMIF(J118:J120,B113,H118:I120)/1000)-(SUMIF(B118:B120,B113,H118:I120)/1000)-(SUMIF(J118:J120,B113,D118:E120)/1000)+0.002,"")</f>
        <v>1.002</v>
      </c>
      <c r="N113" s="20" t="str">
        <f t="shared" ref="N113" si="7">IF(B113="","",B113)</f>
        <v>LUCAS VICENTE LATORRE</v>
      </c>
      <c r="O113" s="20">
        <f>IF(B113&lt;&gt;"",LARGE(M112:M114,2),"")</f>
        <v>1.002</v>
      </c>
      <c r="P113" s="20" t="str">
        <f>VLOOKUP(O113,M112:N114,2,0)</f>
        <v>LUCAS VICENTE LATORRE</v>
      </c>
    </row>
    <row r="114" spans="2:16" ht="18" customHeight="1" x14ac:dyDescent="0.25">
      <c r="B114" s="33" t="s">
        <v>601</v>
      </c>
      <c r="C114" s="33" t="str">
        <f>IFERROR(IF(B114="","",VLOOKUP(B114,LISTAS!$F$5:$G$1004,2,0)),"0")</f>
        <v>BYE</v>
      </c>
      <c r="D114" s="33" t="str">
        <f>IF(H112&lt;3,"",IF(H112=3,IF(D118&lt;&gt;"",IF(H118&lt;&gt;"",IF(D118&lt;&gt;H118,IF(D118&gt;H118,"D","V"),""),""),"")))</f>
        <v>D</v>
      </c>
      <c r="E114" s="33" t="str">
        <f>IF(H112&lt;3,"",IF(H112=3,IF(D119&lt;&gt;"",IF(H119&lt;&gt;"",IF(D119&lt;&gt;H119,IF(D119&gt;H119,"D","V"),""),""),"")))</f>
        <v>D</v>
      </c>
      <c r="F114" s="33" t="s">
        <v>81</v>
      </c>
      <c r="G114" s="33" t="s">
        <v>81</v>
      </c>
      <c r="H114" s="117"/>
      <c r="I114" s="33">
        <f>IF(B114&lt;&gt;"",3,"")</f>
        <v>3</v>
      </c>
      <c r="J114" s="33" t="str">
        <f>IF(I114&lt;&gt;"",P114,"")</f>
        <v>BYE</v>
      </c>
      <c r="K114" s="33" t="str">
        <f>IFERROR(IF(J114="","",VLOOKUP(J114,LISTAS!$F$5:$G$1004,2,0)),"0")</f>
        <v>BYE</v>
      </c>
      <c r="L114" s="130" t="str">
        <f>IF(H112=3,"BRONZE",IF(H112=4,"PRATA",IF(H112=5,"OURO","")))</f>
        <v>BRONZE</v>
      </c>
      <c r="M114" s="20">
        <f>IF(B114&lt;&gt;"",COUNTIF(D114:G114,"V")+(SUMIF(B118:B120,B114,D118:E120)/1000)+(SUMIF(J118:J120,B114,H118:I120)/1000)-(SUMIF(B118:B120,B114,H118:I120)/1000)-(SUMIF(J118:J120,B114,D118:E120)/1000)+0.001,"")</f>
        <v>-3.0000000000000001E-3</v>
      </c>
      <c r="N114" s="20" t="str">
        <f>IF(B114="","",B114)</f>
        <v>BYE</v>
      </c>
      <c r="O114" s="20">
        <f>IF(B114&lt;&gt;"",LARGE(M112:M114,3),"")</f>
        <v>-3.0000000000000001E-3</v>
      </c>
      <c r="P114" s="20" t="str">
        <f>VLOOKUP(O114,M112:N114,2,0)</f>
        <v>BYE</v>
      </c>
    </row>
    <row r="115" spans="2:16" ht="18" customHeight="1" x14ac:dyDescent="0.25">
      <c r="B115" s="79"/>
      <c r="C115" s="79"/>
      <c r="D115" s="79"/>
      <c r="E115" s="79"/>
      <c r="F115" s="79"/>
      <c r="G115" s="79"/>
      <c r="I115" s="80"/>
      <c r="J115" s="79"/>
      <c r="K115" s="81"/>
      <c r="L115" s="81"/>
    </row>
    <row r="116" spans="2:16" ht="23.25" customHeight="1" x14ac:dyDescent="0.25">
      <c r="B116" s="82" t="s">
        <v>40</v>
      </c>
      <c r="C116" s="79"/>
      <c r="D116" s="79"/>
      <c r="E116" s="79"/>
      <c r="F116" s="79"/>
      <c r="G116" s="79"/>
      <c r="H116" s="79"/>
      <c r="I116" s="79"/>
      <c r="J116" s="79"/>
      <c r="K116" s="79"/>
      <c r="L116" s="79"/>
    </row>
    <row r="117" spans="2:16" ht="18" customHeight="1" x14ac:dyDescent="0.25">
      <c r="B117" s="132" t="s">
        <v>15</v>
      </c>
      <c r="C117" s="132" t="s">
        <v>0</v>
      </c>
      <c r="D117" s="258" t="s">
        <v>41</v>
      </c>
      <c r="E117" s="259"/>
      <c r="F117" s="259"/>
      <c r="G117" s="259"/>
      <c r="H117" s="259"/>
      <c r="I117" s="260"/>
      <c r="J117" s="132" t="s">
        <v>15</v>
      </c>
      <c r="K117" s="132" t="s">
        <v>0</v>
      </c>
      <c r="L117" s="79"/>
    </row>
    <row r="118" spans="2:16" ht="18" customHeight="1" x14ac:dyDescent="0.25">
      <c r="B118" s="33" t="str">
        <f>IF(H112=3,B112,"")</f>
        <v>LUIS FELIPE DE SOUSA FERREIRA</v>
      </c>
      <c r="C118" s="33" t="str">
        <f>IFERROR(IF(B118="","",VLOOKUP(B118,LISTAS!$F$5:$G$1004,2,0)),"0")</f>
        <v>E.E. 20 DE AGOSTO</v>
      </c>
      <c r="D118" s="253">
        <v>2</v>
      </c>
      <c r="E118" s="254"/>
      <c r="F118" s="253" t="s">
        <v>38</v>
      </c>
      <c r="G118" s="254"/>
      <c r="H118" s="253">
        <v>0</v>
      </c>
      <c r="I118" s="254"/>
      <c r="J118" s="111" t="str">
        <f>IF(H112=3,B114,"")</f>
        <v>BYE</v>
      </c>
      <c r="K118" s="33" t="str">
        <f>IFERROR(IF(J118="","",VLOOKUP(J118,LISTAS!$F$5:$G$1004,2,0)),"0")</f>
        <v>BYE</v>
      </c>
      <c r="L118" s="81"/>
    </row>
    <row r="119" spans="2:16" ht="18" customHeight="1" x14ac:dyDescent="0.25">
      <c r="B119" s="33" t="str">
        <f>IF(H112=3,B113,"")</f>
        <v>LUCAS VICENTE LATORRE</v>
      </c>
      <c r="C119" s="33" t="str">
        <f>IFERROR(IF(B119="","",VLOOKUP(B119,LISTAS!$F$5:$G$1004,2,0)),"0")</f>
        <v>COLÉGIO ARBOS - UNIDADE SANTO ANDRÉ</v>
      </c>
      <c r="D119" s="253">
        <v>2</v>
      </c>
      <c r="E119" s="254"/>
      <c r="F119" s="253" t="s">
        <v>38</v>
      </c>
      <c r="G119" s="254"/>
      <c r="H119" s="253">
        <v>0</v>
      </c>
      <c r="I119" s="254"/>
      <c r="J119" s="111" t="str">
        <f>IF(H112=3,B114,"")</f>
        <v>BYE</v>
      </c>
      <c r="K119" s="33" t="str">
        <f>IFERROR(IF(J119="","",VLOOKUP(J119,LISTAS!$F$5:$G$1004,2,0)),"0")</f>
        <v>BYE</v>
      </c>
      <c r="L119" s="79"/>
    </row>
    <row r="120" spans="2:16" ht="18" customHeight="1" x14ac:dyDescent="0.25">
      <c r="B120" s="33" t="str">
        <f>IF(H112=3,B112,"")</f>
        <v>LUIS FELIPE DE SOUSA FERREIRA</v>
      </c>
      <c r="C120" s="33" t="str">
        <f>IFERROR(IF(B120="","",VLOOKUP(B120,LISTAS!$F$5:$G$1004,2,0)),"0")</f>
        <v>E.E. 20 DE AGOSTO</v>
      </c>
      <c r="D120" s="253">
        <v>2</v>
      </c>
      <c r="E120" s="254"/>
      <c r="F120" s="253" t="s">
        <v>38</v>
      </c>
      <c r="G120" s="254"/>
      <c r="H120" s="253">
        <v>0</v>
      </c>
      <c r="I120" s="254"/>
      <c r="J120" s="111" t="str">
        <f>IF(H112=3,B113,"")</f>
        <v>LUCAS VICENTE LATORRE</v>
      </c>
      <c r="K120" s="33" t="str">
        <f>IFERROR(IF(J120="","",VLOOKUP(J120,LISTAS!$F$5:$G$1004,2,0)),"0")</f>
        <v>COLÉGIO ARBOS - UNIDADE SANTO ANDRÉ</v>
      </c>
      <c r="L120" s="81"/>
    </row>
    <row r="123" spans="2:16" ht="30" customHeight="1" x14ac:dyDescent="0.25">
      <c r="B123" s="161" t="s">
        <v>53</v>
      </c>
      <c r="C123" s="79"/>
      <c r="D123" s="255" t="s">
        <v>42</v>
      </c>
      <c r="E123" s="256"/>
      <c r="F123" s="256"/>
      <c r="G123" s="257"/>
      <c r="H123" s="113"/>
      <c r="I123" s="255" t="s">
        <v>3</v>
      </c>
      <c r="J123" s="256"/>
      <c r="K123" s="256"/>
      <c r="L123" s="256"/>
    </row>
    <row r="124" spans="2:16" ht="18" customHeight="1" x14ac:dyDescent="0.25">
      <c r="B124" s="132" t="s">
        <v>15</v>
      </c>
      <c r="C124" s="132" t="s">
        <v>0</v>
      </c>
      <c r="D124" s="132" t="s">
        <v>43</v>
      </c>
      <c r="E124" s="132" t="s">
        <v>44</v>
      </c>
      <c r="F124" s="132" t="s">
        <v>77</v>
      </c>
      <c r="G124" s="132" t="s">
        <v>78</v>
      </c>
      <c r="H124" s="114"/>
      <c r="I124" s="132" t="s">
        <v>18</v>
      </c>
      <c r="J124" s="132" t="s">
        <v>15</v>
      </c>
      <c r="K124" s="132" t="s">
        <v>0</v>
      </c>
      <c r="L124" s="132" t="s">
        <v>45</v>
      </c>
    </row>
    <row r="125" spans="2:16" ht="18" customHeight="1" x14ac:dyDescent="0.25">
      <c r="B125" s="33" t="s">
        <v>566</v>
      </c>
      <c r="C125" s="33" t="str">
        <f>IFERROR(IF(B125="","",VLOOKUP(B125,LISTAS!$F$5:$G$1004,2,0)),"0")</f>
        <v>COLÉGIO VÉRTICE</v>
      </c>
      <c r="D125" s="33" t="str">
        <f>IF(H125&lt;3,"",IF(H125=3,IF(D131&lt;&gt;"",IF(H131&lt;&gt;"",IF(D131&lt;&gt;H131,IF(D131&gt;H131,"V","D"),""),""),"")))</f>
        <v>V</v>
      </c>
      <c r="E125" s="33" t="str">
        <f>IF(H125&lt;3,"",IF(H125=3,IF(D133&lt;&gt;"",IF(H133&lt;&gt;"",IF(D133&lt;&gt;H133,IF(D133&gt;H133,"V","D"),""),""),"")))</f>
        <v>D</v>
      </c>
      <c r="F125" s="33" t="s">
        <v>81</v>
      </c>
      <c r="G125" s="33" t="s">
        <v>81</v>
      </c>
      <c r="H125" s="117">
        <f>COUNTA(B125:B127)</f>
        <v>3</v>
      </c>
      <c r="I125" s="33">
        <f>IF(B125&lt;&gt;"",1,"")</f>
        <v>1</v>
      </c>
      <c r="J125" s="33" t="str">
        <f>IF(I125&lt;&gt;"",P125,"")</f>
        <v>NATAN SCHMIDT FRANGETTI</v>
      </c>
      <c r="K125" s="33" t="str">
        <f>IFERROR(IF(J125="","",VLOOKUP(J125,LISTAS!$F$5:$G$1004,2,0)),"0")</f>
        <v>COLÉGIO SINGULAR SÃO CAETANO</v>
      </c>
      <c r="L125" s="130" t="str">
        <f>IF(H125=3,"OURO",IF(H125=4,"OURO",IF(H125=5,"OURO","")))</f>
        <v>OURO</v>
      </c>
      <c r="M125" s="20">
        <f>IF(B125&lt;&gt;"",COUNTIF(D125:G125,"V")+(SUMIF(B131:B133,B125,D131:E133)/1000)+(SUMIF(J131:J133,B125,H131:I133)/1000)-(SUMIF(B131:B133,B125,H131:I133)/1000)-(SUMIF(J131:J133,B125,D131:E133)/1000)+0.003,"")</f>
        <v>1.0029999999999999</v>
      </c>
      <c r="N125" s="20" t="str">
        <f>IF(B125="","",B125)</f>
        <v>HENRIQUE BORGES FONTÃO DE OLIVEIRA</v>
      </c>
      <c r="O125" s="20">
        <f>IF(B125&lt;&gt;"",LARGE(M125:M127,1),"")</f>
        <v>2.0059999999999993</v>
      </c>
      <c r="P125" s="20" t="str">
        <f>VLOOKUP(O125,M125:N127,2,0)</f>
        <v>NATAN SCHMIDT FRANGETTI</v>
      </c>
    </row>
    <row r="126" spans="2:16" ht="18" customHeight="1" x14ac:dyDescent="0.25">
      <c r="B126" s="33" t="s">
        <v>593</v>
      </c>
      <c r="C126" s="33" t="str">
        <f>IFERROR(IF(B126="","",VLOOKUP(B126,LISTAS!$F$5:$G$1004,2,0)),"0")</f>
        <v>COLÉGIO SINGULAR SÃO CAETANO</v>
      </c>
      <c r="D126" s="33" t="str">
        <f>IF(H125&lt;3,"",IF(H125=3,IF(D132&lt;&gt;"",IF(H132&lt;&gt;"",IF(D132&lt;&gt;H132,IF(D132&gt;H132,"V","D"),""),""),"")))</f>
        <v>V</v>
      </c>
      <c r="E126" s="33" t="str">
        <f>IF(H125&lt;3,"",IF(H125=3,IF(D133&lt;&gt;"",IF(H133&lt;&gt;"",IF(D133&lt;&gt;H133,IF(D133&gt;H133,"D","V"),""),""),"")))</f>
        <v>V</v>
      </c>
      <c r="F126" s="33" t="s">
        <v>81</v>
      </c>
      <c r="G126" s="33" t="s">
        <v>81</v>
      </c>
      <c r="H126" s="117"/>
      <c r="I126" s="33">
        <f>IF(B126&lt;&gt;"",2,"")</f>
        <v>2</v>
      </c>
      <c r="J126" s="33" t="str">
        <f>IF(I126&lt;&gt;"",P126,"")</f>
        <v>HENRIQUE BORGES FONTÃO DE OLIVEIRA</v>
      </c>
      <c r="K126" s="33" t="str">
        <f>IFERROR(IF(J126="","",VLOOKUP(J126,LISTAS!$F$5:$G$1004,2,0)),"0")</f>
        <v>COLÉGIO VÉRTICE</v>
      </c>
      <c r="L126" s="130" t="str">
        <f>IF(H125=3,"PRATA",IF(H125=4,"OURO",IF(H125=5,"OURO","")))</f>
        <v>PRATA</v>
      </c>
      <c r="M126" s="20">
        <f>IF(B126&lt;&gt;"",COUNTIF(D126:G126,"V")+(SUMIF(B131:B133,B126,D131:E133)/1000)+(SUMIF(J131:J133,B126,H131:I133)/1000)-(SUMIF(B131:B133,B126,H131:I133)/1000)-(SUMIF(J131:J133,B126,D131:E133)/1000)+0.002,"")</f>
        <v>2.0059999999999993</v>
      </c>
      <c r="N126" s="20" t="str">
        <f t="shared" ref="N126" si="8">IF(B126="","",B126)</f>
        <v>NATAN SCHMIDT FRANGETTI</v>
      </c>
      <c r="O126" s="20">
        <f>IF(B126&lt;&gt;"",LARGE(M125:M127,2),"")</f>
        <v>1.0029999999999999</v>
      </c>
      <c r="P126" s="20" t="str">
        <f>VLOOKUP(O126,M125:N127,2,0)</f>
        <v>HENRIQUE BORGES FONTÃO DE OLIVEIRA</v>
      </c>
    </row>
    <row r="127" spans="2:16" ht="18" customHeight="1" x14ac:dyDescent="0.25">
      <c r="B127" s="33" t="s">
        <v>586</v>
      </c>
      <c r="C127" s="33" t="str">
        <f>IFERROR(IF(B127="","",VLOOKUP(B127,LISTAS!$F$5:$G$1004,2,0)),"0")</f>
        <v>COLÉGIO ENGENHEIRO SALVADOR ARENA</v>
      </c>
      <c r="D127" s="33" t="str">
        <f>IF(H125&lt;3,"",IF(H125=3,IF(D131&lt;&gt;"",IF(H131&lt;&gt;"",IF(D131&lt;&gt;H131,IF(D131&gt;H131,"D","V"),""),""),"")))</f>
        <v>D</v>
      </c>
      <c r="E127" s="33" t="str">
        <f>IF(H125&lt;3,"",IF(H125=3,IF(D132&lt;&gt;"",IF(H132&lt;&gt;"",IF(D132&lt;&gt;H132,IF(D132&gt;H132,"D","V"),""),""),"")))</f>
        <v>D</v>
      </c>
      <c r="F127" s="33" t="s">
        <v>81</v>
      </c>
      <c r="G127" s="33" t="s">
        <v>81</v>
      </c>
      <c r="H127" s="117"/>
      <c r="I127" s="33">
        <f>IF(B127&lt;&gt;"",3,"")</f>
        <v>3</v>
      </c>
      <c r="J127" s="33" t="str">
        <f>IF(I127&lt;&gt;"",P127,"")</f>
        <v>MARCO ANTONIO RODRIGUES TAVARES DA SILVA</v>
      </c>
      <c r="K127" s="33" t="str">
        <f>IFERROR(IF(J127="","",VLOOKUP(J127,LISTAS!$F$5:$G$1004,2,0)),"0")</f>
        <v>COLÉGIO ENGENHEIRO SALVADOR ARENA</v>
      </c>
      <c r="L127" s="130" t="str">
        <f>IF(H125=3,"BRONZE",IF(H125=4,"PRATA",IF(H125=5,"OURO","")))</f>
        <v>BRONZE</v>
      </c>
      <c r="M127" s="20">
        <f>IF(B127&lt;&gt;"",COUNTIF(D127:G127,"V")+(SUMIF(B131:B133,B127,D131:E133)/1000)+(SUMIF(J131:J133,B127,H131:I133)/1000)-(SUMIF(B131:B133,B127,H131:I133)/1000)-(SUMIF(J131:J133,B127,D131:E133)/1000)+0.001,"")</f>
        <v>-3.0000000000000001E-3</v>
      </c>
      <c r="N127" s="20" t="str">
        <f>IF(B127="","",B127)</f>
        <v>MARCO ANTONIO RODRIGUES TAVARES DA SILVA</v>
      </c>
      <c r="O127" s="20">
        <f>IF(B127&lt;&gt;"",LARGE(M125:M127,3),"")</f>
        <v>-3.0000000000000001E-3</v>
      </c>
      <c r="P127" s="20" t="str">
        <f>VLOOKUP(O127,M125:N127,2,0)</f>
        <v>MARCO ANTONIO RODRIGUES TAVARES DA SILVA</v>
      </c>
    </row>
    <row r="128" spans="2:16" ht="18" customHeight="1" x14ac:dyDescent="0.25">
      <c r="B128" s="79"/>
      <c r="C128" s="79"/>
      <c r="D128" s="79"/>
      <c r="E128" s="79"/>
      <c r="F128" s="79"/>
      <c r="G128" s="79"/>
      <c r="I128" s="80"/>
      <c r="J128" s="79"/>
      <c r="K128" s="81"/>
      <c r="L128" s="81"/>
    </row>
    <row r="129" spans="2:16" ht="23.25" customHeight="1" x14ac:dyDescent="0.25">
      <c r="B129" s="82" t="s">
        <v>40</v>
      </c>
      <c r="C129" s="79"/>
      <c r="D129" s="79"/>
      <c r="E129" s="79"/>
      <c r="F129" s="79"/>
      <c r="G129" s="79"/>
      <c r="H129" s="79"/>
      <c r="I129" s="79"/>
      <c r="J129" s="79"/>
      <c r="K129" s="79"/>
      <c r="L129" s="79"/>
    </row>
    <row r="130" spans="2:16" ht="18" customHeight="1" x14ac:dyDescent="0.25">
      <c r="B130" s="132" t="s">
        <v>15</v>
      </c>
      <c r="C130" s="132" t="s">
        <v>0</v>
      </c>
      <c r="D130" s="258" t="s">
        <v>41</v>
      </c>
      <c r="E130" s="259"/>
      <c r="F130" s="259"/>
      <c r="G130" s="259"/>
      <c r="H130" s="259"/>
      <c r="I130" s="260"/>
      <c r="J130" s="132" t="s">
        <v>15</v>
      </c>
      <c r="K130" s="132" t="s">
        <v>0</v>
      </c>
      <c r="L130" s="79"/>
    </row>
    <row r="131" spans="2:16" ht="18" customHeight="1" x14ac:dyDescent="0.25">
      <c r="B131" s="33" t="str">
        <f>IF(H125=3,B125,"")</f>
        <v>HENRIQUE BORGES FONTÃO DE OLIVEIRA</v>
      </c>
      <c r="C131" s="33" t="str">
        <f>IFERROR(IF(B131="","",VLOOKUP(B131,LISTAS!$F$5:$G$1004,2,0)),"0")</f>
        <v>COLÉGIO VÉRTICE</v>
      </c>
      <c r="D131" s="253">
        <v>2</v>
      </c>
      <c r="E131" s="254"/>
      <c r="F131" s="253" t="s">
        <v>38</v>
      </c>
      <c r="G131" s="254"/>
      <c r="H131" s="253">
        <v>0</v>
      </c>
      <c r="I131" s="254"/>
      <c r="J131" s="111" t="str">
        <f>IF(H125=3,B127,"")</f>
        <v>MARCO ANTONIO RODRIGUES TAVARES DA SILVA</v>
      </c>
      <c r="K131" s="33" t="str">
        <f>IFERROR(IF(J131="","",VLOOKUP(J131,LISTAS!$F$5:$G$1004,2,0)),"0")</f>
        <v>COLÉGIO ENGENHEIRO SALVADOR ARENA</v>
      </c>
      <c r="L131" s="81"/>
    </row>
    <row r="132" spans="2:16" ht="18" customHeight="1" x14ac:dyDescent="0.25">
      <c r="B132" s="33" t="str">
        <f>IF(H125=3,B126,"")</f>
        <v>NATAN SCHMIDT FRANGETTI</v>
      </c>
      <c r="C132" s="33" t="str">
        <f>IFERROR(IF(B132="","",VLOOKUP(B132,LISTAS!$F$5:$G$1004,2,0)),"0")</f>
        <v>COLÉGIO SINGULAR SÃO CAETANO</v>
      </c>
      <c r="D132" s="253">
        <v>2</v>
      </c>
      <c r="E132" s="254"/>
      <c r="F132" s="253" t="s">
        <v>38</v>
      </c>
      <c r="G132" s="254"/>
      <c r="H132" s="253">
        <v>0</v>
      </c>
      <c r="I132" s="254"/>
      <c r="J132" s="111" t="str">
        <f>IF(H125=3,B127,"")</f>
        <v>MARCO ANTONIO RODRIGUES TAVARES DA SILVA</v>
      </c>
      <c r="K132" s="33" t="str">
        <f>IFERROR(IF(J132="","",VLOOKUP(J132,LISTAS!$F$5:$G$1004,2,0)),"0")</f>
        <v>COLÉGIO ENGENHEIRO SALVADOR ARENA</v>
      </c>
      <c r="L132" s="79"/>
    </row>
    <row r="133" spans="2:16" ht="18" customHeight="1" x14ac:dyDescent="0.25">
      <c r="B133" s="33" t="str">
        <f>IF(H125=3,B125,"")</f>
        <v>HENRIQUE BORGES FONTÃO DE OLIVEIRA</v>
      </c>
      <c r="C133" s="33" t="str">
        <f>IFERROR(IF(B133="","",VLOOKUP(B133,LISTAS!$F$5:$G$1004,2,0)),"0")</f>
        <v>COLÉGIO VÉRTICE</v>
      </c>
      <c r="D133" s="253">
        <v>0</v>
      </c>
      <c r="E133" s="254"/>
      <c r="F133" s="253" t="s">
        <v>38</v>
      </c>
      <c r="G133" s="254"/>
      <c r="H133" s="253">
        <v>2</v>
      </c>
      <c r="I133" s="254"/>
      <c r="J133" s="111" t="str">
        <f>IF(H125=3,B126,"")</f>
        <v>NATAN SCHMIDT FRANGETTI</v>
      </c>
      <c r="K133" s="33" t="str">
        <f>IFERROR(IF(J133="","",VLOOKUP(J133,LISTAS!$F$5:$G$1004,2,0)),"0")</f>
        <v>COLÉGIO SINGULAR SÃO CAETANO</v>
      </c>
      <c r="L133" s="81"/>
    </row>
    <row r="136" spans="2:16" ht="30" customHeight="1" x14ac:dyDescent="0.25">
      <c r="B136" s="161" t="s">
        <v>54</v>
      </c>
      <c r="C136" s="79"/>
      <c r="D136" s="255" t="s">
        <v>42</v>
      </c>
      <c r="E136" s="256"/>
      <c r="F136" s="256"/>
      <c r="G136" s="257"/>
      <c r="H136" s="113"/>
      <c r="I136" s="255" t="s">
        <v>3</v>
      </c>
      <c r="J136" s="256"/>
      <c r="K136" s="256"/>
      <c r="L136" s="256"/>
    </row>
    <row r="137" spans="2:16" ht="18" customHeight="1" x14ac:dyDescent="0.25">
      <c r="B137" s="132" t="s">
        <v>15</v>
      </c>
      <c r="C137" s="132" t="s">
        <v>0</v>
      </c>
      <c r="D137" s="132" t="s">
        <v>43</v>
      </c>
      <c r="E137" s="132" t="s">
        <v>44</v>
      </c>
      <c r="F137" s="132" t="s">
        <v>77</v>
      </c>
      <c r="G137" s="132" t="s">
        <v>78</v>
      </c>
      <c r="H137" s="114"/>
      <c r="I137" s="132" t="s">
        <v>18</v>
      </c>
      <c r="J137" s="132" t="s">
        <v>15</v>
      </c>
      <c r="K137" s="132" t="s">
        <v>0</v>
      </c>
      <c r="L137" s="132" t="s">
        <v>45</v>
      </c>
    </row>
    <row r="138" spans="2:16" ht="18" customHeight="1" x14ac:dyDescent="0.25">
      <c r="B138" s="33" t="s">
        <v>561</v>
      </c>
      <c r="C138" s="33" t="str">
        <f>IFERROR(IF(B138="","",VLOOKUP(B138,LISTAS!$F$5:$G$1004,2,0)),"0")</f>
        <v>COLÉGIO ARBOS SÃO CAETANO DO SUL</v>
      </c>
      <c r="D138" s="33" t="str">
        <f>IF(H138&lt;3,"",IF(H138=3,IF(D144&lt;&gt;"",IF(H144&lt;&gt;"",IF(D144&lt;&gt;H144,IF(D144&gt;H144,"V","D"),""),""),"")))</f>
        <v>V</v>
      </c>
      <c r="E138" s="33" t="str">
        <f>IF(H138&lt;3,"",IF(H138=3,IF(D146&lt;&gt;"",IF(H146&lt;&gt;"",IF(D146&lt;&gt;H146,IF(D146&gt;H146,"V","D"),""),""),"")))</f>
        <v>V</v>
      </c>
      <c r="F138" s="33" t="s">
        <v>81</v>
      </c>
      <c r="G138" s="33" t="s">
        <v>81</v>
      </c>
      <c r="H138" s="117">
        <f>COUNTA(B138:B140)</f>
        <v>3</v>
      </c>
      <c r="I138" s="33">
        <f>IF(B138&lt;&gt;"",1,"")</f>
        <v>1</v>
      </c>
      <c r="J138" s="33" t="str">
        <f>IF(I138&lt;&gt;"",P138,"")</f>
        <v>GABRIEL CUSTÓDIO FERNANDEZ</v>
      </c>
      <c r="K138" s="33" t="str">
        <f>IFERROR(IF(J138="","",VLOOKUP(J138,LISTAS!$F$5:$G$1004,2,0)),"0")</f>
        <v>COLÉGIO ARBOS SÃO CAETANO DO SUL</v>
      </c>
      <c r="L138" s="130" t="str">
        <f>IF(H138=3,"OURO",IF(H138=4,"OURO",IF(H138=5,"OURO","")))</f>
        <v>OURO</v>
      </c>
      <c r="M138" s="20">
        <f>IF(B138&lt;&gt;"",COUNTIF(D138:G138,"V")+(SUMIF(B144:B146,B138,D144:E146)/1000)+(SUMIF(J144:J146,B138,H144:I146)/1000)-(SUMIF(B144:B146,B138,H144:I146)/1000)-(SUMIF(J144:J146,B138,D144:E146)/1000)+0.003,"")</f>
        <v>2.0070000000000001</v>
      </c>
      <c r="N138" s="20" t="str">
        <f>IF(B138="","",B138)</f>
        <v>GABRIEL CUSTÓDIO FERNANDEZ</v>
      </c>
      <c r="O138" s="20">
        <f>IF(B138&lt;&gt;"",LARGE(M138:M140,1),"")</f>
        <v>2.0070000000000001</v>
      </c>
      <c r="P138" s="20" t="str">
        <f>VLOOKUP(O138,M138:N140,2,0)</f>
        <v>GABRIEL CUSTÓDIO FERNANDEZ</v>
      </c>
    </row>
    <row r="139" spans="2:16" ht="18" customHeight="1" x14ac:dyDescent="0.25">
      <c r="B139" s="33" t="s">
        <v>594</v>
      </c>
      <c r="C139" s="33" t="str">
        <f>IFERROR(IF(B139="","",VLOOKUP(B139,LISTAS!$F$5:$G$1004,2,0)),"0")</f>
        <v>COLÉGIO ENGENHEIRO SALVADOR ARENA</v>
      </c>
      <c r="D139" s="33" t="str">
        <f>IF(H138&lt;3,"",IF(H138=3,IF(D145&lt;&gt;"",IF(H145&lt;&gt;"",IF(D145&lt;&gt;H145,IF(D145&gt;H145,"V","D"),""),""),"")))</f>
        <v>D</v>
      </c>
      <c r="E139" s="33" t="str">
        <f>IF(H138&lt;3,"",IF(H138=3,IF(D146&lt;&gt;"",IF(H146&lt;&gt;"",IF(D146&lt;&gt;H146,IF(D146&gt;H146,"D","V"),""),""),"")))</f>
        <v>D</v>
      </c>
      <c r="F139" s="33" t="s">
        <v>81</v>
      </c>
      <c r="G139" s="33" t="s">
        <v>81</v>
      </c>
      <c r="H139" s="117"/>
      <c r="I139" s="33">
        <f>IF(B139&lt;&gt;"",2,"")</f>
        <v>2</v>
      </c>
      <c r="J139" s="33" t="str">
        <f>IF(I139&lt;&gt;"",P139,"")</f>
        <v>LUIZ GUILHERME CHIEFFO CABRAL</v>
      </c>
      <c r="K139" s="33" t="str">
        <f>IFERROR(IF(J139="","",VLOOKUP(J139,LISTAS!$F$5:$G$1004,2,0)),"0")</f>
        <v>COLÉGIO SINGULAR SÃO CAETANO</v>
      </c>
      <c r="L139" s="130" t="str">
        <f>IF(H138=3,"PRATA",IF(H138=4,"OURO",IF(H138=5,"OURO","")))</f>
        <v>PRATA</v>
      </c>
      <c r="M139" s="20">
        <f>IF(B139&lt;&gt;"",COUNTIF(D139:G139,"V")+(SUMIF(B144:B146,B139,D144:E146)/1000)+(SUMIF(J144:J146,B139,H144:I146)/1000)-(SUMIF(B144:B146,B139,H144:I146)/1000)-(SUMIF(J144:J146,B139,D144:E146)/1000)+0.002,"")</f>
        <v>-2E-3</v>
      </c>
      <c r="N139" s="20" t="str">
        <f t="shared" ref="N139" si="9">IF(B139="","",B139)</f>
        <v>NÍCHOLAS SIMÕES VAZ</v>
      </c>
      <c r="O139" s="20">
        <f>IF(B139&lt;&gt;"",LARGE(M138:M140,2),"")</f>
        <v>1.0009999999999999</v>
      </c>
      <c r="P139" s="20" t="str">
        <f>VLOOKUP(O139,M138:N140,2,0)</f>
        <v>LUIZ GUILHERME CHIEFFO CABRAL</v>
      </c>
    </row>
    <row r="140" spans="2:16" ht="18" customHeight="1" x14ac:dyDescent="0.25">
      <c r="B140" s="33" t="s">
        <v>584</v>
      </c>
      <c r="C140" s="33" t="str">
        <f>IFERROR(IF(B140="","",VLOOKUP(B140,LISTAS!$F$5:$G$1004,2,0)),"0")</f>
        <v>COLÉGIO SINGULAR SÃO CAETANO</v>
      </c>
      <c r="D140" s="33" t="str">
        <f>IF(H138&lt;3,"",IF(H138=3,IF(D144&lt;&gt;"",IF(H144&lt;&gt;"",IF(D144&lt;&gt;H144,IF(D144&gt;H144,"D","V"),""),""),"")))</f>
        <v>D</v>
      </c>
      <c r="E140" s="33" t="str">
        <f>IF(H138&lt;3,"",IF(H138=3,IF(D145&lt;&gt;"",IF(H145&lt;&gt;"",IF(D145&lt;&gt;H145,IF(D145&gt;H145,"D","V"),""),""),"")))</f>
        <v>V</v>
      </c>
      <c r="F140" s="33" t="s">
        <v>81</v>
      </c>
      <c r="G140" s="33" t="s">
        <v>81</v>
      </c>
      <c r="H140" s="117"/>
      <c r="I140" s="33">
        <f>IF(B140&lt;&gt;"",3,"")</f>
        <v>3</v>
      </c>
      <c r="J140" s="33" t="str">
        <f>IF(I140&lt;&gt;"",P140,"")</f>
        <v>NÍCHOLAS SIMÕES VAZ</v>
      </c>
      <c r="K140" s="33" t="str">
        <f>IFERROR(IF(J140="","",VLOOKUP(J140,LISTAS!$F$5:$G$1004,2,0)),"0")</f>
        <v>COLÉGIO ENGENHEIRO SALVADOR ARENA</v>
      </c>
      <c r="L140" s="130" t="str">
        <f>IF(H138=3,"BRONZE",IF(H138=4,"PRATA",IF(H138=5,"OURO","")))</f>
        <v>BRONZE</v>
      </c>
      <c r="M140" s="20">
        <f>IF(B140&lt;&gt;"",COUNTIF(D140:G140,"V")+(SUMIF(B144:B146,B140,D144:E146)/1000)+(SUMIF(J144:J146,B140,H144:I146)/1000)-(SUMIF(B144:B146,B140,H144:I146)/1000)-(SUMIF(J144:J146,B140,D144:E146)/1000)+0.001,"")</f>
        <v>1.0009999999999999</v>
      </c>
      <c r="N140" s="20" t="str">
        <f>IF(B140="","",B140)</f>
        <v>LUIZ GUILHERME CHIEFFO CABRAL</v>
      </c>
      <c r="O140" s="20">
        <f>IF(B140&lt;&gt;"",LARGE(M138:M140,3),"")</f>
        <v>-2E-3</v>
      </c>
      <c r="P140" s="20" t="str">
        <f>VLOOKUP(O140,M138:N140,2,0)</f>
        <v>NÍCHOLAS SIMÕES VAZ</v>
      </c>
    </row>
    <row r="141" spans="2:16" ht="18" customHeight="1" x14ac:dyDescent="0.25">
      <c r="B141" s="79"/>
      <c r="C141" s="79"/>
      <c r="D141" s="79"/>
      <c r="E141" s="79"/>
      <c r="F141" s="79"/>
      <c r="G141" s="79"/>
      <c r="I141" s="80"/>
      <c r="J141" s="79"/>
      <c r="K141" s="81"/>
      <c r="L141" s="81"/>
    </row>
    <row r="142" spans="2:16" ht="23.25" customHeight="1" x14ac:dyDescent="0.25">
      <c r="B142" s="82" t="s">
        <v>40</v>
      </c>
      <c r="C142" s="79"/>
      <c r="D142" s="79"/>
      <c r="E142" s="79"/>
      <c r="F142" s="79"/>
      <c r="G142" s="79"/>
      <c r="H142" s="79"/>
      <c r="I142" s="79"/>
      <c r="J142" s="79"/>
      <c r="K142" s="79"/>
      <c r="L142" s="79"/>
    </row>
    <row r="143" spans="2:16" ht="18" customHeight="1" x14ac:dyDescent="0.25">
      <c r="B143" s="132" t="s">
        <v>15</v>
      </c>
      <c r="C143" s="132" t="s">
        <v>0</v>
      </c>
      <c r="D143" s="258" t="s">
        <v>41</v>
      </c>
      <c r="E143" s="259"/>
      <c r="F143" s="259"/>
      <c r="G143" s="259"/>
      <c r="H143" s="259"/>
      <c r="I143" s="260"/>
      <c r="J143" s="132" t="s">
        <v>15</v>
      </c>
      <c r="K143" s="132" t="s">
        <v>0</v>
      </c>
      <c r="L143" s="79"/>
    </row>
    <row r="144" spans="2:16" ht="18" customHeight="1" x14ac:dyDescent="0.25">
      <c r="B144" s="33" t="str">
        <f>IF(H138=3,B138,"")</f>
        <v>GABRIEL CUSTÓDIO FERNANDEZ</v>
      </c>
      <c r="C144" s="33" t="str">
        <f>IFERROR(IF(B144="","",VLOOKUP(B144,LISTAS!$F$5:$G$1004,2,0)),"0")</f>
        <v>COLÉGIO ARBOS SÃO CAETANO DO SUL</v>
      </c>
      <c r="D144" s="253">
        <v>2</v>
      </c>
      <c r="E144" s="254"/>
      <c r="F144" s="253" t="s">
        <v>38</v>
      </c>
      <c r="G144" s="254"/>
      <c r="H144" s="253">
        <v>0</v>
      </c>
      <c r="I144" s="254"/>
      <c r="J144" s="111" t="str">
        <f>IF(H138=3,B140,"")</f>
        <v>LUIZ GUILHERME CHIEFFO CABRAL</v>
      </c>
      <c r="K144" s="33" t="str">
        <f>IFERROR(IF(J144="","",VLOOKUP(J144,LISTAS!$F$5:$G$1004,2,0)),"0")</f>
        <v>COLÉGIO SINGULAR SÃO CAETANO</v>
      </c>
      <c r="L144" s="81"/>
    </row>
    <row r="145" spans="2:16" ht="18" customHeight="1" x14ac:dyDescent="0.25">
      <c r="B145" s="33" t="str">
        <f>IF(H138=3,B139,"")</f>
        <v>NÍCHOLAS SIMÕES VAZ</v>
      </c>
      <c r="C145" s="33" t="str">
        <f>IFERROR(IF(B145="","",VLOOKUP(B145,LISTAS!$F$5:$G$1004,2,0)),"0")</f>
        <v>COLÉGIO ENGENHEIRO SALVADOR ARENA</v>
      </c>
      <c r="D145" s="253">
        <v>0</v>
      </c>
      <c r="E145" s="254"/>
      <c r="F145" s="253" t="s">
        <v>38</v>
      </c>
      <c r="G145" s="254"/>
      <c r="H145" s="253">
        <v>2</v>
      </c>
      <c r="I145" s="254"/>
      <c r="J145" s="111" t="str">
        <f>IF(H138=3,B140,"")</f>
        <v>LUIZ GUILHERME CHIEFFO CABRAL</v>
      </c>
      <c r="K145" s="33" t="str">
        <f>IFERROR(IF(J145="","",VLOOKUP(J145,LISTAS!$F$5:$G$1004,2,0)),"0")</f>
        <v>COLÉGIO SINGULAR SÃO CAETANO</v>
      </c>
      <c r="L145" s="79"/>
    </row>
    <row r="146" spans="2:16" ht="18" customHeight="1" x14ac:dyDescent="0.25">
      <c r="B146" s="33" t="str">
        <f>IF(H138=3,B138,"")</f>
        <v>GABRIEL CUSTÓDIO FERNANDEZ</v>
      </c>
      <c r="C146" s="33" t="str">
        <f>IFERROR(IF(B146="","",VLOOKUP(B146,LISTAS!$F$5:$G$1004,2,0)),"0")</f>
        <v>COLÉGIO ARBOS SÃO CAETANO DO SUL</v>
      </c>
      <c r="D146" s="253">
        <v>2</v>
      </c>
      <c r="E146" s="254"/>
      <c r="F146" s="253" t="s">
        <v>38</v>
      </c>
      <c r="G146" s="254"/>
      <c r="H146" s="253">
        <v>0</v>
      </c>
      <c r="I146" s="254"/>
      <c r="J146" s="111" t="str">
        <f>IF(H138=3,B139,"")</f>
        <v>NÍCHOLAS SIMÕES VAZ</v>
      </c>
      <c r="K146" s="33" t="str">
        <f>IFERROR(IF(J146="","",VLOOKUP(J146,LISTAS!$F$5:$G$1004,2,0)),"0")</f>
        <v>COLÉGIO ENGENHEIRO SALVADOR ARENA</v>
      </c>
      <c r="L146" s="81"/>
    </row>
    <row r="149" spans="2:16" ht="30" customHeight="1" x14ac:dyDescent="0.25">
      <c r="B149" s="161" t="s">
        <v>55</v>
      </c>
      <c r="C149" s="79"/>
      <c r="D149" s="255" t="s">
        <v>42</v>
      </c>
      <c r="E149" s="256"/>
      <c r="F149" s="256"/>
      <c r="G149" s="257"/>
      <c r="H149" s="113"/>
      <c r="I149" s="255" t="s">
        <v>3</v>
      </c>
      <c r="J149" s="256"/>
      <c r="K149" s="256"/>
      <c r="L149" s="256"/>
    </row>
    <row r="150" spans="2:16" ht="18" customHeight="1" x14ac:dyDescent="0.25">
      <c r="B150" s="132" t="s">
        <v>15</v>
      </c>
      <c r="C150" s="132" t="s">
        <v>0</v>
      </c>
      <c r="D150" s="132" t="s">
        <v>43</v>
      </c>
      <c r="E150" s="132" t="s">
        <v>44</v>
      </c>
      <c r="F150" s="132" t="s">
        <v>77</v>
      </c>
      <c r="G150" s="132" t="s">
        <v>78</v>
      </c>
      <c r="H150" s="114"/>
      <c r="I150" s="132" t="s">
        <v>18</v>
      </c>
      <c r="J150" s="132" t="s">
        <v>15</v>
      </c>
      <c r="K150" s="132" t="s">
        <v>0</v>
      </c>
      <c r="L150" s="132" t="s">
        <v>45</v>
      </c>
    </row>
    <row r="151" spans="2:16" ht="18" customHeight="1" x14ac:dyDescent="0.25">
      <c r="B151" s="33" t="s">
        <v>591</v>
      </c>
      <c r="C151" s="33" t="str">
        <f>IFERROR(IF(B151="","",VLOOKUP(B151,LISTAS!$F$5:$G$1004,2,0)),"0")</f>
        <v>COLÉGIO ARBOS - UNIDADE SANTO ANDRÉ</v>
      </c>
      <c r="D151" s="33" t="str">
        <f>IF(H151&lt;3,"",IF(H151=3,IF(D157&lt;&gt;"",IF(H157&lt;&gt;"",IF(D157&lt;&gt;H157,IF(D157&gt;H157,"V","D"),""),""),"")))</f>
        <v>V</v>
      </c>
      <c r="E151" s="33" t="str">
        <f>IF(H151&lt;3,"",IF(H151=3,IF(D159&lt;&gt;"",IF(H159&lt;&gt;"",IF(D159&lt;&gt;H159,IF(D159&gt;H159,"V","D"),""),""),"")))</f>
        <v>V</v>
      </c>
      <c r="F151" s="33" t="s">
        <v>81</v>
      </c>
      <c r="G151" s="33" t="s">
        <v>81</v>
      </c>
      <c r="H151" s="117">
        <f>COUNTA(B151:B153)</f>
        <v>3</v>
      </c>
      <c r="I151" s="33">
        <f>IF(B151&lt;&gt;"",1,"")</f>
        <v>1</v>
      </c>
      <c r="J151" s="33" t="str">
        <f>IF(I151&lt;&gt;"",P151,"")</f>
        <v>MIGUEL ARIETE VITORINO DIAS RAPOSO SOARES</v>
      </c>
      <c r="K151" s="33" t="str">
        <f>IFERROR(IF(J151="","",VLOOKUP(J151,LISTAS!$F$5:$G$1004,2,0)),"0")</f>
        <v>COLÉGIO ARBOS - UNIDADE SANTO ANDRÉ</v>
      </c>
      <c r="L151" s="130" t="str">
        <f>IF(H151=3,"OURO",IF(H151=4,"OURO",IF(H151=5,"OURO","")))</f>
        <v>OURO</v>
      </c>
      <c r="M151" s="20">
        <f>IF(B151&lt;&gt;"",COUNTIF(D151:G151,"V")+(SUMIF(B157:B159,B151,D157:E159)/1000)+(SUMIF(J157:J159,B151,H157:I159)/1000)-(SUMIF(B157:B159,B151,H157:I159)/1000)-(SUMIF(J157:J159,B151,D157:E159)/1000)+0.003,"")</f>
        <v>2.0070000000000001</v>
      </c>
      <c r="N151" s="20" t="str">
        <f>IF(B151="","",B151)</f>
        <v>MIGUEL ARIETE VITORINO DIAS RAPOSO SOARES</v>
      </c>
      <c r="O151" s="20">
        <f>IF(B151&lt;&gt;"",LARGE(M151:M153,1),"")</f>
        <v>2.0070000000000001</v>
      </c>
      <c r="P151" s="20" t="str">
        <f>VLOOKUP(O151,M151:N153,2,0)</f>
        <v>MIGUEL ARIETE VITORINO DIAS RAPOSO SOARES</v>
      </c>
    </row>
    <row r="152" spans="2:16" ht="18" customHeight="1" x14ac:dyDescent="0.25">
      <c r="B152" s="33" t="s">
        <v>562</v>
      </c>
      <c r="C152" s="33" t="str">
        <f>IFERROR(IF(B152="","",VLOOKUP(B152,LISTAS!$F$5:$G$1004,2,0)),"0")</f>
        <v>COLÉGIO ARBOS SÃO CAETANO DO SUL</v>
      </c>
      <c r="D152" s="33" t="str">
        <f>IF(H151&lt;3,"",IF(H151=3,IF(D158&lt;&gt;"",IF(H158&lt;&gt;"",IF(D158&lt;&gt;H158,IF(D158&gt;H158,"V","D"),""),""),"")))</f>
        <v>V</v>
      </c>
      <c r="E152" s="33" t="str">
        <f>IF(H151&lt;3,"",IF(H151=3,IF(D159&lt;&gt;"",IF(H159&lt;&gt;"",IF(D159&lt;&gt;H159,IF(D159&gt;H159,"D","V"),""),""),"")))</f>
        <v>D</v>
      </c>
      <c r="F152" s="33" t="s">
        <v>81</v>
      </c>
      <c r="G152" s="33" t="s">
        <v>81</v>
      </c>
      <c r="H152" s="117"/>
      <c r="I152" s="33">
        <f>IF(B152&lt;&gt;"",2,"")</f>
        <v>2</v>
      </c>
      <c r="J152" s="33" t="str">
        <f>IF(I152&lt;&gt;"",P152,"")</f>
        <v>GUILHERME PETERSON SANCHEZ GONÇALVES</v>
      </c>
      <c r="K152" s="33" t="str">
        <f>IFERROR(IF(J152="","",VLOOKUP(J152,LISTAS!$F$5:$G$1004,2,0)),"0")</f>
        <v>COLÉGIO ARBOS SÃO CAETANO DO SUL</v>
      </c>
      <c r="L152" s="130" t="str">
        <f>IF(H151=3,"PRATA",IF(H151=4,"OURO",IF(H151=5,"OURO","")))</f>
        <v>PRATA</v>
      </c>
      <c r="M152" s="20">
        <f>IF(B152&lt;&gt;"",COUNTIF(D152:G152,"V")+(SUMIF(B157:B159,B152,D157:E159)/1000)+(SUMIF(J157:J159,B152,H157:I159)/1000)-(SUMIF(B157:B159,B152,H157:I159)/1000)-(SUMIF(J157:J159,B152,D157:E159)/1000)+0.002,"")</f>
        <v>1.002</v>
      </c>
      <c r="N152" s="20" t="str">
        <f t="shared" ref="N152" si="10">IF(B152="","",B152)</f>
        <v>GUILHERME PETERSON SANCHEZ GONÇALVES</v>
      </c>
      <c r="O152" s="20">
        <f>IF(B152&lt;&gt;"",LARGE(M151:M153,2),"")</f>
        <v>1.002</v>
      </c>
      <c r="P152" s="20" t="str">
        <f>VLOOKUP(O152,M151:N153,2,0)</f>
        <v>GUILHERME PETERSON SANCHEZ GONÇALVES</v>
      </c>
    </row>
    <row r="153" spans="2:16" ht="18" customHeight="1" x14ac:dyDescent="0.25">
      <c r="B153" s="33" t="s">
        <v>598</v>
      </c>
      <c r="C153" s="33" t="str">
        <f>IFERROR(IF(B153="","",VLOOKUP(B153,LISTAS!$F$5:$G$1004,2,0)),"0")</f>
        <v>COLÉGIO ENGENHEIRO SALVADOR ARENA</v>
      </c>
      <c r="D153" s="33" t="str">
        <f>IF(H151&lt;3,"",IF(H151=3,IF(D157&lt;&gt;"",IF(H157&lt;&gt;"",IF(D157&lt;&gt;H157,IF(D157&gt;H157,"D","V"),""),""),"")))</f>
        <v>D</v>
      </c>
      <c r="E153" s="33" t="str">
        <f>IF(H151&lt;3,"",IF(H151=3,IF(D158&lt;&gt;"",IF(H158&lt;&gt;"",IF(D158&lt;&gt;H158,IF(D158&gt;H158,"D","V"),""),""),"")))</f>
        <v>D</v>
      </c>
      <c r="F153" s="33" t="s">
        <v>81</v>
      </c>
      <c r="G153" s="33" t="s">
        <v>81</v>
      </c>
      <c r="H153" s="117"/>
      <c r="I153" s="33">
        <f>IF(B153&lt;&gt;"",3,"")</f>
        <v>3</v>
      </c>
      <c r="J153" s="33" t="str">
        <f>IF(I153&lt;&gt;"",P153,"")</f>
        <v>VINÍCIUS SELICHEVIC MESSIAS</v>
      </c>
      <c r="K153" s="33" t="str">
        <f>IFERROR(IF(J153="","",VLOOKUP(J153,LISTAS!$F$5:$G$1004,2,0)),"0")</f>
        <v>COLÉGIO ENGENHEIRO SALVADOR ARENA</v>
      </c>
      <c r="L153" s="130" t="str">
        <f>IF(H151=3,"BRONZE",IF(H151=4,"PRATA",IF(H151=5,"OURO","")))</f>
        <v>BRONZE</v>
      </c>
      <c r="M153" s="20">
        <f>IF(B153&lt;&gt;"",COUNTIF(D153:G153,"V")+(SUMIF(B157:B159,B153,D157:E159)/1000)+(SUMIF(J157:J159,B153,H157:I159)/1000)-(SUMIF(B157:B159,B153,H157:I159)/1000)-(SUMIF(J157:J159,B153,D157:E159)/1000)+0.001,"")</f>
        <v>-3.0000000000000001E-3</v>
      </c>
      <c r="N153" s="20" t="str">
        <f>IF(B153="","",B153)</f>
        <v>VINÍCIUS SELICHEVIC MESSIAS</v>
      </c>
      <c r="O153" s="20">
        <f>IF(B153&lt;&gt;"",LARGE(M151:M153,3),"")</f>
        <v>-3.0000000000000001E-3</v>
      </c>
      <c r="P153" s="20" t="str">
        <f>VLOOKUP(O153,M151:N153,2,0)</f>
        <v>VINÍCIUS SELICHEVIC MESSIAS</v>
      </c>
    </row>
    <row r="154" spans="2:16" ht="18" customHeight="1" x14ac:dyDescent="0.25">
      <c r="B154" s="79"/>
      <c r="C154" s="79"/>
      <c r="D154" s="79"/>
      <c r="E154" s="79"/>
      <c r="F154" s="79"/>
      <c r="G154" s="79"/>
      <c r="I154" s="80"/>
      <c r="J154" s="79"/>
      <c r="K154" s="81"/>
      <c r="L154" s="81"/>
    </row>
    <row r="155" spans="2:16" ht="23.25" customHeight="1" x14ac:dyDescent="0.25">
      <c r="B155" s="82" t="s">
        <v>40</v>
      </c>
      <c r="C155" s="79"/>
      <c r="D155" s="79"/>
      <c r="E155" s="79"/>
      <c r="F155" s="79"/>
      <c r="G155" s="79"/>
      <c r="H155" s="79"/>
      <c r="I155" s="79"/>
      <c r="J155" s="79"/>
      <c r="K155" s="79"/>
      <c r="L155" s="79"/>
    </row>
    <row r="156" spans="2:16" ht="18" customHeight="1" x14ac:dyDescent="0.25">
      <c r="B156" s="132" t="s">
        <v>15</v>
      </c>
      <c r="C156" s="132" t="s">
        <v>0</v>
      </c>
      <c r="D156" s="258" t="s">
        <v>41</v>
      </c>
      <c r="E156" s="259"/>
      <c r="F156" s="259"/>
      <c r="G156" s="259"/>
      <c r="H156" s="259"/>
      <c r="I156" s="260"/>
      <c r="J156" s="132" t="s">
        <v>15</v>
      </c>
      <c r="K156" s="132" t="s">
        <v>0</v>
      </c>
      <c r="L156" s="79"/>
    </row>
    <row r="157" spans="2:16" ht="18" customHeight="1" x14ac:dyDescent="0.25">
      <c r="B157" s="33" t="str">
        <f>IF(H151=3,B151,"")</f>
        <v>MIGUEL ARIETE VITORINO DIAS RAPOSO SOARES</v>
      </c>
      <c r="C157" s="33" t="str">
        <f>IFERROR(IF(B157="","",VLOOKUP(B157,LISTAS!$F$5:$G$1004,2,0)),"0")</f>
        <v>COLÉGIO ARBOS - UNIDADE SANTO ANDRÉ</v>
      </c>
      <c r="D157" s="253">
        <v>2</v>
      </c>
      <c r="E157" s="254"/>
      <c r="F157" s="253" t="s">
        <v>38</v>
      </c>
      <c r="G157" s="254"/>
      <c r="H157" s="253">
        <v>0</v>
      </c>
      <c r="I157" s="254"/>
      <c r="J157" s="111" t="str">
        <f>IF(H151=3,B153,"")</f>
        <v>VINÍCIUS SELICHEVIC MESSIAS</v>
      </c>
      <c r="K157" s="33" t="str">
        <f>IFERROR(IF(J157="","",VLOOKUP(J157,LISTAS!$F$5:$G$1004,2,0)),"0")</f>
        <v>COLÉGIO ENGENHEIRO SALVADOR ARENA</v>
      </c>
      <c r="L157" s="81"/>
    </row>
    <row r="158" spans="2:16" ht="18" customHeight="1" x14ac:dyDescent="0.25">
      <c r="B158" s="33" t="str">
        <f>IF(H151=3,B152,"")</f>
        <v>GUILHERME PETERSON SANCHEZ GONÇALVES</v>
      </c>
      <c r="C158" s="33" t="str">
        <f>IFERROR(IF(B158="","",VLOOKUP(B158,LISTAS!$F$5:$G$1004,2,0)),"0")</f>
        <v>COLÉGIO ARBOS SÃO CAETANO DO SUL</v>
      </c>
      <c r="D158" s="253">
        <v>2</v>
      </c>
      <c r="E158" s="254"/>
      <c r="F158" s="253" t="s">
        <v>38</v>
      </c>
      <c r="G158" s="254"/>
      <c r="H158" s="253">
        <v>0</v>
      </c>
      <c r="I158" s="254"/>
      <c r="J158" s="111" t="str">
        <f>IF(H151=3,B153,"")</f>
        <v>VINÍCIUS SELICHEVIC MESSIAS</v>
      </c>
      <c r="K158" s="33" t="str">
        <f>IFERROR(IF(J158="","",VLOOKUP(J158,LISTAS!$F$5:$G$1004,2,0)),"0")</f>
        <v>COLÉGIO ENGENHEIRO SALVADOR ARENA</v>
      </c>
      <c r="L158" s="79"/>
    </row>
    <row r="159" spans="2:16" ht="18" customHeight="1" x14ac:dyDescent="0.25">
      <c r="B159" s="33" t="str">
        <f>IF(H151=3,B151,"")</f>
        <v>MIGUEL ARIETE VITORINO DIAS RAPOSO SOARES</v>
      </c>
      <c r="C159" s="33" t="str">
        <f>IFERROR(IF(B159="","",VLOOKUP(B159,LISTAS!$F$5:$G$1004,2,0)),"0")</f>
        <v>COLÉGIO ARBOS - UNIDADE SANTO ANDRÉ</v>
      </c>
      <c r="D159" s="253">
        <v>2</v>
      </c>
      <c r="E159" s="254"/>
      <c r="F159" s="253" t="s">
        <v>38</v>
      </c>
      <c r="G159" s="254"/>
      <c r="H159" s="253">
        <v>0</v>
      </c>
      <c r="I159" s="254"/>
      <c r="J159" s="111" t="str">
        <f>IF(H151=3,B152,"")</f>
        <v>GUILHERME PETERSON SANCHEZ GONÇALVES</v>
      </c>
      <c r="K159" s="33" t="str">
        <f>IFERROR(IF(J159="","",VLOOKUP(J159,LISTAS!$F$5:$G$1004,2,0)),"0")</f>
        <v>COLÉGIO ARBOS SÃO CAETANO DO SUL</v>
      </c>
      <c r="L159" s="81"/>
    </row>
    <row r="162" spans="2:16" ht="30" customHeight="1" x14ac:dyDescent="0.25">
      <c r="B162" s="161" t="s">
        <v>56</v>
      </c>
      <c r="C162" s="79"/>
      <c r="D162" s="255" t="s">
        <v>42</v>
      </c>
      <c r="E162" s="256"/>
      <c r="F162" s="256"/>
      <c r="G162" s="257"/>
      <c r="H162" s="113"/>
      <c r="I162" s="255" t="s">
        <v>3</v>
      </c>
      <c r="J162" s="256"/>
      <c r="K162" s="256"/>
      <c r="L162" s="256"/>
    </row>
    <row r="163" spans="2:16" ht="18" customHeight="1" x14ac:dyDescent="0.25">
      <c r="B163" s="132" t="s">
        <v>15</v>
      </c>
      <c r="C163" s="132" t="s">
        <v>0</v>
      </c>
      <c r="D163" s="132" t="s">
        <v>43</v>
      </c>
      <c r="E163" s="132" t="s">
        <v>44</v>
      </c>
      <c r="F163" s="132" t="s">
        <v>77</v>
      </c>
      <c r="G163" s="132" t="s">
        <v>78</v>
      </c>
      <c r="H163" s="114"/>
      <c r="I163" s="132" t="s">
        <v>18</v>
      </c>
      <c r="J163" s="132" t="s">
        <v>15</v>
      </c>
      <c r="K163" s="132" t="s">
        <v>0</v>
      </c>
      <c r="L163" s="132" t="s">
        <v>45</v>
      </c>
    </row>
    <row r="164" spans="2:16" ht="18" customHeight="1" x14ac:dyDescent="0.25">
      <c r="B164" s="33" t="s">
        <v>595</v>
      </c>
      <c r="C164" s="33" t="str">
        <f>IFERROR(IF(B164="","",VLOOKUP(B164,LISTAS!$F$5:$G$1004,2,0)),"0")</f>
        <v>COLÉGIO ARBOS - UNIDADE SANTO ANDRÉ</v>
      </c>
      <c r="D164" s="33" t="str">
        <f>IF(H164&lt;3,"",IF(H164=3,IF(D170&lt;&gt;"",IF(H170&lt;&gt;"",IF(D170&lt;&gt;H170,IF(D170&gt;H170,"V","D"),""),""),"")))</f>
        <v>V</v>
      </c>
      <c r="E164" s="33" t="str">
        <f>IF(H164&lt;3,"",IF(H164=3,IF(D172&lt;&gt;"",IF(H172&lt;&gt;"",IF(D172&lt;&gt;H172,IF(D172&gt;H172,"V","D"),""),""),"")))</f>
        <v>D</v>
      </c>
      <c r="F164" s="33" t="s">
        <v>81</v>
      </c>
      <c r="G164" s="33" t="s">
        <v>81</v>
      </c>
      <c r="H164" s="117">
        <f>COUNTA(B164:B166)</f>
        <v>3</v>
      </c>
      <c r="I164" s="33">
        <f>IF(B164&lt;&gt;"",1,"")</f>
        <v>1</v>
      </c>
      <c r="J164" s="33" t="str">
        <f>IF(I164&lt;&gt;"",P164,"")</f>
        <v>GUSTAVO IAN SANCHEZ GONÇALVES</v>
      </c>
      <c r="K164" s="33" t="str">
        <f>IFERROR(IF(J164="","",VLOOKUP(J164,LISTAS!$F$5:$G$1004,2,0)),"0")</f>
        <v>COLÉGIO ARBOS SÃO CAETANO DO SUL</v>
      </c>
      <c r="L164" s="130" t="str">
        <f>IF(H164=3,"OURO",IF(H164=4,"OURO",IF(H164=5,"OURO","")))</f>
        <v>OURO</v>
      </c>
      <c r="M164" s="20">
        <f>IF(B164&lt;&gt;"",COUNTIF(D164:G164,"V")+(SUMIF(B170:B172,B164,D170:E172)/1000)+(SUMIF(J170:J172,B164,H170:I172)/1000)-(SUMIF(B170:B172,B164,H170:I172)/1000)-(SUMIF(J170:J172,B164,D170:E172)/1000)+0.003,"")</f>
        <v>1.002</v>
      </c>
      <c r="N164" s="20" t="str">
        <f>IF(B164="","",B164)</f>
        <v>RENZO CAVASSANI</v>
      </c>
      <c r="O164" s="20">
        <f>IF(B164&lt;&gt;"",LARGE(M164:M166,1),"")</f>
        <v>2.0049999999999994</v>
      </c>
      <c r="P164" s="20" t="str">
        <f>VLOOKUP(O164,M164:N166,2,0)</f>
        <v>GUSTAVO IAN SANCHEZ GONÇALVES</v>
      </c>
    </row>
    <row r="165" spans="2:16" ht="18" customHeight="1" x14ac:dyDescent="0.25">
      <c r="B165" s="33" t="s">
        <v>563</v>
      </c>
      <c r="C165" s="33" t="str">
        <f>IFERROR(IF(B165="","",VLOOKUP(B165,LISTAS!$F$5:$G$1004,2,0)),"0")</f>
        <v>COLÉGIO ARBOS SÃO CAETANO DO SUL</v>
      </c>
      <c r="D165" s="33" t="str">
        <f>IF(H164&lt;3,"",IF(H164=3,IF(D171&lt;&gt;"",IF(H171&lt;&gt;"",IF(D171&lt;&gt;H171,IF(D171&gt;H171,"V","D"),""),""),"")))</f>
        <v>V</v>
      </c>
      <c r="E165" s="33" t="str">
        <f>IF(H164&lt;3,"",IF(H164=3,IF(D172&lt;&gt;"",IF(H172&lt;&gt;"",IF(D172&lt;&gt;H172,IF(D172&gt;H172,"D","V"),""),""),"")))</f>
        <v>V</v>
      </c>
      <c r="F165" s="33" t="s">
        <v>81</v>
      </c>
      <c r="G165" s="33" t="s">
        <v>81</v>
      </c>
      <c r="H165" s="117"/>
      <c r="I165" s="33">
        <f>IF(B165&lt;&gt;"",2,"")</f>
        <v>2</v>
      </c>
      <c r="J165" s="33" t="str">
        <f>IF(I165&lt;&gt;"",P165,"")</f>
        <v>RENZO CAVASSANI</v>
      </c>
      <c r="K165" s="33" t="str">
        <f>IFERROR(IF(J165="","",VLOOKUP(J165,LISTAS!$F$5:$G$1004,2,0)),"0")</f>
        <v>COLÉGIO ARBOS - UNIDADE SANTO ANDRÉ</v>
      </c>
      <c r="L165" s="130" t="str">
        <f>IF(H164=3,"PRATA",IF(H164=4,"OURO",IF(H164=5,"OURO","")))</f>
        <v>PRATA</v>
      </c>
      <c r="M165" s="20">
        <f>IF(B165&lt;&gt;"",COUNTIF(D165:G165,"V")+(SUMIF(B170:B172,B165,D170:E172)/1000)+(SUMIF(J170:J172,B165,H170:I172)/1000)-(SUMIF(B170:B172,B165,H170:I172)/1000)-(SUMIF(J170:J172,B165,D170:E172)/1000)+0.002,"")</f>
        <v>2.0049999999999994</v>
      </c>
      <c r="N165" s="20" t="str">
        <f t="shared" ref="N165" si="11">IF(B165="","",B165)</f>
        <v>GUSTAVO IAN SANCHEZ GONÇALVES</v>
      </c>
      <c r="O165" s="20">
        <f>IF(B165&lt;&gt;"",LARGE(M164:M166,2),"")</f>
        <v>1.002</v>
      </c>
      <c r="P165" s="20" t="str">
        <f>VLOOKUP(O165,M164:N166,2,0)</f>
        <v>RENZO CAVASSANI</v>
      </c>
    </row>
    <row r="166" spans="2:16" ht="18" customHeight="1" x14ac:dyDescent="0.25">
      <c r="B166" s="39" t="s">
        <v>692</v>
      </c>
      <c r="C166" s="33" t="str">
        <f>IFERROR(IF(B166="","",VLOOKUP(B166,LISTAS!$F$5:$G$1004,2,0)),"0")</f>
        <v>EDUCANDÁRIO - S.A</v>
      </c>
      <c r="D166" s="33" t="str">
        <f>IF(H164&lt;3,"",IF(H164=3,IF(D170&lt;&gt;"",IF(H170&lt;&gt;"",IF(D170&lt;&gt;H170,IF(D170&gt;H170,"D","V"),""),""),"")))</f>
        <v>D</v>
      </c>
      <c r="E166" s="33" t="str">
        <f>IF(H164&lt;3,"",IF(H164=3,IF(D171&lt;&gt;"",IF(H171&lt;&gt;"",IF(D171&lt;&gt;H171,IF(D171&gt;H171,"D","V"),""),""),"")))</f>
        <v>D</v>
      </c>
      <c r="F166" s="33" t="s">
        <v>81</v>
      </c>
      <c r="G166" s="33" t="s">
        <v>81</v>
      </c>
      <c r="H166" s="117"/>
      <c r="I166" s="33">
        <f>IF(B166&lt;&gt;"",3,"")</f>
        <v>3</v>
      </c>
      <c r="J166" s="33" t="str">
        <f>IF(I166&lt;&gt;"",P166,"")</f>
        <v>GUSTAVO FERNANDES</v>
      </c>
      <c r="K166" s="33" t="str">
        <f>IFERROR(IF(J166="","",VLOOKUP(J166,LISTAS!$F$5:$G$1004,2,0)),"0")</f>
        <v>EDUCANDÁRIO - S.A</v>
      </c>
      <c r="L166" s="130" t="str">
        <f>IF(H164=3,"BRONZE",IF(H164=4,"PRATA",IF(H164=5,"OURO","")))</f>
        <v>BRONZE</v>
      </c>
      <c r="M166" s="20">
        <f>IF(B166&lt;&gt;"",COUNTIF(D166:G166,"V")+(SUMIF(B170:B172,B166,D170:E172)/1000)+(SUMIF(J170:J172,B166,H170:I172)/1000)-(SUMIF(B170:B172,B166,H170:I172)/1000)-(SUMIF(J170:J172,B166,D170:E172)/1000)+0.001,"")</f>
        <v>-1E-3</v>
      </c>
      <c r="N166" s="20" t="str">
        <f>IF(B166="","",B166)</f>
        <v>GUSTAVO FERNANDES</v>
      </c>
      <c r="O166" s="20">
        <f>IF(B166&lt;&gt;"",LARGE(M164:M166,3),"")</f>
        <v>-1E-3</v>
      </c>
      <c r="P166" s="20" t="str">
        <f>VLOOKUP(O166,M164:N166,2,0)</f>
        <v>GUSTAVO FERNANDES</v>
      </c>
    </row>
    <row r="167" spans="2:16" ht="18" customHeight="1" x14ac:dyDescent="0.25">
      <c r="B167" s="79"/>
      <c r="C167" s="79"/>
      <c r="D167" s="79"/>
      <c r="E167" s="79"/>
      <c r="F167" s="79"/>
      <c r="G167" s="79"/>
      <c r="I167" s="80"/>
      <c r="J167" s="79"/>
      <c r="K167" s="81"/>
      <c r="L167" s="81"/>
    </row>
    <row r="168" spans="2:16" ht="23.25" customHeight="1" x14ac:dyDescent="0.25">
      <c r="B168" s="82" t="s">
        <v>40</v>
      </c>
      <c r="C168" s="79"/>
      <c r="D168" s="79"/>
      <c r="E168" s="79"/>
      <c r="F168" s="79"/>
      <c r="G168" s="79"/>
      <c r="H168" s="79"/>
      <c r="I168" s="79"/>
      <c r="J168" s="79"/>
      <c r="K168" s="79"/>
      <c r="L168" s="79"/>
    </row>
    <row r="169" spans="2:16" ht="18" customHeight="1" x14ac:dyDescent="0.25">
      <c r="B169" s="132" t="s">
        <v>15</v>
      </c>
      <c r="C169" s="132" t="s">
        <v>0</v>
      </c>
      <c r="D169" s="258" t="s">
        <v>41</v>
      </c>
      <c r="E169" s="259"/>
      <c r="F169" s="259"/>
      <c r="G169" s="259"/>
      <c r="H169" s="259"/>
      <c r="I169" s="260"/>
      <c r="J169" s="132" t="s">
        <v>15</v>
      </c>
      <c r="K169" s="132" t="s">
        <v>0</v>
      </c>
      <c r="L169" s="79"/>
    </row>
    <row r="170" spans="2:16" ht="18" customHeight="1" x14ac:dyDescent="0.25">
      <c r="B170" s="33" t="str">
        <f>IF(H164=3,B164,"")</f>
        <v>RENZO CAVASSANI</v>
      </c>
      <c r="C170" s="33" t="str">
        <f>IFERROR(IF(B170="","",VLOOKUP(B170,LISTAS!$F$5:$G$1004,2,0)),"0")</f>
        <v>COLÉGIO ARBOS - UNIDADE SANTO ANDRÉ</v>
      </c>
      <c r="D170" s="253">
        <v>2</v>
      </c>
      <c r="E170" s="254"/>
      <c r="F170" s="253" t="s">
        <v>38</v>
      </c>
      <c r="G170" s="254"/>
      <c r="H170" s="253">
        <v>1</v>
      </c>
      <c r="I170" s="254"/>
      <c r="J170" s="111" t="str">
        <f>IF(H164=3,B166,"")</f>
        <v>GUSTAVO FERNANDES</v>
      </c>
      <c r="K170" s="33" t="str">
        <f>IFERROR(IF(J170="","",VLOOKUP(J170,LISTAS!$F$5:$G$1004,2,0)),"0")</f>
        <v>EDUCANDÁRIO - S.A</v>
      </c>
      <c r="L170" s="81"/>
    </row>
    <row r="171" spans="2:16" ht="18" customHeight="1" x14ac:dyDescent="0.25">
      <c r="B171" s="33" t="str">
        <f>IF(H164=3,B165,"")</f>
        <v>GUSTAVO IAN SANCHEZ GONÇALVES</v>
      </c>
      <c r="C171" s="33" t="str">
        <f>IFERROR(IF(B171="","",VLOOKUP(B171,LISTAS!$F$5:$G$1004,2,0)),"0")</f>
        <v>COLÉGIO ARBOS SÃO CAETANO DO SUL</v>
      </c>
      <c r="D171" s="253">
        <v>2</v>
      </c>
      <c r="E171" s="254"/>
      <c r="F171" s="253" t="s">
        <v>38</v>
      </c>
      <c r="G171" s="254"/>
      <c r="H171" s="253">
        <v>1</v>
      </c>
      <c r="I171" s="254"/>
      <c r="J171" s="111" t="str">
        <f>IF(H164=3,B166,"")</f>
        <v>GUSTAVO FERNANDES</v>
      </c>
      <c r="K171" s="33" t="str">
        <f>IFERROR(IF(J171="","",VLOOKUP(J171,LISTAS!$F$5:$G$1004,2,0)),"0")</f>
        <v>EDUCANDÁRIO - S.A</v>
      </c>
      <c r="L171" s="79"/>
    </row>
    <row r="172" spans="2:16" ht="18" customHeight="1" x14ac:dyDescent="0.25">
      <c r="B172" s="33" t="str">
        <f>IF(H164=3,B164,"")</f>
        <v>RENZO CAVASSANI</v>
      </c>
      <c r="C172" s="33" t="str">
        <f>IFERROR(IF(B172="","",VLOOKUP(B172,LISTAS!$F$5:$G$1004,2,0)),"0")</f>
        <v>COLÉGIO ARBOS - UNIDADE SANTO ANDRÉ</v>
      </c>
      <c r="D172" s="253">
        <v>0</v>
      </c>
      <c r="E172" s="254"/>
      <c r="F172" s="253" t="s">
        <v>38</v>
      </c>
      <c r="G172" s="254"/>
      <c r="H172" s="253">
        <v>2</v>
      </c>
      <c r="I172" s="254"/>
      <c r="J172" s="111" t="str">
        <f>IF(H164=3,B165,"")</f>
        <v>GUSTAVO IAN SANCHEZ GONÇALVES</v>
      </c>
      <c r="K172" s="33" t="str">
        <f>IFERROR(IF(J172="","",VLOOKUP(J172,LISTAS!$F$5:$G$1004,2,0)),"0")</f>
        <v>COLÉGIO ARBOS SÃO CAETANO DO SUL</v>
      </c>
      <c r="L172" s="81"/>
    </row>
    <row r="175" spans="2:16" ht="30" customHeight="1" x14ac:dyDescent="0.25">
      <c r="B175" s="161" t="s">
        <v>57</v>
      </c>
      <c r="C175" s="79"/>
      <c r="D175" s="255" t="s">
        <v>42</v>
      </c>
      <c r="E175" s="256"/>
      <c r="F175" s="256"/>
      <c r="G175" s="257"/>
      <c r="H175" s="113"/>
      <c r="I175" s="255" t="s">
        <v>3</v>
      </c>
      <c r="J175" s="256"/>
      <c r="K175" s="256"/>
      <c r="L175" s="256"/>
    </row>
    <row r="176" spans="2:16" ht="18" customHeight="1" x14ac:dyDescent="0.25">
      <c r="B176" s="132" t="s">
        <v>15</v>
      </c>
      <c r="C176" s="132" t="s">
        <v>0</v>
      </c>
      <c r="D176" s="132" t="s">
        <v>43</v>
      </c>
      <c r="E176" s="132" t="s">
        <v>44</v>
      </c>
      <c r="F176" s="132" t="s">
        <v>77</v>
      </c>
      <c r="G176" s="132" t="s">
        <v>78</v>
      </c>
      <c r="H176" s="114"/>
      <c r="I176" s="132" t="s">
        <v>18</v>
      </c>
      <c r="J176" s="132" t="s">
        <v>15</v>
      </c>
      <c r="K176" s="132" t="s">
        <v>0</v>
      </c>
      <c r="L176" s="132" t="s">
        <v>45</v>
      </c>
    </row>
    <row r="177" spans="2:16" ht="18" customHeight="1" x14ac:dyDescent="0.25">
      <c r="B177" s="33" t="s">
        <v>580</v>
      </c>
      <c r="C177" s="33" t="str">
        <f>IFERROR(IF(B177="","",VLOOKUP(B177,LISTAS!$F$5:$G$1004,2,0)),"0")</f>
        <v>COLÉGIO ARBOS SÃO CAETANO DO SUL</v>
      </c>
      <c r="D177" s="33" t="str">
        <f>IF(H177&lt;3,"",IF(H177=3,IF(D183&lt;&gt;"",IF(H183&lt;&gt;"",IF(D183&lt;&gt;H183,IF(D183&gt;H183,"V","D"),""),""),"")))</f>
        <v>V</v>
      </c>
      <c r="E177" s="33" t="str">
        <f>IF(H177&lt;3,"",IF(H177=3,IF(D185&lt;&gt;"",IF(H185&lt;&gt;"",IF(D185&lt;&gt;H185,IF(D185&gt;H185,"V","D"),""),""),"")))</f>
        <v>V</v>
      </c>
      <c r="F177" s="33" t="s">
        <v>81</v>
      </c>
      <c r="G177" s="33" t="s">
        <v>81</v>
      </c>
      <c r="H177" s="117">
        <f>COUNTA(B177:B179)</f>
        <v>3</v>
      </c>
      <c r="I177" s="33">
        <f>IF(B177&lt;&gt;"",1,"")</f>
        <v>1</v>
      </c>
      <c r="J177" s="33" t="str">
        <f>IF(I177&lt;&gt;"",P177,"")</f>
        <v>LUCCA MAGALHÃES E SILVA</v>
      </c>
      <c r="K177" s="33" t="str">
        <f>IFERROR(IF(J177="","",VLOOKUP(J177,LISTAS!$F$5:$G$1004,2,0)),"0")</f>
        <v>COLÉGIO ARBOS SÃO CAETANO DO SUL</v>
      </c>
      <c r="L177" s="130" t="str">
        <f>IF(H177=3,"OURO",IF(H177=4,"OURO",IF(H177=5,"OURO","")))</f>
        <v>OURO</v>
      </c>
      <c r="M177" s="20">
        <f>IF(B177&lt;&gt;"",COUNTIF(D177:G177,"V")+(SUMIF(B183:B185,B177,D183:E185)/1000)+(SUMIF(J183:J185,B177,H183:I185)/1000)-(SUMIF(B183:B185,B177,H183:I185)/1000)-(SUMIF(J183:J185,B177,D183:E185)/1000)+0.003,"")</f>
        <v>2.0070000000000001</v>
      </c>
      <c r="N177" s="20" t="str">
        <f>IF(B177="","",B177)</f>
        <v>LUCCA MAGALHÃES E SILVA</v>
      </c>
      <c r="O177" s="20">
        <f>IF(B177&lt;&gt;"",LARGE(M177:M179,1),"")</f>
        <v>2.0070000000000001</v>
      </c>
      <c r="P177" s="20" t="str">
        <f>VLOOKUP(O177,M177:N179,2,0)</f>
        <v>LUCCA MAGALHÃES E SILVA</v>
      </c>
    </row>
    <row r="178" spans="2:16" ht="18" customHeight="1" x14ac:dyDescent="0.25">
      <c r="B178" s="39" t="s">
        <v>690</v>
      </c>
      <c r="C178" s="33" t="str">
        <f>IFERROR(IF(B178="","",VLOOKUP(B178,LISTAS!$F$5:$G$1004,2,0)),"0")</f>
        <v>EDUCANDÁRIO - S.A</v>
      </c>
      <c r="D178" s="33" t="str">
        <f>IF(H177&lt;3,"",IF(H177=3,IF(D184&lt;&gt;"",IF(H184&lt;&gt;"",IF(D184&lt;&gt;H184,IF(D184&gt;H184,"V","D"),""),""),"")))</f>
        <v>V</v>
      </c>
      <c r="E178" s="33" t="str">
        <f>IF(H177&lt;3,"",IF(H177=3,IF(D185&lt;&gt;"",IF(H185&lt;&gt;"",IF(D185&lt;&gt;H185,IF(D185&gt;H185,"D","V"),""),""),"")))</f>
        <v>D</v>
      </c>
      <c r="F178" s="33" t="s">
        <v>81</v>
      </c>
      <c r="G178" s="33" t="s">
        <v>81</v>
      </c>
      <c r="H178" s="117"/>
      <c r="I178" s="33">
        <f>IF(B178&lt;&gt;"",2,"")</f>
        <v>2</v>
      </c>
      <c r="J178" s="33" t="str">
        <f>IF(I178&lt;&gt;"",P178,"")</f>
        <v>GUSTAVO HENRIQUE</v>
      </c>
      <c r="K178" s="33" t="str">
        <f>IFERROR(IF(J178="","",VLOOKUP(J178,LISTAS!$F$5:$G$1004,2,0)),"0")</f>
        <v>EDUCANDÁRIO - S.A</v>
      </c>
      <c r="L178" s="130" t="str">
        <f>IF(H177=3,"PRATA",IF(H177=4,"OURO",IF(H177=5,"OURO","")))</f>
        <v>PRATA</v>
      </c>
      <c r="M178" s="20">
        <f>IF(B178&lt;&gt;"",COUNTIF(D178:G178,"V")+(SUMIF(B183:B185,B178,D183:E185)/1000)+(SUMIF(J183:J185,B178,H183:I185)/1000)-(SUMIF(B183:B185,B178,H183:I185)/1000)-(SUMIF(J183:J185,B178,D183:E185)/1000)+0.002,"")</f>
        <v>1.002</v>
      </c>
      <c r="N178" s="20" t="str">
        <f t="shared" ref="N178" si="12">IF(B178="","",B178)</f>
        <v>GUSTAVO HENRIQUE</v>
      </c>
      <c r="O178" s="20">
        <f>IF(B178&lt;&gt;"",LARGE(M177:M179,2),"")</f>
        <v>1.002</v>
      </c>
      <c r="P178" s="20" t="str">
        <f>VLOOKUP(O178,M177:N179,2,0)</f>
        <v>GUSTAVO HENRIQUE</v>
      </c>
    </row>
    <row r="179" spans="2:16" ht="18" customHeight="1" x14ac:dyDescent="0.25">
      <c r="B179" s="33" t="s">
        <v>601</v>
      </c>
      <c r="C179" s="33" t="str">
        <f>IFERROR(IF(B179="","",VLOOKUP(B179,LISTAS!$F$5:$G$1004,2,0)),"0")</f>
        <v>BYE</v>
      </c>
      <c r="D179" s="33" t="str">
        <f>IF(H177&lt;3,"",IF(H177=3,IF(D183&lt;&gt;"",IF(H183&lt;&gt;"",IF(D183&lt;&gt;H183,IF(D183&gt;H183,"D","V"),""),""),"")))</f>
        <v>D</v>
      </c>
      <c r="E179" s="33" t="str">
        <f>IF(H177&lt;3,"",IF(H177=3,IF(D184&lt;&gt;"",IF(H184&lt;&gt;"",IF(D184&lt;&gt;H184,IF(D184&gt;H184,"D","V"),""),""),"")))</f>
        <v>D</v>
      </c>
      <c r="F179" s="33" t="s">
        <v>81</v>
      </c>
      <c r="G179" s="33" t="s">
        <v>81</v>
      </c>
      <c r="H179" s="117"/>
      <c r="I179" s="33">
        <f>IF(B179&lt;&gt;"",3,"")</f>
        <v>3</v>
      </c>
      <c r="J179" s="33" t="str">
        <f>IF(I179&lt;&gt;"",P179,"")</f>
        <v>BYE</v>
      </c>
      <c r="K179" s="33" t="str">
        <f>IFERROR(IF(J179="","",VLOOKUP(J179,LISTAS!$F$5:$G$1004,2,0)),"0")</f>
        <v>BYE</v>
      </c>
      <c r="L179" s="130" t="str">
        <f>IF(H177=3,"BRONZE",IF(H177=4,"PRATA",IF(H177=5,"OURO","")))</f>
        <v>BRONZE</v>
      </c>
      <c r="M179" s="20">
        <f>IF(B179&lt;&gt;"",COUNTIF(D179:G179,"V")+(SUMIF(B183:B185,B179,D183:E185)/1000)+(SUMIF(J183:J185,B179,H183:I185)/1000)-(SUMIF(B183:B185,B179,H183:I185)/1000)-(SUMIF(J183:J185,B179,D183:E185)/1000)+0.001,"")</f>
        <v>-3.0000000000000001E-3</v>
      </c>
      <c r="N179" s="20" t="str">
        <f>IF(B179="","",B179)</f>
        <v>BYE</v>
      </c>
      <c r="O179" s="20">
        <f>IF(B179&lt;&gt;"",LARGE(M177:M179,3),"")</f>
        <v>-3.0000000000000001E-3</v>
      </c>
      <c r="P179" s="20" t="str">
        <f>VLOOKUP(O179,M177:N179,2,0)</f>
        <v>BYE</v>
      </c>
    </row>
    <row r="180" spans="2:16" ht="18" customHeight="1" x14ac:dyDescent="0.25">
      <c r="B180" s="79"/>
      <c r="C180" s="79"/>
      <c r="D180" s="79"/>
      <c r="E180" s="79"/>
      <c r="F180" s="79"/>
      <c r="G180" s="79"/>
      <c r="I180" s="80"/>
      <c r="J180" s="79"/>
      <c r="K180" s="81"/>
      <c r="L180" s="81"/>
    </row>
    <row r="181" spans="2:16" ht="23.25" customHeight="1" x14ac:dyDescent="0.25">
      <c r="B181" s="82" t="s">
        <v>40</v>
      </c>
      <c r="C181" s="79"/>
      <c r="D181" s="79"/>
      <c r="E181" s="79"/>
      <c r="F181" s="79"/>
      <c r="G181" s="79"/>
      <c r="H181" s="79"/>
      <c r="I181" s="79"/>
      <c r="J181" s="79"/>
      <c r="K181" s="79"/>
      <c r="L181" s="79"/>
    </row>
    <row r="182" spans="2:16" ht="18" customHeight="1" x14ac:dyDescent="0.25">
      <c r="B182" s="132" t="s">
        <v>15</v>
      </c>
      <c r="C182" s="132" t="s">
        <v>0</v>
      </c>
      <c r="D182" s="258" t="s">
        <v>41</v>
      </c>
      <c r="E182" s="259"/>
      <c r="F182" s="259"/>
      <c r="G182" s="259"/>
      <c r="H182" s="259"/>
      <c r="I182" s="260"/>
      <c r="J182" s="132" t="s">
        <v>15</v>
      </c>
      <c r="K182" s="132" t="s">
        <v>0</v>
      </c>
      <c r="L182" s="79"/>
    </row>
    <row r="183" spans="2:16" ht="18" customHeight="1" x14ac:dyDescent="0.25">
      <c r="B183" s="33" t="str">
        <f>IF(H177=3,B177,"")</f>
        <v>LUCCA MAGALHÃES E SILVA</v>
      </c>
      <c r="C183" s="33" t="str">
        <f>IFERROR(IF(B183="","",VLOOKUP(B183,LISTAS!$F$5:$G$1004,2,0)),"0")</f>
        <v>COLÉGIO ARBOS SÃO CAETANO DO SUL</v>
      </c>
      <c r="D183" s="253">
        <v>2</v>
      </c>
      <c r="E183" s="254"/>
      <c r="F183" s="253" t="s">
        <v>38</v>
      </c>
      <c r="G183" s="254"/>
      <c r="H183" s="253">
        <v>0</v>
      </c>
      <c r="I183" s="254"/>
      <c r="J183" s="111" t="str">
        <f>IF(H177=3,B179,"")</f>
        <v>BYE</v>
      </c>
      <c r="K183" s="33" t="str">
        <f>IFERROR(IF(J183="","",VLOOKUP(J183,LISTAS!$F$5:$G$1004,2,0)),"0")</f>
        <v>BYE</v>
      </c>
      <c r="L183" s="81"/>
    </row>
    <row r="184" spans="2:16" ht="18" customHeight="1" x14ac:dyDescent="0.25">
      <c r="B184" s="33" t="str">
        <f>IF(H177=3,B178,"")</f>
        <v>GUSTAVO HENRIQUE</v>
      </c>
      <c r="C184" s="33" t="str">
        <f>IFERROR(IF(B184="","",VLOOKUP(B184,LISTAS!$F$5:$G$1004,2,0)),"0")</f>
        <v>EDUCANDÁRIO - S.A</v>
      </c>
      <c r="D184" s="253">
        <v>2</v>
      </c>
      <c r="E184" s="254"/>
      <c r="F184" s="253" t="s">
        <v>38</v>
      </c>
      <c r="G184" s="254"/>
      <c r="H184" s="253">
        <v>0</v>
      </c>
      <c r="I184" s="254"/>
      <c r="J184" s="111" t="str">
        <f>IF(H177=3,B179,"")</f>
        <v>BYE</v>
      </c>
      <c r="K184" s="33" t="str">
        <f>IFERROR(IF(J184="","",VLOOKUP(J184,LISTAS!$F$5:$G$1004,2,0)),"0")</f>
        <v>BYE</v>
      </c>
      <c r="L184" s="79"/>
    </row>
    <row r="185" spans="2:16" ht="18" customHeight="1" x14ac:dyDescent="0.25">
      <c r="B185" s="33" t="str">
        <f>IF(H177=3,B177,"")</f>
        <v>LUCCA MAGALHÃES E SILVA</v>
      </c>
      <c r="C185" s="33" t="str">
        <f>IFERROR(IF(B185="","",VLOOKUP(B185,LISTAS!$F$5:$G$1004,2,0)),"0")</f>
        <v>COLÉGIO ARBOS SÃO CAETANO DO SUL</v>
      </c>
      <c r="D185" s="253">
        <v>2</v>
      </c>
      <c r="E185" s="254"/>
      <c r="F185" s="253" t="s">
        <v>38</v>
      </c>
      <c r="G185" s="254"/>
      <c r="H185" s="253">
        <v>0</v>
      </c>
      <c r="I185" s="254"/>
      <c r="J185" s="111" t="str">
        <f>IF(H177=3,B178,"")</f>
        <v>GUSTAVO HENRIQUE</v>
      </c>
      <c r="K185" s="33" t="str">
        <f>IFERROR(IF(J185="","",VLOOKUP(J185,LISTAS!$F$5:$G$1004,2,0)),"0")</f>
        <v>EDUCANDÁRIO - S.A</v>
      </c>
      <c r="L185" s="81"/>
    </row>
    <row r="188" spans="2:16" ht="30" customHeight="1" x14ac:dyDescent="0.25">
      <c r="B188" s="161" t="s">
        <v>58</v>
      </c>
      <c r="C188" s="79"/>
      <c r="D188" s="255" t="s">
        <v>42</v>
      </c>
      <c r="E188" s="256"/>
      <c r="F188" s="256"/>
      <c r="G188" s="257"/>
      <c r="H188" s="113"/>
      <c r="I188" s="255" t="s">
        <v>3</v>
      </c>
      <c r="J188" s="256"/>
      <c r="K188" s="256"/>
      <c r="L188" s="256"/>
    </row>
    <row r="189" spans="2:16" ht="18" customHeight="1" x14ac:dyDescent="0.25">
      <c r="B189" s="132" t="s">
        <v>15</v>
      </c>
      <c r="C189" s="132" t="s">
        <v>0</v>
      </c>
      <c r="D189" s="132" t="s">
        <v>43</v>
      </c>
      <c r="E189" s="132" t="s">
        <v>44</v>
      </c>
      <c r="F189" s="132" t="s">
        <v>77</v>
      </c>
      <c r="G189" s="132" t="s">
        <v>78</v>
      </c>
      <c r="H189" s="114"/>
      <c r="I189" s="132" t="s">
        <v>18</v>
      </c>
      <c r="J189" s="132" t="s">
        <v>15</v>
      </c>
      <c r="K189" s="132" t="s">
        <v>0</v>
      </c>
      <c r="L189" s="132" t="s">
        <v>45</v>
      </c>
    </row>
    <row r="190" spans="2:16" ht="18" customHeight="1" x14ac:dyDescent="0.25">
      <c r="B190" s="39" t="s">
        <v>688</v>
      </c>
      <c r="C190" s="33" t="str">
        <f>IFERROR(IF(B190="","",VLOOKUP(B190,LISTAS!$F$5:$G$1004,2,0)),"0")</f>
        <v>COLÉGIO ENGENHEIRO SALVADOR ARENA</v>
      </c>
      <c r="D190" s="33" t="str">
        <f>IF(H190&lt;3,"",IF(H190=3,IF(D196&lt;&gt;"",IF(H196&lt;&gt;"",IF(D196&lt;&gt;H196,IF(D196&gt;H196,"V","D"),""),""),"")))</f>
        <v/>
      </c>
      <c r="E190" s="33" t="str">
        <f>IF(H190&lt;3,"",IF(H190=3,IF(D198&lt;&gt;"",IF(H198&lt;&gt;"",IF(D198&lt;&gt;H198,IF(D198&gt;H198,"V","D"),""),""),"")))</f>
        <v/>
      </c>
      <c r="F190" s="33" t="s">
        <v>81</v>
      </c>
      <c r="G190" s="33" t="s">
        <v>81</v>
      </c>
      <c r="H190" s="117">
        <f>COUNTA(B190:B192)</f>
        <v>2</v>
      </c>
      <c r="I190" s="33">
        <f>IF(B190&lt;&gt;"",1,"")</f>
        <v>1</v>
      </c>
      <c r="J190" s="33" t="str">
        <f>IF(I190&lt;&gt;"",P190,"")</f>
        <v>IAN JUSTI</v>
      </c>
      <c r="K190" s="33" t="str">
        <f>IFERROR(IF(J190="","",VLOOKUP(J190,LISTAS!$F$5:$G$1004,2,0)),"0")</f>
        <v>COLÉGIO ENGENHEIRO SALVADOR ARENA</v>
      </c>
      <c r="L190" s="130" t="str">
        <f>IF(H190=3,"OURO",IF(H190=4,"OURO",IF(H190=5,"OURO","")))</f>
        <v/>
      </c>
      <c r="M190" s="20">
        <f>IF(B190&lt;&gt;"",COUNTIF(D190:G190,"V")+(SUMIF(B196:B198,B190,D196:E198)/1000)+(SUMIF(J196:J198,B190,H196:I198)/1000)-(SUMIF(B196:B198,B190,H196:I198)/1000)-(SUMIF(J196:J198,B190,D196:E198)/1000)+0.003,"")</f>
        <v>5.0000000000000001E-3</v>
      </c>
      <c r="N190" s="20" t="str">
        <f>IF(B190="","",B190)</f>
        <v>IAN JUSTI</v>
      </c>
      <c r="O190" s="20">
        <f>IF(B190&lt;&gt;"",LARGE(M190:M192,1),"")</f>
        <v>5.0000000000000001E-3</v>
      </c>
      <c r="P190" s="20" t="str">
        <f>VLOOKUP(O190,M190:N192,2,0)</f>
        <v>IAN JUSTI</v>
      </c>
    </row>
    <row r="191" spans="2:16" ht="18" customHeight="1" x14ac:dyDescent="0.25">
      <c r="B191" s="39" t="s">
        <v>689</v>
      </c>
      <c r="C191" s="33" t="str">
        <f>IFERROR(IF(B191="","",VLOOKUP(B191,LISTAS!$F$5:$G$1004,2,0)),"0")</f>
        <v>COLÉGIO ARBOS SÃO CAETANO DO SUL</v>
      </c>
      <c r="D191" s="33" t="str">
        <f>IF(H190&lt;3,"",IF(H190=3,IF(D197&lt;&gt;"",IF(H197&lt;&gt;"",IF(D197&lt;&gt;H197,IF(D197&gt;H197,"V","D"),""),""),"")))</f>
        <v/>
      </c>
      <c r="E191" s="33" t="str">
        <f>IF(H190&lt;3,"",IF(H190=3,IF(D198&lt;&gt;"",IF(H198&lt;&gt;"",IF(D198&lt;&gt;H198,IF(D198&gt;H198,"D","V"),""),""),"")))</f>
        <v/>
      </c>
      <c r="F191" s="33" t="s">
        <v>81</v>
      </c>
      <c r="G191" s="33" t="s">
        <v>81</v>
      </c>
      <c r="H191" s="117"/>
      <c r="I191" s="33">
        <f>IF(B191&lt;&gt;"",2,"")</f>
        <v>2</v>
      </c>
      <c r="J191" s="33" t="str">
        <f>IF(I191&lt;&gt;"",P191,"")</f>
        <v>PEDRO SOUTO</v>
      </c>
      <c r="K191" s="33" t="str">
        <f>IFERROR(IF(J191="","",VLOOKUP(J191,LISTAS!$F$5:$G$1004,2,0)),"0")</f>
        <v>COLÉGIO ARBOS SÃO CAETANO DO SUL</v>
      </c>
      <c r="L191" s="130" t="str">
        <f>IF(H190=3,"PRATA",IF(H190=4,"OURO",IF(H190=5,"OURO","")))</f>
        <v/>
      </c>
      <c r="M191" s="20">
        <f>IF(B191&lt;&gt;"",COUNTIF(D191:G191,"V")+(SUMIF(B196:B198,B191,D196:E198)/1000)+(SUMIF(J196:J198,B191,H196:I198)/1000)-(SUMIF(B196:B198,B191,H196:I198)/1000)-(SUMIF(J196:J198,B191,D196:E198)/1000)+0.002,"")</f>
        <v>0</v>
      </c>
      <c r="N191" s="20" t="str">
        <f t="shared" ref="N191" si="13">IF(B191="","",B191)</f>
        <v>PEDRO SOUTO</v>
      </c>
      <c r="O191" s="20">
        <f>IF(B191&lt;&gt;"",LARGE(M190:M192,2),"")</f>
        <v>0</v>
      </c>
      <c r="P191" s="20" t="str">
        <f>VLOOKUP(O191,M190:N192,2,0)</f>
        <v>PEDRO SOUTO</v>
      </c>
    </row>
    <row r="192" spans="2:16" ht="18" customHeight="1" x14ac:dyDescent="0.25">
      <c r="B192" s="33"/>
      <c r="C192" s="33" t="str">
        <f>IFERROR(IF(B192="","",VLOOKUP(B192,LISTAS!$F$5:$G$1004,2,0)),"0")</f>
        <v/>
      </c>
      <c r="D192" s="33" t="str">
        <f>IF(H190&lt;3,"",IF(H190=3,IF(D196&lt;&gt;"",IF(H196&lt;&gt;"",IF(D196&lt;&gt;H196,IF(D196&gt;H196,"D","V"),""),""),"")))</f>
        <v/>
      </c>
      <c r="E192" s="33" t="str">
        <f>IF(H190&lt;3,"",IF(H190=3,IF(D197&lt;&gt;"",IF(H197&lt;&gt;"",IF(D197&lt;&gt;H197,IF(D197&gt;H197,"D","V"),""),""),"")))</f>
        <v/>
      </c>
      <c r="F192" s="33" t="s">
        <v>81</v>
      </c>
      <c r="G192" s="33" t="s">
        <v>81</v>
      </c>
      <c r="H192" s="117"/>
      <c r="I192" s="33" t="str">
        <f>IF(B192&lt;&gt;"",3,"")</f>
        <v/>
      </c>
      <c r="J192" s="33" t="str">
        <f>IF(I192&lt;&gt;"",P192,"")</f>
        <v/>
      </c>
      <c r="K192" s="33" t="str">
        <f>IFERROR(IF(J192="","",VLOOKUP(J192,LISTAS!$F$5:$G$1004,2,0)),"0")</f>
        <v/>
      </c>
      <c r="L192" s="130" t="str">
        <f>IF(H190=3,"BRONZE",IF(H190=4,"PRATA",IF(H190=5,"OURO","")))</f>
        <v/>
      </c>
      <c r="M192" s="20" t="str">
        <f>IF(B192&lt;&gt;"",COUNTIF(D192:G192,"V")+(SUMIF(B196:B198,B192,D196:E198)/1000)+(SUMIF(J196:J198,B192,H196:I198)/1000)-(SUMIF(B196:B198,B192,H196:I198)/1000)-(SUMIF(J196:J198,B192,D196:E198)/1000)+0.001,"")</f>
        <v/>
      </c>
      <c r="N192" s="20" t="str">
        <f>IF(B192="","",B192)</f>
        <v/>
      </c>
      <c r="O192" s="20" t="str">
        <f>IF(B192&lt;&gt;"",LARGE(M190:M192,3),"")</f>
        <v/>
      </c>
      <c r="P192" s="20" t="str">
        <f>VLOOKUP(O192,M190:N192,2,0)</f>
        <v/>
      </c>
    </row>
    <row r="193" spans="2:16" ht="18" customHeight="1" x14ac:dyDescent="0.25">
      <c r="B193" s="79"/>
      <c r="C193" s="79"/>
      <c r="D193" s="79"/>
      <c r="E193" s="79"/>
      <c r="F193" s="79"/>
      <c r="G193" s="79"/>
      <c r="I193" s="80"/>
      <c r="J193" s="79"/>
      <c r="K193" s="81"/>
      <c r="L193" s="81"/>
    </row>
    <row r="194" spans="2:16" ht="23.25" customHeight="1" x14ac:dyDescent="0.25">
      <c r="B194" s="82" t="s">
        <v>40</v>
      </c>
      <c r="C194" s="79"/>
      <c r="D194" s="79"/>
      <c r="E194" s="79"/>
      <c r="F194" s="79"/>
      <c r="G194" s="79"/>
      <c r="H194" s="79"/>
      <c r="I194" s="79"/>
      <c r="J194" s="79"/>
      <c r="K194" s="79"/>
      <c r="L194" s="79"/>
    </row>
    <row r="195" spans="2:16" ht="18" customHeight="1" x14ac:dyDescent="0.25">
      <c r="B195" s="132" t="s">
        <v>15</v>
      </c>
      <c r="C195" s="132" t="s">
        <v>0</v>
      </c>
      <c r="D195" s="258" t="s">
        <v>41</v>
      </c>
      <c r="E195" s="259"/>
      <c r="F195" s="259"/>
      <c r="G195" s="259"/>
      <c r="H195" s="259"/>
      <c r="I195" s="260"/>
      <c r="J195" s="132" t="s">
        <v>15</v>
      </c>
      <c r="K195" s="132" t="s">
        <v>0</v>
      </c>
      <c r="L195" s="79"/>
    </row>
    <row r="196" spans="2:16" ht="18" customHeight="1" x14ac:dyDescent="0.25">
      <c r="B196" s="39" t="s">
        <v>688</v>
      </c>
      <c r="C196" s="33" t="str">
        <f>IFERROR(IF(B196="","",VLOOKUP(B196,LISTAS!$F$5:$G$1004,2,0)),"0")</f>
        <v>COLÉGIO ENGENHEIRO SALVADOR ARENA</v>
      </c>
      <c r="D196" s="253">
        <v>2</v>
      </c>
      <c r="E196" s="254"/>
      <c r="F196" s="253" t="s">
        <v>38</v>
      </c>
      <c r="G196" s="254"/>
      <c r="H196" s="253">
        <v>0</v>
      </c>
      <c r="I196" s="254"/>
      <c r="J196" s="39" t="s">
        <v>689</v>
      </c>
      <c r="K196" s="33" t="str">
        <f>IFERROR(IF(J196="","",VLOOKUP(J196,LISTAS!$F$5:$G$1004,2,0)),"0")</f>
        <v>COLÉGIO ARBOS SÃO CAETANO DO SUL</v>
      </c>
      <c r="L196" s="81"/>
    </row>
    <row r="197" spans="2:16" ht="18" customHeight="1" x14ac:dyDescent="0.25">
      <c r="B197" s="33" t="str">
        <f>IF(H190=3,B191,"")</f>
        <v/>
      </c>
      <c r="C197" s="33" t="str">
        <f>IFERROR(IF(B197="","",VLOOKUP(B197,LISTAS!$F$5:$G$1004,2,0)),"0")</f>
        <v/>
      </c>
      <c r="D197" s="253"/>
      <c r="E197" s="254"/>
      <c r="F197" s="253" t="s">
        <v>38</v>
      </c>
      <c r="G197" s="254"/>
      <c r="H197" s="253"/>
      <c r="I197" s="254"/>
      <c r="J197" s="111" t="str">
        <f>IF(H190=3,B192,"")</f>
        <v/>
      </c>
      <c r="K197" s="33" t="str">
        <f>IFERROR(IF(J197="","",VLOOKUP(J197,LISTAS!$F$5:$G$1004,2,0)),"0")</f>
        <v/>
      </c>
      <c r="L197" s="79"/>
    </row>
    <row r="198" spans="2:16" ht="18" customHeight="1" x14ac:dyDescent="0.25">
      <c r="B198" s="33" t="str">
        <f>IF(H190=3,B190,"")</f>
        <v/>
      </c>
      <c r="C198" s="33" t="str">
        <f>IFERROR(IF(B198="","",VLOOKUP(B198,LISTAS!$F$5:$G$1004,2,0)),"0")</f>
        <v/>
      </c>
      <c r="D198" s="253"/>
      <c r="E198" s="254"/>
      <c r="F198" s="253" t="s">
        <v>38</v>
      </c>
      <c r="G198" s="254"/>
      <c r="H198" s="253"/>
      <c r="I198" s="254"/>
      <c r="J198" s="111" t="str">
        <f>IF(H190=3,B191,"")</f>
        <v/>
      </c>
      <c r="K198" s="33" t="str">
        <f>IFERROR(IF(J198="","",VLOOKUP(J198,LISTAS!$F$5:$G$1004,2,0)),"0")</f>
        <v/>
      </c>
      <c r="L198" s="81"/>
    </row>
    <row r="201" spans="2:16" ht="30" customHeight="1" x14ac:dyDescent="0.25">
      <c r="B201" s="161" t="s">
        <v>59</v>
      </c>
      <c r="C201" s="79"/>
      <c r="D201" s="255" t="s">
        <v>42</v>
      </c>
      <c r="E201" s="256"/>
      <c r="F201" s="256"/>
      <c r="G201" s="257"/>
      <c r="H201" s="113"/>
      <c r="I201" s="255" t="s">
        <v>3</v>
      </c>
      <c r="J201" s="256"/>
      <c r="K201" s="256"/>
      <c r="L201" s="256"/>
    </row>
    <row r="202" spans="2:16" ht="18" customHeight="1" x14ac:dyDescent="0.25">
      <c r="B202" s="132" t="s">
        <v>15</v>
      </c>
      <c r="C202" s="132" t="s">
        <v>0</v>
      </c>
      <c r="D202" s="132" t="s">
        <v>43</v>
      </c>
      <c r="E202" s="132" t="s">
        <v>44</v>
      </c>
      <c r="F202" s="132" t="s">
        <v>77</v>
      </c>
      <c r="G202" s="132" t="s">
        <v>78</v>
      </c>
      <c r="H202" s="114"/>
      <c r="I202" s="132" t="s">
        <v>18</v>
      </c>
      <c r="J202" s="132" t="s">
        <v>15</v>
      </c>
      <c r="K202" s="132" t="s">
        <v>0</v>
      </c>
      <c r="L202" s="132" t="s">
        <v>45</v>
      </c>
    </row>
    <row r="203" spans="2:16" ht="18" customHeight="1" x14ac:dyDescent="0.25">
      <c r="B203" s="33"/>
      <c r="C203" s="33" t="str">
        <f>IFERROR(IF(B203="","",VLOOKUP(B203,LISTAS!$F$5:$G$1004,2,0)),"0")</f>
        <v/>
      </c>
      <c r="D203" s="33" t="str">
        <f>IF(H203&lt;3,"",IF(H203=3,IF(D209&lt;&gt;"",IF(H209&lt;&gt;"",IF(D209&lt;&gt;H209,IF(D209&gt;H209,"V","D"),""),""),"")))</f>
        <v/>
      </c>
      <c r="E203" s="33" t="str">
        <f>IF(H203&lt;3,"",IF(H203=3,IF(D211&lt;&gt;"",IF(H211&lt;&gt;"",IF(D211&lt;&gt;H211,IF(D211&gt;H211,"V","D"),""),""),"")))</f>
        <v/>
      </c>
      <c r="F203" s="33" t="s">
        <v>81</v>
      </c>
      <c r="G203" s="33" t="s">
        <v>81</v>
      </c>
      <c r="H203" s="117">
        <f>COUNTA(B203:B205)</f>
        <v>0</v>
      </c>
      <c r="I203" s="33" t="str">
        <f>IF(B203&lt;&gt;"",1,"")</f>
        <v/>
      </c>
      <c r="J203" s="33" t="str">
        <f>IF(I203&lt;&gt;"",P203,"")</f>
        <v/>
      </c>
      <c r="K203" s="33" t="str">
        <f>IFERROR(IF(J203="","",VLOOKUP(J203,LISTAS!$F$5:$G$1004,2,0)),"0")</f>
        <v/>
      </c>
      <c r="L203" s="130" t="str">
        <f>IF(H203=3,"OURO",IF(H203=4,"OURO",IF(H203=5,"OURO","")))</f>
        <v/>
      </c>
      <c r="M203" s="20" t="str">
        <f>IF(B203&lt;&gt;"",COUNTIF(D203:G203,"V")+(SUMIF(B209:B211,B203,D209:E211)/1000)+(SUMIF(J209:J211,B203,H209:I211)/1000)-(SUMIF(B209:B211,B203,H209:I211)/1000)-(SUMIF(J209:J211,B203,D209:E211)/1000)+0.003,"")</f>
        <v/>
      </c>
      <c r="N203" s="20" t="str">
        <f>IF(B203="","",B203)</f>
        <v/>
      </c>
      <c r="O203" s="20" t="str">
        <f>IF(B203&lt;&gt;"",LARGE(M203:M205,1),"")</f>
        <v/>
      </c>
      <c r="P203" s="20" t="str">
        <f>VLOOKUP(O203,M203:N205,2,0)</f>
        <v/>
      </c>
    </row>
    <row r="204" spans="2:16" ht="18" customHeight="1" x14ac:dyDescent="0.25">
      <c r="B204" s="33"/>
      <c r="C204" s="33" t="str">
        <f>IFERROR(IF(B204="","",VLOOKUP(B204,LISTAS!$F$5:$G$1004,2,0)),"0")</f>
        <v/>
      </c>
      <c r="D204" s="33" t="str">
        <f>IF(H203&lt;3,"",IF(H203=3,IF(D210&lt;&gt;"",IF(H210&lt;&gt;"",IF(D210&lt;&gt;H210,IF(D210&gt;H210,"V","D"),""),""),"")))</f>
        <v/>
      </c>
      <c r="E204" s="33" t="str">
        <f>IF(H203&lt;3,"",IF(H203=3,IF(D211&lt;&gt;"",IF(H211&lt;&gt;"",IF(D211&lt;&gt;H211,IF(D211&gt;H211,"D","V"),""),""),"")))</f>
        <v/>
      </c>
      <c r="F204" s="33" t="s">
        <v>81</v>
      </c>
      <c r="G204" s="33" t="s">
        <v>81</v>
      </c>
      <c r="H204" s="117"/>
      <c r="I204" s="33" t="str">
        <f>IF(B204&lt;&gt;"",2,"")</f>
        <v/>
      </c>
      <c r="J204" s="33" t="str">
        <f>IF(I204&lt;&gt;"",P204,"")</f>
        <v/>
      </c>
      <c r="K204" s="33" t="str">
        <f>IFERROR(IF(J204="","",VLOOKUP(J204,LISTAS!$F$5:$G$1004,2,0)),"0")</f>
        <v/>
      </c>
      <c r="L204" s="130" t="str">
        <f>IF(H203=3,"PRATA",IF(H203=4,"OURO",IF(H203=5,"OURO","")))</f>
        <v/>
      </c>
      <c r="M204" s="20" t="str">
        <f>IF(B204&lt;&gt;"",COUNTIF(D204:G204,"V")+(SUMIF(B209:B211,B204,D209:E211)/1000)+(SUMIF(J209:J211,B204,H209:I211)/1000)-(SUMIF(B209:B211,B204,H209:I211)/1000)-(SUMIF(J209:J211,B204,D209:E211)/1000)+0.002,"")</f>
        <v/>
      </c>
      <c r="N204" s="20" t="str">
        <f t="shared" ref="N204" si="14">IF(B204="","",B204)</f>
        <v/>
      </c>
      <c r="O204" s="20" t="str">
        <f>IF(B204&lt;&gt;"",LARGE(M203:M205,2),"")</f>
        <v/>
      </c>
      <c r="P204" s="20" t="str">
        <f>VLOOKUP(O204,M203:N205,2,0)</f>
        <v/>
      </c>
    </row>
    <row r="205" spans="2:16" ht="18" customHeight="1" x14ac:dyDescent="0.25">
      <c r="B205" s="33"/>
      <c r="C205" s="33" t="str">
        <f>IFERROR(IF(B205="","",VLOOKUP(B205,LISTAS!$F$5:$G$1004,2,0)),"0")</f>
        <v/>
      </c>
      <c r="D205" s="33" t="str">
        <f>IF(H203&lt;3,"",IF(H203=3,IF(D209&lt;&gt;"",IF(H209&lt;&gt;"",IF(D209&lt;&gt;H209,IF(D209&gt;H209,"D","V"),""),""),"")))</f>
        <v/>
      </c>
      <c r="E205" s="33" t="str">
        <f>IF(H203&lt;3,"",IF(H203=3,IF(D210&lt;&gt;"",IF(H210&lt;&gt;"",IF(D210&lt;&gt;H210,IF(D210&gt;H210,"D","V"),""),""),"")))</f>
        <v/>
      </c>
      <c r="F205" s="33" t="s">
        <v>81</v>
      </c>
      <c r="G205" s="33" t="s">
        <v>81</v>
      </c>
      <c r="H205" s="117"/>
      <c r="I205" s="33" t="str">
        <f>IF(B205&lt;&gt;"",3,"")</f>
        <v/>
      </c>
      <c r="J205" s="33" t="str">
        <f>IF(I205&lt;&gt;"",P205,"")</f>
        <v/>
      </c>
      <c r="K205" s="33" t="str">
        <f>IFERROR(IF(J205="","",VLOOKUP(J205,LISTAS!$F$5:$G$1004,2,0)),"0")</f>
        <v/>
      </c>
      <c r="L205" s="130" t="str">
        <f>IF(H203=3,"BRONZE",IF(H203=4,"PRATA",IF(H203=5,"OURO","")))</f>
        <v/>
      </c>
      <c r="M205" s="20" t="str">
        <f>IF(B205&lt;&gt;"",COUNTIF(D205:G205,"V")+(SUMIF(B209:B211,B205,D209:E211)/1000)+(SUMIF(J209:J211,B205,H209:I211)/1000)-(SUMIF(B209:B211,B205,H209:I211)/1000)-(SUMIF(J209:J211,B205,D209:E211)/1000)+0.001,"")</f>
        <v/>
      </c>
      <c r="N205" s="20" t="str">
        <f>IF(B205="","",B205)</f>
        <v/>
      </c>
      <c r="O205" s="20" t="str">
        <f>IF(B205&lt;&gt;"",LARGE(M203:M205,3),"")</f>
        <v/>
      </c>
      <c r="P205" s="20" t="str">
        <f>VLOOKUP(O205,M203:N205,2,0)</f>
        <v/>
      </c>
    </row>
    <row r="206" spans="2:16" ht="18" customHeight="1" x14ac:dyDescent="0.25">
      <c r="B206" s="79"/>
      <c r="C206" s="79"/>
      <c r="D206" s="79"/>
      <c r="E206" s="79"/>
      <c r="F206" s="79"/>
      <c r="G206" s="79"/>
      <c r="I206" s="80"/>
      <c r="J206" s="79"/>
      <c r="K206" s="81"/>
      <c r="L206" s="81"/>
    </row>
    <row r="207" spans="2:16" ht="23.25" customHeight="1" x14ac:dyDescent="0.25">
      <c r="B207" s="82" t="s">
        <v>40</v>
      </c>
      <c r="C207" s="79"/>
      <c r="D207" s="79"/>
      <c r="E207" s="79"/>
      <c r="F207" s="79"/>
      <c r="G207" s="79"/>
      <c r="H207" s="79"/>
      <c r="I207" s="79"/>
      <c r="J207" s="79"/>
      <c r="K207" s="79"/>
      <c r="L207" s="79"/>
    </row>
    <row r="208" spans="2:16" ht="18" customHeight="1" x14ac:dyDescent="0.25">
      <c r="B208" s="132" t="s">
        <v>15</v>
      </c>
      <c r="C208" s="132" t="s">
        <v>0</v>
      </c>
      <c r="D208" s="258" t="s">
        <v>41</v>
      </c>
      <c r="E208" s="259"/>
      <c r="F208" s="259"/>
      <c r="G208" s="259"/>
      <c r="H208" s="259"/>
      <c r="I208" s="260"/>
      <c r="J208" s="132" t="s">
        <v>15</v>
      </c>
      <c r="K208" s="132" t="s">
        <v>0</v>
      </c>
      <c r="L208" s="79"/>
    </row>
    <row r="209" spans="2:16" ht="18" customHeight="1" x14ac:dyDescent="0.25">
      <c r="B209" s="33" t="str">
        <f>IF(H203=3,B203,"")</f>
        <v/>
      </c>
      <c r="C209" s="33" t="str">
        <f>IFERROR(IF(B209="","",VLOOKUP(B209,LISTAS!$F$5:$G$1004,2,0)),"0")</f>
        <v/>
      </c>
      <c r="D209" s="253"/>
      <c r="E209" s="254"/>
      <c r="F209" s="253" t="s">
        <v>38</v>
      </c>
      <c r="G209" s="254"/>
      <c r="H209" s="253"/>
      <c r="I209" s="254"/>
      <c r="J209" s="111" t="str">
        <f>IF(H203=3,B205,"")</f>
        <v/>
      </c>
      <c r="K209" s="33" t="str">
        <f>IFERROR(IF(J209="","",VLOOKUP(J209,LISTAS!$F$5:$G$1004,2,0)),"0")</f>
        <v/>
      </c>
      <c r="L209" s="81"/>
    </row>
    <row r="210" spans="2:16" ht="18" customHeight="1" x14ac:dyDescent="0.25">
      <c r="B210" s="33" t="str">
        <f>IF(H203=3,B204,"")</f>
        <v/>
      </c>
      <c r="C210" s="33" t="str">
        <f>IFERROR(IF(B210="","",VLOOKUP(B210,LISTAS!$F$5:$G$1004,2,0)),"0")</f>
        <v/>
      </c>
      <c r="D210" s="253"/>
      <c r="E210" s="254"/>
      <c r="F210" s="253" t="s">
        <v>38</v>
      </c>
      <c r="G210" s="254"/>
      <c r="H210" s="253"/>
      <c r="I210" s="254"/>
      <c r="J210" s="111" t="str">
        <f>IF(H203=3,B205,"")</f>
        <v/>
      </c>
      <c r="K210" s="33" t="str">
        <f>IFERROR(IF(J210="","",VLOOKUP(J210,LISTAS!$F$5:$G$1004,2,0)),"0")</f>
        <v/>
      </c>
      <c r="L210" s="79"/>
    </row>
    <row r="211" spans="2:16" ht="18" customHeight="1" x14ac:dyDescent="0.25">
      <c r="B211" s="33" t="str">
        <f>IF(H203=3,B203,"")</f>
        <v/>
      </c>
      <c r="C211" s="33" t="str">
        <f>IFERROR(IF(B211="","",VLOOKUP(B211,LISTAS!$F$5:$G$1004,2,0)),"0")</f>
        <v/>
      </c>
      <c r="D211" s="253"/>
      <c r="E211" s="254"/>
      <c r="F211" s="253" t="s">
        <v>38</v>
      </c>
      <c r="G211" s="254"/>
      <c r="H211" s="253"/>
      <c r="I211" s="254"/>
      <c r="J211" s="111" t="str">
        <f>IF(H203=3,B204,"")</f>
        <v/>
      </c>
      <c r="K211" s="33" t="str">
        <f>IFERROR(IF(J211="","",VLOOKUP(J211,LISTAS!$F$5:$G$1004,2,0)),"0")</f>
        <v/>
      </c>
      <c r="L211" s="81"/>
    </row>
    <row r="214" spans="2:16" ht="30" customHeight="1" x14ac:dyDescent="0.25">
      <c r="B214" s="161" t="s">
        <v>60</v>
      </c>
      <c r="C214" s="79"/>
      <c r="D214" s="255" t="s">
        <v>42</v>
      </c>
      <c r="E214" s="256"/>
      <c r="F214" s="256"/>
      <c r="G214" s="257"/>
      <c r="H214" s="113"/>
      <c r="I214" s="255" t="s">
        <v>3</v>
      </c>
      <c r="J214" s="256"/>
      <c r="K214" s="256"/>
      <c r="L214" s="256"/>
    </row>
    <row r="215" spans="2:16" ht="18" customHeight="1" x14ac:dyDescent="0.25">
      <c r="B215" s="132" t="s">
        <v>15</v>
      </c>
      <c r="C215" s="132" t="s">
        <v>0</v>
      </c>
      <c r="D215" s="132" t="s">
        <v>43</v>
      </c>
      <c r="E215" s="132" t="s">
        <v>44</v>
      </c>
      <c r="F215" s="132" t="s">
        <v>77</v>
      </c>
      <c r="G215" s="132" t="s">
        <v>78</v>
      </c>
      <c r="H215" s="114"/>
      <c r="I215" s="132" t="s">
        <v>18</v>
      </c>
      <c r="J215" s="132" t="s">
        <v>15</v>
      </c>
      <c r="K215" s="132" t="s">
        <v>0</v>
      </c>
      <c r="L215" s="132" t="s">
        <v>45</v>
      </c>
    </row>
    <row r="216" spans="2:16" ht="18" customHeight="1" x14ac:dyDescent="0.25">
      <c r="B216" s="33"/>
      <c r="C216" s="33" t="str">
        <f>IFERROR(IF(B216="","",VLOOKUP(B216,LISTAS!$F$5:$G$1004,2,0)),"0")</f>
        <v/>
      </c>
      <c r="D216" s="33" t="str">
        <f>IF(H216&lt;3,"",IF(H216=3,IF(D222&lt;&gt;"",IF(H222&lt;&gt;"",IF(D222&lt;&gt;H222,IF(D222&gt;H222,"V","D"),""),""),"")))</f>
        <v/>
      </c>
      <c r="E216" s="33" t="str">
        <f>IF(H216&lt;3,"",IF(H216=3,IF(D224&lt;&gt;"",IF(H224&lt;&gt;"",IF(D224&lt;&gt;H224,IF(D224&gt;H224,"V","D"),""),""),"")))</f>
        <v/>
      </c>
      <c r="F216" s="33" t="s">
        <v>81</v>
      </c>
      <c r="G216" s="33" t="s">
        <v>81</v>
      </c>
      <c r="H216" s="117">
        <f>COUNTA(B216:B218)</f>
        <v>0</v>
      </c>
      <c r="I216" s="33" t="str">
        <f>IF(B216&lt;&gt;"",1,"")</f>
        <v/>
      </c>
      <c r="J216" s="33" t="str">
        <f>IF(I216&lt;&gt;"",P216,"")</f>
        <v/>
      </c>
      <c r="K216" s="33" t="str">
        <f>IFERROR(IF(J216="","",VLOOKUP(J216,LISTAS!$F$5:$G$1004,2,0)),"0")</f>
        <v/>
      </c>
      <c r="L216" s="130" t="str">
        <f>IF(H216=3,"OURO",IF(H216=4,"OURO",IF(H216=5,"OURO","")))</f>
        <v/>
      </c>
      <c r="M216" s="20" t="str">
        <f>IF(B216&lt;&gt;"",COUNTIF(D216:G216,"V")+(SUMIF(B222:B224,B216,D222:E224)/1000)+(SUMIF(J222:J224,B216,H222:I224)/1000)-(SUMIF(B222:B224,B216,H222:I224)/1000)-(SUMIF(J222:J224,B216,D222:E224)/1000)+0.003,"")</f>
        <v/>
      </c>
      <c r="N216" s="20" t="str">
        <f>IF(B216="","",B216)</f>
        <v/>
      </c>
      <c r="O216" s="20" t="str">
        <f>IF(B216&lt;&gt;"",LARGE(M216:M218,1),"")</f>
        <v/>
      </c>
      <c r="P216" s="20" t="str">
        <f>VLOOKUP(O216,M216:N218,2,0)</f>
        <v/>
      </c>
    </row>
    <row r="217" spans="2:16" ht="18" customHeight="1" x14ac:dyDescent="0.25">
      <c r="B217" s="33"/>
      <c r="C217" s="33" t="str">
        <f>IFERROR(IF(B217="","",VLOOKUP(B217,LISTAS!$F$5:$G$1004,2,0)),"0")</f>
        <v/>
      </c>
      <c r="D217" s="33" t="str">
        <f>IF(H216&lt;3,"",IF(H216=3,IF(D223&lt;&gt;"",IF(H223&lt;&gt;"",IF(D223&lt;&gt;H223,IF(D223&gt;H223,"V","D"),""),""),"")))</f>
        <v/>
      </c>
      <c r="E217" s="33" t="str">
        <f>IF(H216&lt;3,"",IF(H216=3,IF(D224&lt;&gt;"",IF(H224&lt;&gt;"",IF(D224&lt;&gt;H224,IF(D224&gt;H224,"D","V"),""),""),"")))</f>
        <v/>
      </c>
      <c r="F217" s="33" t="s">
        <v>81</v>
      </c>
      <c r="G217" s="33" t="s">
        <v>81</v>
      </c>
      <c r="H217" s="117"/>
      <c r="I217" s="33" t="str">
        <f>IF(B217&lt;&gt;"",2,"")</f>
        <v/>
      </c>
      <c r="J217" s="33" t="str">
        <f>IF(I217&lt;&gt;"",P217,"")</f>
        <v/>
      </c>
      <c r="K217" s="33" t="str">
        <f>IFERROR(IF(J217="","",VLOOKUP(J217,LISTAS!$F$5:$G$1004,2,0)),"0")</f>
        <v/>
      </c>
      <c r="L217" s="130" t="str">
        <f>IF(H216=3,"PRATA",IF(H216=4,"OURO",IF(H216=5,"OURO","")))</f>
        <v/>
      </c>
      <c r="M217" s="20" t="str">
        <f>IF(B217&lt;&gt;"",COUNTIF(D217:G217,"V")+(SUMIF(B222:B224,B217,D222:E224)/1000)+(SUMIF(J222:J224,B217,H222:I224)/1000)-(SUMIF(B222:B224,B217,H222:I224)/1000)-(SUMIF(J222:J224,B217,D222:E224)/1000)+0.002,"")</f>
        <v/>
      </c>
      <c r="N217" s="20" t="str">
        <f t="shared" ref="N217" si="15">IF(B217="","",B217)</f>
        <v/>
      </c>
      <c r="O217" s="20" t="str">
        <f>IF(B217&lt;&gt;"",LARGE(M216:M218,2),"")</f>
        <v/>
      </c>
      <c r="P217" s="20" t="str">
        <f>VLOOKUP(O217,M216:N218,2,0)</f>
        <v/>
      </c>
    </row>
    <row r="218" spans="2:16" ht="18" customHeight="1" x14ac:dyDescent="0.25">
      <c r="B218" s="33"/>
      <c r="C218" s="33" t="str">
        <f>IFERROR(IF(B218="","",VLOOKUP(B218,LISTAS!$F$5:$G$1004,2,0)),"0")</f>
        <v/>
      </c>
      <c r="D218" s="33" t="str">
        <f>IF(H216&lt;3,"",IF(H216=3,IF(D222&lt;&gt;"",IF(H222&lt;&gt;"",IF(D222&lt;&gt;H222,IF(D222&gt;H222,"D","V"),""),""),"")))</f>
        <v/>
      </c>
      <c r="E218" s="33" t="str">
        <f>IF(H216&lt;3,"",IF(H216=3,IF(D223&lt;&gt;"",IF(H223&lt;&gt;"",IF(D223&lt;&gt;H223,IF(D223&gt;H223,"D","V"),""),""),"")))</f>
        <v/>
      </c>
      <c r="F218" s="33" t="s">
        <v>81</v>
      </c>
      <c r="G218" s="33" t="s">
        <v>81</v>
      </c>
      <c r="H218" s="117"/>
      <c r="I218" s="33" t="str">
        <f>IF(B218&lt;&gt;"",3,"")</f>
        <v/>
      </c>
      <c r="J218" s="33" t="str">
        <f>IF(I218&lt;&gt;"",P218,"")</f>
        <v/>
      </c>
      <c r="K218" s="33" t="str">
        <f>IFERROR(IF(J218="","",VLOOKUP(J218,LISTAS!$F$5:$G$1004,2,0)),"0")</f>
        <v/>
      </c>
      <c r="L218" s="130" t="str">
        <f>IF(H216=3,"BRONZE",IF(H216=4,"PRATA",IF(H216=5,"OURO","")))</f>
        <v/>
      </c>
      <c r="M218" s="20" t="str">
        <f>IF(B218&lt;&gt;"",COUNTIF(D218:G218,"V")+(SUMIF(B222:B224,B218,D222:E224)/1000)+(SUMIF(J222:J224,B218,H222:I224)/1000)-(SUMIF(B222:B224,B218,H222:I224)/1000)-(SUMIF(J222:J224,B218,D222:E224)/1000)+0.001,"")</f>
        <v/>
      </c>
      <c r="N218" s="20" t="str">
        <f>IF(B218="","",B218)</f>
        <v/>
      </c>
      <c r="O218" s="20" t="str">
        <f>IF(B218&lt;&gt;"",LARGE(M216:M218,3),"")</f>
        <v/>
      </c>
      <c r="P218" s="20" t="str">
        <f>VLOOKUP(O218,M216:N218,2,0)</f>
        <v/>
      </c>
    </row>
    <row r="219" spans="2:16" ht="18" customHeight="1" x14ac:dyDescent="0.25">
      <c r="B219" s="79"/>
      <c r="C219" s="79"/>
      <c r="D219" s="79"/>
      <c r="E219" s="79"/>
      <c r="F219" s="79"/>
      <c r="G219" s="79"/>
      <c r="I219" s="80"/>
      <c r="J219" s="79"/>
      <c r="K219" s="81"/>
      <c r="L219" s="81"/>
    </row>
    <row r="220" spans="2:16" ht="23.25" customHeight="1" x14ac:dyDescent="0.25">
      <c r="B220" s="82" t="s">
        <v>40</v>
      </c>
      <c r="C220" s="79"/>
      <c r="D220" s="79"/>
      <c r="E220" s="79"/>
      <c r="F220" s="79"/>
      <c r="G220" s="79"/>
      <c r="H220" s="79"/>
      <c r="I220" s="79"/>
      <c r="J220" s="79"/>
      <c r="K220" s="79"/>
      <c r="L220" s="79"/>
    </row>
    <row r="221" spans="2:16" ht="18" customHeight="1" x14ac:dyDescent="0.25">
      <c r="B221" s="132" t="s">
        <v>15</v>
      </c>
      <c r="C221" s="132" t="s">
        <v>0</v>
      </c>
      <c r="D221" s="258" t="s">
        <v>41</v>
      </c>
      <c r="E221" s="259"/>
      <c r="F221" s="259"/>
      <c r="G221" s="259"/>
      <c r="H221" s="259"/>
      <c r="I221" s="260"/>
      <c r="J221" s="132" t="s">
        <v>15</v>
      </c>
      <c r="K221" s="132" t="s">
        <v>0</v>
      </c>
      <c r="L221" s="79"/>
    </row>
    <row r="222" spans="2:16" ht="18" customHeight="1" x14ac:dyDescent="0.25">
      <c r="B222" s="33" t="str">
        <f>IF(H216=3,B216,"")</f>
        <v/>
      </c>
      <c r="C222" s="33" t="str">
        <f>IFERROR(IF(B222="","",VLOOKUP(B222,LISTAS!$F$5:$G$1004,2,0)),"0")</f>
        <v/>
      </c>
      <c r="D222" s="253"/>
      <c r="E222" s="254"/>
      <c r="F222" s="253" t="s">
        <v>38</v>
      </c>
      <c r="G222" s="254"/>
      <c r="H222" s="253"/>
      <c r="I222" s="254"/>
      <c r="J222" s="111" t="str">
        <f>IF(H216=3,B218,"")</f>
        <v/>
      </c>
      <c r="K222" s="33" t="str">
        <f>IFERROR(IF(J222="","",VLOOKUP(J222,LISTAS!$F$5:$G$1004,2,0)),"0")</f>
        <v/>
      </c>
      <c r="L222" s="81"/>
    </row>
    <row r="223" spans="2:16" ht="18" customHeight="1" x14ac:dyDescent="0.25">
      <c r="B223" s="33" t="str">
        <f>IF(H216=3,B217,"")</f>
        <v/>
      </c>
      <c r="C223" s="33" t="str">
        <f>IFERROR(IF(B223="","",VLOOKUP(B223,LISTAS!$F$5:$G$1004,2,0)),"0")</f>
        <v/>
      </c>
      <c r="D223" s="253"/>
      <c r="E223" s="254"/>
      <c r="F223" s="253" t="s">
        <v>38</v>
      </c>
      <c r="G223" s="254"/>
      <c r="H223" s="253"/>
      <c r="I223" s="254"/>
      <c r="J223" s="111" t="str">
        <f>IF(H216=3,B218,"")</f>
        <v/>
      </c>
      <c r="K223" s="33" t="str">
        <f>IFERROR(IF(J223="","",VLOOKUP(J223,LISTAS!$F$5:$G$1004,2,0)),"0")</f>
        <v/>
      </c>
      <c r="L223" s="79"/>
    </row>
    <row r="224" spans="2:16" ht="18" customHeight="1" x14ac:dyDescent="0.25">
      <c r="B224" s="33" t="str">
        <f>IF(H216=3,B216,"")</f>
        <v/>
      </c>
      <c r="C224" s="33" t="str">
        <f>IFERROR(IF(B224="","",VLOOKUP(B224,LISTAS!$F$5:$G$1004,2,0)),"0")</f>
        <v/>
      </c>
      <c r="D224" s="253"/>
      <c r="E224" s="254"/>
      <c r="F224" s="253" t="s">
        <v>38</v>
      </c>
      <c r="G224" s="254"/>
      <c r="H224" s="253"/>
      <c r="I224" s="254"/>
      <c r="J224" s="111" t="str">
        <f>IF(H216=3,B217,"")</f>
        <v/>
      </c>
      <c r="K224" s="33" t="str">
        <f>IFERROR(IF(J224="","",VLOOKUP(J224,LISTAS!$F$5:$G$1004,2,0)),"0")</f>
        <v/>
      </c>
      <c r="L224" s="81"/>
    </row>
    <row r="227" spans="2:16" ht="30" customHeight="1" x14ac:dyDescent="0.25">
      <c r="B227" s="161" t="s">
        <v>61</v>
      </c>
      <c r="C227" s="79"/>
      <c r="D227" s="255" t="s">
        <v>42</v>
      </c>
      <c r="E227" s="256"/>
      <c r="F227" s="256"/>
      <c r="G227" s="257"/>
      <c r="H227" s="113"/>
      <c r="I227" s="255" t="s">
        <v>3</v>
      </c>
      <c r="J227" s="256"/>
      <c r="K227" s="256"/>
      <c r="L227" s="256"/>
    </row>
    <row r="228" spans="2:16" ht="18" customHeight="1" x14ac:dyDescent="0.25">
      <c r="B228" s="132" t="s">
        <v>15</v>
      </c>
      <c r="C228" s="132" t="s">
        <v>0</v>
      </c>
      <c r="D228" s="132" t="s">
        <v>43</v>
      </c>
      <c r="E228" s="132" t="s">
        <v>44</v>
      </c>
      <c r="F228" s="132" t="s">
        <v>77</v>
      </c>
      <c r="G228" s="132" t="s">
        <v>78</v>
      </c>
      <c r="H228" s="114"/>
      <c r="I228" s="132" t="s">
        <v>18</v>
      </c>
      <c r="J228" s="132" t="s">
        <v>15</v>
      </c>
      <c r="K228" s="132" t="s">
        <v>0</v>
      </c>
      <c r="L228" s="132" t="s">
        <v>45</v>
      </c>
    </row>
    <row r="229" spans="2:16" ht="18" customHeight="1" x14ac:dyDescent="0.25">
      <c r="B229" s="33"/>
      <c r="C229" s="33" t="str">
        <f>IFERROR(IF(B229="","",VLOOKUP(B229,LISTAS!$F$5:$G$1004,2,0)),"0")</f>
        <v/>
      </c>
      <c r="D229" s="33" t="str">
        <f>IF(H229&lt;3,"",IF(H229=3,IF(D235&lt;&gt;"",IF(H235&lt;&gt;"",IF(D235&lt;&gt;H235,IF(D235&gt;H235,"V","D"),""),""),"")))</f>
        <v/>
      </c>
      <c r="E229" s="33" t="str">
        <f>IF(H229&lt;3,"",IF(H229=3,IF(D237&lt;&gt;"",IF(H237&lt;&gt;"",IF(D237&lt;&gt;H237,IF(D237&gt;H237,"V","D"),""),""),"")))</f>
        <v/>
      </c>
      <c r="F229" s="33" t="s">
        <v>81</v>
      </c>
      <c r="G229" s="33" t="s">
        <v>81</v>
      </c>
      <c r="H229" s="117">
        <f>COUNTA(B229:B231)</f>
        <v>0</v>
      </c>
      <c r="I229" s="33" t="str">
        <f>IF(B229&lt;&gt;"",1,"")</f>
        <v/>
      </c>
      <c r="J229" s="33" t="str">
        <f>IF(I229&lt;&gt;"",P229,"")</f>
        <v/>
      </c>
      <c r="K229" s="33" t="str">
        <f>IFERROR(IF(J229="","",VLOOKUP(J229,LISTAS!$F$5:$G$1004,2,0)),"0")</f>
        <v/>
      </c>
      <c r="L229" s="130" t="str">
        <f>IF(H229=3,"OURO",IF(H229=4,"OURO",IF(H229=5,"OURO","")))</f>
        <v/>
      </c>
      <c r="M229" s="20" t="str">
        <f>IF(B229&lt;&gt;"",COUNTIF(D229:G229,"V")+(SUMIF(B235:B237,B229,D235:E237)/1000)+(SUMIF(J235:J237,B229,H235:I237)/1000)-(SUMIF(B235:B237,B229,H235:I237)/1000)-(SUMIF(J235:J237,B229,D235:E237)/1000)+0.003,"")</f>
        <v/>
      </c>
      <c r="N229" s="20" t="str">
        <f>IF(B229="","",B229)</f>
        <v/>
      </c>
      <c r="O229" s="20" t="str">
        <f>IF(B229&lt;&gt;"",LARGE(M229:M231,1),"")</f>
        <v/>
      </c>
      <c r="P229" s="20" t="str">
        <f>VLOOKUP(O229,M229:N231,2,0)</f>
        <v/>
      </c>
    </row>
    <row r="230" spans="2:16" ht="18" customHeight="1" x14ac:dyDescent="0.25">
      <c r="B230" s="33"/>
      <c r="C230" s="33" t="str">
        <f>IFERROR(IF(B230="","",VLOOKUP(B230,LISTAS!$F$5:$G$1004,2,0)),"0")</f>
        <v/>
      </c>
      <c r="D230" s="33" t="str">
        <f>IF(H229&lt;3,"",IF(H229=3,IF(D236&lt;&gt;"",IF(H236&lt;&gt;"",IF(D236&lt;&gt;H236,IF(D236&gt;H236,"V","D"),""),""),"")))</f>
        <v/>
      </c>
      <c r="E230" s="33" t="str">
        <f>IF(H229&lt;3,"",IF(H229=3,IF(D237&lt;&gt;"",IF(H237&lt;&gt;"",IF(D237&lt;&gt;H237,IF(D237&gt;H237,"D","V"),""),""),"")))</f>
        <v/>
      </c>
      <c r="F230" s="33" t="s">
        <v>81</v>
      </c>
      <c r="G230" s="33" t="s">
        <v>81</v>
      </c>
      <c r="H230" s="117"/>
      <c r="I230" s="33" t="str">
        <f>IF(B230&lt;&gt;"",2,"")</f>
        <v/>
      </c>
      <c r="J230" s="33" t="str">
        <f>IF(I230&lt;&gt;"",P230,"")</f>
        <v/>
      </c>
      <c r="K230" s="33" t="str">
        <f>IFERROR(IF(J230="","",VLOOKUP(J230,LISTAS!$F$5:$G$1004,2,0)),"0")</f>
        <v/>
      </c>
      <c r="L230" s="130" t="str">
        <f>IF(H229=3,"PRATA",IF(H229=4,"OURO",IF(H229=5,"OURO","")))</f>
        <v/>
      </c>
      <c r="M230" s="20" t="str">
        <f>IF(B230&lt;&gt;"",COUNTIF(D230:G230,"V")+(SUMIF(B235:B237,B230,D235:E237)/1000)+(SUMIF(J235:J237,B230,H235:I237)/1000)-(SUMIF(B235:B237,B230,H235:I237)/1000)-(SUMIF(J235:J237,B230,D235:E237)/1000)+0.002,"")</f>
        <v/>
      </c>
      <c r="N230" s="20" t="str">
        <f t="shared" ref="N230" si="16">IF(B230="","",B230)</f>
        <v/>
      </c>
      <c r="O230" s="20" t="str">
        <f>IF(B230&lt;&gt;"",LARGE(M229:M231,2),"")</f>
        <v/>
      </c>
      <c r="P230" s="20" t="str">
        <f>VLOOKUP(O230,M229:N231,2,0)</f>
        <v/>
      </c>
    </row>
    <row r="231" spans="2:16" ht="18" customHeight="1" x14ac:dyDescent="0.25">
      <c r="B231" s="33"/>
      <c r="C231" s="33" t="str">
        <f>IFERROR(IF(B231="","",VLOOKUP(B231,LISTAS!$F$5:$G$1004,2,0)),"0")</f>
        <v/>
      </c>
      <c r="D231" s="33" t="str">
        <f>IF(H229&lt;3,"",IF(H229=3,IF(D235&lt;&gt;"",IF(H235&lt;&gt;"",IF(D235&lt;&gt;H235,IF(D235&gt;H235,"D","V"),""),""),"")))</f>
        <v/>
      </c>
      <c r="E231" s="33" t="str">
        <f>IF(H229&lt;3,"",IF(H229=3,IF(D236&lt;&gt;"",IF(H236&lt;&gt;"",IF(D236&lt;&gt;H236,IF(D236&gt;H236,"D","V"),""),""),"")))</f>
        <v/>
      </c>
      <c r="F231" s="33" t="s">
        <v>81</v>
      </c>
      <c r="G231" s="33" t="s">
        <v>81</v>
      </c>
      <c r="H231" s="117"/>
      <c r="I231" s="33" t="str">
        <f>IF(B231&lt;&gt;"",3,"")</f>
        <v/>
      </c>
      <c r="J231" s="33" t="str">
        <f>IF(I231&lt;&gt;"",P231,"")</f>
        <v/>
      </c>
      <c r="K231" s="33" t="str">
        <f>IFERROR(IF(J231="","",VLOOKUP(J231,LISTAS!$F$5:$G$1004,2,0)),"0")</f>
        <v/>
      </c>
      <c r="L231" s="130" t="str">
        <f>IF(H229=3,"BRONZE",IF(H229=4,"PRATA",IF(H229=5,"OURO","")))</f>
        <v/>
      </c>
      <c r="M231" s="20" t="str">
        <f>IF(B231&lt;&gt;"",COUNTIF(D231:G231,"V")+(SUMIF(B235:B237,B231,D235:E237)/1000)+(SUMIF(J235:J237,B231,H235:I237)/1000)-(SUMIF(B235:B237,B231,H235:I237)/1000)-(SUMIF(J235:J237,B231,D235:E237)/1000)+0.001,"")</f>
        <v/>
      </c>
      <c r="N231" s="20" t="str">
        <f>IF(B231="","",B231)</f>
        <v/>
      </c>
      <c r="O231" s="20" t="str">
        <f>IF(B231&lt;&gt;"",LARGE(M229:M231,3),"")</f>
        <v/>
      </c>
      <c r="P231" s="20" t="str">
        <f>VLOOKUP(O231,M229:N231,2,0)</f>
        <v/>
      </c>
    </row>
    <row r="232" spans="2:16" ht="18" customHeight="1" x14ac:dyDescent="0.25">
      <c r="B232" s="79"/>
      <c r="C232" s="79"/>
      <c r="D232" s="79"/>
      <c r="E232" s="79"/>
      <c r="F232" s="79"/>
      <c r="G232" s="79"/>
      <c r="I232" s="80"/>
      <c r="J232" s="79"/>
      <c r="K232" s="81"/>
      <c r="L232" s="81"/>
    </row>
    <row r="233" spans="2:16" ht="23.25" customHeight="1" x14ac:dyDescent="0.25">
      <c r="B233" s="82" t="s">
        <v>40</v>
      </c>
      <c r="C233" s="79"/>
      <c r="D233" s="79"/>
      <c r="E233" s="79"/>
      <c r="F233" s="79"/>
      <c r="G233" s="79"/>
      <c r="H233" s="79"/>
      <c r="I233" s="79"/>
      <c r="J233" s="79"/>
      <c r="K233" s="79"/>
      <c r="L233" s="79"/>
    </row>
    <row r="234" spans="2:16" ht="18" customHeight="1" x14ac:dyDescent="0.25">
      <c r="B234" s="132" t="s">
        <v>15</v>
      </c>
      <c r="C234" s="132" t="s">
        <v>0</v>
      </c>
      <c r="D234" s="258" t="s">
        <v>41</v>
      </c>
      <c r="E234" s="259"/>
      <c r="F234" s="259"/>
      <c r="G234" s="259"/>
      <c r="H234" s="259"/>
      <c r="I234" s="260"/>
      <c r="J234" s="132" t="s">
        <v>15</v>
      </c>
      <c r="K234" s="132" t="s">
        <v>0</v>
      </c>
      <c r="L234" s="79"/>
    </row>
    <row r="235" spans="2:16" ht="18" customHeight="1" x14ac:dyDescent="0.25">
      <c r="B235" s="33" t="str">
        <f>IF(H229=3,B229,"")</f>
        <v/>
      </c>
      <c r="C235" s="33" t="str">
        <f>IFERROR(IF(B235="","",VLOOKUP(B235,LISTAS!$F$5:$G$1004,2,0)),"0")</f>
        <v/>
      </c>
      <c r="D235" s="253"/>
      <c r="E235" s="254"/>
      <c r="F235" s="253" t="s">
        <v>38</v>
      </c>
      <c r="G235" s="254"/>
      <c r="H235" s="253"/>
      <c r="I235" s="254"/>
      <c r="J235" s="111" t="str">
        <f>IF(H229=3,B231,"")</f>
        <v/>
      </c>
      <c r="K235" s="33" t="str">
        <f>IFERROR(IF(J235="","",VLOOKUP(J235,LISTAS!$F$5:$G$1004,2,0)),"0")</f>
        <v/>
      </c>
      <c r="L235" s="81"/>
    </row>
    <row r="236" spans="2:16" ht="18" customHeight="1" x14ac:dyDescent="0.25">
      <c r="B236" s="33" t="str">
        <f>IF(H229=3,B230,"")</f>
        <v/>
      </c>
      <c r="C236" s="33" t="str">
        <f>IFERROR(IF(B236="","",VLOOKUP(B236,LISTAS!$F$5:$G$1004,2,0)),"0")</f>
        <v/>
      </c>
      <c r="D236" s="253"/>
      <c r="E236" s="254"/>
      <c r="F236" s="253" t="s">
        <v>38</v>
      </c>
      <c r="G236" s="254"/>
      <c r="H236" s="253"/>
      <c r="I236" s="254"/>
      <c r="J236" s="111" t="str">
        <f>IF(H229=3,B231,"")</f>
        <v/>
      </c>
      <c r="K236" s="33" t="str">
        <f>IFERROR(IF(J236="","",VLOOKUP(J236,LISTAS!$F$5:$G$1004,2,0)),"0")</f>
        <v/>
      </c>
      <c r="L236" s="79"/>
    </row>
    <row r="237" spans="2:16" ht="18" customHeight="1" x14ac:dyDescent="0.25">
      <c r="B237" s="33" t="str">
        <f>IF(H229=3,B229,"")</f>
        <v/>
      </c>
      <c r="C237" s="33" t="str">
        <f>IFERROR(IF(B237="","",VLOOKUP(B237,LISTAS!$F$5:$G$1004,2,0)),"0")</f>
        <v/>
      </c>
      <c r="D237" s="253"/>
      <c r="E237" s="254"/>
      <c r="F237" s="253" t="s">
        <v>38</v>
      </c>
      <c r="G237" s="254"/>
      <c r="H237" s="253"/>
      <c r="I237" s="254"/>
      <c r="J237" s="111" t="str">
        <f>IF(H229=3,B230,"")</f>
        <v/>
      </c>
      <c r="K237" s="33" t="str">
        <f>IFERROR(IF(J237="","",VLOOKUP(J237,LISTAS!$F$5:$G$1004,2,0)),"0")</f>
        <v/>
      </c>
      <c r="L237" s="81"/>
    </row>
    <row r="240" spans="2:16" ht="30" customHeight="1" x14ac:dyDescent="0.25">
      <c r="B240" s="161" t="s">
        <v>62</v>
      </c>
      <c r="C240" s="79"/>
      <c r="D240" s="255" t="s">
        <v>42</v>
      </c>
      <c r="E240" s="256"/>
      <c r="F240" s="256"/>
      <c r="G240" s="257"/>
      <c r="H240" s="113"/>
      <c r="I240" s="255" t="s">
        <v>3</v>
      </c>
      <c r="J240" s="256"/>
      <c r="K240" s="256"/>
      <c r="L240" s="256"/>
    </row>
    <row r="241" spans="2:16" ht="18" customHeight="1" x14ac:dyDescent="0.25">
      <c r="B241" s="132" t="s">
        <v>15</v>
      </c>
      <c r="C241" s="132" t="s">
        <v>0</v>
      </c>
      <c r="D241" s="132" t="s">
        <v>43</v>
      </c>
      <c r="E241" s="132" t="s">
        <v>44</v>
      </c>
      <c r="F241" s="132" t="s">
        <v>77</v>
      </c>
      <c r="G241" s="132" t="s">
        <v>78</v>
      </c>
      <c r="H241" s="114"/>
      <c r="I241" s="132" t="s">
        <v>18</v>
      </c>
      <c r="J241" s="132" t="s">
        <v>15</v>
      </c>
      <c r="K241" s="132" t="s">
        <v>0</v>
      </c>
      <c r="L241" s="132" t="s">
        <v>45</v>
      </c>
    </row>
    <row r="242" spans="2:16" ht="18" customHeight="1" x14ac:dyDescent="0.25">
      <c r="B242" s="33"/>
      <c r="C242" s="33" t="str">
        <f>IFERROR(IF(B242="","",VLOOKUP(B242,LISTAS!$F$5:$G$1004,2,0)),"0")</f>
        <v/>
      </c>
      <c r="D242" s="33" t="str">
        <f>IF(H242&lt;3,"",IF(H242=3,IF(D248&lt;&gt;"",IF(H248&lt;&gt;"",IF(D248&lt;&gt;H248,IF(D248&gt;H248,"V","D"),""),""),"")))</f>
        <v/>
      </c>
      <c r="E242" s="33" t="str">
        <f>IF(H242&lt;3,"",IF(H242=3,IF(D250&lt;&gt;"",IF(H250&lt;&gt;"",IF(D250&lt;&gt;H250,IF(D250&gt;H250,"V","D"),""),""),"")))</f>
        <v/>
      </c>
      <c r="F242" s="33" t="s">
        <v>81</v>
      </c>
      <c r="G242" s="33" t="s">
        <v>81</v>
      </c>
      <c r="H242" s="117">
        <f>COUNTA(B242:B244)</f>
        <v>0</v>
      </c>
      <c r="I242" s="33" t="str">
        <f>IF(B242&lt;&gt;"",1,"")</f>
        <v/>
      </c>
      <c r="J242" s="33" t="str">
        <f>IF(I242&lt;&gt;"",P242,"")</f>
        <v/>
      </c>
      <c r="K242" s="33" t="str">
        <f>IFERROR(IF(J242="","",VLOOKUP(J242,LISTAS!$F$5:$G$1004,2,0)),"0")</f>
        <v/>
      </c>
      <c r="L242" s="130" t="str">
        <f>IF(H242=3,"OURO",IF(H242=4,"OURO",IF(H242=5,"OURO","")))</f>
        <v/>
      </c>
      <c r="M242" s="20" t="str">
        <f>IF(B242&lt;&gt;"",COUNTIF(D242:G242,"V")+(SUMIF(B248:B250,B242,D248:E250)/1000)+(SUMIF(J248:J250,B242,H248:I250)/1000)-(SUMIF(B248:B250,B242,H248:I250)/1000)-(SUMIF(J248:J250,B242,D248:E250)/1000)+0.003,"")</f>
        <v/>
      </c>
      <c r="N242" s="20" t="str">
        <f>IF(B242="","",B242)</f>
        <v/>
      </c>
      <c r="O242" s="20" t="str">
        <f>IF(B242&lt;&gt;"",LARGE(M242:M244,1),"")</f>
        <v/>
      </c>
      <c r="P242" s="20" t="str">
        <f>VLOOKUP(O242,M242:N244,2,0)</f>
        <v/>
      </c>
    </row>
    <row r="243" spans="2:16" ht="18" customHeight="1" x14ac:dyDescent="0.25">
      <c r="B243" s="33"/>
      <c r="C243" s="33" t="str">
        <f>IFERROR(IF(B243="","",VLOOKUP(B243,LISTAS!$F$5:$G$1004,2,0)),"0")</f>
        <v/>
      </c>
      <c r="D243" s="33" t="str">
        <f>IF(H242&lt;3,"",IF(H242=3,IF(D249&lt;&gt;"",IF(H249&lt;&gt;"",IF(D249&lt;&gt;H249,IF(D249&gt;H249,"V","D"),""),""),"")))</f>
        <v/>
      </c>
      <c r="E243" s="33" t="str">
        <f>IF(H242&lt;3,"",IF(H242=3,IF(D250&lt;&gt;"",IF(H250&lt;&gt;"",IF(D250&lt;&gt;H250,IF(D250&gt;H250,"D","V"),""),""),"")))</f>
        <v/>
      </c>
      <c r="F243" s="33" t="s">
        <v>81</v>
      </c>
      <c r="G243" s="33" t="s">
        <v>81</v>
      </c>
      <c r="H243" s="117"/>
      <c r="I243" s="33" t="str">
        <f>IF(B243&lt;&gt;"",2,"")</f>
        <v/>
      </c>
      <c r="J243" s="33" t="str">
        <f>IF(I243&lt;&gt;"",P243,"")</f>
        <v/>
      </c>
      <c r="K243" s="33" t="str">
        <f>IFERROR(IF(J243="","",VLOOKUP(J243,LISTAS!$F$5:$G$1004,2,0)),"0")</f>
        <v/>
      </c>
      <c r="L243" s="130" t="str">
        <f>IF(H242=3,"PRATA",IF(H242=4,"OURO",IF(H242=5,"OURO","")))</f>
        <v/>
      </c>
      <c r="M243" s="20" t="str">
        <f>IF(B243&lt;&gt;"",COUNTIF(D243:G243,"V")+(SUMIF(B248:B250,B243,D248:E250)/1000)+(SUMIF(J248:J250,B243,H248:I250)/1000)-(SUMIF(B248:B250,B243,H248:I250)/1000)-(SUMIF(J248:J250,B243,D248:E250)/1000)+0.002,"")</f>
        <v/>
      </c>
      <c r="N243" s="20" t="str">
        <f t="shared" ref="N243" si="17">IF(B243="","",B243)</f>
        <v/>
      </c>
      <c r="O243" s="20" t="str">
        <f>IF(B243&lt;&gt;"",LARGE(M242:M244,2),"")</f>
        <v/>
      </c>
      <c r="P243" s="20" t="str">
        <f>VLOOKUP(O243,M242:N244,2,0)</f>
        <v/>
      </c>
    </row>
    <row r="244" spans="2:16" ht="18" customHeight="1" x14ac:dyDescent="0.25">
      <c r="B244" s="33"/>
      <c r="C244" s="33" t="str">
        <f>IFERROR(IF(B244="","",VLOOKUP(B244,LISTAS!$F$5:$G$1004,2,0)),"0")</f>
        <v/>
      </c>
      <c r="D244" s="33" t="str">
        <f>IF(H242&lt;3,"",IF(H242=3,IF(D248&lt;&gt;"",IF(H248&lt;&gt;"",IF(D248&lt;&gt;H248,IF(D248&gt;H248,"D","V"),""),""),"")))</f>
        <v/>
      </c>
      <c r="E244" s="33" t="str">
        <f>IF(H242&lt;3,"",IF(H242=3,IF(D249&lt;&gt;"",IF(H249&lt;&gt;"",IF(D249&lt;&gt;H249,IF(D249&gt;H249,"D","V"),""),""),"")))</f>
        <v/>
      </c>
      <c r="F244" s="33" t="s">
        <v>81</v>
      </c>
      <c r="G244" s="33" t="s">
        <v>81</v>
      </c>
      <c r="H244" s="117"/>
      <c r="I244" s="33" t="str">
        <f>IF(B244&lt;&gt;"",3,"")</f>
        <v/>
      </c>
      <c r="J244" s="33" t="str">
        <f>IF(I244&lt;&gt;"",P244,"")</f>
        <v/>
      </c>
      <c r="K244" s="33" t="str">
        <f>IFERROR(IF(J244="","",VLOOKUP(J244,LISTAS!$F$5:$G$1004,2,0)),"0")</f>
        <v/>
      </c>
      <c r="L244" s="130" t="str">
        <f>IF(H242=3,"BRONZE",IF(H242=4,"PRATA",IF(H242=5,"OURO","")))</f>
        <v/>
      </c>
      <c r="M244" s="20" t="str">
        <f>IF(B244&lt;&gt;"",COUNTIF(D244:G244,"V")+(SUMIF(B248:B250,B244,D248:E250)/1000)+(SUMIF(J248:J250,B244,H248:I250)/1000)-(SUMIF(B248:B250,B244,H248:I250)/1000)-(SUMIF(J248:J250,B244,D248:E250)/1000)+0.001,"")</f>
        <v/>
      </c>
      <c r="N244" s="20" t="str">
        <f>IF(B244="","",B244)</f>
        <v/>
      </c>
      <c r="O244" s="20" t="str">
        <f>IF(B244&lt;&gt;"",LARGE(M242:M244,3),"")</f>
        <v/>
      </c>
      <c r="P244" s="20" t="str">
        <f>VLOOKUP(O244,M242:N244,2,0)</f>
        <v/>
      </c>
    </row>
    <row r="245" spans="2:16" ht="18" customHeight="1" x14ac:dyDescent="0.25">
      <c r="B245" s="79"/>
      <c r="C245" s="79"/>
      <c r="D245" s="79"/>
      <c r="E245" s="79"/>
      <c r="F245" s="79"/>
      <c r="G245" s="79"/>
      <c r="I245" s="80"/>
      <c r="J245" s="79"/>
      <c r="K245" s="81"/>
      <c r="L245" s="81"/>
    </row>
    <row r="246" spans="2:16" ht="23.25" customHeight="1" x14ac:dyDescent="0.25">
      <c r="B246" s="82" t="s">
        <v>40</v>
      </c>
      <c r="C246" s="79"/>
      <c r="D246" s="79"/>
      <c r="E246" s="79"/>
      <c r="F246" s="79"/>
      <c r="G246" s="79"/>
      <c r="H246" s="79"/>
      <c r="I246" s="79"/>
      <c r="J246" s="79"/>
      <c r="K246" s="79"/>
      <c r="L246" s="79"/>
    </row>
    <row r="247" spans="2:16" ht="18" customHeight="1" x14ac:dyDescent="0.25">
      <c r="B247" s="132" t="s">
        <v>15</v>
      </c>
      <c r="C247" s="132" t="s">
        <v>0</v>
      </c>
      <c r="D247" s="258" t="s">
        <v>41</v>
      </c>
      <c r="E247" s="259"/>
      <c r="F247" s="259"/>
      <c r="G247" s="259"/>
      <c r="H247" s="259"/>
      <c r="I247" s="260"/>
      <c r="J247" s="132" t="s">
        <v>15</v>
      </c>
      <c r="K247" s="132" t="s">
        <v>0</v>
      </c>
      <c r="L247" s="79"/>
    </row>
    <row r="248" spans="2:16" ht="18" customHeight="1" x14ac:dyDescent="0.25">
      <c r="B248" s="33" t="str">
        <f>IF(H242=3,B242,"")</f>
        <v/>
      </c>
      <c r="C248" s="33" t="str">
        <f>IFERROR(IF(B248="","",VLOOKUP(B248,LISTAS!$F$5:$G$1004,2,0)),"0")</f>
        <v/>
      </c>
      <c r="D248" s="253"/>
      <c r="E248" s="254"/>
      <c r="F248" s="253" t="s">
        <v>38</v>
      </c>
      <c r="G248" s="254"/>
      <c r="H248" s="253"/>
      <c r="I248" s="254"/>
      <c r="J248" s="111" t="str">
        <f>IF(H242=3,B244,"")</f>
        <v/>
      </c>
      <c r="K248" s="33" t="str">
        <f>IFERROR(IF(J248="","",VLOOKUP(J248,LISTAS!$F$5:$G$1004,2,0)),"0")</f>
        <v/>
      </c>
      <c r="L248" s="81"/>
    </row>
    <row r="249" spans="2:16" ht="18" customHeight="1" x14ac:dyDescent="0.25">
      <c r="B249" s="33" t="str">
        <f>IF(H242=3,B243,"")</f>
        <v/>
      </c>
      <c r="C249" s="33" t="str">
        <f>IFERROR(IF(B249="","",VLOOKUP(B249,LISTAS!$F$5:$G$1004,2,0)),"0")</f>
        <v/>
      </c>
      <c r="D249" s="253"/>
      <c r="E249" s="254"/>
      <c r="F249" s="253" t="s">
        <v>38</v>
      </c>
      <c r="G249" s="254"/>
      <c r="H249" s="253"/>
      <c r="I249" s="254"/>
      <c r="J249" s="111" t="str">
        <f>IF(H242=3,B244,"")</f>
        <v/>
      </c>
      <c r="K249" s="33" t="str">
        <f>IFERROR(IF(J249="","",VLOOKUP(J249,LISTAS!$F$5:$G$1004,2,0)),"0")</f>
        <v/>
      </c>
      <c r="L249" s="79"/>
    </row>
    <row r="250" spans="2:16" ht="18" customHeight="1" x14ac:dyDescent="0.25">
      <c r="B250" s="33" t="str">
        <f>IF(H242=3,B242,"")</f>
        <v/>
      </c>
      <c r="C250" s="33" t="str">
        <f>IFERROR(IF(B250="","",VLOOKUP(B250,LISTAS!$F$5:$G$1004,2,0)),"0")</f>
        <v/>
      </c>
      <c r="D250" s="253"/>
      <c r="E250" s="254"/>
      <c r="F250" s="253" t="s">
        <v>38</v>
      </c>
      <c r="G250" s="254"/>
      <c r="H250" s="253"/>
      <c r="I250" s="254"/>
      <c r="J250" s="111" t="str">
        <f>IF(H242=3,B243,"")</f>
        <v/>
      </c>
      <c r="K250" s="33" t="str">
        <f>IFERROR(IF(J250="","",VLOOKUP(J250,LISTAS!$F$5:$G$1004,2,0)),"0")</f>
        <v/>
      </c>
      <c r="L250" s="81"/>
    </row>
    <row r="253" spans="2:16" ht="30" customHeight="1" x14ac:dyDescent="0.25">
      <c r="B253" s="161" t="s">
        <v>63</v>
      </c>
      <c r="C253" s="79"/>
      <c r="D253" s="255" t="s">
        <v>42</v>
      </c>
      <c r="E253" s="256"/>
      <c r="F253" s="256"/>
      <c r="G253" s="257"/>
      <c r="H253" s="113"/>
      <c r="I253" s="255" t="s">
        <v>3</v>
      </c>
      <c r="J253" s="256"/>
      <c r="K253" s="256"/>
      <c r="L253" s="256"/>
    </row>
    <row r="254" spans="2:16" ht="18" customHeight="1" x14ac:dyDescent="0.25">
      <c r="B254" s="132" t="s">
        <v>15</v>
      </c>
      <c r="C254" s="132" t="s">
        <v>0</v>
      </c>
      <c r="D254" s="132" t="s">
        <v>43</v>
      </c>
      <c r="E254" s="132" t="s">
        <v>44</v>
      </c>
      <c r="F254" s="132" t="s">
        <v>77</v>
      </c>
      <c r="G254" s="132" t="s">
        <v>78</v>
      </c>
      <c r="H254" s="114"/>
      <c r="I254" s="132" t="s">
        <v>18</v>
      </c>
      <c r="J254" s="132" t="s">
        <v>15</v>
      </c>
      <c r="K254" s="132" t="s">
        <v>0</v>
      </c>
      <c r="L254" s="132" t="s">
        <v>45</v>
      </c>
    </row>
    <row r="255" spans="2:16" ht="18" customHeight="1" x14ac:dyDescent="0.25">
      <c r="B255" s="33"/>
      <c r="C255" s="33" t="str">
        <f>IFERROR(IF(B255="","",VLOOKUP(B255,LISTAS!$F$5:$G$1004,2,0)),"0")</f>
        <v/>
      </c>
      <c r="D255" s="33" t="str">
        <f>IF(H255&lt;3,"",IF(H255=3,IF(D261&lt;&gt;"",IF(H261&lt;&gt;"",IF(D261&lt;&gt;H261,IF(D261&gt;H261,"V","D"),""),""),"")))</f>
        <v/>
      </c>
      <c r="E255" s="33" t="str">
        <f>IF(H255&lt;3,"",IF(H255=3,IF(D263&lt;&gt;"",IF(H263&lt;&gt;"",IF(D263&lt;&gt;H263,IF(D263&gt;H263,"V","D"),""),""),"")))</f>
        <v/>
      </c>
      <c r="F255" s="33" t="s">
        <v>81</v>
      </c>
      <c r="G255" s="33" t="s">
        <v>81</v>
      </c>
      <c r="H255" s="117">
        <f>COUNTA(B255:B257)</f>
        <v>0</v>
      </c>
      <c r="I255" s="33" t="str">
        <f>IF(B255&lt;&gt;"",1,"")</f>
        <v/>
      </c>
      <c r="J255" s="33" t="str">
        <f>IF(I255&lt;&gt;"",P255,"")</f>
        <v/>
      </c>
      <c r="K255" s="33" t="str">
        <f>IFERROR(IF(J255="","",VLOOKUP(J255,LISTAS!$F$5:$G$1004,2,0)),"0")</f>
        <v/>
      </c>
      <c r="L255" s="130" t="str">
        <f>IF(H255=3,"OURO",IF(H255=4,"OURO",IF(H255=5,"OURO","")))</f>
        <v/>
      </c>
      <c r="M255" s="20" t="str">
        <f>IF(B255&lt;&gt;"",COUNTIF(D255:G255,"V")+(SUMIF(B261:B263,B255,D261:E263)/1000)+(SUMIF(J261:J263,B255,H261:I263)/1000)-(SUMIF(B261:B263,B255,H261:I263)/1000)-(SUMIF(J261:J263,B255,D261:E263)/1000)+0.003,"")</f>
        <v/>
      </c>
      <c r="N255" s="20" t="str">
        <f>IF(B255="","",B255)</f>
        <v/>
      </c>
      <c r="O255" s="20" t="str">
        <f>IF(B255&lt;&gt;"",LARGE(M255:M257,1),"")</f>
        <v/>
      </c>
      <c r="P255" s="20" t="str">
        <f>VLOOKUP(O255,M255:N257,2,0)</f>
        <v/>
      </c>
    </row>
    <row r="256" spans="2:16" ht="18" customHeight="1" x14ac:dyDescent="0.25">
      <c r="B256" s="33"/>
      <c r="C256" s="33" t="str">
        <f>IFERROR(IF(B256="","",VLOOKUP(B256,LISTAS!$F$5:$G$1004,2,0)),"0")</f>
        <v/>
      </c>
      <c r="D256" s="33" t="str">
        <f>IF(H255&lt;3,"",IF(H255=3,IF(D262&lt;&gt;"",IF(H262&lt;&gt;"",IF(D262&lt;&gt;H262,IF(D262&gt;H262,"V","D"),""),""),"")))</f>
        <v/>
      </c>
      <c r="E256" s="33" t="str">
        <f>IF(H255&lt;3,"",IF(H255=3,IF(D263&lt;&gt;"",IF(H263&lt;&gt;"",IF(D263&lt;&gt;H263,IF(D263&gt;H263,"D","V"),""),""),"")))</f>
        <v/>
      </c>
      <c r="F256" s="33" t="s">
        <v>81</v>
      </c>
      <c r="G256" s="33" t="s">
        <v>81</v>
      </c>
      <c r="H256" s="117"/>
      <c r="I256" s="33" t="str">
        <f>IF(B256&lt;&gt;"",2,"")</f>
        <v/>
      </c>
      <c r="J256" s="33" t="str">
        <f>IF(I256&lt;&gt;"",P256,"")</f>
        <v/>
      </c>
      <c r="K256" s="33" t="str">
        <f>IFERROR(IF(J256="","",VLOOKUP(J256,LISTAS!$F$5:$G$1004,2,0)),"0")</f>
        <v/>
      </c>
      <c r="L256" s="130" t="str">
        <f>IF(H255=3,"PRATA",IF(H255=4,"OURO",IF(H255=5,"OURO","")))</f>
        <v/>
      </c>
      <c r="M256" s="20" t="str">
        <f>IF(B256&lt;&gt;"",COUNTIF(D256:G256,"V")+(SUMIF(B261:B263,B256,D261:E263)/1000)+(SUMIF(J261:J263,B256,H261:I263)/1000)-(SUMIF(B261:B263,B256,H261:I263)/1000)-(SUMIF(J261:J263,B256,D261:E263)/1000)+0.002,"")</f>
        <v/>
      </c>
      <c r="N256" s="20" t="str">
        <f t="shared" ref="N256" si="18">IF(B256="","",B256)</f>
        <v/>
      </c>
      <c r="O256" s="20" t="str">
        <f>IF(B256&lt;&gt;"",LARGE(M255:M257,2),"")</f>
        <v/>
      </c>
      <c r="P256" s="20" t="str">
        <f>VLOOKUP(O256,M255:N257,2,0)</f>
        <v/>
      </c>
    </row>
    <row r="257" spans="2:16" ht="18" customHeight="1" x14ac:dyDescent="0.25">
      <c r="B257" s="33"/>
      <c r="C257" s="33" t="str">
        <f>IFERROR(IF(B257="","",VLOOKUP(B257,LISTAS!$F$5:$G$1004,2,0)),"0")</f>
        <v/>
      </c>
      <c r="D257" s="33" t="str">
        <f>IF(H255&lt;3,"",IF(H255=3,IF(D261&lt;&gt;"",IF(H261&lt;&gt;"",IF(D261&lt;&gt;H261,IF(D261&gt;H261,"D","V"),""),""),"")))</f>
        <v/>
      </c>
      <c r="E257" s="33" t="str">
        <f>IF(H255&lt;3,"",IF(H255=3,IF(D262&lt;&gt;"",IF(H262&lt;&gt;"",IF(D262&lt;&gt;H262,IF(D262&gt;H262,"D","V"),""),""),"")))</f>
        <v/>
      </c>
      <c r="F257" s="33" t="s">
        <v>81</v>
      </c>
      <c r="G257" s="33" t="s">
        <v>81</v>
      </c>
      <c r="H257" s="117"/>
      <c r="I257" s="33" t="str">
        <f>IF(B257&lt;&gt;"",3,"")</f>
        <v/>
      </c>
      <c r="J257" s="33" t="str">
        <f>IF(I257&lt;&gt;"",P257,"")</f>
        <v/>
      </c>
      <c r="K257" s="33" t="str">
        <f>IFERROR(IF(J257="","",VLOOKUP(J257,LISTAS!$F$5:$G$1004,2,0)),"0")</f>
        <v/>
      </c>
      <c r="L257" s="130" t="str">
        <f>IF(H255=3,"BRONZE",IF(H255=4,"PRATA",IF(H255=5,"OURO","")))</f>
        <v/>
      </c>
      <c r="M257" s="20" t="str">
        <f>IF(B257&lt;&gt;"",COUNTIF(D257:G257,"V")+(SUMIF(B261:B263,B257,D261:E263)/1000)+(SUMIF(J261:J263,B257,H261:I263)/1000)-(SUMIF(B261:B263,B257,H261:I263)/1000)-(SUMIF(J261:J263,B257,D261:E263)/1000)+0.001,"")</f>
        <v/>
      </c>
      <c r="N257" s="20" t="str">
        <f>IF(B257="","",B257)</f>
        <v/>
      </c>
      <c r="O257" s="20" t="str">
        <f>IF(B257&lt;&gt;"",LARGE(M255:M257,3),"")</f>
        <v/>
      </c>
      <c r="P257" s="20" t="str">
        <f>VLOOKUP(O257,M255:N257,2,0)</f>
        <v/>
      </c>
    </row>
    <row r="258" spans="2:16" ht="18" customHeight="1" x14ac:dyDescent="0.25">
      <c r="B258" s="79"/>
      <c r="C258" s="79"/>
      <c r="D258" s="79"/>
      <c r="E258" s="79"/>
      <c r="F258" s="79"/>
      <c r="G258" s="79"/>
      <c r="I258" s="80"/>
      <c r="J258" s="79"/>
      <c r="K258" s="81"/>
      <c r="L258" s="81"/>
    </row>
    <row r="259" spans="2:16" ht="23.25" customHeight="1" x14ac:dyDescent="0.25">
      <c r="B259" s="82" t="s">
        <v>40</v>
      </c>
      <c r="C259" s="79"/>
      <c r="D259" s="79"/>
      <c r="E259" s="79"/>
      <c r="F259" s="79"/>
      <c r="G259" s="79"/>
      <c r="H259" s="79"/>
      <c r="I259" s="79"/>
      <c r="J259" s="79"/>
      <c r="K259" s="79"/>
      <c r="L259" s="79"/>
    </row>
    <row r="260" spans="2:16" ht="18" customHeight="1" x14ac:dyDescent="0.25">
      <c r="B260" s="132" t="s">
        <v>15</v>
      </c>
      <c r="C260" s="132" t="s">
        <v>0</v>
      </c>
      <c r="D260" s="258" t="s">
        <v>41</v>
      </c>
      <c r="E260" s="259"/>
      <c r="F260" s="259"/>
      <c r="G260" s="259"/>
      <c r="H260" s="259"/>
      <c r="I260" s="260"/>
      <c r="J260" s="132" t="s">
        <v>15</v>
      </c>
      <c r="K260" s="132" t="s">
        <v>0</v>
      </c>
      <c r="L260" s="79"/>
    </row>
    <row r="261" spans="2:16" ht="18" customHeight="1" x14ac:dyDescent="0.25">
      <c r="B261" s="33" t="str">
        <f>IF(H255=3,B255,"")</f>
        <v/>
      </c>
      <c r="C261" s="33" t="str">
        <f>IFERROR(IF(B261="","",VLOOKUP(B261,LISTAS!$F$5:$G$1004,2,0)),"0")</f>
        <v/>
      </c>
      <c r="D261" s="253"/>
      <c r="E261" s="254"/>
      <c r="F261" s="253" t="s">
        <v>38</v>
      </c>
      <c r="G261" s="254"/>
      <c r="H261" s="253"/>
      <c r="I261" s="254"/>
      <c r="J261" s="111" t="str">
        <f>IF(H255=3,B257,"")</f>
        <v/>
      </c>
      <c r="K261" s="33" t="str">
        <f>IFERROR(IF(J261="","",VLOOKUP(J261,LISTAS!$F$5:$G$1004,2,0)),"0")</f>
        <v/>
      </c>
      <c r="L261" s="81"/>
    </row>
    <row r="262" spans="2:16" ht="18" customHeight="1" x14ac:dyDescent="0.25">
      <c r="B262" s="33" t="str">
        <f>IF(H255=3,B256,"")</f>
        <v/>
      </c>
      <c r="C262" s="33" t="str">
        <f>IFERROR(IF(B262="","",VLOOKUP(B262,LISTAS!$F$5:$G$1004,2,0)),"0")</f>
        <v/>
      </c>
      <c r="D262" s="253"/>
      <c r="E262" s="254"/>
      <c r="F262" s="253" t="s">
        <v>38</v>
      </c>
      <c r="G262" s="254"/>
      <c r="H262" s="253"/>
      <c r="I262" s="254"/>
      <c r="J262" s="111" t="str">
        <f>IF(H255=3,B257,"")</f>
        <v/>
      </c>
      <c r="K262" s="33" t="str">
        <f>IFERROR(IF(J262="","",VLOOKUP(J262,LISTAS!$F$5:$G$1004,2,0)),"0")</f>
        <v/>
      </c>
      <c r="L262" s="79"/>
    </row>
    <row r="263" spans="2:16" ht="18" customHeight="1" x14ac:dyDescent="0.25">
      <c r="B263" s="33" t="str">
        <f>IF(H255=3,B255,"")</f>
        <v/>
      </c>
      <c r="C263" s="33" t="str">
        <f>IFERROR(IF(B263="","",VLOOKUP(B263,LISTAS!$F$5:$G$1004,2,0)),"0")</f>
        <v/>
      </c>
      <c r="D263" s="253"/>
      <c r="E263" s="254"/>
      <c r="F263" s="253" t="s">
        <v>38</v>
      </c>
      <c r="G263" s="254"/>
      <c r="H263" s="253"/>
      <c r="I263" s="254"/>
      <c r="J263" s="111" t="str">
        <f>IF(H255=3,B256,"")</f>
        <v/>
      </c>
      <c r="K263" s="33" t="str">
        <f>IFERROR(IF(J263="","",VLOOKUP(J263,LISTAS!$F$5:$G$1004,2,0)),"0")</f>
        <v/>
      </c>
      <c r="L263" s="81"/>
    </row>
    <row r="266" spans="2:16" ht="30" customHeight="1" x14ac:dyDescent="0.25">
      <c r="B266" s="161" t="s">
        <v>64</v>
      </c>
      <c r="C266" s="79"/>
      <c r="D266" s="255" t="s">
        <v>42</v>
      </c>
      <c r="E266" s="256"/>
      <c r="F266" s="256"/>
      <c r="G266" s="257"/>
      <c r="H266" s="113"/>
      <c r="I266" s="255" t="s">
        <v>3</v>
      </c>
      <c r="J266" s="256"/>
      <c r="K266" s="256"/>
      <c r="L266" s="256"/>
    </row>
    <row r="267" spans="2:16" ht="18" customHeight="1" x14ac:dyDescent="0.25">
      <c r="B267" s="132" t="s">
        <v>15</v>
      </c>
      <c r="C267" s="132" t="s">
        <v>0</v>
      </c>
      <c r="D267" s="132" t="s">
        <v>43</v>
      </c>
      <c r="E267" s="132" t="s">
        <v>44</v>
      </c>
      <c r="F267" s="132" t="s">
        <v>77</v>
      </c>
      <c r="G267" s="132" t="s">
        <v>78</v>
      </c>
      <c r="H267" s="114"/>
      <c r="I267" s="132" t="s">
        <v>18</v>
      </c>
      <c r="J267" s="132" t="s">
        <v>15</v>
      </c>
      <c r="K267" s="132" t="s">
        <v>0</v>
      </c>
      <c r="L267" s="132" t="s">
        <v>45</v>
      </c>
    </row>
    <row r="268" spans="2:16" ht="18" customHeight="1" x14ac:dyDescent="0.25">
      <c r="B268" s="33"/>
      <c r="C268" s="33" t="str">
        <f>IFERROR(IF(B268="","",VLOOKUP(B268,LISTAS!$F$5:$G$1004,2,0)),"0")</f>
        <v/>
      </c>
      <c r="D268" s="33" t="str">
        <f>IF(H268&lt;3,"",IF(H268=3,IF(D274&lt;&gt;"",IF(H274&lt;&gt;"",IF(D274&lt;&gt;H274,IF(D274&gt;H274,"V","D"),""),""),"")))</f>
        <v/>
      </c>
      <c r="E268" s="33" t="str">
        <f>IF(H268&lt;3,"",IF(H268=3,IF(D276&lt;&gt;"",IF(H276&lt;&gt;"",IF(D276&lt;&gt;H276,IF(D276&gt;H276,"V","D"),""),""),"")))</f>
        <v/>
      </c>
      <c r="F268" s="33" t="s">
        <v>81</v>
      </c>
      <c r="G268" s="33" t="s">
        <v>81</v>
      </c>
      <c r="H268" s="117">
        <f>COUNTA(B268:B270)</f>
        <v>0</v>
      </c>
      <c r="I268" s="33" t="str">
        <f>IF(B268&lt;&gt;"",1,"")</f>
        <v/>
      </c>
      <c r="J268" s="33" t="str">
        <f>IF(I268&lt;&gt;"",P268,"")</f>
        <v/>
      </c>
      <c r="K268" s="33" t="str">
        <f>IFERROR(IF(J268="","",VLOOKUP(J268,LISTAS!$F$5:$G$1004,2,0)),"0")</f>
        <v/>
      </c>
      <c r="L268" s="130" t="str">
        <f>IF(H268=3,"OURO",IF(H268=4,"OURO",IF(H268=5,"OURO","")))</f>
        <v/>
      </c>
      <c r="M268" s="20" t="str">
        <f>IF(B268&lt;&gt;"",COUNTIF(D268:G268,"V")+(SUMIF(B274:B276,B268,D274:E276)/1000)+(SUMIF(J274:J276,B268,H274:I276)/1000)-(SUMIF(B274:B276,B268,H274:I276)/1000)-(SUMIF(J274:J276,B268,D274:E276)/1000)+0.003,"")</f>
        <v/>
      </c>
      <c r="N268" s="20" t="str">
        <f>IF(B268="","",B268)</f>
        <v/>
      </c>
      <c r="O268" s="20" t="str">
        <f>IF(B268&lt;&gt;"",LARGE(M268:M270,1),"")</f>
        <v/>
      </c>
      <c r="P268" s="20" t="str">
        <f>VLOOKUP(O268,M268:N270,2,0)</f>
        <v/>
      </c>
    </row>
    <row r="269" spans="2:16" ht="18" customHeight="1" x14ac:dyDescent="0.25">
      <c r="B269" s="33"/>
      <c r="C269" s="33" t="str">
        <f>IFERROR(IF(B269="","",VLOOKUP(B269,LISTAS!$F$5:$G$1004,2,0)),"0")</f>
        <v/>
      </c>
      <c r="D269" s="33" t="str">
        <f>IF(H268&lt;3,"",IF(H268=3,IF(D275&lt;&gt;"",IF(H275&lt;&gt;"",IF(D275&lt;&gt;H275,IF(D275&gt;H275,"V","D"),""),""),"")))</f>
        <v/>
      </c>
      <c r="E269" s="33" t="str">
        <f>IF(H268&lt;3,"",IF(H268=3,IF(D276&lt;&gt;"",IF(H276&lt;&gt;"",IF(D276&lt;&gt;H276,IF(D276&gt;H276,"D","V"),""),""),"")))</f>
        <v/>
      </c>
      <c r="F269" s="33" t="s">
        <v>81</v>
      </c>
      <c r="G269" s="33" t="s">
        <v>81</v>
      </c>
      <c r="H269" s="117"/>
      <c r="I269" s="33" t="str">
        <f>IF(B269&lt;&gt;"",2,"")</f>
        <v/>
      </c>
      <c r="J269" s="33" t="str">
        <f>IF(I269&lt;&gt;"",P269,"")</f>
        <v/>
      </c>
      <c r="K269" s="33" t="str">
        <f>IFERROR(IF(J269="","",VLOOKUP(J269,LISTAS!$F$5:$G$1004,2,0)),"0")</f>
        <v/>
      </c>
      <c r="L269" s="130" t="str">
        <f>IF(H268=3,"PRATA",IF(H268=4,"OURO",IF(H268=5,"OURO","")))</f>
        <v/>
      </c>
      <c r="M269" s="20" t="str">
        <f>IF(B269&lt;&gt;"",COUNTIF(D269:G269,"V")+(SUMIF(B274:B276,B269,D274:E276)/1000)+(SUMIF(J274:J276,B269,H274:I276)/1000)-(SUMIF(B274:B276,B269,H274:I276)/1000)-(SUMIF(J274:J276,B269,D274:E276)/1000)+0.002,"")</f>
        <v/>
      </c>
      <c r="N269" s="20" t="str">
        <f t="shared" ref="N269" si="19">IF(B269="","",B269)</f>
        <v/>
      </c>
      <c r="O269" s="20" t="str">
        <f>IF(B269&lt;&gt;"",LARGE(M268:M270,2),"")</f>
        <v/>
      </c>
      <c r="P269" s="20" t="str">
        <f>VLOOKUP(O269,M268:N270,2,0)</f>
        <v/>
      </c>
    </row>
    <row r="270" spans="2:16" ht="18" customHeight="1" x14ac:dyDescent="0.25">
      <c r="B270" s="33"/>
      <c r="C270" s="33" t="str">
        <f>IFERROR(IF(B270="","",VLOOKUP(B270,LISTAS!$F$5:$G$1004,2,0)),"0")</f>
        <v/>
      </c>
      <c r="D270" s="33" t="str">
        <f>IF(H268&lt;3,"",IF(H268=3,IF(D274&lt;&gt;"",IF(H274&lt;&gt;"",IF(D274&lt;&gt;H274,IF(D274&gt;H274,"D","V"),""),""),"")))</f>
        <v/>
      </c>
      <c r="E270" s="33" t="str">
        <f>IF(H268&lt;3,"",IF(H268=3,IF(D275&lt;&gt;"",IF(H275&lt;&gt;"",IF(D275&lt;&gt;H275,IF(D275&gt;H275,"D","V"),""),""),"")))</f>
        <v/>
      </c>
      <c r="F270" s="33" t="s">
        <v>81</v>
      </c>
      <c r="G270" s="33" t="s">
        <v>81</v>
      </c>
      <c r="H270" s="117"/>
      <c r="I270" s="33" t="str">
        <f>IF(B270&lt;&gt;"",3,"")</f>
        <v/>
      </c>
      <c r="J270" s="33" t="str">
        <f>IF(I270&lt;&gt;"",P270,"")</f>
        <v/>
      </c>
      <c r="K270" s="33" t="str">
        <f>IFERROR(IF(J270="","",VLOOKUP(J270,LISTAS!$F$5:$G$1004,2,0)),"0")</f>
        <v/>
      </c>
      <c r="L270" s="130" t="str">
        <f>IF(H268=3,"BRONZE",IF(H268=4,"PRATA",IF(H268=5,"OURO","")))</f>
        <v/>
      </c>
      <c r="M270" s="20" t="str">
        <f>IF(B270&lt;&gt;"",COUNTIF(D270:G270,"V")+(SUMIF(B274:B276,B270,D274:E276)/1000)+(SUMIF(J274:J276,B270,H274:I276)/1000)-(SUMIF(B274:B276,B270,H274:I276)/1000)-(SUMIF(J274:J276,B270,D274:E276)/1000)+0.001,"")</f>
        <v/>
      </c>
      <c r="N270" s="20" t="str">
        <f>IF(B270="","",B270)</f>
        <v/>
      </c>
      <c r="O270" s="20" t="str">
        <f>IF(B270&lt;&gt;"",LARGE(M268:M270,3),"")</f>
        <v/>
      </c>
      <c r="P270" s="20" t="str">
        <f>VLOOKUP(O270,M268:N270,2,0)</f>
        <v/>
      </c>
    </row>
    <row r="271" spans="2:16" ht="18" customHeight="1" x14ac:dyDescent="0.25">
      <c r="B271" s="79"/>
      <c r="C271" s="79"/>
      <c r="D271" s="79"/>
      <c r="E271" s="79"/>
      <c r="F271" s="79"/>
      <c r="G271" s="79"/>
      <c r="I271" s="80"/>
      <c r="J271" s="79"/>
      <c r="K271" s="81"/>
      <c r="L271" s="81"/>
    </row>
    <row r="272" spans="2:16" ht="23.25" customHeight="1" x14ac:dyDescent="0.25">
      <c r="B272" s="82" t="s">
        <v>40</v>
      </c>
      <c r="C272" s="79"/>
      <c r="D272" s="79"/>
      <c r="E272" s="79"/>
      <c r="F272" s="79"/>
      <c r="G272" s="79"/>
      <c r="H272" s="79"/>
      <c r="I272" s="79"/>
      <c r="J272" s="79"/>
      <c r="K272" s="79"/>
      <c r="L272" s="79"/>
    </row>
    <row r="273" spans="2:16" ht="18" customHeight="1" x14ac:dyDescent="0.25">
      <c r="B273" s="132" t="s">
        <v>15</v>
      </c>
      <c r="C273" s="132" t="s">
        <v>0</v>
      </c>
      <c r="D273" s="258" t="s">
        <v>41</v>
      </c>
      <c r="E273" s="259"/>
      <c r="F273" s="259"/>
      <c r="G273" s="259"/>
      <c r="H273" s="259"/>
      <c r="I273" s="260"/>
      <c r="J273" s="132" t="s">
        <v>15</v>
      </c>
      <c r="K273" s="132" t="s">
        <v>0</v>
      </c>
      <c r="L273" s="79"/>
    </row>
    <row r="274" spans="2:16" ht="18" customHeight="1" x14ac:dyDescent="0.25">
      <c r="B274" s="33" t="str">
        <f>IF(H268=3,B268,"")</f>
        <v/>
      </c>
      <c r="C274" s="33" t="str">
        <f>IFERROR(IF(B274="","",VLOOKUP(B274,LISTAS!$F$5:$G$1004,2,0)),"0")</f>
        <v/>
      </c>
      <c r="D274" s="253"/>
      <c r="E274" s="254"/>
      <c r="F274" s="253" t="s">
        <v>38</v>
      </c>
      <c r="G274" s="254"/>
      <c r="H274" s="253"/>
      <c r="I274" s="254"/>
      <c r="J274" s="111" t="str">
        <f>IF(H268=3,B270,"")</f>
        <v/>
      </c>
      <c r="K274" s="33" t="str">
        <f>IFERROR(IF(J274="","",VLOOKUP(J274,LISTAS!$F$5:$G$1004,2,0)),"0")</f>
        <v/>
      </c>
      <c r="L274" s="81"/>
    </row>
    <row r="275" spans="2:16" ht="18" customHeight="1" x14ac:dyDescent="0.25">
      <c r="B275" s="33" t="str">
        <f>IF(H268=3,B269,"")</f>
        <v/>
      </c>
      <c r="C275" s="33" t="str">
        <f>IFERROR(IF(B275="","",VLOOKUP(B275,LISTAS!$F$5:$G$1004,2,0)),"0")</f>
        <v/>
      </c>
      <c r="D275" s="253"/>
      <c r="E275" s="254"/>
      <c r="F275" s="253" t="s">
        <v>38</v>
      </c>
      <c r="G275" s="254"/>
      <c r="H275" s="253"/>
      <c r="I275" s="254"/>
      <c r="J275" s="111" t="str">
        <f>IF(H268=3,B270,"")</f>
        <v/>
      </c>
      <c r="K275" s="33" t="str">
        <f>IFERROR(IF(J275="","",VLOOKUP(J275,LISTAS!$F$5:$G$1004,2,0)),"0")</f>
        <v/>
      </c>
      <c r="L275" s="79"/>
    </row>
    <row r="276" spans="2:16" ht="18" customHeight="1" x14ac:dyDescent="0.25">
      <c r="B276" s="33" t="str">
        <f>IF(H268=3,B268,"")</f>
        <v/>
      </c>
      <c r="C276" s="33" t="str">
        <f>IFERROR(IF(B276="","",VLOOKUP(B276,LISTAS!$F$5:$G$1004,2,0)),"0")</f>
        <v/>
      </c>
      <c r="D276" s="253"/>
      <c r="E276" s="254"/>
      <c r="F276" s="253" t="s">
        <v>38</v>
      </c>
      <c r="G276" s="254"/>
      <c r="H276" s="253"/>
      <c r="I276" s="254"/>
      <c r="J276" s="111" t="str">
        <f>IF(H268=3,B269,"")</f>
        <v/>
      </c>
      <c r="K276" s="33" t="str">
        <f>IFERROR(IF(J276="","",VLOOKUP(J276,LISTAS!$F$5:$G$1004,2,0)),"0")</f>
        <v/>
      </c>
      <c r="L276" s="81"/>
    </row>
    <row r="279" spans="2:16" ht="30" customHeight="1" x14ac:dyDescent="0.25">
      <c r="B279" s="161" t="s">
        <v>65</v>
      </c>
      <c r="C279" s="79"/>
      <c r="D279" s="255" t="s">
        <v>42</v>
      </c>
      <c r="E279" s="256"/>
      <c r="F279" s="256"/>
      <c r="G279" s="257"/>
      <c r="H279" s="113"/>
      <c r="I279" s="255" t="s">
        <v>3</v>
      </c>
      <c r="J279" s="256"/>
      <c r="K279" s="256"/>
      <c r="L279" s="256"/>
    </row>
    <row r="280" spans="2:16" ht="18" customHeight="1" x14ac:dyDescent="0.25">
      <c r="B280" s="132" t="s">
        <v>15</v>
      </c>
      <c r="C280" s="132" t="s">
        <v>0</v>
      </c>
      <c r="D280" s="132" t="s">
        <v>43</v>
      </c>
      <c r="E280" s="132" t="s">
        <v>44</v>
      </c>
      <c r="F280" s="132" t="s">
        <v>77</v>
      </c>
      <c r="G280" s="132" t="s">
        <v>78</v>
      </c>
      <c r="H280" s="114"/>
      <c r="I280" s="132" t="s">
        <v>18</v>
      </c>
      <c r="J280" s="132" t="s">
        <v>15</v>
      </c>
      <c r="K280" s="132" t="s">
        <v>0</v>
      </c>
      <c r="L280" s="132" t="s">
        <v>45</v>
      </c>
    </row>
    <row r="281" spans="2:16" ht="18" customHeight="1" x14ac:dyDescent="0.25">
      <c r="B281" s="33"/>
      <c r="C281" s="33" t="str">
        <f>IFERROR(IF(B281="","",VLOOKUP(B281,LISTAS!$F$5:$G$1004,2,0)),"0")</f>
        <v/>
      </c>
      <c r="D281" s="33" t="str">
        <f>IF(H281&lt;3,"",IF(H281=3,IF(D287&lt;&gt;"",IF(H287&lt;&gt;"",IF(D287&lt;&gt;H287,IF(D287&gt;H287,"V","D"),""),""),"")))</f>
        <v/>
      </c>
      <c r="E281" s="33" t="str">
        <f>IF(H281&lt;3,"",IF(H281=3,IF(D289&lt;&gt;"",IF(H289&lt;&gt;"",IF(D289&lt;&gt;H289,IF(D289&gt;H289,"V","D"),""),""),"")))</f>
        <v/>
      </c>
      <c r="F281" s="33" t="s">
        <v>81</v>
      </c>
      <c r="G281" s="33" t="s">
        <v>81</v>
      </c>
      <c r="H281" s="117">
        <f>COUNTA(B281:B283)</f>
        <v>0</v>
      </c>
      <c r="I281" s="33" t="str">
        <f>IF(B281&lt;&gt;"",1,"")</f>
        <v/>
      </c>
      <c r="J281" s="33" t="str">
        <f>IF(I281&lt;&gt;"",P281,"")</f>
        <v/>
      </c>
      <c r="K281" s="33" t="str">
        <f>IFERROR(IF(J281="","",VLOOKUP(J281,LISTAS!$F$5:$G$1004,2,0)),"0")</f>
        <v/>
      </c>
      <c r="L281" s="130" t="str">
        <f>IF(H281=3,"OURO",IF(H281=4,"OURO",IF(H281=5,"OURO","")))</f>
        <v/>
      </c>
      <c r="M281" s="20" t="str">
        <f>IF(B281&lt;&gt;"",COUNTIF(D281:G281,"V")+(SUMIF(B287:B289,B281,D287:E289)/1000)+(SUMIF(J287:J289,B281,H287:I289)/1000)-(SUMIF(B287:B289,B281,H287:I289)/1000)-(SUMIF(J287:J289,B281,D287:E289)/1000)+0.003,"")</f>
        <v/>
      </c>
      <c r="N281" s="20" t="str">
        <f>IF(B281="","",B281)</f>
        <v/>
      </c>
      <c r="O281" s="20" t="str">
        <f>IF(B281&lt;&gt;"",LARGE(M281:M283,1),"")</f>
        <v/>
      </c>
      <c r="P281" s="20" t="str">
        <f>VLOOKUP(O281,M281:N283,2,0)</f>
        <v/>
      </c>
    </row>
    <row r="282" spans="2:16" ht="18" customHeight="1" x14ac:dyDescent="0.25">
      <c r="B282" s="33"/>
      <c r="C282" s="33" t="str">
        <f>IFERROR(IF(B282="","",VLOOKUP(B282,LISTAS!$F$5:$G$1004,2,0)),"0")</f>
        <v/>
      </c>
      <c r="D282" s="33" t="str">
        <f>IF(H281&lt;3,"",IF(H281=3,IF(D288&lt;&gt;"",IF(H288&lt;&gt;"",IF(D288&lt;&gt;H288,IF(D288&gt;H288,"V","D"),""),""),"")))</f>
        <v/>
      </c>
      <c r="E282" s="33" t="str">
        <f>IF(H281&lt;3,"",IF(H281=3,IF(D289&lt;&gt;"",IF(H289&lt;&gt;"",IF(D289&lt;&gt;H289,IF(D289&gt;H289,"D","V"),""),""),"")))</f>
        <v/>
      </c>
      <c r="F282" s="33" t="s">
        <v>81</v>
      </c>
      <c r="G282" s="33" t="s">
        <v>81</v>
      </c>
      <c r="H282" s="117"/>
      <c r="I282" s="33" t="str">
        <f>IF(B282&lt;&gt;"",2,"")</f>
        <v/>
      </c>
      <c r="J282" s="33" t="str">
        <f>IF(I282&lt;&gt;"",P282,"")</f>
        <v/>
      </c>
      <c r="K282" s="33" t="str">
        <f>IFERROR(IF(J282="","",VLOOKUP(J282,LISTAS!$F$5:$G$1004,2,0)),"0")</f>
        <v/>
      </c>
      <c r="L282" s="130" t="str">
        <f>IF(H281=3,"PRATA",IF(H281=4,"OURO",IF(H281=5,"OURO","")))</f>
        <v/>
      </c>
      <c r="M282" s="20" t="str">
        <f>IF(B282&lt;&gt;"",COUNTIF(D282:G282,"V")+(SUMIF(B287:B289,B282,D287:E289)/1000)+(SUMIF(J287:J289,B282,H287:I289)/1000)-(SUMIF(B287:B289,B282,H287:I289)/1000)-(SUMIF(J287:J289,B282,D287:E289)/1000)+0.002,"")</f>
        <v/>
      </c>
      <c r="N282" s="20" t="str">
        <f t="shared" ref="N282" si="20">IF(B282="","",B282)</f>
        <v/>
      </c>
      <c r="O282" s="20" t="str">
        <f>IF(B282&lt;&gt;"",LARGE(M281:M283,2),"")</f>
        <v/>
      </c>
      <c r="P282" s="20" t="str">
        <f>VLOOKUP(O282,M281:N283,2,0)</f>
        <v/>
      </c>
    </row>
    <row r="283" spans="2:16" ht="18" customHeight="1" x14ac:dyDescent="0.25">
      <c r="B283" s="33"/>
      <c r="C283" s="33" t="str">
        <f>IFERROR(IF(B283="","",VLOOKUP(B283,LISTAS!$F$5:$G$1004,2,0)),"0")</f>
        <v/>
      </c>
      <c r="D283" s="33" t="str">
        <f>IF(H281&lt;3,"",IF(H281=3,IF(D287&lt;&gt;"",IF(H287&lt;&gt;"",IF(D287&lt;&gt;H287,IF(D287&gt;H287,"D","V"),""),""),"")))</f>
        <v/>
      </c>
      <c r="E283" s="33" t="str">
        <f>IF(H281&lt;3,"",IF(H281=3,IF(D288&lt;&gt;"",IF(H288&lt;&gt;"",IF(D288&lt;&gt;H288,IF(D288&gt;H288,"D","V"),""),""),"")))</f>
        <v/>
      </c>
      <c r="F283" s="33" t="s">
        <v>81</v>
      </c>
      <c r="G283" s="33" t="s">
        <v>81</v>
      </c>
      <c r="H283" s="117"/>
      <c r="I283" s="33" t="str">
        <f>IF(B283&lt;&gt;"",3,"")</f>
        <v/>
      </c>
      <c r="J283" s="33" t="str">
        <f>IF(I283&lt;&gt;"",P283,"")</f>
        <v/>
      </c>
      <c r="K283" s="33" t="str">
        <f>IFERROR(IF(J283="","",VLOOKUP(J283,LISTAS!$F$5:$G$1004,2,0)),"0")</f>
        <v/>
      </c>
      <c r="L283" s="130" t="str">
        <f>IF(H281=3,"BRONZE",IF(H281=4,"PRATA",IF(H281=5,"OURO","")))</f>
        <v/>
      </c>
      <c r="M283" s="20" t="str">
        <f>IF(B283&lt;&gt;"",COUNTIF(D283:G283,"V")+(SUMIF(B287:B289,B283,D287:E289)/1000)+(SUMIF(J287:J289,B283,H287:I289)/1000)-(SUMIF(B287:B289,B283,H287:I289)/1000)-(SUMIF(J287:J289,B283,D287:E289)/1000)+0.001,"")</f>
        <v/>
      </c>
      <c r="N283" s="20" t="str">
        <f>IF(B283="","",B283)</f>
        <v/>
      </c>
      <c r="O283" s="20" t="str">
        <f>IF(B283&lt;&gt;"",LARGE(M281:M283,3),"")</f>
        <v/>
      </c>
      <c r="P283" s="20" t="str">
        <f>VLOOKUP(O283,M281:N283,2,0)</f>
        <v/>
      </c>
    </row>
    <row r="284" spans="2:16" ht="18" customHeight="1" x14ac:dyDescent="0.25">
      <c r="B284" s="79"/>
      <c r="C284" s="79"/>
      <c r="D284" s="79"/>
      <c r="E284" s="79"/>
      <c r="F284" s="79"/>
      <c r="G284" s="79"/>
      <c r="I284" s="80"/>
      <c r="J284" s="79"/>
      <c r="K284" s="81"/>
      <c r="L284" s="81"/>
    </row>
    <row r="285" spans="2:16" ht="23.25" customHeight="1" x14ac:dyDescent="0.25">
      <c r="B285" s="82" t="s">
        <v>40</v>
      </c>
      <c r="C285" s="79"/>
      <c r="D285" s="79"/>
      <c r="E285" s="79"/>
      <c r="F285" s="79"/>
      <c r="G285" s="79"/>
      <c r="H285" s="79"/>
      <c r="I285" s="79"/>
      <c r="J285" s="79"/>
      <c r="K285" s="79"/>
      <c r="L285" s="79"/>
    </row>
    <row r="286" spans="2:16" ht="18" customHeight="1" x14ac:dyDescent="0.25">
      <c r="B286" s="132" t="s">
        <v>15</v>
      </c>
      <c r="C286" s="132" t="s">
        <v>0</v>
      </c>
      <c r="D286" s="258" t="s">
        <v>41</v>
      </c>
      <c r="E286" s="259"/>
      <c r="F286" s="259"/>
      <c r="G286" s="259"/>
      <c r="H286" s="259"/>
      <c r="I286" s="260"/>
      <c r="J286" s="132" t="s">
        <v>15</v>
      </c>
      <c r="K286" s="132" t="s">
        <v>0</v>
      </c>
      <c r="L286" s="79"/>
    </row>
    <row r="287" spans="2:16" ht="18" customHeight="1" x14ac:dyDescent="0.25">
      <c r="B287" s="33" t="str">
        <f>IF(H281=3,B281,"")</f>
        <v/>
      </c>
      <c r="C287" s="33" t="str">
        <f>IFERROR(IF(B287="","",VLOOKUP(B287,LISTAS!$F$5:$G$1004,2,0)),"0")</f>
        <v/>
      </c>
      <c r="D287" s="253"/>
      <c r="E287" s="254"/>
      <c r="F287" s="253" t="s">
        <v>38</v>
      </c>
      <c r="G287" s="254"/>
      <c r="H287" s="253"/>
      <c r="I287" s="254"/>
      <c r="J287" s="111" t="str">
        <f>IF(H281=3,B283,"")</f>
        <v/>
      </c>
      <c r="K287" s="33" t="str">
        <f>IFERROR(IF(J287="","",VLOOKUP(J287,LISTAS!$F$5:$G$1004,2,0)),"0")</f>
        <v/>
      </c>
      <c r="L287" s="81"/>
    </row>
    <row r="288" spans="2:16" ht="18" customHeight="1" x14ac:dyDescent="0.25">
      <c r="B288" s="33" t="str">
        <f>IF(H281=3,B282,"")</f>
        <v/>
      </c>
      <c r="C288" s="33" t="str">
        <f>IFERROR(IF(B288="","",VLOOKUP(B288,LISTAS!$F$5:$G$1004,2,0)),"0")</f>
        <v/>
      </c>
      <c r="D288" s="253"/>
      <c r="E288" s="254"/>
      <c r="F288" s="253" t="s">
        <v>38</v>
      </c>
      <c r="G288" s="254"/>
      <c r="H288" s="253"/>
      <c r="I288" s="254"/>
      <c r="J288" s="111" t="str">
        <f>IF(H281=3,B283,"")</f>
        <v/>
      </c>
      <c r="K288" s="33" t="str">
        <f>IFERROR(IF(J288="","",VLOOKUP(J288,LISTAS!$F$5:$G$1004,2,0)),"0")</f>
        <v/>
      </c>
      <c r="L288" s="79"/>
    </row>
    <row r="289" spans="2:16" ht="18" customHeight="1" x14ac:dyDescent="0.25">
      <c r="B289" s="33" t="str">
        <f>IF(H281=3,B281,"")</f>
        <v/>
      </c>
      <c r="C289" s="33" t="str">
        <f>IFERROR(IF(B289="","",VLOOKUP(B289,LISTAS!$F$5:$G$1004,2,0)),"0")</f>
        <v/>
      </c>
      <c r="D289" s="253"/>
      <c r="E289" s="254"/>
      <c r="F289" s="253" t="s">
        <v>38</v>
      </c>
      <c r="G289" s="254"/>
      <c r="H289" s="253"/>
      <c r="I289" s="254"/>
      <c r="J289" s="111" t="str">
        <f>IF(H281=3,B282,"")</f>
        <v/>
      </c>
      <c r="K289" s="33" t="str">
        <f>IFERROR(IF(J289="","",VLOOKUP(J289,LISTAS!$F$5:$G$1004,2,0)),"0")</f>
        <v/>
      </c>
      <c r="L289" s="81"/>
    </row>
    <row r="292" spans="2:16" ht="30" customHeight="1" x14ac:dyDescent="0.25">
      <c r="B292" s="161" t="s">
        <v>66</v>
      </c>
      <c r="C292" s="79"/>
      <c r="D292" s="255" t="s">
        <v>42</v>
      </c>
      <c r="E292" s="256"/>
      <c r="F292" s="256"/>
      <c r="G292" s="257"/>
      <c r="H292" s="113"/>
      <c r="I292" s="255" t="s">
        <v>3</v>
      </c>
      <c r="J292" s="256"/>
      <c r="K292" s="256"/>
      <c r="L292" s="256"/>
    </row>
    <row r="293" spans="2:16" ht="18" customHeight="1" x14ac:dyDescent="0.25">
      <c r="B293" s="132" t="s">
        <v>15</v>
      </c>
      <c r="C293" s="132" t="s">
        <v>0</v>
      </c>
      <c r="D293" s="132" t="s">
        <v>43</v>
      </c>
      <c r="E293" s="132" t="s">
        <v>44</v>
      </c>
      <c r="F293" s="132" t="s">
        <v>77</v>
      </c>
      <c r="G293" s="132" t="s">
        <v>78</v>
      </c>
      <c r="H293" s="114"/>
      <c r="I293" s="132" t="s">
        <v>18</v>
      </c>
      <c r="J293" s="132" t="s">
        <v>15</v>
      </c>
      <c r="K293" s="132" t="s">
        <v>0</v>
      </c>
      <c r="L293" s="132" t="s">
        <v>45</v>
      </c>
    </row>
    <row r="294" spans="2:16" ht="18" customHeight="1" x14ac:dyDescent="0.25">
      <c r="B294" s="33"/>
      <c r="C294" s="33" t="str">
        <f>IFERROR(IF(B294="","",VLOOKUP(B294,LISTAS!$F$5:$G$1004,2,0)),"0")</f>
        <v/>
      </c>
      <c r="D294" s="33" t="str">
        <f>IF(H294&lt;3,"",IF(H294=3,IF(D300&lt;&gt;"",IF(H300&lt;&gt;"",IF(D300&lt;&gt;H300,IF(D300&gt;H300,"V","D"),""),""),"")))</f>
        <v/>
      </c>
      <c r="E294" s="33" t="str">
        <f>IF(H294&lt;3,"",IF(H294=3,IF(D302&lt;&gt;"",IF(H302&lt;&gt;"",IF(D302&lt;&gt;H302,IF(D302&gt;H302,"V","D"),""),""),"")))</f>
        <v/>
      </c>
      <c r="F294" s="33" t="s">
        <v>81</v>
      </c>
      <c r="G294" s="33" t="s">
        <v>81</v>
      </c>
      <c r="H294" s="117">
        <f>COUNTA(B294:B296)</f>
        <v>0</v>
      </c>
      <c r="I294" s="33" t="str">
        <f>IF(B294&lt;&gt;"",1,"")</f>
        <v/>
      </c>
      <c r="J294" s="33" t="str">
        <f>IF(I294&lt;&gt;"",P294,"")</f>
        <v/>
      </c>
      <c r="K294" s="33" t="str">
        <f>IFERROR(IF(J294="","",VLOOKUP(J294,LISTAS!$F$5:$G$1004,2,0)),"0")</f>
        <v/>
      </c>
      <c r="L294" s="130" t="str">
        <f>IF(H294=3,"OURO",IF(H294=4,"OURO",IF(H294=5,"OURO","")))</f>
        <v/>
      </c>
      <c r="M294" s="20" t="str">
        <f>IF(B294&lt;&gt;"",COUNTIF(D294:G294,"V")+(SUMIF(B300:B302,B294,D300:E302)/1000)+(SUMIF(J300:J302,B294,H300:I302)/1000)-(SUMIF(B300:B302,B294,H300:I302)/1000)-(SUMIF(J300:J302,B294,D300:E302)/1000)+0.003,"")</f>
        <v/>
      </c>
      <c r="N294" s="20" t="str">
        <f>IF(B294="","",B294)</f>
        <v/>
      </c>
      <c r="O294" s="20" t="str">
        <f>IF(B294&lt;&gt;"",LARGE(M294:M296,1),"")</f>
        <v/>
      </c>
      <c r="P294" s="20" t="str">
        <f>VLOOKUP(O294,M294:N296,2,0)</f>
        <v/>
      </c>
    </row>
    <row r="295" spans="2:16" ht="18" customHeight="1" x14ac:dyDescent="0.25">
      <c r="B295" s="33"/>
      <c r="C295" s="33" t="str">
        <f>IFERROR(IF(B295="","",VLOOKUP(B295,LISTAS!$F$5:$G$1004,2,0)),"0")</f>
        <v/>
      </c>
      <c r="D295" s="33" t="str">
        <f>IF(H294&lt;3,"",IF(H294=3,IF(D301&lt;&gt;"",IF(H301&lt;&gt;"",IF(D301&lt;&gt;H301,IF(D301&gt;H301,"V","D"),""),""),"")))</f>
        <v/>
      </c>
      <c r="E295" s="33" t="str">
        <f>IF(H294&lt;3,"",IF(H294=3,IF(D302&lt;&gt;"",IF(H302&lt;&gt;"",IF(D302&lt;&gt;H302,IF(D302&gt;H302,"D","V"),""),""),"")))</f>
        <v/>
      </c>
      <c r="F295" s="33" t="s">
        <v>81</v>
      </c>
      <c r="G295" s="33" t="s">
        <v>81</v>
      </c>
      <c r="H295" s="117"/>
      <c r="I295" s="33" t="str">
        <f>IF(B295&lt;&gt;"",2,"")</f>
        <v/>
      </c>
      <c r="J295" s="33" t="str">
        <f>IF(I295&lt;&gt;"",P295,"")</f>
        <v/>
      </c>
      <c r="K295" s="33" t="str">
        <f>IFERROR(IF(J295="","",VLOOKUP(J295,LISTAS!$F$5:$G$1004,2,0)),"0")</f>
        <v/>
      </c>
      <c r="L295" s="130" t="str">
        <f>IF(H294=3,"PRATA",IF(H294=4,"OURO",IF(H294=5,"OURO","")))</f>
        <v/>
      </c>
      <c r="M295" s="20" t="str">
        <f>IF(B295&lt;&gt;"",COUNTIF(D295:G295,"V")+(SUMIF(B300:B302,B295,D300:E302)/1000)+(SUMIF(J300:J302,B295,H300:I302)/1000)-(SUMIF(B300:B302,B295,H300:I302)/1000)-(SUMIF(J300:J302,B295,D300:E302)/1000)+0.002,"")</f>
        <v/>
      </c>
      <c r="N295" s="20" t="str">
        <f t="shared" ref="N295" si="21">IF(B295="","",B295)</f>
        <v/>
      </c>
      <c r="O295" s="20" t="str">
        <f>IF(B295&lt;&gt;"",LARGE(M294:M296,2),"")</f>
        <v/>
      </c>
      <c r="P295" s="20" t="str">
        <f>VLOOKUP(O295,M294:N296,2,0)</f>
        <v/>
      </c>
    </row>
    <row r="296" spans="2:16" ht="18" customHeight="1" x14ac:dyDescent="0.25">
      <c r="B296" s="33"/>
      <c r="C296" s="33" t="str">
        <f>IFERROR(IF(B296="","",VLOOKUP(B296,LISTAS!$F$5:$G$1004,2,0)),"0")</f>
        <v/>
      </c>
      <c r="D296" s="33" t="str">
        <f>IF(H294&lt;3,"",IF(H294=3,IF(D300&lt;&gt;"",IF(H300&lt;&gt;"",IF(D300&lt;&gt;H300,IF(D300&gt;H300,"D","V"),""),""),"")))</f>
        <v/>
      </c>
      <c r="E296" s="33" t="str">
        <f>IF(H294&lt;3,"",IF(H294=3,IF(D301&lt;&gt;"",IF(H301&lt;&gt;"",IF(D301&lt;&gt;H301,IF(D301&gt;H301,"D","V"),""),""),"")))</f>
        <v/>
      </c>
      <c r="F296" s="33" t="s">
        <v>81</v>
      </c>
      <c r="G296" s="33" t="s">
        <v>81</v>
      </c>
      <c r="H296" s="117"/>
      <c r="I296" s="33" t="str">
        <f>IF(B296&lt;&gt;"",3,"")</f>
        <v/>
      </c>
      <c r="J296" s="33" t="str">
        <f>IF(I296&lt;&gt;"",P296,"")</f>
        <v/>
      </c>
      <c r="K296" s="33" t="str">
        <f>IFERROR(IF(J296="","",VLOOKUP(J296,LISTAS!$F$5:$G$1004,2,0)),"0")</f>
        <v/>
      </c>
      <c r="L296" s="130" t="str">
        <f>IF(H294=3,"BRONZE",IF(H294=4,"PRATA",IF(H294=5,"OURO","")))</f>
        <v/>
      </c>
      <c r="M296" s="20" t="str">
        <f>IF(B296&lt;&gt;"",COUNTIF(D296:G296,"V")+(SUMIF(B300:B302,B296,D300:E302)/1000)+(SUMIF(J300:J302,B296,H300:I302)/1000)-(SUMIF(B300:B302,B296,H300:I302)/1000)-(SUMIF(J300:J302,B296,D300:E302)/1000)+0.001,"")</f>
        <v/>
      </c>
      <c r="N296" s="20" t="str">
        <f>IF(B296="","",B296)</f>
        <v/>
      </c>
      <c r="O296" s="20" t="str">
        <f>IF(B296&lt;&gt;"",LARGE(M294:M296,3),"")</f>
        <v/>
      </c>
      <c r="P296" s="20" t="str">
        <f>VLOOKUP(O296,M294:N296,2,0)</f>
        <v/>
      </c>
    </row>
    <row r="297" spans="2:16" ht="18" customHeight="1" x14ac:dyDescent="0.25">
      <c r="B297" s="79"/>
      <c r="C297" s="79"/>
      <c r="D297" s="79"/>
      <c r="E297" s="79"/>
      <c r="F297" s="79"/>
      <c r="G297" s="79"/>
      <c r="I297" s="80"/>
      <c r="J297" s="79"/>
      <c r="K297" s="81"/>
      <c r="L297" s="81"/>
    </row>
    <row r="298" spans="2:16" ht="23.25" customHeight="1" x14ac:dyDescent="0.25">
      <c r="B298" s="82" t="s">
        <v>40</v>
      </c>
      <c r="C298" s="79"/>
      <c r="D298" s="79"/>
      <c r="E298" s="79"/>
      <c r="F298" s="79"/>
      <c r="G298" s="79"/>
      <c r="H298" s="79"/>
      <c r="I298" s="79"/>
      <c r="J298" s="79"/>
      <c r="K298" s="79"/>
      <c r="L298" s="79"/>
    </row>
    <row r="299" spans="2:16" ht="18" customHeight="1" x14ac:dyDescent="0.25">
      <c r="B299" s="132" t="s">
        <v>15</v>
      </c>
      <c r="C299" s="132" t="s">
        <v>0</v>
      </c>
      <c r="D299" s="258" t="s">
        <v>41</v>
      </c>
      <c r="E299" s="259"/>
      <c r="F299" s="259"/>
      <c r="G299" s="259"/>
      <c r="H299" s="259"/>
      <c r="I299" s="260"/>
      <c r="J299" s="132" t="s">
        <v>15</v>
      </c>
      <c r="K299" s="132" t="s">
        <v>0</v>
      </c>
      <c r="L299" s="79"/>
    </row>
    <row r="300" spans="2:16" ht="18" customHeight="1" x14ac:dyDescent="0.25">
      <c r="B300" s="33" t="str">
        <f>IF(H294=3,B294,"")</f>
        <v/>
      </c>
      <c r="C300" s="33" t="str">
        <f>IFERROR(IF(B300="","",VLOOKUP(B300,LISTAS!$F$5:$G$1004,2,0)),"0")</f>
        <v/>
      </c>
      <c r="D300" s="253"/>
      <c r="E300" s="254"/>
      <c r="F300" s="253" t="s">
        <v>38</v>
      </c>
      <c r="G300" s="254"/>
      <c r="H300" s="253"/>
      <c r="I300" s="254"/>
      <c r="J300" s="111" t="str">
        <f>IF(H294=3,B296,"")</f>
        <v/>
      </c>
      <c r="K300" s="33" t="str">
        <f>IFERROR(IF(J300="","",VLOOKUP(J300,LISTAS!$F$5:$G$1004,2,0)),"0")</f>
        <v/>
      </c>
      <c r="L300" s="81"/>
    </row>
    <row r="301" spans="2:16" ht="18" customHeight="1" x14ac:dyDescent="0.25">
      <c r="B301" s="33" t="str">
        <f>IF(H294=3,B295,"")</f>
        <v/>
      </c>
      <c r="C301" s="33" t="str">
        <f>IFERROR(IF(B301="","",VLOOKUP(B301,LISTAS!$F$5:$G$1004,2,0)),"0")</f>
        <v/>
      </c>
      <c r="D301" s="253"/>
      <c r="E301" s="254"/>
      <c r="F301" s="253" t="s">
        <v>38</v>
      </c>
      <c r="G301" s="254"/>
      <c r="H301" s="253"/>
      <c r="I301" s="254"/>
      <c r="J301" s="111" t="str">
        <f>IF(H294=3,B296,"")</f>
        <v/>
      </c>
      <c r="K301" s="33" t="str">
        <f>IFERROR(IF(J301="","",VLOOKUP(J301,LISTAS!$F$5:$G$1004,2,0)),"0")</f>
        <v/>
      </c>
      <c r="L301" s="79"/>
    </row>
    <row r="302" spans="2:16" ht="18" customHeight="1" x14ac:dyDescent="0.25">
      <c r="B302" s="33" t="str">
        <f>IF(H294=3,B294,"")</f>
        <v/>
      </c>
      <c r="C302" s="33" t="str">
        <f>IFERROR(IF(B302="","",VLOOKUP(B302,LISTAS!$F$5:$G$1004,2,0)),"0")</f>
        <v/>
      </c>
      <c r="D302" s="253"/>
      <c r="E302" s="254"/>
      <c r="F302" s="253" t="s">
        <v>38</v>
      </c>
      <c r="G302" s="254"/>
      <c r="H302" s="253"/>
      <c r="I302" s="254"/>
      <c r="J302" s="111" t="str">
        <f>IF(H294=3,B295,"")</f>
        <v/>
      </c>
      <c r="K302" s="33" t="str">
        <f>IFERROR(IF(J302="","",VLOOKUP(J302,LISTAS!$F$5:$G$1004,2,0)),"0")</f>
        <v/>
      </c>
      <c r="L302" s="81"/>
    </row>
    <row r="305" spans="2:16" ht="30" customHeight="1" x14ac:dyDescent="0.25">
      <c r="B305" s="161" t="s">
        <v>67</v>
      </c>
      <c r="C305" s="79"/>
      <c r="D305" s="255" t="s">
        <v>42</v>
      </c>
      <c r="E305" s="256"/>
      <c r="F305" s="256"/>
      <c r="G305" s="257"/>
      <c r="H305" s="113"/>
      <c r="I305" s="255" t="s">
        <v>3</v>
      </c>
      <c r="J305" s="256"/>
      <c r="K305" s="256"/>
      <c r="L305" s="256"/>
    </row>
    <row r="306" spans="2:16" ht="18" customHeight="1" x14ac:dyDescent="0.25">
      <c r="B306" s="132" t="s">
        <v>15</v>
      </c>
      <c r="C306" s="132" t="s">
        <v>0</v>
      </c>
      <c r="D306" s="132" t="s">
        <v>43</v>
      </c>
      <c r="E306" s="132" t="s">
        <v>44</v>
      </c>
      <c r="F306" s="132" t="s">
        <v>77</v>
      </c>
      <c r="G306" s="132" t="s">
        <v>78</v>
      </c>
      <c r="H306" s="114"/>
      <c r="I306" s="132" t="s">
        <v>18</v>
      </c>
      <c r="J306" s="132" t="s">
        <v>15</v>
      </c>
      <c r="K306" s="132" t="s">
        <v>0</v>
      </c>
      <c r="L306" s="132" t="s">
        <v>45</v>
      </c>
    </row>
    <row r="307" spans="2:16" ht="18" customHeight="1" x14ac:dyDescent="0.25">
      <c r="B307" s="33"/>
      <c r="C307" s="33" t="str">
        <f>IFERROR(IF(B307="","",VLOOKUP(B307,LISTAS!$F$5:$G$1004,2,0)),"0")</f>
        <v/>
      </c>
      <c r="D307" s="33" t="str">
        <f>IF(H307&lt;3,"",IF(H307=3,IF(D313&lt;&gt;"",IF(H313&lt;&gt;"",IF(D313&lt;&gt;H313,IF(D313&gt;H313,"V","D"),""),""),"")))</f>
        <v/>
      </c>
      <c r="E307" s="33" t="str">
        <f>IF(H307&lt;3,"",IF(H307=3,IF(D315&lt;&gt;"",IF(H315&lt;&gt;"",IF(D315&lt;&gt;H315,IF(D315&gt;H315,"V","D"),""),""),"")))</f>
        <v/>
      </c>
      <c r="F307" s="33" t="s">
        <v>81</v>
      </c>
      <c r="G307" s="33" t="s">
        <v>81</v>
      </c>
      <c r="H307" s="117">
        <f>COUNTA(B307:B309)</f>
        <v>0</v>
      </c>
      <c r="I307" s="33" t="str">
        <f>IF(B307&lt;&gt;"",1,"")</f>
        <v/>
      </c>
      <c r="J307" s="33" t="str">
        <f>IF(I307&lt;&gt;"",P307,"")</f>
        <v/>
      </c>
      <c r="K307" s="33" t="str">
        <f>IFERROR(IF(J307="","",VLOOKUP(J307,LISTAS!$F$5:$G$1004,2,0)),"0")</f>
        <v/>
      </c>
      <c r="L307" s="130" t="str">
        <f>IF(H307=3,"OURO",IF(H307=4,"OURO",IF(H307=5,"OURO","")))</f>
        <v/>
      </c>
      <c r="M307" s="20" t="str">
        <f>IF(B307&lt;&gt;"",COUNTIF(D307:G307,"V")+(SUMIF(B313:B315,B307,D313:E315)/1000)+(SUMIF(J313:J315,B307,H313:I315)/1000)-(SUMIF(B313:B315,B307,H313:I315)/1000)-(SUMIF(J313:J315,B307,D313:E315)/1000)+0.003,"")</f>
        <v/>
      </c>
      <c r="N307" s="20" t="str">
        <f>IF(B307="","",B307)</f>
        <v/>
      </c>
      <c r="O307" s="20" t="str">
        <f>IF(B307&lt;&gt;"",LARGE(M307:M309,1),"")</f>
        <v/>
      </c>
      <c r="P307" s="20" t="str">
        <f>VLOOKUP(O307,M307:N309,2,0)</f>
        <v/>
      </c>
    </row>
    <row r="308" spans="2:16" ht="18" customHeight="1" x14ac:dyDescent="0.25">
      <c r="B308" s="33"/>
      <c r="C308" s="33" t="str">
        <f>IFERROR(IF(B308="","",VLOOKUP(B308,LISTAS!$F$5:$G$1004,2,0)),"0")</f>
        <v/>
      </c>
      <c r="D308" s="33" t="str">
        <f>IF(H307&lt;3,"",IF(H307=3,IF(D314&lt;&gt;"",IF(H314&lt;&gt;"",IF(D314&lt;&gt;H314,IF(D314&gt;H314,"V","D"),""),""),"")))</f>
        <v/>
      </c>
      <c r="E308" s="33" t="str">
        <f>IF(H307&lt;3,"",IF(H307=3,IF(D315&lt;&gt;"",IF(H315&lt;&gt;"",IF(D315&lt;&gt;H315,IF(D315&gt;H315,"D","V"),""),""),"")))</f>
        <v/>
      </c>
      <c r="F308" s="33" t="s">
        <v>81</v>
      </c>
      <c r="G308" s="33" t="s">
        <v>81</v>
      </c>
      <c r="H308" s="117"/>
      <c r="I308" s="33" t="str">
        <f>IF(B308&lt;&gt;"",2,"")</f>
        <v/>
      </c>
      <c r="J308" s="33" t="str">
        <f>IF(I308&lt;&gt;"",P308,"")</f>
        <v/>
      </c>
      <c r="K308" s="33" t="str">
        <f>IFERROR(IF(J308="","",VLOOKUP(J308,LISTAS!$F$5:$G$1004,2,0)),"0")</f>
        <v/>
      </c>
      <c r="L308" s="130" t="str">
        <f>IF(H307=3,"PRATA",IF(H307=4,"OURO",IF(H307=5,"OURO","")))</f>
        <v/>
      </c>
      <c r="M308" s="20" t="str">
        <f>IF(B308&lt;&gt;"",COUNTIF(D308:G308,"V")+(SUMIF(B313:B315,B308,D313:E315)/1000)+(SUMIF(J313:J315,B308,H313:I315)/1000)-(SUMIF(B313:B315,B308,H313:I315)/1000)-(SUMIF(J313:J315,B308,D313:E315)/1000)+0.002,"")</f>
        <v/>
      </c>
      <c r="N308" s="20" t="str">
        <f t="shared" ref="N308" si="22">IF(B308="","",B308)</f>
        <v/>
      </c>
      <c r="O308" s="20" t="str">
        <f>IF(B308&lt;&gt;"",LARGE(M307:M309,2),"")</f>
        <v/>
      </c>
      <c r="P308" s="20" t="str">
        <f>VLOOKUP(O308,M307:N309,2,0)</f>
        <v/>
      </c>
    </row>
    <row r="309" spans="2:16" ht="18" customHeight="1" x14ac:dyDescent="0.25">
      <c r="B309" s="33"/>
      <c r="C309" s="33" t="str">
        <f>IFERROR(IF(B309="","",VLOOKUP(B309,LISTAS!$F$5:$G$1004,2,0)),"0")</f>
        <v/>
      </c>
      <c r="D309" s="33" t="str">
        <f>IF(H307&lt;3,"",IF(H307=3,IF(D313&lt;&gt;"",IF(H313&lt;&gt;"",IF(D313&lt;&gt;H313,IF(D313&gt;H313,"D","V"),""),""),"")))</f>
        <v/>
      </c>
      <c r="E309" s="33" t="str">
        <f>IF(H307&lt;3,"",IF(H307=3,IF(D314&lt;&gt;"",IF(H314&lt;&gt;"",IF(D314&lt;&gt;H314,IF(D314&gt;H314,"D","V"),""),""),"")))</f>
        <v/>
      </c>
      <c r="F309" s="33" t="s">
        <v>81</v>
      </c>
      <c r="G309" s="33" t="s">
        <v>81</v>
      </c>
      <c r="H309" s="117"/>
      <c r="I309" s="33" t="str">
        <f>IF(B309&lt;&gt;"",3,"")</f>
        <v/>
      </c>
      <c r="J309" s="33" t="str">
        <f>IF(I309&lt;&gt;"",P309,"")</f>
        <v/>
      </c>
      <c r="K309" s="33" t="str">
        <f>IFERROR(IF(J309="","",VLOOKUP(J309,LISTAS!$F$5:$G$1004,2,0)),"0")</f>
        <v/>
      </c>
      <c r="L309" s="130" t="str">
        <f>IF(H307=3,"BRONZE",IF(H307=4,"PRATA",IF(H307=5,"OURO","")))</f>
        <v/>
      </c>
      <c r="M309" s="20" t="str">
        <f>IF(B309&lt;&gt;"",COUNTIF(D309:G309,"V")+(SUMIF(B313:B315,B309,D313:E315)/1000)+(SUMIF(J313:J315,B309,H313:I315)/1000)-(SUMIF(B313:B315,B309,H313:I315)/1000)-(SUMIF(J313:J315,B309,D313:E315)/1000)+0.001,"")</f>
        <v/>
      </c>
      <c r="N309" s="20" t="str">
        <f>IF(B309="","",B309)</f>
        <v/>
      </c>
      <c r="O309" s="20" t="str">
        <f>IF(B309&lt;&gt;"",LARGE(M307:M309,3),"")</f>
        <v/>
      </c>
      <c r="P309" s="20" t="str">
        <f>VLOOKUP(O309,M307:N309,2,0)</f>
        <v/>
      </c>
    </row>
    <row r="310" spans="2:16" ht="18" customHeight="1" x14ac:dyDescent="0.25">
      <c r="B310" s="79"/>
      <c r="C310" s="79"/>
      <c r="D310" s="79"/>
      <c r="E310" s="79"/>
      <c r="F310" s="79"/>
      <c r="G310" s="79"/>
      <c r="I310" s="80"/>
      <c r="J310" s="79"/>
      <c r="K310" s="81"/>
      <c r="L310" s="81"/>
    </row>
    <row r="311" spans="2:16" ht="23.25" customHeight="1" x14ac:dyDescent="0.25">
      <c r="B311" s="82" t="s">
        <v>40</v>
      </c>
      <c r="C311" s="79"/>
      <c r="D311" s="79"/>
      <c r="E311" s="79"/>
      <c r="F311" s="79"/>
      <c r="G311" s="79"/>
      <c r="H311" s="79"/>
      <c r="I311" s="79"/>
      <c r="J311" s="79"/>
      <c r="K311" s="79"/>
      <c r="L311" s="79"/>
    </row>
    <row r="312" spans="2:16" ht="18" customHeight="1" x14ac:dyDescent="0.25">
      <c r="B312" s="132" t="s">
        <v>15</v>
      </c>
      <c r="C312" s="132" t="s">
        <v>0</v>
      </c>
      <c r="D312" s="258" t="s">
        <v>41</v>
      </c>
      <c r="E312" s="259"/>
      <c r="F312" s="259"/>
      <c r="G312" s="259"/>
      <c r="H312" s="259"/>
      <c r="I312" s="260"/>
      <c r="J312" s="132" t="s">
        <v>15</v>
      </c>
      <c r="K312" s="132" t="s">
        <v>0</v>
      </c>
      <c r="L312" s="79"/>
    </row>
    <row r="313" spans="2:16" ht="18" customHeight="1" x14ac:dyDescent="0.25">
      <c r="B313" s="33" t="str">
        <f>IF(H307=3,B307,"")</f>
        <v/>
      </c>
      <c r="C313" s="33" t="str">
        <f>IF(B313="","",VLOOKUP(B313,LISTAS!$F$5:$G$964,2,0))</f>
        <v/>
      </c>
      <c r="D313" s="253"/>
      <c r="E313" s="254"/>
      <c r="F313" s="253" t="s">
        <v>38</v>
      </c>
      <c r="G313" s="254"/>
      <c r="H313" s="253"/>
      <c r="I313" s="254"/>
      <c r="J313" s="111" t="str">
        <f>IF(H307=3,B309,"")</f>
        <v/>
      </c>
      <c r="K313" s="33" t="str">
        <f>IF(J313="","",VLOOKUP(B313,LISTAS!$F$5:$G$964,2,0))</f>
        <v/>
      </c>
      <c r="L313" s="81"/>
    </row>
    <row r="314" spans="2:16" ht="18" customHeight="1" x14ac:dyDescent="0.25">
      <c r="B314" s="33" t="str">
        <f>IF(H307=3,B308,"")</f>
        <v/>
      </c>
      <c r="C314" s="33" t="str">
        <f>IF(B314="","",VLOOKUP(B314,LISTAS!$F$5:$G$964,2,0))</f>
        <v/>
      </c>
      <c r="D314" s="253"/>
      <c r="E314" s="254"/>
      <c r="F314" s="253" t="s">
        <v>38</v>
      </c>
      <c r="G314" s="254"/>
      <c r="H314" s="253"/>
      <c r="I314" s="254"/>
      <c r="J314" s="111" t="str">
        <f>IF(H307=3,B309,"")</f>
        <v/>
      </c>
      <c r="K314" s="33" t="str">
        <f>IF(J314="","",VLOOKUP(B314,LISTAS!$F$5:$G$964,2,0))</f>
        <v/>
      </c>
      <c r="L314" s="79"/>
    </row>
    <row r="315" spans="2:16" ht="18" customHeight="1" x14ac:dyDescent="0.25">
      <c r="B315" s="33" t="str">
        <f>IF(H307=3,B307,"")</f>
        <v/>
      </c>
      <c r="C315" s="33" t="str">
        <f>IF(B315="","",VLOOKUP(B315,LISTAS!$F$5:$G$964,2,0))</f>
        <v/>
      </c>
      <c r="D315" s="253"/>
      <c r="E315" s="254"/>
      <c r="F315" s="253" t="s">
        <v>38</v>
      </c>
      <c r="G315" s="254"/>
      <c r="H315" s="253"/>
      <c r="I315" s="254"/>
      <c r="J315" s="111" t="str">
        <f>IF(H307=3,B308,"")</f>
        <v/>
      </c>
      <c r="K315" s="33" t="str">
        <f>IF(J315="","",VLOOKUP(B315,LISTAS!$F$5:$G$964,2,0))</f>
        <v/>
      </c>
      <c r="L315" s="81"/>
    </row>
    <row r="318" spans="2:16" ht="30" customHeight="1" x14ac:dyDescent="0.25">
      <c r="B318" s="161" t="s">
        <v>68</v>
      </c>
      <c r="C318" s="79"/>
      <c r="D318" s="255" t="s">
        <v>42</v>
      </c>
      <c r="E318" s="256"/>
      <c r="F318" s="256"/>
      <c r="G318" s="257"/>
      <c r="H318" s="113"/>
      <c r="I318" s="255" t="s">
        <v>3</v>
      </c>
      <c r="J318" s="256"/>
      <c r="K318" s="256"/>
      <c r="L318" s="256"/>
    </row>
    <row r="319" spans="2:16" ht="18" customHeight="1" x14ac:dyDescent="0.25">
      <c r="B319" s="132" t="s">
        <v>15</v>
      </c>
      <c r="C319" s="132" t="s">
        <v>0</v>
      </c>
      <c r="D319" s="132" t="s">
        <v>43</v>
      </c>
      <c r="E319" s="132" t="s">
        <v>44</v>
      </c>
      <c r="F319" s="132" t="s">
        <v>77</v>
      </c>
      <c r="G319" s="132" t="s">
        <v>78</v>
      </c>
      <c r="H319" s="114"/>
      <c r="I319" s="132" t="s">
        <v>18</v>
      </c>
      <c r="J319" s="132" t="s">
        <v>15</v>
      </c>
      <c r="K319" s="132" t="s">
        <v>0</v>
      </c>
      <c r="L319" s="132" t="s">
        <v>45</v>
      </c>
    </row>
    <row r="320" spans="2:16" ht="18" customHeight="1" x14ac:dyDescent="0.25">
      <c r="B320" s="33"/>
      <c r="C320" s="33" t="str">
        <f>IFERROR(IF(B320="","",VLOOKUP(B320,LISTAS!$F$5:$G$1004,2,0)),"0")</f>
        <v/>
      </c>
      <c r="D320" s="33" t="str">
        <f>IF(H320&lt;3,"",IF(H320=3,IF(D326&lt;&gt;"",IF(H326&lt;&gt;"",IF(D326&lt;&gt;H326,IF(D326&gt;H326,"V","D"),""),""),"")))</f>
        <v/>
      </c>
      <c r="E320" s="33" t="str">
        <f>IF(H320&lt;3,"",IF(H320=3,IF(D328&lt;&gt;"",IF(H328&lt;&gt;"",IF(D328&lt;&gt;H328,IF(D328&gt;H328,"V","D"),""),""),"")))</f>
        <v/>
      </c>
      <c r="F320" s="33" t="s">
        <v>81</v>
      </c>
      <c r="G320" s="33" t="s">
        <v>81</v>
      </c>
      <c r="H320" s="117">
        <f>COUNTA(B320:B322)</f>
        <v>0</v>
      </c>
      <c r="I320" s="33" t="str">
        <f>IF(B320&lt;&gt;"",1,"")</f>
        <v/>
      </c>
      <c r="J320" s="33" t="str">
        <f>IF(I320&lt;&gt;"",P320,"")</f>
        <v/>
      </c>
      <c r="K320" s="33" t="str">
        <f>IFERROR(IF(J320="","",VLOOKUP(J320,LISTAS!$F$5:$G$1004,2,0)),"0")</f>
        <v/>
      </c>
      <c r="L320" s="130" t="str">
        <f>IF(H320=3,"OURO",IF(H320=4,"OURO",IF(H320=5,"OURO","")))</f>
        <v/>
      </c>
      <c r="M320" s="20" t="str">
        <f>IF(B320&lt;&gt;"",COUNTIF(D320:G320,"V")+(SUMIF(B326:B328,B320,D326:E328)/1000)+(SUMIF(J326:J328,B320,H326:I328)/1000)-(SUMIF(B326:B328,B320,H326:I328)/1000)-(SUMIF(J326:J328,B320,D326:E328)/1000)+0.003,"")</f>
        <v/>
      </c>
      <c r="N320" s="20" t="str">
        <f>IF(B320="","",B320)</f>
        <v/>
      </c>
      <c r="O320" s="20" t="str">
        <f>IF(B320&lt;&gt;"",LARGE(M320:M322,1),"")</f>
        <v/>
      </c>
      <c r="P320" s="20" t="str">
        <f>VLOOKUP(O320,M320:N322,2,0)</f>
        <v/>
      </c>
    </row>
    <row r="321" spans="2:16" ht="18" customHeight="1" x14ac:dyDescent="0.25">
      <c r="B321" s="33"/>
      <c r="C321" s="33" t="str">
        <f>IFERROR(IF(B321="","",VLOOKUP(B321,LISTAS!$F$5:$G$1004,2,0)),"0")</f>
        <v/>
      </c>
      <c r="D321" s="33" t="str">
        <f>IF(H320&lt;3,"",IF(H320=3,IF(D327&lt;&gt;"",IF(H327&lt;&gt;"",IF(D327&lt;&gt;H327,IF(D327&gt;H327,"V","D"),""),""),"")))</f>
        <v/>
      </c>
      <c r="E321" s="33" t="str">
        <f>IF(H320&lt;3,"",IF(H320=3,IF(D328&lt;&gt;"",IF(H328&lt;&gt;"",IF(D328&lt;&gt;H328,IF(D328&gt;H328,"D","V"),""),""),"")))</f>
        <v/>
      </c>
      <c r="F321" s="33" t="s">
        <v>81</v>
      </c>
      <c r="G321" s="33" t="s">
        <v>81</v>
      </c>
      <c r="H321" s="117"/>
      <c r="I321" s="33" t="str">
        <f>IF(B321&lt;&gt;"",2,"")</f>
        <v/>
      </c>
      <c r="J321" s="33" t="str">
        <f>IF(I321&lt;&gt;"",P321,"")</f>
        <v/>
      </c>
      <c r="K321" s="33" t="str">
        <f>IFERROR(IF(J321="","",VLOOKUP(J321,LISTAS!$F$5:$G$1004,2,0)),"0")</f>
        <v/>
      </c>
      <c r="L321" s="130" t="str">
        <f>IF(H320=3,"PRATA",IF(H320=4,"OURO",IF(H320=5,"OURO","")))</f>
        <v/>
      </c>
      <c r="M321" s="20" t="str">
        <f>IF(B321&lt;&gt;"",COUNTIF(D321:G321,"V")+(SUMIF(B326:B328,B321,D326:E328)/1000)+(SUMIF(J326:J328,B321,H326:I328)/1000)-(SUMIF(B326:B328,B321,H326:I328)/1000)-(SUMIF(J326:J328,B321,D326:E328)/1000)+0.002,"")</f>
        <v/>
      </c>
      <c r="N321" s="20" t="str">
        <f t="shared" ref="N321" si="23">IF(B321="","",B321)</f>
        <v/>
      </c>
      <c r="O321" s="20" t="str">
        <f>IF(B321&lt;&gt;"",LARGE(M320:M322,2),"")</f>
        <v/>
      </c>
      <c r="P321" s="20" t="str">
        <f>VLOOKUP(O321,M320:N322,2,0)</f>
        <v/>
      </c>
    </row>
    <row r="322" spans="2:16" ht="18" customHeight="1" x14ac:dyDescent="0.25">
      <c r="B322" s="33"/>
      <c r="C322" s="33" t="str">
        <f>IFERROR(IF(B322="","",VLOOKUP(B322,LISTAS!$F$5:$G$1004,2,0)),"0")</f>
        <v/>
      </c>
      <c r="D322" s="33" t="str">
        <f>IF(H320&lt;3,"",IF(H320=3,IF(D326&lt;&gt;"",IF(H326&lt;&gt;"",IF(D326&lt;&gt;H326,IF(D326&gt;H326,"D","V"),""),""),"")))</f>
        <v/>
      </c>
      <c r="E322" s="33" t="str">
        <f>IF(H320&lt;3,"",IF(H320=3,IF(D327&lt;&gt;"",IF(H327&lt;&gt;"",IF(D327&lt;&gt;H327,IF(D327&gt;H327,"D","V"),""),""),"")))</f>
        <v/>
      </c>
      <c r="F322" s="33" t="s">
        <v>81</v>
      </c>
      <c r="G322" s="33" t="s">
        <v>81</v>
      </c>
      <c r="H322" s="117"/>
      <c r="I322" s="33" t="str">
        <f>IF(B322&lt;&gt;"",3,"")</f>
        <v/>
      </c>
      <c r="J322" s="33" t="str">
        <f>IF(I322&lt;&gt;"",P322,"")</f>
        <v/>
      </c>
      <c r="K322" s="33" t="str">
        <f>IFERROR(IF(J322="","",VLOOKUP(J322,LISTAS!$F$5:$G$1004,2,0)),"0")</f>
        <v/>
      </c>
      <c r="L322" s="130" t="str">
        <f>IF(H320=3,"BRONZE",IF(H320=4,"PRATA",IF(H320=5,"OURO","")))</f>
        <v/>
      </c>
      <c r="M322" s="20" t="str">
        <f>IF(B322&lt;&gt;"",COUNTIF(D322:G322,"V")+(SUMIF(B326:B328,B322,D326:E328)/1000)+(SUMIF(J326:J328,B322,H326:I328)/1000)-(SUMIF(B326:B328,B322,H326:I328)/1000)-(SUMIF(J326:J328,B322,D326:E328)/1000)+0.001,"")</f>
        <v/>
      </c>
      <c r="N322" s="20" t="str">
        <f>IF(B322="","",B322)</f>
        <v/>
      </c>
      <c r="O322" s="20" t="str">
        <f>IF(B322&lt;&gt;"",LARGE(M320:M322,3),"")</f>
        <v/>
      </c>
      <c r="P322" s="20" t="str">
        <f>VLOOKUP(O322,M320:N322,2,0)</f>
        <v/>
      </c>
    </row>
    <row r="323" spans="2:16" ht="18" customHeight="1" x14ac:dyDescent="0.25">
      <c r="B323" s="79"/>
      <c r="C323" s="79"/>
      <c r="D323" s="79"/>
      <c r="E323" s="79"/>
      <c r="F323" s="79"/>
      <c r="G323" s="79"/>
      <c r="I323" s="80"/>
      <c r="J323" s="79"/>
      <c r="K323" s="81"/>
      <c r="L323" s="81"/>
    </row>
    <row r="324" spans="2:16" ht="23.25" customHeight="1" x14ac:dyDescent="0.25">
      <c r="B324" s="82" t="s">
        <v>40</v>
      </c>
      <c r="C324" s="79"/>
      <c r="D324" s="79"/>
      <c r="E324" s="79"/>
      <c r="F324" s="79"/>
      <c r="G324" s="79"/>
      <c r="H324" s="79"/>
      <c r="I324" s="79"/>
      <c r="J324" s="79"/>
      <c r="K324" s="79"/>
      <c r="L324" s="79"/>
    </row>
    <row r="325" spans="2:16" ht="18" customHeight="1" x14ac:dyDescent="0.25">
      <c r="B325" s="132" t="s">
        <v>15</v>
      </c>
      <c r="C325" s="132" t="s">
        <v>0</v>
      </c>
      <c r="D325" s="258" t="s">
        <v>41</v>
      </c>
      <c r="E325" s="259"/>
      <c r="F325" s="259"/>
      <c r="G325" s="259"/>
      <c r="H325" s="259"/>
      <c r="I325" s="260"/>
      <c r="J325" s="132" t="s">
        <v>15</v>
      </c>
      <c r="K325" s="132" t="s">
        <v>0</v>
      </c>
      <c r="L325" s="79"/>
    </row>
    <row r="326" spans="2:16" ht="18" customHeight="1" x14ac:dyDescent="0.25">
      <c r="B326" s="33" t="str">
        <f>IF(H320=3,B320,"")</f>
        <v/>
      </c>
      <c r="C326" s="33" t="str">
        <f>IFERROR(IF(B326="","",VLOOKUP(B326,LISTAS!$F$5:$G$1004,2,0)),"0")</f>
        <v/>
      </c>
      <c r="D326" s="253"/>
      <c r="E326" s="254"/>
      <c r="F326" s="253" t="s">
        <v>38</v>
      </c>
      <c r="G326" s="254"/>
      <c r="H326" s="253"/>
      <c r="I326" s="254"/>
      <c r="J326" s="111" t="str">
        <f>IF(H320=3,B322,"")</f>
        <v/>
      </c>
      <c r="K326" s="33" t="str">
        <f>IFERROR(IF(J326="","",VLOOKUP(J326,LISTAS!$F$5:$G$1004,2,0)),"0")</f>
        <v/>
      </c>
      <c r="L326" s="81"/>
    </row>
    <row r="327" spans="2:16" ht="18" customHeight="1" x14ac:dyDescent="0.25">
      <c r="B327" s="33" t="str">
        <f>IF(H320=3,B321,"")</f>
        <v/>
      </c>
      <c r="C327" s="33" t="str">
        <f>IFERROR(IF(B327="","",VLOOKUP(B327,LISTAS!$F$5:$G$1004,2,0)),"0")</f>
        <v/>
      </c>
      <c r="D327" s="253"/>
      <c r="E327" s="254"/>
      <c r="F327" s="253" t="s">
        <v>38</v>
      </c>
      <c r="G327" s="254"/>
      <c r="H327" s="253"/>
      <c r="I327" s="254"/>
      <c r="J327" s="111" t="str">
        <f>IF(H320=3,B322,"")</f>
        <v/>
      </c>
      <c r="K327" s="33" t="str">
        <f>IFERROR(IF(J327="","",VLOOKUP(J327,LISTAS!$F$5:$G$1004,2,0)),"0")</f>
        <v/>
      </c>
      <c r="L327" s="79"/>
    </row>
    <row r="328" spans="2:16" ht="18" customHeight="1" x14ac:dyDescent="0.25">
      <c r="B328" s="33" t="str">
        <f>IF(H320=3,B320,"")</f>
        <v/>
      </c>
      <c r="C328" s="33" t="str">
        <f>IFERROR(IF(B328="","",VLOOKUP(B328,LISTAS!$F$5:$G$1004,2,0)),"0")</f>
        <v/>
      </c>
      <c r="D328" s="253"/>
      <c r="E328" s="254"/>
      <c r="F328" s="253" t="s">
        <v>38</v>
      </c>
      <c r="G328" s="254"/>
      <c r="H328" s="253"/>
      <c r="I328" s="254"/>
      <c r="J328" s="111" t="str">
        <f>IF(H320=3,B321,"")</f>
        <v/>
      </c>
      <c r="K328" s="33" t="str">
        <f>IFERROR(IF(J328="","",VLOOKUP(J328,LISTAS!$F$5:$G$1004,2,0)),"0")</f>
        <v/>
      </c>
      <c r="L328" s="81"/>
    </row>
    <row r="331" spans="2:16" ht="30" customHeight="1" x14ac:dyDescent="0.25">
      <c r="B331" s="161" t="s">
        <v>69</v>
      </c>
      <c r="C331" s="79"/>
      <c r="D331" s="255" t="s">
        <v>42</v>
      </c>
      <c r="E331" s="256"/>
      <c r="F331" s="256"/>
      <c r="G331" s="257"/>
      <c r="H331" s="113"/>
      <c r="I331" s="255" t="s">
        <v>3</v>
      </c>
      <c r="J331" s="256"/>
      <c r="K331" s="256"/>
      <c r="L331" s="256"/>
    </row>
    <row r="332" spans="2:16" ht="18" customHeight="1" x14ac:dyDescent="0.25">
      <c r="B332" s="132" t="s">
        <v>15</v>
      </c>
      <c r="C332" s="132" t="s">
        <v>0</v>
      </c>
      <c r="D332" s="132" t="s">
        <v>43</v>
      </c>
      <c r="E332" s="132" t="s">
        <v>44</v>
      </c>
      <c r="F332" s="132" t="s">
        <v>77</v>
      </c>
      <c r="G332" s="132" t="s">
        <v>78</v>
      </c>
      <c r="H332" s="114"/>
      <c r="I332" s="132" t="s">
        <v>18</v>
      </c>
      <c r="J332" s="132" t="s">
        <v>15</v>
      </c>
      <c r="K332" s="132" t="s">
        <v>0</v>
      </c>
      <c r="L332" s="132" t="s">
        <v>45</v>
      </c>
    </row>
    <row r="333" spans="2:16" ht="18" customHeight="1" x14ac:dyDescent="0.25">
      <c r="B333" s="33"/>
      <c r="C333" s="33" t="str">
        <f>IFERROR(IF(B333="","",VLOOKUP(B333,LISTAS!$F$5:$G$1004,2,0)),"0")</f>
        <v/>
      </c>
      <c r="D333" s="33" t="str">
        <f>IF(H333&lt;3,"",IF(H333=3,IF(D339&lt;&gt;"",IF(H339&lt;&gt;"",IF(D339&lt;&gt;H339,IF(D339&gt;H339,"V","D"),""),""),"")))</f>
        <v/>
      </c>
      <c r="E333" s="33" t="str">
        <f>IF(H333&lt;3,"",IF(H333=3,IF(D341&lt;&gt;"",IF(H341&lt;&gt;"",IF(D341&lt;&gt;H341,IF(D341&gt;H341,"V","D"),""),""),"")))</f>
        <v/>
      </c>
      <c r="F333" s="33" t="s">
        <v>81</v>
      </c>
      <c r="G333" s="33" t="s">
        <v>81</v>
      </c>
      <c r="H333" s="117">
        <f>COUNTA(B333:B335)</f>
        <v>0</v>
      </c>
      <c r="I333" s="33" t="str">
        <f>IF(B333&lt;&gt;"",1,"")</f>
        <v/>
      </c>
      <c r="J333" s="33" t="str">
        <f>IF(I333&lt;&gt;"",P333,"")</f>
        <v/>
      </c>
      <c r="K333" s="33" t="str">
        <f>IFERROR(IF(J333="","",VLOOKUP(J333,LISTAS!$F$5:$G$1004,2,0)),"0")</f>
        <v/>
      </c>
      <c r="L333" s="130" t="str">
        <f>IF(H333=3,"OURO",IF(H333=4,"OURO",IF(H333=5,"OURO","")))</f>
        <v/>
      </c>
      <c r="M333" s="20" t="str">
        <f>IF(B333&lt;&gt;"",COUNTIF(D333:G333,"V")+(SUMIF(B339:B341,B333,D339:E341)/1000)+(SUMIF(J339:J341,B333,H339:I341)/1000)-(SUMIF(B339:B341,B333,H339:I341)/1000)-(SUMIF(J339:J341,B333,D339:E341)/1000)+0.003,"")</f>
        <v/>
      </c>
      <c r="N333" s="20" t="str">
        <f>IF(B333="","",B333)</f>
        <v/>
      </c>
      <c r="O333" s="20" t="str">
        <f>IF(B333&lt;&gt;"",LARGE(M333:M335,1),"")</f>
        <v/>
      </c>
      <c r="P333" s="20" t="str">
        <f>VLOOKUP(O333,M333:N335,2,0)</f>
        <v/>
      </c>
    </row>
    <row r="334" spans="2:16" ht="18" customHeight="1" x14ac:dyDescent="0.25">
      <c r="B334" s="33"/>
      <c r="C334" s="33" t="str">
        <f>IFERROR(IF(B334="","",VLOOKUP(B334,LISTAS!$F$5:$G$1004,2,0)),"0")</f>
        <v/>
      </c>
      <c r="D334" s="33" t="str">
        <f>IF(H333&lt;3,"",IF(H333=3,IF(D340&lt;&gt;"",IF(H340&lt;&gt;"",IF(D340&lt;&gt;H340,IF(D340&gt;H340,"V","D"),""),""),"")))</f>
        <v/>
      </c>
      <c r="E334" s="33" t="str">
        <f>IF(H333&lt;3,"",IF(H333=3,IF(D341&lt;&gt;"",IF(H341&lt;&gt;"",IF(D341&lt;&gt;H341,IF(D341&gt;H341,"D","V"),""),""),"")))</f>
        <v/>
      </c>
      <c r="F334" s="33" t="s">
        <v>81</v>
      </c>
      <c r="G334" s="33" t="s">
        <v>81</v>
      </c>
      <c r="H334" s="117"/>
      <c r="I334" s="33" t="str">
        <f>IF(B334&lt;&gt;"",2,"")</f>
        <v/>
      </c>
      <c r="J334" s="33" t="str">
        <f>IF(I334&lt;&gt;"",P334,"")</f>
        <v/>
      </c>
      <c r="K334" s="33" t="str">
        <f>IFERROR(IF(J334="","",VLOOKUP(J334,LISTAS!$F$5:$G$1004,2,0)),"0")</f>
        <v/>
      </c>
      <c r="L334" s="130" t="str">
        <f>IF(H333=3,"PRATA",IF(H333=4,"OURO",IF(H333=5,"OURO","")))</f>
        <v/>
      </c>
      <c r="M334" s="20" t="str">
        <f>IF(B334&lt;&gt;"",COUNTIF(D334:G334,"V")+(SUMIF(B339:B341,B334,D339:E341)/1000)+(SUMIF(J339:J341,B334,H339:I341)/1000)-(SUMIF(B339:B341,B334,H339:I341)/1000)-(SUMIF(J339:J341,B334,D339:E341)/1000)+0.002,"")</f>
        <v/>
      </c>
      <c r="N334" s="20" t="str">
        <f t="shared" ref="N334" si="24">IF(B334="","",B334)</f>
        <v/>
      </c>
      <c r="O334" s="20" t="str">
        <f>IF(B334&lt;&gt;"",LARGE(M333:M335,2),"")</f>
        <v/>
      </c>
      <c r="P334" s="20" t="str">
        <f>VLOOKUP(O334,M333:N335,2,0)</f>
        <v/>
      </c>
    </row>
    <row r="335" spans="2:16" ht="18" customHeight="1" x14ac:dyDescent="0.25">
      <c r="B335" s="33"/>
      <c r="C335" s="33" t="str">
        <f>IFERROR(IF(B335="","",VLOOKUP(B335,LISTAS!$F$5:$G$1004,2,0)),"0")</f>
        <v/>
      </c>
      <c r="D335" s="33" t="str">
        <f>IF(H333&lt;3,"",IF(H333=3,IF(D339&lt;&gt;"",IF(H339&lt;&gt;"",IF(D339&lt;&gt;H339,IF(D339&gt;H339,"D","V"),""),""),"")))</f>
        <v/>
      </c>
      <c r="E335" s="33" t="str">
        <f>IF(H333&lt;3,"",IF(H333=3,IF(D340&lt;&gt;"",IF(H340&lt;&gt;"",IF(D340&lt;&gt;H340,IF(D340&gt;H340,"D","V"),""),""),"")))</f>
        <v/>
      </c>
      <c r="F335" s="33" t="s">
        <v>81</v>
      </c>
      <c r="G335" s="33" t="s">
        <v>81</v>
      </c>
      <c r="H335" s="117"/>
      <c r="I335" s="33" t="str">
        <f>IF(B335&lt;&gt;"",3,"")</f>
        <v/>
      </c>
      <c r="J335" s="33" t="str">
        <f>IF(I335&lt;&gt;"",P335,"")</f>
        <v/>
      </c>
      <c r="K335" s="33" t="str">
        <f>IFERROR(IF(J335="","",VLOOKUP(J335,LISTAS!$F$5:$G$1004,2,0)),"0")</f>
        <v/>
      </c>
      <c r="L335" s="130" t="str">
        <f>IF(H333=3,"BRONZE",IF(H333=4,"PRATA",IF(H333=5,"OURO","")))</f>
        <v/>
      </c>
      <c r="M335" s="20" t="str">
        <f>IF(B335&lt;&gt;"",COUNTIF(D335:G335,"V")+(SUMIF(B339:B341,B335,D339:E341)/1000)+(SUMIF(J339:J341,B335,H339:I341)/1000)-(SUMIF(B339:B341,B335,H339:I341)/1000)-(SUMIF(J339:J341,B335,D339:E341)/1000)+0.001,"")</f>
        <v/>
      </c>
      <c r="N335" s="20" t="str">
        <f>IF(B335="","",B335)</f>
        <v/>
      </c>
      <c r="O335" s="20" t="str">
        <f>IF(B335&lt;&gt;"",LARGE(M333:M335,3),"")</f>
        <v/>
      </c>
      <c r="P335" s="20" t="str">
        <f>VLOOKUP(O335,M333:N335,2,0)</f>
        <v/>
      </c>
    </row>
    <row r="336" spans="2:16" ht="18" customHeight="1" x14ac:dyDescent="0.25">
      <c r="B336" s="79"/>
      <c r="C336" s="79"/>
      <c r="D336" s="79"/>
      <c r="E336" s="79"/>
      <c r="F336" s="79"/>
      <c r="G336" s="79"/>
      <c r="I336" s="80"/>
      <c r="J336" s="79"/>
      <c r="K336" s="81"/>
      <c r="L336" s="81"/>
    </row>
    <row r="337" spans="2:16" ht="23.25" customHeight="1" x14ac:dyDescent="0.25">
      <c r="B337" s="82" t="s">
        <v>40</v>
      </c>
      <c r="C337" s="79"/>
      <c r="D337" s="79"/>
      <c r="E337" s="79"/>
      <c r="F337" s="79"/>
      <c r="G337" s="79"/>
      <c r="H337" s="79"/>
      <c r="I337" s="79"/>
      <c r="J337" s="79"/>
      <c r="K337" s="79"/>
      <c r="L337" s="79"/>
    </row>
    <row r="338" spans="2:16" ht="18" customHeight="1" x14ac:dyDescent="0.25">
      <c r="B338" s="132" t="s">
        <v>15</v>
      </c>
      <c r="C338" s="132" t="s">
        <v>0</v>
      </c>
      <c r="D338" s="258" t="s">
        <v>41</v>
      </c>
      <c r="E338" s="259"/>
      <c r="F338" s="259"/>
      <c r="G338" s="259"/>
      <c r="H338" s="259"/>
      <c r="I338" s="260"/>
      <c r="J338" s="132" t="s">
        <v>15</v>
      </c>
      <c r="K338" s="132" t="s">
        <v>0</v>
      </c>
      <c r="L338" s="79"/>
    </row>
    <row r="339" spans="2:16" ht="18" customHeight="1" x14ac:dyDescent="0.25">
      <c r="B339" s="33" t="str">
        <f>IF(H333=3,B333,"")</f>
        <v/>
      </c>
      <c r="C339" s="33" t="str">
        <f>IFERROR(IF(B339="","",VLOOKUP(B339,LISTAS!$F$5:$G$1004,2,0)),"0")</f>
        <v/>
      </c>
      <c r="D339" s="253"/>
      <c r="E339" s="254"/>
      <c r="F339" s="253" t="s">
        <v>38</v>
      </c>
      <c r="G339" s="254"/>
      <c r="H339" s="253"/>
      <c r="I339" s="254"/>
      <c r="J339" s="111" t="str">
        <f>IF(H333=3,B335,"")</f>
        <v/>
      </c>
      <c r="K339" s="33" t="str">
        <f>IFERROR(IF(J339="","",VLOOKUP(J339,LISTAS!$F$5:$G$1004,2,0)),"0")</f>
        <v/>
      </c>
      <c r="L339" s="81"/>
    </row>
    <row r="340" spans="2:16" ht="18" customHeight="1" x14ac:dyDescent="0.25">
      <c r="B340" s="33" t="str">
        <f>IF(H333=3,B334,"")</f>
        <v/>
      </c>
      <c r="C340" s="33" t="str">
        <f>IFERROR(IF(B340="","",VLOOKUP(B340,LISTAS!$F$5:$G$1004,2,0)),"0")</f>
        <v/>
      </c>
      <c r="D340" s="253"/>
      <c r="E340" s="254"/>
      <c r="F340" s="253" t="s">
        <v>38</v>
      </c>
      <c r="G340" s="254"/>
      <c r="H340" s="253"/>
      <c r="I340" s="254"/>
      <c r="J340" s="111" t="str">
        <f>IF(H333=3,B335,"")</f>
        <v/>
      </c>
      <c r="K340" s="33" t="str">
        <f>IFERROR(IF(J340="","",VLOOKUP(J340,LISTAS!$F$5:$G$1004,2,0)),"0")</f>
        <v/>
      </c>
      <c r="L340" s="79"/>
    </row>
    <row r="341" spans="2:16" ht="18" customHeight="1" x14ac:dyDescent="0.25">
      <c r="B341" s="33" t="str">
        <f>IF(H333=3,B333,"")</f>
        <v/>
      </c>
      <c r="C341" s="33" t="str">
        <f>IFERROR(IF(B341="","",VLOOKUP(B341,LISTAS!$F$5:$G$1004,2,0)),"0")</f>
        <v/>
      </c>
      <c r="D341" s="253"/>
      <c r="E341" s="254"/>
      <c r="F341" s="253" t="s">
        <v>38</v>
      </c>
      <c r="G341" s="254"/>
      <c r="H341" s="253"/>
      <c r="I341" s="254"/>
      <c r="J341" s="111" t="str">
        <f>IF(H333=3,B334,"")</f>
        <v/>
      </c>
      <c r="K341" s="33" t="str">
        <f>IFERROR(IF(J341="","",VLOOKUP(J341,LISTAS!$F$5:$G$1004,2,0)),"0")</f>
        <v/>
      </c>
      <c r="L341" s="81"/>
    </row>
    <row r="344" spans="2:16" ht="30" customHeight="1" x14ac:dyDescent="0.25">
      <c r="B344" s="161" t="s">
        <v>70</v>
      </c>
      <c r="C344" s="79"/>
      <c r="D344" s="255" t="s">
        <v>42</v>
      </c>
      <c r="E344" s="256"/>
      <c r="F344" s="256"/>
      <c r="G344" s="257"/>
      <c r="H344" s="113"/>
      <c r="I344" s="255" t="s">
        <v>3</v>
      </c>
      <c r="J344" s="256"/>
      <c r="K344" s="256"/>
      <c r="L344" s="256"/>
    </row>
    <row r="345" spans="2:16" ht="18" customHeight="1" x14ac:dyDescent="0.25">
      <c r="B345" s="132" t="s">
        <v>15</v>
      </c>
      <c r="C345" s="132" t="s">
        <v>0</v>
      </c>
      <c r="D345" s="132" t="s">
        <v>43</v>
      </c>
      <c r="E345" s="132" t="s">
        <v>44</v>
      </c>
      <c r="F345" s="132" t="s">
        <v>77</v>
      </c>
      <c r="G345" s="132" t="s">
        <v>78</v>
      </c>
      <c r="H345" s="114"/>
      <c r="I345" s="132" t="s">
        <v>18</v>
      </c>
      <c r="J345" s="132" t="s">
        <v>15</v>
      </c>
      <c r="K345" s="132" t="s">
        <v>0</v>
      </c>
      <c r="L345" s="132" t="s">
        <v>45</v>
      </c>
    </row>
    <row r="346" spans="2:16" ht="18" customHeight="1" x14ac:dyDescent="0.25">
      <c r="B346" s="33"/>
      <c r="C346" s="33" t="str">
        <f>IFERROR(IF(B346="","",VLOOKUP(B346,LISTAS!$F$5:$G$1004,2,0)),"0")</f>
        <v/>
      </c>
      <c r="D346" s="33" t="str">
        <f>IF(H346&lt;3,"",IF(H346=3,IF(D352&lt;&gt;"",IF(H352&lt;&gt;"",IF(D352&lt;&gt;H352,IF(D352&gt;H352,"V","D"),""),""),"")))</f>
        <v/>
      </c>
      <c r="E346" s="33" t="str">
        <f>IF(H346&lt;3,"",IF(H346=3,IF(D354&lt;&gt;"",IF(H354&lt;&gt;"",IF(D354&lt;&gt;H354,IF(D354&gt;H354,"V","D"),""),""),"")))</f>
        <v/>
      </c>
      <c r="F346" s="33" t="s">
        <v>81</v>
      </c>
      <c r="G346" s="33" t="s">
        <v>81</v>
      </c>
      <c r="H346" s="117">
        <f>COUNTA(B346:B348)</f>
        <v>0</v>
      </c>
      <c r="I346" s="33" t="str">
        <f>IF(B346&lt;&gt;"",1,"")</f>
        <v/>
      </c>
      <c r="J346" s="33" t="str">
        <f>IF(I346&lt;&gt;"",P346,"")</f>
        <v/>
      </c>
      <c r="K346" s="33" t="str">
        <f>IFERROR(IF(J346="","",VLOOKUP(J346,LISTAS!$F$5:$G$1004,2,0)),"0")</f>
        <v/>
      </c>
      <c r="L346" s="130" t="str">
        <f>IF(H346=3,"OURO",IF(H346=4,"OURO",IF(H346=5,"OURO","")))</f>
        <v/>
      </c>
      <c r="M346" s="20" t="str">
        <f>IF(B346&lt;&gt;"",COUNTIF(D346:G346,"V")+(SUMIF(B352:B354,B346,D352:E354)/1000)+(SUMIF(J352:J354,B346,H352:I354)/1000)-(SUMIF(B352:B354,B346,H352:I354)/1000)-(SUMIF(J352:J354,B346,D352:E354)/1000)+0.003,"")</f>
        <v/>
      </c>
      <c r="N346" s="20" t="str">
        <f>IF(B346="","",B346)</f>
        <v/>
      </c>
      <c r="O346" s="20" t="str">
        <f>IF(B346&lt;&gt;"",LARGE(M346:M348,1),"")</f>
        <v/>
      </c>
      <c r="P346" s="20" t="str">
        <f>VLOOKUP(O346,M346:N348,2,0)</f>
        <v/>
      </c>
    </row>
    <row r="347" spans="2:16" ht="18" customHeight="1" x14ac:dyDescent="0.25">
      <c r="B347" s="33"/>
      <c r="C347" s="33" t="str">
        <f>IFERROR(IF(B347="","",VLOOKUP(B347,LISTAS!$F$5:$G$1004,2,0)),"0")</f>
        <v/>
      </c>
      <c r="D347" s="33" t="str">
        <f>IF(H346&lt;3,"",IF(H346=3,IF(D353&lt;&gt;"",IF(H353&lt;&gt;"",IF(D353&lt;&gt;H353,IF(D353&gt;H353,"V","D"),""),""),"")))</f>
        <v/>
      </c>
      <c r="E347" s="33" t="str">
        <f>IF(H346&lt;3,"",IF(H346=3,IF(D354&lt;&gt;"",IF(H354&lt;&gt;"",IF(D354&lt;&gt;H354,IF(D354&gt;H354,"D","V"),""),""),"")))</f>
        <v/>
      </c>
      <c r="F347" s="33" t="s">
        <v>81</v>
      </c>
      <c r="G347" s="33" t="s">
        <v>81</v>
      </c>
      <c r="H347" s="117"/>
      <c r="I347" s="33" t="str">
        <f>IF(B347&lt;&gt;"",2,"")</f>
        <v/>
      </c>
      <c r="J347" s="33" t="str">
        <f>IF(I347&lt;&gt;"",P347,"")</f>
        <v/>
      </c>
      <c r="K347" s="33" t="str">
        <f>IFERROR(IF(J347="","",VLOOKUP(J347,LISTAS!$F$5:$G$1004,2,0)),"0")</f>
        <v/>
      </c>
      <c r="L347" s="130" t="str">
        <f>IF(H346=3,"PRATA",IF(H346=4,"OURO",IF(H346=5,"OURO","")))</f>
        <v/>
      </c>
      <c r="M347" s="20" t="str">
        <f>IF(B347&lt;&gt;"",COUNTIF(D347:G347,"V")+(SUMIF(B352:B354,B347,D352:E354)/1000)+(SUMIF(J352:J354,B347,H352:I354)/1000)-(SUMIF(B352:B354,B347,H352:I354)/1000)-(SUMIF(J352:J354,B347,D352:E354)/1000)+0.002,"")</f>
        <v/>
      </c>
      <c r="N347" s="20" t="str">
        <f t="shared" ref="N347" si="25">IF(B347="","",B347)</f>
        <v/>
      </c>
      <c r="O347" s="20" t="str">
        <f>IF(B347&lt;&gt;"",LARGE(M346:M348,2),"")</f>
        <v/>
      </c>
      <c r="P347" s="20" t="str">
        <f>VLOOKUP(O347,M346:N348,2,0)</f>
        <v/>
      </c>
    </row>
    <row r="348" spans="2:16" ht="18" customHeight="1" x14ac:dyDescent="0.25">
      <c r="B348" s="33"/>
      <c r="C348" s="33" t="str">
        <f>IFERROR(IF(B348="","",VLOOKUP(B348,LISTAS!$F$5:$G$1004,2,0)),"0")</f>
        <v/>
      </c>
      <c r="D348" s="33" t="str">
        <f>IF(H346&lt;3,"",IF(H346=3,IF(D352&lt;&gt;"",IF(H352&lt;&gt;"",IF(D352&lt;&gt;H352,IF(D352&gt;H352,"D","V"),""),""),"")))</f>
        <v/>
      </c>
      <c r="E348" s="33" t="str">
        <f>IF(H346&lt;3,"",IF(H346=3,IF(D353&lt;&gt;"",IF(H353&lt;&gt;"",IF(D353&lt;&gt;H353,IF(D353&gt;H353,"D","V"),""),""),"")))</f>
        <v/>
      </c>
      <c r="F348" s="33" t="s">
        <v>81</v>
      </c>
      <c r="G348" s="33" t="s">
        <v>81</v>
      </c>
      <c r="H348" s="117"/>
      <c r="I348" s="33" t="str">
        <f>IF(B348&lt;&gt;"",3,"")</f>
        <v/>
      </c>
      <c r="J348" s="33" t="str">
        <f>IF(I348&lt;&gt;"",P348,"")</f>
        <v/>
      </c>
      <c r="K348" s="33" t="str">
        <f>IFERROR(IF(J348="","",VLOOKUP(J348,LISTAS!$F$5:$G$1004,2,0)),"0")</f>
        <v/>
      </c>
      <c r="L348" s="130" t="str">
        <f>IF(H346=3,"BRONZE",IF(H346=4,"PRATA",IF(H346=5,"OURO","")))</f>
        <v/>
      </c>
      <c r="M348" s="20" t="str">
        <f>IF(B348&lt;&gt;"",COUNTIF(D348:G348,"V")+(SUMIF(B352:B354,B348,D352:E354)/1000)+(SUMIF(J352:J354,B348,H352:I354)/1000)-(SUMIF(B352:B354,B348,H352:I354)/1000)-(SUMIF(J352:J354,B348,D352:E354)/1000)+0.001,"")</f>
        <v/>
      </c>
      <c r="N348" s="20" t="str">
        <f>IF(B348="","",B348)</f>
        <v/>
      </c>
      <c r="O348" s="20" t="str">
        <f>IF(B348&lt;&gt;"",LARGE(M346:M348,3),"")</f>
        <v/>
      </c>
      <c r="P348" s="20" t="str">
        <f>VLOOKUP(O348,M346:N348,2,0)</f>
        <v/>
      </c>
    </row>
    <row r="349" spans="2:16" ht="18" customHeight="1" x14ac:dyDescent="0.25">
      <c r="B349" s="79"/>
      <c r="C349" s="79"/>
      <c r="D349" s="79"/>
      <c r="E349" s="79"/>
      <c r="F349" s="79"/>
      <c r="G349" s="79"/>
      <c r="I349" s="80"/>
      <c r="J349" s="79"/>
      <c r="K349" s="81"/>
      <c r="L349" s="81"/>
    </row>
    <row r="350" spans="2:16" ht="23.25" customHeight="1" x14ac:dyDescent="0.25">
      <c r="B350" s="82" t="s">
        <v>40</v>
      </c>
      <c r="C350" s="79"/>
      <c r="D350" s="79"/>
      <c r="E350" s="79"/>
      <c r="F350" s="79"/>
      <c r="G350" s="79"/>
      <c r="H350" s="79"/>
      <c r="I350" s="79"/>
      <c r="J350" s="79"/>
      <c r="K350" s="79"/>
      <c r="L350" s="79"/>
    </row>
    <row r="351" spans="2:16" ht="18" customHeight="1" x14ac:dyDescent="0.25">
      <c r="B351" s="132" t="s">
        <v>15</v>
      </c>
      <c r="C351" s="132" t="s">
        <v>0</v>
      </c>
      <c r="D351" s="258" t="s">
        <v>41</v>
      </c>
      <c r="E351" s="259"/>
      <c r="F351" s="259"/>
      <c r="G351" s="259"/>
      <c r="H351" s="259"/>
      <c r="I351" s="260"/>
      <c r="J351" s="132" t="s">
        <v>15</v>
      </c>
      <c r="K351" s="132" t="s">
        <v>0</v>
      </c>
      <c r="L351" s="79"/>
    </row>
    <row r="352" spans="2:16" ht="18" customHeight="1" x14ac:dyDescent="0.25">
      <c r="B352" s="33" t="str">
        <f>IF(H346=3,B346,"")</f>
        <v/>
      </c>
      <c r="C352" s="33" t="str">
        <f>IFERROR(IF(B352="","",VLOOKUP(B352,LISTAS!$F$5:$G$1004,2,0)),"0")</f>
        <v/>
      </c>
      <c r="D352" s="253"/>
      <c r="E352" s="254"/>
      <c r="F352" s="253" t="s">
        <v>38</v>
      </c>
      <c r="G352" s="254"/>
      <c r="H352" s="253"/>
      <c r="I352" s="254"/>
      <c r="J352" s="111" t="str">
        <f>IF(H346=3,B348,"")</f>
        <v/>
      </c>
      <c r="K352" s="33" t="str">
        <f>IFERROR(IF(J352="","",VLOOKUP(J352,LISTAS!$F$5:$G$1004,2,0)),"0")</f>
        <v/>
      </c>
      <c r="L352" s="81"/>
    </row>
    <row r="353" spans="2:16" ht="18" customHeight="1" x14ac:dyDescent="0.25">
      <c r="B353" s="33" t="str">
        <f>IF(H346=3,B347,"")</f>
        <v/>
      </c>
      <c r="C353" s="33" t="str">
        <f>IFERROR(IF(B353="","",VLOOKUP(B353,LISTAS!$F$5:$G$1004,2,0)),"0")</f>
        <v/>
      </c>
      <c r="D353" s="253"/>
      <c r="E353" s="254"/>
      <c r="F353" s="253" t="s">
        <v>38</v>
      </c>
      <c r="G353" s="254"/>
      <c r="H353" s="253"/>
      <c r="I353" s="254"/>
      <c r="J353" s="111" t="str">
        <f>IF(H346=3,B348,"")</f>
        <v/>
      </c>
      <c r="K353" s="33" t="str">
        <f>IFERROR(IF(J353="","",VLOOKUP(J353,LISTAS!$F$5:$G$1004,2,0)),"0")</f>
        <v/>
      </c>
      <c r="L353" s="79"/>
    </row>
    <row r="354" spans="2:16" ht="18" customHeight="1" x14ac:dyDescent="0.25">
      <c r="B354" s="33" t="str">
        <f>IF(H346=3,B346,"")</f>
        <v/>
      </c>
      <c r="C354" s="33" t="str">
        <f>IFERROR(IF(B354="","",VLOOKUP(B354,LISTAS!$F$5:$G$1004,2,0)),"0")</f>
        <v/>
      </c>
      <c r="D354" s="253"/>
      <c r="E354" s="254"/>
      <c r="F354" s="253" t="s">
        <v>38</v>
      </c>
      <c r="G354" s="254"/>
      <c r="H354" s="253"/>
      <c r="I354" s="254"/>
      <c r="J354" s="111" t="str">
        <f>IF(H346=3,B347,"")</f>
        <v/>
      </c>
      <c r="K354" s="33" t="str">
        <f>IFERROR(IF(J354="","",VLOOKUP(J354,LISTAS!$F$5:$G$1004,2,0)),"0")</f>
        <v/>
      </c>
      <c r="L354" s="81"/>
    </row>
    <row r="357" spans="2:16" ht="30" customHeight="1" x14ac:dyDescent="0.25">
      <c r="B357" s="161" t="s">
        <v>71</v>
      </c>
      <c r="C357" s="79"/>
      <c r="D357" s="255" t="s">
        <v>42</v>
      </c>
      <c r="E357" s="256"/>
      <c r="F357" s="256"/>
      <c r="G357" s="257"/>
      <c r="H357" s="113"/>
      <c r="I357" s="255" t="s">
        <v>3</v>
      </c>
      <c r="J357" s="256"/>
      <c r="K357" s="256"/>
      <c r="L357" s="256"/>
    </row>
    <row r="358" spans="2:16" ht="18" customHeight="1" x14ac:dyDescent="0.25">
      <c r="B358" s="132" t="s">
        <v>15</v>
      </c>
      <c r="C358" s="132" t="s">
        <v>0</v>
      </c>
      <c r="D358" s="132" t="s">
        <v>43</v>
      </c>
      <c r="E358" s="132" t="s">
        <v>44</v>
      </c>
      <c r="F358" s="132" t="s">
        <v>77</v>
      </c>
      <c r="G358" s="132" t="s">
        <v>78</v>
      </c>
      <c r="H358" s="114"/>
      <c r="I358" s="132" t="s">
        <v>18</v>
      </c>
      <c r="J358" s="132" t="s">
        <v>15</v>
      </c>
      <c r="K358" s="132" t="s">
        <v>0</v>
      </c>
      <c r="L358" s="132" t="s">
        <v>45</v>
      </c>
    </row>
    <row r="359" spans="2:16" ht="18" customHeight="1" x14ac:dyDescent="0.25">
      <c r="B359" s="33"/>
      <c r="C359" s="33" t="str">
        <f>IFERROR(IF(B359="","",VLOOKUP(B359,LISTAS!$F$5:$G$1004,2,0)),"0")</f>
        <v/>
      </c>
      <c r="D359" s="33" t="str">
        <f>IF(H359&lt;3,"",IF(H359=3,IF(D365&lt;&gt;"",IF(H365&lt;&gt;"",IF(D365&lt;&gt;H365,IF(D365&gt;H365,"V","D"),""),""),"")))</f>
        <v/>
      </c>
      <c r="E359" s="33" t="str">
        <f>IF(H359&lt;3,"",IF(H359=3,IF(D367&lt;&gt;"",IF(H367&lt;&gt;"",IF(D367&lt;&gt;H367,IF(D367&gt;H367,"V","D"),""),""),"")))</f>
        <v/>
      </c>
      <c r="F359" s="33" t="s">
        <v>81</v>
      </c>
      <c r="G359" s="33" t="s">
        <v>81</v>
      </c>
      <c r="H359" s="117">
        <f>COUNTA(B359:B361)</f>
        <v>0</v>
      </c>
      <c r="I359" s="33" t="str">
        <f>IF(B359&lt;&gt;"",1,"")</f>
        <v/>
      </c>
      <c r="J359" s="33" t="str">
        <f>IF(I359&lt;&gt;"",P359,"")</f>
        <v/>
      </c>
      <c r="K359" s="33" t="str">
        <f>IFERROR(IF(J359="","",VLOOKUP(J359,LISTAS!$F$5:$G$1004,2,0)),"0")</f>
        <v/>
      </c>
      <c r="L359" s="130" t="str">
        <f>IF(H359=3,"OURO",IF(H359=4,"OURO",IF(H359=5,"OURO","")))</f>
        <v/>
      </c>
      <c r="M359" s="20" t="str">
        <f>IF(B359&lt;&gt;"",COUNTIF(D359:G359,"V")+(SUMIF(B365:B367,B359,D365:E367)/1000)+(SUMIF(J365:J367,B359,H365:I367)/1000)-(SUMIF(B365:B367,B359,H365:I367)/1000)-(SUMIF(J365:J367,B359,D365:E367)/1000)+0.003,"")</f>
        <v/>
      </c>
      <c r="N359" s="20" t="str">
        <f>IF(B359="","",B359)</f>
        <v/>
      </c>
      <c r="O359" s="20" t="str">
        <f>IF(B359&lt;&gt;"",LARGE(M359:M361,1),"")</f>
        <v/>
      </c>
      <c r="P359" s="20" t="str">
        <f>VLOOKUP(O359,M359:N361,2,0)</f>
        <v/>
      </c>
    </row>
    <row r="360" spans="2:16" ht="18" customHeight="1" x14ac:dyDescent="0.25">
      <c r="B360" s="33"/>
      <c r="C360" s="33" t="str">
        <f>IFERROR(IF(B360="","",VLOOKUP(B360,LISTAS!$F$5:$G$1004,2,0)),"0")</f>
        <v/>
      </c>
      <c r="D360" s="33" t="str">
        <f>IF(H359&lt;3,"",IF(H359=3,IF(D366&lt;&gt;"",IF(H366&lt;&gt;"",IF(D366&lt;&gt;H366,IF(D366&gt;H366,"V","D"),""),""),"")))</f>
        <v/>
      </c>
      <c r="E360" s="33" t="str">
        <f>IF(H359&lt;3,"",IF(H359=3,IF(D367&lt;&gt;"",IF(H367&lt;&gt;"",IF(D367&lt;&gt;H367,IF(D367&gt;H367,"D","V"),""),""),"")))</f>
        <v/>
      </c>
      <c r="F360" s="33" t="s">
        <v>81</v>
      </c>
      <c r="G360" s="33" t="s">
        <v>81</v>
      </c>
      <c r="H360" s="117"/>
      <c r="I360" s="33" t="str">
        <f>IF(B360&lt;&gt;"",2,"")</f>
        <v/>
      </c>
      <c r="J360" s="33" t="str">
        <f>IF(I360&lt;&gt;"",P360,"")</f>
        <v/>
      </c>
      <c r="K360" s="33" t="str">
        <f>IFERROR(IF(J360="","",VLOOKUP(J360,LISTAS!$F$5:$G$1004,2,0)),"0")</f>
        <v/>
      </c>
      <c r="L360" s="130" t="str">
        <f>IF(H359=3,"PRATA",IF(H359=4,"OURO",IF(H359=5,"OURO","")))</f>
        <v/>
      </c>
      <c r="M360" s="20" t="str">
        <f>IF(B360&lt;&gt;"",COUNTIF(D360:G360,"V")+(SUMIF(B365:B367,B360,D365:E367)/1000)+(SUMIF(J365:J367,B360,H365:I367)/1000)-(SUMIF(B365:B367,B360,H365:I367)/1000)-(SUMIF(J365:J367,B360,D365:E367)/1000)+0.002,"")</f>
        <v/>
      </c>
      <c r="N360" s="20" t="str">
        <f t="shared" ref="N360" si="26">IF(B360="","",B360)</f>
        <v/>
      </c>
      <c r="O360" s="20" t="str">
        <f>IF(B360&lt;&gt;"",LARGE(M359:M361,2),"")</f>
        <v/>
      </c>
      <c r="P360" s="20" t="str">
        <f>VLOOKUP(O360,M359:N361,2,0)</f>
        <v/>
      </c>
    </row>
    <row r="361" spans="2:16" ht="18" customHeight="1" x14ac:dyDescent="0.25">
      <c r="B361" s="33"/>
      <c r="C361" s="33" t="str">
        <f>IFERROR(IF(B361="","",VLOOKUP(B361,LISTAS!$F$5:$G$1004,2,0)),"0")</f>
        <v/>
      </c>
      <c r="D361" s="33" t="str">
        <f>IF(H359&lt;3,"",IF(H359=3,IF(D365&lt;&gt;"",IF(H365&lt;&gt;"",IF(D365&lt;&gt;H365,IF(D365&gt;H365,"D","V"),""),""),"")))</f>
        <v/>
      </c>
      <c r="E361" s="33" t="str">
        <f>IF(H359&lt;3,"",IF(H359=3,IF(D366&lt;&gt;"",IF(H366&lt;&gt;"",IF(D366&lt;&gt;H366,IF(D366&gt;H366,"D","V"),""),""),"")))</f>
        <v/>
      </c>
      <c r="F361" s="33" t="s">
        <v>81</v>
      </c>
      <c r="G361" s="33" t="s">
        <v>81</v>
      </c>
      <c r="H361" s="117"/>
      <c r="I361" s="33" t="str">
        <f>IF(B361&lt;&gt;"",3,"")</f>
        <v/>
      </c>
      <c r="J361" s="33" t="str">
        <f>IF(I361&lt;&gt;"",P361,"")</f>
        <v/>
      </c>
      <c r="K361" s="33" t="str">
        <f>IFERROR(IF(J361="","",VLOOKUP(J361,LISTAS!$F$5:$G$1004,2,0)),"0")</f>
        <v/>
      </c>
      <c r="L361" s="130" t="str">
        <f>IF(H359=3,"BRONZE",IF(H359=4,"PRATA",IF(H359=5,"OURO","")))</f>
        <v/>
      </c>
      <c r="M361" s="20" t="str">
        <f>IF(B361&lt;&gt;"",COUNTIF(D361:G361,"V")+(SUMIF(B365:B367,B361,D365:E367)/1000)+(SUMIF(J365:J367,B361,H365:I367)/1000)-(SUMIF(B365:B367,B361,H365:I367)/1000)-(SUMIF(J365:J367,B361,D365:E367)/1000)+0.001,"")</f>
        <v/>
      </c>
      <c r="N361" s="20" t="str">
        <f>IF(B361="","",B361)</f>
        <v/>
      </c>
      <c r="O361" s="20" t="str">
        <f>IF(B361&lt;&gt;"",LARGE(M359:M361,3),"")</f>
        <v/>
      </c>
      <c r="P361" s="20" t="str">
        <f>VLOOKUP(O361,M359:N361,2,0)</f>
        <v/>
      </c>
    </row>
    <row r="362" spans="2:16" ht="18" customHeight="1" x14ac:dyDescent="0.25">
      <c r="B362" s="79"/>
      <c r="C362" s="79"/>
      <c r="D362" s="79"/>
      <c r="E362" s="79"/>
      <c r="F362" s="79"/>
      <c r="G362" s="79"/>
      <c r="I362" s="80"/>
      <c r="J362" s="79"/>
      <c r="K362" s="81"/>
      <c r="L362" s="81"/>
    </row>
    <row r="363" spans="2:16" ht="23.25" customHeight="1" x14ac:dyDescent="0.25">
      <c r="B363" s="82" t="s">
        <v>40</v>
      </c>
      <c r="C363" s="79"/>
      <c r="D363" s="79"/>
      <c r="E363" s="79"/>
      <c r="F363" s="79"/>
      <c r="G363" s="79"/>
      <c r="H363" s="79"/>
      <c r="I363" s="79"/>
      <c r="J363" s="79"/>
      <c r="K363" s="79"/>
      <c r="L363" s="79"/>
    </row>
    <row r="364" spans="2:16" ht="18" customHeight="1" x14ac:dyDescent="0.25">
      <c r="B364" s="132" t="s">
        <v>15</v>
      </c>
      <c r="C364" s="132" t="s">
        <v>0</v>
      </c>
      <c r="D364" s="258" t="s">
        <v>41</v>
      </c>
      <c r="E364" s="259"/>
      <c r="F364" s="259"/>
      <c r="G364" s="259"/>
      <c r="H364" s="259"/>
      <c r="I364" s="260"/>
      <c r="J364" s="132" t="s">
        <v>15</v>
      </c>
      <c r="K364" s="132" t="s">
        <v>0</v>
      </c>
      <c r="L364" s="79"/>
    </row>
    <row r="365" spans="2:16" ht="18" customHeight="1" x14ac:dyDescent="0.25">
      <c r="B365" s="33" t="str">
        <f>IF(H359=3,B359,"")</f>
        <v/>
      </c>
      <c r="C365" s="33" t="str">
        <f>IFERROR(IF(B365="","",VLOOKUP(B365,LISTAS!$F$5:$G$1004,2,0)),"0")</f>
        <v/>
      </c>
      <c r="D365" s="253"/>
      <c r="E365" s="254"/>
      <c r="F365" s="253" t="s">
        <v>38</v>
      </c>
      <c r="G365" s="254"/>
      <c r="H365" s="253"/>
      <c r="I365" s="254"/>
      <c r="J365" s="111" t="str">
        <f>IF(H359=3,B361,"")</f>
        <v/>
      </c>
      <c r="K365" s="33" t="str">
        <f>IFERROR(IF(J365="","",VLOOKUP(J365,LISTAS!$F$5:$G$1004,2,0)),"0")</f>
        <v/>
      </c>
      <c r="L365" s="81"/>
    </row>
    <row r="366" spans="2:16" ht="18" customHeight="1" x14ac:dyDescent="0.25">
      <c r="B366" s="33" t="str">
        <f>IF(H359=3,B360,"")</f>
        <v/>
      </c>
      <c r="C366" s="33" t="str">
        <f>IFERROR(IF(B366="","",VLOOKUP(B366,LISTAS!$F$5:$G$1004,2,0)),"0")</f>
        <v/>
      </c>
      <c r="D366" s="253"/>
      <c r="E366" s="254"/>
      <c r="F366" s="253" t="s">
        <v>38</v>
      </c>
      <c r="G366" s="254"/>
      <c r="H366" s="253"/>
      <c r="I366" s="254"/>
      <c r="J366" s="111" t="str">
        <f>IF(H359=3,B361,"")</f>
        <v/>
      </c>
      <c r="K366" s="33" t="str">
        <f>IFERROR(IF(J366="","",VLOOKUP(J366,LISTAS!$F$5:$G$1004,2,0)),"0")</f>
        <v/>
      </c>
      <c r="L366" s="79"/>
    </row>
    <row r="367" spans="2:16" ht="18" customHeight="1" x14ac:dyDescent="0.25">
      <c r="B367" s="33" t="str">
        <f>IF(H359=3,B359,"")</f>
        <v/>
      </c>
      <c r="C367" s="33" t="str">
        <f>IFERROR(IF(B367="","",VLOOKUP(B367,LISTAS!$F$5:$G$1004,2,0)),"0")</f>
        <v/>
      </c>
      <c r="D367" s="253"/>
      <c r="E367" s="254"/>
      <c r="F367" s="253" t="s">
        <v>38</v>
      </c>
      <c r="G367" s="254"/>
      <c r="H367" s="253"/>
      <c r="I367" s="254"/>
      <c r="J367" s="111" t="str">
        <f>IF(H359=3,B360,"")</f>
        <v/>
      </c>
      <c r="K367" s="33" t="str">
        <f>IFERROR(IF(J367="","",VLOOKUP(J367,LISTAS!$F$5:$G$1004,2,0)),"0")</f>
        <v/>
      </c>
      <c r="L367" s="81"/>
    </row>
    <row r="370" spans="2:16" ht="30" customHeight="1" x14ac:dyDescent="0.25">
      <c r="B370" s="161" t="s">
        <v>72</v>
      </c>
      <c r="C370" s="79"/>
      <c r="D370" s="255" t="s">
        <v>42</v>
      </c>
      <c r="E370" s="256"/>
      <c r="F370" s="256"/>
      <c r="G370" s="257"/>
      <c r="H370" s="113"/>
      <c r="I370" s="255" t="s">
        <v>3</v>
      </c>
      <c r="J370" s="256"/>
      <c r="K370" s="256"/>
      <c r="L370" s="256"/>
    </row>
    <row r="371" spans="2:16" ht="18" customHeight="1" x14ac:dyDescent="0.25">
      <c r="B371" s="132" t="s">
        <v>15</v>
      </c>
      <c r="C371" s="132" t="s">
        <v>0</v>
      </c>
      <c r="D371" s="132" t="s">
        <v>43</v>
      </c>
      <c r="E371" s="132" t="s">
        <v>44</v>
      </c>
      <c r="F371" s="132" t="s">
        <v>77</v>
      </c>
      <c r="G371" s="132" t="s">
        <v>78</v>
      </c>
      <c r="H371" s="114"/>
      <c r="I371" s="132" t="s">
        <v>18</v>
      </c>
      <c r="J371" s="132" t="s">
        <v>15</v>
      </c>
      <c r="K371" s="132" t="s">
        <v>0</v>
      </c>
      <c r="L371" s="132" t="s">
        <v>45</v>
      </c>
    </row>
    <row r="372" spans="2:16" ht="18" customHeight="1" x14ac:dyDescent="0.25">
      <c r="B372" s="33"/>
      <c r="C372" s="33" t="str">
        <f>IFERROR(IF(B372="","",VLOOKUP(B372,LISTAS!$F$5:$G$1004,2,0)),"0")</f>
        <v/>
      </c>
      <c r="D372" s="33" t="str">
        <f>IF(H372&lt;3,"",IF(H372=3,IF(D378&lt;&gt;"",IF(H378&lt;&gt;"",IF(D378&lt;&gt;H378,IF(D378&gt;H378,"V","D"),""),""),"")))</f>
        <v/>
      </c>
      <c r="E372" s="33" t="str">
        <f>IF(H372&lt;3,"",IF(H372=3,IF(D380&lt;&gt;"",IF(H380&lt;&gt;"",IF(D380&lt;&gt;H380,IF(D380&gt;H380,"V","D"),""),""),"")))</f>
        <v/>
      </c>
      <c r="F372" s="33" t="s">
        <v>81</v>
      </c>
      <c r="G372" s="33" t="s">
        <v>81</v>
      </c>
      <c r="H372" s="117">
        <f>COUNTA(B372:B374)</f>
        <v>0</v>
      </c>
      <c r="I372" s="33" t="str">
        <f>IF(B372&lt;&gt;"",1,"")</f>
        <v/>
      </c>
      <c r="J372" s="33" t="str">
        <f>IF(I372&lt;&gt;"",P372,"")</f>
        <v/>
      </c>
      <c r="K372" s="33" t="str">
        <f>IFERROR(IF(J372="","",VLOOKUP(J372,LISTAS!$F$5:$G$1004,2,0)),"0")</f>
        <v/>
      </c>
      <c r="L372" s="130" t="str">
        <f>IF(H372=3,"OURO",IF(H372=4,"OURO",IF(H372=5,"OURO","")))</f>
        <v/>
      </c>
      <c r="M372" s="20" t="str">
        <f>IF(B372&lt;&gt;"",COUNTIF(D372:G372,"V")+(SUMIF(B378:B380,B372,D378:E380)/1000)+(SUMIF(J378:J380,B372,H378:I380)/1000)-(SUMIF(B378:B380,B372,H378:I380)/1000)-(SUMIF(J378:J380,B372,D378:E380)/1000)+0.003,"")</f>
        <v/>
      </c>
      <c r="N372" s="20" t="str">
        <f>IF(B372="","",B372)</f>
        <v/>
      </c>
      <c r="O372" s="20" t="str">
        <f>IF(B372&lt;&gt;"",LARGE(M372:M374,1),"")</f>
        <v/>
      </c>
      <c r="P372" s="20" t="str">
        <f>VLOOKUP(O372,M372:N374,2,0)</f>
        <v/>
      </c>
    </row>
    <row r="373" spans="2:16" ht="18" customHeight="1" x14ac:dyDescent="0.25">
      <c r="B373" s="33"/>
      <c r="C373" s="33" t="str">
        <f>IFERROR(IF(B373="","",VLOOKUP(B373,LISTAS!$F$5:$G$1004,2,0)),"0")</f>
        <v/>
      </c>
      <c r="D373" s="33" t="str">
        <f>IF(H372&lt;3,"",IF(H372=3,IF(D379&lt;&gt;"",IF(H379&lt;&gt;"",IF(D379&lt;&gt;H379,IF(D379&gt;H379,"V","D"),""),""),"")))</f>
        <v/>
      </c>
      <c r="E373" s="33" t="str">
        <f>IF(H372&lt;3,"",IF(H372=3,IF(D380&lt;&gt;"",IF(H380&lt;&gt;"",IF(D380&lt;&gt;H380,IF(D380&gt;H380,"D","V"),""),""),"")))</f>
        <v/>
      </c>
      <c r="F373" s="33" t="s">
        <v>81</v>
      </c>
      <c r="G373" s="33" t="s">
        <v>81</v>
      </c>
      <c r="H373" s="117"/>
      <c r="I373" s="33" t="str">
        <f>IF(B373&lt;&gt;"",2,"")</f>
        <v/>
      </c>
      <c r="J373" s="33" t="str">
        <f>IF(I373&lt;&gt;"",P373,"")</f>
        <v/>
      </c>
      <c r="K373" s="33" t="str">
        <f>IFERROR(IF(J373="","",VLOOKUP(J373,LISTAS!$F$5:$G$1004,2,0)),"0")</f>
        <v/>
      </c>
      <c r="L373" s="130" t="str">
        <f>IF(H372=3,"PRATA",IF(H372=4,"OURO",IF(H372=5,"OURO","")))</f>
        <v/>
      </c>
      <c r="M373" s="20" t="str">
        <f>IF(B373&lt;&gt;"",COUNTIF(D373:G373,"V")+(SUMIF(B378:B380,B373,D378:E380)/1000)+(SUMIF(J378:J380,B373,H378:I380)/1000)-(SUMIF(B378:B380,B373,H378:I380)/1000)-(SUMIF(J378:J380,B373,D378:E380)/1000)+0.002,"")</f>
        <v/>
      </c>
      <c r="N373" s="20" t="str">
        <f t="shared" ref="N373" si="27">IF(B373="","",B373)</f>
        <v/>
      </c>
      <c r="O373" s="20" t="str">
        <f>IF(B373&lt;&gt;"",LARGE(M372:M374,2),"")</f>
        <v/>
      </c>
      <c r="P373" s="20" t="str">
        <f>VLOOKUP(O373,M372:N374,2,0)</f>
        <v/>
      </c>
    </row>
    <row r="374" spans="2:16" ht="18" customHeight="1" x14ac:dyDescent="0.25">
      <c r="B374" s="33"/>
      <c r="C374" s="33" t="str">
        <f>IFERROR(IF(B374="","",VLOOKUP(B374,LISTAS!$F$5:$G$1004,2,0)),"0")</f>
        <v/>
      </c>
      <c r="D374" s="33" t="str">
        <f>IF(H372&lt;3,"",IF(H372=3,IF(D378&lt;&gt;"",IF(H378&lt;&gt;"",IF(D378&lt;&gt;H378,IF(D378&gt;H378,"D","V"),""),""),"")))</f>
        <v/>
      </c>
      <c r="E374" s="33" t="str">
        <f>IF(H372&lt;3,"",IF(H372=3,IF(D379&lt;&gt;"",IF(H379&lt;&gt;"",IF(D379&lt;&gt;H379,IF(D379&gt;H379,"D","V"),""),""),"")))</f>
        <v/>
      </c>
      <c r="F374" s="33" t="s">
        <v>81</v>
      </c>
      <c r="G374" s="33" t="s">
        <v>81</v>
      </c>
      <c r="H374" s="117"/>
      <c r="I374" s="33" t="str">
        <f>IF(B374&lt;&gt;"",3,"")</f>
        <v/>
      </c>
      <c r="J374" s="33" t="str">
        <f>IF(I374&lt;&gt;"",P374,"")</f>
        <v/>
      </c>
      <c r="K374" s="33" t="str">
        <f>IFERROR(IF(J374="","",VLOOKUP(J374,LISTAS!$F$5:$G$1004,2,0)),"0")</f>
        <v/>
      </c>
      <c r="L374" s="130" t="str">
        <f>IF(H372=3,"BRONZE",IF(H372=4,"PRATA",IF(H372=5,"OURO","")))</f>
        <v/>
      </c>
      <c r="M374" s="20" t="str">
        <f>IF(B374&lt;&gt;"",COUNTIF(D374:G374,"V")+(SUMIF(B378:B380,B374,D378:E380)/1000)+(SUMIF(J378:J380,B374,H378:I380)/1000)-(SUMIF(B378:B380,B374,H378:I380)/1000)-(SUMIF(J378:J380,B374,D378:E380)/1000)+0.001,"")</f>
        <v/>
      </c>
      <c r="N374" s="20" t="str">
        <f>IF(B374="","",B374)</f>
        <v/>
      </c>
      <c r="O374" s="20" t="str">
        <f>IF(B374&lt;&gt;"",LARGE(M372:M374,3),"")</f>
        <v/>
      </c>
      <c r="P374" s="20" t="str">
        <f>VLOOKUP(O374,M372:N374,2,0)</f>
        <v/>
      </c>
    </row>
    <row r="375" spans="2:16" ht="18" customHeight="1" x14ac:dyDescent="0.25">
      <c r="B375" s="79"/>
      <c r="C375" s="79"/>
      <c r="D375" s="79"/>
      <c r="E375" s="79"/>
      <c r="F375" s="79"/>
      <c r="G375" s="79"/>
      <c r="I375" s="80"/>
      <c r="J375" s="79"/>
      <c r="K375" s="81"/>
      <c r="L375" s="81"/>
    </row>
    <row r="376" spans="2:16" ht="23.25" customHeight="1" x14ac:dyDescent="0.25">
      <c r="B376" s="82" t="s">
        <v>40</v>
      </c>
      <c r="C376" s="79"/>
      <c r="D376" s="79"/>
      <c r="E376" s="79"/>
      <c r="F376" s="79"/>
      <c r="G376" s="79"/>
      <c r="H376" s="79"/>
      <c r="I376" s="79"/>
      <c r="J376" s="79"/>
      <c r="K376" s="79"/>
      <c r="L376" s="79"/>
    </row>
    <row r="377" spans="2:16" ht="18" customHeight="1" x14ac:dyDescent="0.25">
      <c r="B377" s="132" t="s">
        <v>15</v>
      </c>
      <c r="C377" s="132" t="s">
        <v>0</v>
      </c>
      <c r="D377" s="258" t="s">
        <v>41</v>
      </c>
      <c r="E377" s="259"/>
      <c r="F377" s="259"/>
      <c r="G377" s="259"/>
      <c r="H377" s="259"/>
      <c r="I377" s="260"/>
      <c r="J377" s="132" t="s">
        <v>15</v>
      </c>
      <c r="K377" s="132" t="s">
        <v>0</v>
      </c>
      <c r="L377" s="79"/>
    </row>
    <row r="378" spans="2:16" ht="18" customHeight="1" x14ac:dyDescent="0.25">
      <c r="B378" s="33" t="str">
        <f>IF(H372=3,B372,"")</f>
        <v/>
      </c>
      <c r="C378" s="33" t="str">
        <f>IFERROR(IF(B378="","",VLOOKUP(B378,LISTAS!$F$5:$G$1004,2,0)),"0")</f>
        <v/>
      </c>
      <c r="D378" s="253"/>
      <c r="E378" s="254"/>
      <c r="F378" s="253" t="s">
        <v>38</v>
      </c>
      <c r="G378" s="254"/>
      <c r="H378" s="253"/>
      <c r="I378" s="254"/>
      <c r="J378" s="111" t="str">
        <f>IF(H372=3,B374,"")</f>
        <v/>
      </c>
      <c r="K378" s="33" t="str">
        <f>IFERROR(IF(J378="","",VLOOKUP(J378,LISTAS!$F$5:$G$1004,2,0)),"0")</f>
        <v/>
      </c>
      <c r="L378" s="81"/>
    </row>
    <row r="379" spans="2:16" ht="18" customHeight="1" x14ac:dyDescent="0.25">
      <c r="B379" s="33" t="str">
        <f>IF(H372=3,B373,"")</f>
        <v/>
      </c>
      <c r="C379" s="33" t="str">
        <f>IFERROR(IF(B379="","",VLOOKUP(B379,LISTAS!$F$5:$G$1004,2,0)),"0")</f>
        <v/>
      </c>
      <c r="D379" s="253"/>
      <c r="E379" s="254"/>
      <c r="F379" s="253" t="s">
        <v>38</v>
      </c>
      <c r="G379" s="254"/>
      <c r="H379" s="253"/>
      <c r="I379" s="254"/>
      <c r="J379" s="111" t="str">
        <f>IF(H372=3,B374,"")</f>
        <v/>
      </c>
      <c r="K379" s="33" t="str">
        <f>IFERROR(IF(J379="","",VLOOKUP(J379,LISTAS!$F$5:$G$1004,2,0)),"0")</f>
        <v/>
      </c>
      <c r="L379" s="79"/>
    </row>
    <row r="380" spans="2:16" ht="18" customHeight="1" x14ac:dyDescent="0.25">
      <c r="B380" s="33" t="str">
        <f>IF(H372=3,B372,"")</f>
        <v/>
      </c>
      <c r="C380" s="33" t="str">
        <f>IFERROR(IF(B380="","",VLOOKUP(B380,LISTAS!$F$5:$G$1004,2,0)),"0")</f>
        <v/>
      </c>
      <c r="D380" s="253"/>
      <c r="E380" s="254"/>
      <c r="F380" s="253" t="s">
        <v>38</v>
      </c>
      <c r="G380" s="254"/>
      <c r="H380" s="253"/>
      <c r="I380" s="254"/>
      <c r="J380" s="111" t="str">
        <f>IF(H372=3,B373,"")</f>
        <v/>
      </c>
      <c r="K380" s="33" t="str">
        <f>IFERROR(IF(J380="","",VLOOKUP(J380,LISTAS!$F$5:$G$1004,2,0)),"0")</f>
        <v/>
      </c>
      <c r="L380" s="81"/>
    </row>
    <row r="383" spans="2:16" ht="30" customHeight="1" x14ac:dyDescent="0.25">
      <c r="B383" s="161" t="s">
        <v>73</v>
      </c>
      <c r="C383" s="79"/>
      <c r="D383" s="255" t="s">
        <v>42</v>
      </c>
      <c r="E383" s="256"/>
      <c r="F383" s="256"/>
      <c r="G383" s="257"/>
      <c r="H383" s="113"/>
      <c r="I383" s="255" t="s">
        <v>3</v>
      </c>
      <c r="J383" s="256"/>
      <c r="K383" s="256"/>
      <c r="L383" s="256"/>
    </row>
    <row r="384" spans="2:16" ht="18" customHeight="1" x14ac:dyDescent="0.25">
      <c r="B384" s="132" t="s">
        <v>15</v>
      </c>
      <c r="C384" s="132" t="s">
        <v>0</v>
      </c>
      <c r="D384" s="132" t="s">
        <v>43</v>
      </c>
      <c r="E384" s="132" t="s">
        <v>44</v>
      </c>
      <c r="F384" s="132" t="s">
        <v>77</v>
      </c>
      <c r="G384" s="132" t="s">
        <v>78</v>
      </c>
      <c r="H384" s="114"/>
      <c r="I384" s="132" t="s">
        <v>18</v>
      </c>
      <c r="J384" s="132" t="s">
        <v>15</v>
      </c>
      <c r="K384" s="132" t="s">
        <v>0</v>
      </c>
      <c r="L384" s="132" t="s">
        <v>45</v>
      </c>
    </row>
    <row r="385" spans="2:16" ht="18" customHeight="1" x14ac:dyDescent="0.25">
      <c r="B385" s="33"/>
      <c r="C385" s="33" t="str">
        <f>IFERROR(IF(B385="","",VLOOKUP(B385,LISTAS!$F$5:$G$1004,2,0)),"0")</f>
        <v/>
      </c>
      <c r="D385" s="33" t="str">
        <f>IF(H385&lt;3,"",IF(H385=3,IF(D391&lt;&gt;"",IF(H391&lt;&gt;"",IF(D391&lt;&gt;H391,IF(D391&gt;H391,"V","D"),""),""),"")))</f>
        <v/>
      </c>
      <c r="E385" s="33" t="str">
        <f>IF(H385&lt;3,"",IF(H385=3,IF(D393&lt;&gt;"",IF(H393&lt;&gt;"",IF(D393&lt;&gt;H393,IF(D393&gt;H393,"V","D"),""),""),"")))</f>
        <v/>
      </c>
      <c r="F385" s="33" t="s">
        <v>81</v>
      </c>
      <c r="G385" s="33" t="s">
        <v>81</v>
      </c>
      <c r="H385" s="117">
        <f>COUNTA(B385:B387)</f>
        <v>0</v>
      </c>
      <c r="I385" s="33" t="str">
        <f>IF(B385&lt;&gt;"",1,"")</f>
        <v/>
      </c>
      <c r="J385" s="33" t="str">
        <f>IF(I385&lt;&gt;"",P385,"")</f>
        <v/>
      </c>
      <c r="K385" s="33" t="str">
        <f>IFERROR(IF(J385="","",VLOOKUP(J385,LISTAS!$F$5:$G$1004,2,0)),"0")</f>
        <v/>
      </c>
      <c r="L385" s="130" t="str">
        <f>IF(H385=3,"OURO",IF(H385=4,"OURO",IF(H385=5,"OURO","")))</f>
        <v/>
      </c>
      <c r="M385" s="20" t="str">
        <f>IF(B385&lt;&gt;"",COUNTIF(D385:G385,"V")+(SUMIF(B391:B393,B385,D391:E393)/1000)+(SUMIF(J391:J393,B385,H391:I393)/1000)-(SUMIF(B391:B393,B385,H391:I393)/1000)-(SUMIF(J391:J393,B385,D391:E393)/1000)+0.003,"")</f>
        <v/>
      </c>
      <c r="N385" s="20" t="str">
        <f>IF(B385="","",B385)</f>
        <v/>
      </c>
      <c r="O385" s="20" t="str">
        <f>IF(B385&lt;&gt;"",LARGE(M385:M387,1),"")</f>
        <v/>
      </c>
      <c r="P385" s="20" t="str">
        <f>VLOOKUP(O385,M385:N387,2,0)</f>
        <v/>
      </c>
    </row>
    <row r="386" spans="2:16" ht="18" customHeight="1" x14ac:dyDescent="0.25">
      <c r="B386" s="33"/>
      <c r="C386" s="33" t="str">
        <f>IFERROR(IF(B386="","",VLOOKUP(B386,LISTAS!$F$5:$G$1004,2,0)),"0")</f>
        <v/>
      </c>
      <c r="D386" s="33" t="str">
        <f>IF(H385&lt;3,"",IF(H385=3,IF(D392&lt;&gt;"",IF(H392&lt;&gt;"",IF(D392&lt;&gt;H392,IF(D392&gt;H392,"V","D"),""),""),"")))</f>
        <v/>
      </c>
      <c r="E386" s="33" t="str">
        <f>IF(H385&lt;3,"",IF(H385=3,IF(D393&lt;&gt;"",IF(H393&lt;&gt;"",IF(D393&lt;&gt;H393,IF(D393&gt;H393,"D","V"),""),""),"")))</f>
        <v/>
      </c>
      <c r="F386" s="33" t="s">
        <v>81</v>
      </c>
      <c r="G386" s="33" t="s">
        <v>81</v>
      </c>
      <c r="H386" s="117"/>
      <c r="I386" s="33" t="str">
        <f>IF(B386&lt;&gt;"",2,"")</f>
        <v/>
      </c>
      <c r="J386" s="33" t="str">
        <f>IF(I386&lt;&gt;"",P386,"")</f>
        <v/>
      </c>
      <c r="K386" s="33" t="str">
        <f>IFERROR(IF(J386="","",VLOOKUP(J386,LISTAS!$F$5:$G$1004,2,0)),"0")</f>
        <v/>
      </c>
      <c r="L386" s="130" t="str">
        <f>IF(H385=3,"PRATA",IF(H385=4,"OURO",IF(H385=5,"OURO","")))</f>
        <v/>
      </c>
      <c r="M386" s="20" t="str">
        <f>IF(B386&lt;&gt;"",COUNTIF(D386:G386,"V")+(SUMIF(B391:B393,B386,D391:E393)/1000)+(SUMIF(J391:J393,B386,H391:I393)/1000)-(SUMIF(B391:B393,B386,H391:I393)/1000)-(SUMIF(J391:J393,B386,D391:E393)/1000)+0.002,"")</f>
        <v/>
      </c>
      <c r="N386" s="20" t="str">
        <f t="shared" ref="N386" si="28">IF(B386="","",B386)</f>
        <v/>
      </c>
      <c r="O386" s="20" t="str">
        <f>IF(B386&lt;&gt;"",LARGE(M385:M387,2),"")</f>
        <v/>
      </c>
      <c r="P386" s="20" t="str">
        <f>VLOOKUP(O386,M385:N387,2,0)</f>
        <v/>
      </c>
    </row>
    <row r="387" spans="2:16" ht="18" customHeight="1" x14ac:dyDescent="0.25">
      <c r="B387" s="33"/>
      <c r="C387" s="33" t="str">
        <f>IFERROR(IF(B387="","",VLOOKUP(B387,LISTAS!$F$5:$G$1004,2,0)),"0")</f>
        <v/>
      </c>
      <c r="D387" s="33" t="str">
        <f>IF(H385&lt;3,"",IF(H385=3,IF(D391&lt;&gt;"",IF(H391&lt;&gt;"",IF(D391&lt;&gt;H391,IF(D391&gt;H391,"D","V"),""),""),"")))</f>
        <v/>
      </c>
      <c r="E387" s="33" t="str">
        <f>IF(H385&lt;3,"",IF(H385=3,IF(D392&lt;&gt;"",IF(H392&lt;&gt;"",IF(D392&lt;&gt;H392,IF(D392&gt;H392,"D","V"),""),""),"")))</f>
        <v/>
      </c>
      <c r="F387" s="33" t="s">
        <v>81</v>
      </c>
      <c r="G387" s="33" t="s">
        <v>81</v>
      </c>
      <c r="H387" s="117"/>
      <c r="I387" s="33" t="str">
        <f>IF(B387&lt;&gt;"",3,"")</f>
        <v/>
      </c>
      <c r="J387" s="33" t="str">
        <f>IF(I387&lt;&gt;"",P387,"")</f>
        <v/>
      </c>
      <c r="K387" s="33" t="str">
        <f>IFERROR(IF(J387="","",VLOOKUP(J387,LISTAS!$F$5:$G$1004,2,0)),"0")</f>
        <v/>
      </c>
      <c r="L387" s="130" t="str">
        <f>IF(H385=3,"BRONZE",IF(H385=4,"PRATA",IF(H385=5,"OURO","")))</f>
        <v/>
      </c>
      <c r="M387" s="20" t="str">
        <f>IF(B387&lt;&gt;"",COUNTIF(D387:G387,"V")+(SUMIF(B391:B393,B387,D391:E393)/1000)+(SUMIF(J391:J393,B387,H391:I393)/1000)-(SUMIF(B391:B393,B387,H391:I393)/1000)-(SUMIF(J391:J393,B387,D391:E393)/1000)+0.001,"")</f>
        <v/>
      </c>
      <c r="N387" s="20" t="str">
        <f>IF(B387="","",B387)</f>
        <v/>
      </c>
      <c r="O387" s="20" t="str">
        <f>IF(B387&lt;&gt;"",LARGE(M385:M387,3),"")</f>
        <v/>
      </c>
      <c r="P387" s="20" t="str">
        <f>VLOOKUP(O387,M385:N387,2,0)</f>
        <v/>
      </c>
    </row>
    <row r="388" spans="2:16" ht="18" customHeight="1" x14ac:dyDescent="0.25">
      <c r="B388" s="79"/>
      <c r="C388" s="79"/>
      <c r="D388" s="79"/>
      <c r="E388" s="79"/>
      <c r="F388" s="79"/>
      <c r="G388" s="79"/>
      <c r="I388" s="80"/>
      <c r="J388" s="79"/>
      <c r="K388" s="81"/>
      <c r="L388" s="81"/>
    </row>
    <row r="389" spans="2:16" ht="23.25" customHeight="1" x14ac:dyDescent="0.25">
      <c r="B389" s="82" t="s">
        <v>40</v>
      </c>
      <c r="C389" s="79"/>
      <c r="D389" s="79"/>
      <c r="E389" s="79"/>
      <c r="F389" s="79"/>
      <c r="G389" s="79"/>
      <c r="H389" s="79"/>
      <c r="I389" s="79"/>
      <c r="J389" s="79"/>
      <c r="K389" s="79"/>
      <c r="L389" s="79"/>
    </row>
    <row r="390" spans="2:16" ht="18" customHeight="1" x14ac:dyDescent="0.25">
      <c r="B390" s="132" t="s">
        <v>15</v>
      </c>
      <c r="C390" s="132" t="s">
        <v>0</v>
      </c>
      <c r="D390" s="258" t="s">
        <v>41</v>
      </c>
      <c r="E390" s="259"/>
      <c r="F390" s="259"/>
      <c r="G390" s="259"/>
      <c r="H390" s="259"/>
      <c r="I390" s="260"/>
      <c r="J390" s="132" t="s">
        <v>15</v>
      </c>
      <c r="K390" s="132" t="s">
        <v>0</v>
      </c>
      <c r="L390" s="79"/>
    </row>
    <row r="391" spans="2:16" ht="18" customHeight="1" x14ac:dyDescent="0.25">
      <c r="B391" s="33" t="str">
        <f>IF(H385=3,B385,"")</f>
        <v/>
      </c>
      <c r="C391" s="33" t="str">
        <f>IFERROR(IF(B391="","",VLOOKUP(B391,LISTAS!$F$5:$G$1004,2,0)),"0")</f>
        <v/>
      </c>
      <c r="D391" s="253"/>
      <c r="E391" s="254"/>
      <c r="F391" s="253" t="s">
        <v>38</v>
      </c>
      <c r="G391" s="254"/>
      <c r="H391" s="253"/>
      <c r="I391" s="254"/>
      <c r="J391" s="111" t="str">
        <f>IF(H385=3,B387,"")</f>
        <v/>
      </c>
      <c r="K391" s="33" t="str">
        <f>IFERROR(IF(J391="","",VLOOKUP(J391,LISTAS!$F$5:$G$1004,2,0)),"0")</f>
        <v/>
      </c>
      <c r="L391" s="81"/>
    </row>
    <row r="392" spans="2:16" ht="18" customHeight="1" x14ac:dyDescent="0.25">
      <c r="B392" s="33" t="str">
        <f>IF(H385=3,B386,"")</f>
        <v/>
      </c>
      <c r="C392" s="33" t="str">
        <f>IFERROR(IF(B392="","",VLOOKUP(B392,LISTAS!$F$5:$G$1004,2,0)),"0")</f>
        <v/>
      </c>
      <c r="D392" s="253"/>
      <c r="E392" s="254"/>
      <c r="F392" s="253" t="s">
        <v>38</v>
      </c>
      <c r="G392" s="254"/>
      <c r="H392" s="253"/>
      <c r="I392" s="254"/>
      <c r="J392" s="111" t="str">
        <f>IF(H385=3,B387,"")</f>
        <v/>
      </c>
      <c r="K392" s="33" t="str">
        <f>IFERROR(IF(J392="","",VLOOKUP(J392,LISTAS!$F$5:$G$1004,2,0)),"0")</f>
        <v/>
      </c>
      <c r="L392" s="79"/>
    </row>
    <row r="393" spans="2:16" ht="18" customHeight="1" x14ac:dyDescent="0.25">
      <c r="B393" s="33" t="str">
        <f>IF(H385=3,B385,"")</f>
        <v/>
      </c>
      <c r="C393" s="33" t="str">
        <f>IFERROR(IF(B393="","",VLOOKUP(B393,LISTAS!$F$5:$G$1004,2,0)),"0")</f>
        <v/>
      </c>
      <c r="D393" s="253"/>
      <c r="E393" s="254"/>
      <c r="F393" s="253" t="s">
        <v>38</v>
      </c>
      <c r="G393" s="254"/>
      <c r="H393" s="253"/>
      <c r="I393" s="254"/>
      <c r="J393" s="111" t="str">
        <f>IF(H385=3,B386,"")</f>
        <v/>
      </c>
      <c r="K393" s="33" t="str">
        <f>IFERROR(IF(J393="","",VLOOKUP(J393,LISTAS!$F$5:$G$1004,2,0)),"0")</f>
        <v/>
      </c>
      <c r="L393" s="81"/>
    </row>
    <row r="396" spans="2:16" ht="30" customHeight="1" x14ac:dyDescent="0.25">
      <c r="B396" s="161" t="s">
        <v>74</v>
      </c>
      <c r="C396" s="79"/>
      <c r="D396" s="255" t="s">
        <v>42</v>
      </c>
      <c r="E396" s="256"/>
      <c r="F396" s="256"/>
      <c r="G396" s="257"/>
      <c r="H396" s="113"/>
      <c r="I396" s="255" t="s">
        <v>3</v>
      </c>
      <c r="J396" s="256"/>
      <c r="K396" s="256"/>
      <c r="L396" s="256"/>
    </row>
    <row r="397" spans="2:16" ht="18" customHeight="1" x14ac:dyDescent="0.25">
      <c r="B397" s="132" t="s">
        <v>15</v>
      </c>
      <c r="C397" s="132" t="s">
        <v>0</v>
      </c>
      <c r="D397" s="132" t="s">
        <v>43</v>
      </c>
      <c r="E397" s="132" t="s">
        <v>44</v>
      </c>
      <c r="F397" s="132" t="s">
        <v>77</v>
      </c>
      <c r="G397" s="132" t="s">
        <v>78</v>
      </c>
      <c r="H397" s="114"/>
      <c r="I397" s="132" t="s">
        <v>18</v>
      </c>
      <c r="J397" s="132" t="s">
        <v>15</v>
      </c>
      <c r="K397" s="132" t="s">
        <v>0</v>
      </c>
      <c r="L397" s="132" t="s">
        <v>45</v>
      </c>
    </row>
    <row r="398" spans="2:16" ht="18" customHeight="1" x14ac:dyDescent="0.25">
      <c r="B398" s="33"/>
      <c r="C398" s="33" t="str">
        <f>IFERROR(IF(B398="","",VLOOKUP(B398,LISTAS!$F$5:$G$1004,2,0)),"0")</f>
        <v/>
      </c>
      <c r="D398" s="33" t="str">
        <f>IF(H398&lt;3,"",IF(H398=3,IF(D404&lt;&gt;"",IF(H404&lt;&gt;"",IF(D404&lt;&gt;H404,IF(D404&gt;H404,"V","D"),""),""),"")))</f>
        <v/>
      </c>
      <c r="E398" s="33" t="str">
        <f>IF(H398&lt;3,"",IF(H398=3,IF(D406&lt;&gt;"",IF(H406&lt;&gt;"",IF(D406&lt;&gt;H406,IF(D406&gt;H406,"V","D"),""),""),"")))</f>
        <v/>
      </c>
      <c r="F398" s="33" t="s">
        <v>81</v>
      </c>
      <c r="G398" s="33" t="s">
        <v>81</v>
      </c>
      <c r="H398" s="117">
        <f>COUNTA(B398:B400)</f>
        <v>0</v>
      </c>
      <c r="I398" s="33" t="str">
        <f>IF(B398&lt;&gt;"",1,"")</f>
        <v/>
      </c>
      <c r="J398" s="33" t="str">
        <f>IF(I398&lt;&gt;"",P398,"")</f>
        <v/>
      </c>
      <c r="K398" s="33" t="str">
        <f>IFERROR(IF(J398="","",VLOOKUP(J398,LISTAS!$F$5:$G$1004,2,0)),"0")</f>
        <v/>
      </c>
      <c r="L398" s="130" t="str">
        <f>IF(H398=3,"OURO",IF(H398=4,"OURO",IF(H398=5,"OURO","")))</f>
        <v/>
      </c>
      <c r="M398" s="20" t="str">
        <f>IF(B398&lt;&gt;"",COUNTIF(D398:G398,"V")+(SUMIF(B404:B406,B398,D404:E406)/1000)+(SUMIF(J404:J406,B398,H404:I406)/1000)-(SUMIF(B404:B406,B398,H404:I406)/1000)-(SUMIF(J404:J406,B398,D404:E406)/1000)+0.003,"")</f>
        <v/>
      </c>
      <c r="N398" s="20" t="str">
        <f>IF(B398="","",B398)</f>
        <v/>
      </c>
      <c r="O398" s="20" t="str">
        <f>IF(B398&lt;&gt;"",LARGE(M398:M400,1),"")</f>
        <v/>
      </c>
      <c r="P398" s="20" t="str">
        <f>VLOOKUP(O398,M398:N400,2,0)</f>
        <v/>
      </c>
    </row>
    <row r="399" spans="2:16" ht="18" customHeight="1" x14ac:dyDescent="0.25">
      <c r="B399" s="33"/>
      <c r="C399" s="33" t="str">
        <f>IFERROR(IF(B399="","",VLOOKUP(B399,LISTAS!$F$5:$G$1004,2,0)),"0")</f>
        <v/>
      </c>
      <c r="D399" s="33" t="str">
        <f>IF(H398&lt;3,"",IF(H398=3,IF(D405&lt;&gt;"",IF(H405&lt;&gt;"",IF(D405&lt;&gt;H405,IF(D405&gt;H405,"V","D"),""),""),"")))</f>
        <v/>
      </c>
      <c r="E399" s="33" t="str">
        <f>IF(H398&lt;3,"",IF(H398=3,IF(D406&lt;&gt;"",IF(H406&lt;&gt;"",IF(D406&lt;&gt;H406,IF(D406&gt;H406,"D","V"),""),""),"")))</f>
        <v/>
      </c>
      <c r="F399" s="33" t="s">
        <v>81</v>
      </c>
      <c r="G399" s="33" t="s">
        <v>81</v>
      </c>
      <c r="H399" s="117"/>
      <c r="I399" s="33" t="str">
        <f>IF(B399&lt;&gt;"",2,"")</f>
        <v/>
      </c>
      <c r="J399" s="33" t="str">
        <f>IF(I399&lt;&gt;"",P399,"")</f>
        <v/>
      </c>
      <c r="K399" s="33" t="str">
        <f>IFERROR(IF(J399="","",VLOOKUP(J399,LISTAS!$F$5:$G$1004,2,0)),"0")</f>
        <v/>
      </c>
      <c r="L399" s="130" t="str">
        <f>IF(H398=3,"PRATA",IF(H398=4,"OURO",IF(H398=5,"OURO","")))</f>
        <v/>
      </c>
      <c r="M399" s="20" t="str">
        <f>IF(B399&lt;&gt;"",COUNTIF(D399:G399,"V")+(SUMIF(B404:B406,B399,D404:E406)/1000)+(SUMIF(J404:J406,B399,H404:I406)/1000)-(SUMIF(B404:B406,B399,H404:I406)/1000)-(SUMIF(J404:J406,B399,D404:E406)/1000)+0.002,"")</f>
        <v/>
      </c>
      <c r="N399" s="20" t="str">
        <f t="shared" ref="N399" si="29">IF(B399="","",B399)</f>
        <v/>
      </c>
      <c r="O399" s="20" t="str">
        <f>IF(B399&lt;&gt;"",LARGE(M398:M400,2),"")</f>
        <v/>
      </c>
      <c r="P399" s="20" t="str">
        <f>VLOOKUP(O399,M398:N400,2,0)</f>
        <v/>
      </c>
    </row>
    <row r="400" spans="2:16" ht="18" customHeight="1" x14ac:dyDescent="0.25">
      <c r="B400" s="33"/>
      <c r="C400" s="33" t="str">
        <f>IFERROR(IF(B400="","",VLOOKUP(B400,LISTAS!$F$5:$G$1004,2,0)),"0")</f>
        <v/>
      </c>
      <c r="D400" s="33" t="str">
        <f>IF(H398&lt;3,"",IF(H398=3,IF(D404&lt;&gt;"",IF(H404&lt;&gt;"",IF(D404&lt;&gt;H404,IF(D404&gt;H404,"D","V"),""),""),"")))</f>
        <v/>
      </c>
      <c r="E400" s="33" t="str">
        <f>IF(H398&lt;3,"",IF(H398=3,IF(D405&lt;&gt;"",IF(H405&lt;&gt;"",IF(D405&lt;&gt;H405,IF(D405&gt;H405,"D","V"),""),""),"")))</f>
        <v/>
      </c>
      <c r="F400" s="33" t="s">
        <v>81</v>
      </c>
      <c r="G400" s="33" t="s">
        <v>81</v>
      </c>
      <c r="H400" s="117"/>
      <c r="I400" s="33" t="str">
        <f>IF(B400&lt;&gt;"",3,"")</f>
        <v/>
      </c>
      <c r="J400" s="33" t="str">
        <f>IF(I400&lt;&gt;"",P400,"")</f>
        <v/>
      </c>
      <c r="K400" s="33" t="str">
        <f>IFERROR(IF(J400="","",VLOOKUP(J400,LISTAS!$F$5:$G$1004,2,0)),"0")</f>
        <v/>
      </c>
      <c r="L400" s="130" t="str">
        <f>IF(H398=3,"BRONZE",IF(H398=4,"PRATA",IF(H398=5,"OURO","")))</f>
        <v/>
      </c>
      <c r="M400" s="20" t="str">
        <f>IF(B400&lt;&gt;"",COUNTIF(D400:G400,"V")+(SUMIF(B404:B406,B400,D404:E406)/1000)+(SUMIF(J404:J406,B400,H404:I406)/1000)-(SUMIF(B404:B406,B400,H404:I406)/1000)-(SUMIF(J404:J406,B400,D404:E406)/1000)+0.001,"")</f>
        <v/>
      </c>
      <c r="N400" s="20" t="str">
        <f>IF(B400="","",B400)</f>
        <v/>
      </c>
      <c r="O400" s="20" t="str">
        <f>IF(B400&lt;&gt;"",LARGE(M398:M400,3),"")</f>
        <v/>
      </c>
      <c r="P400" s="20" t="str">
        <f>VLOOKUP(O400,M398:N400,2,0)</f>
        <v/>
      </c>
    </row>
    <row r="401" spans="2:16" ht="18" customHeight="1" x14ac:dyDescent="0.25">
      <c r="B401" s="79"/>
      <c r="C401" s="79"/>
      <c r="D401" s="79"/>
      <c r="E401" s="79"/>
      <c r="F401" s="79"/>
      <c r="G401" s="79"/>
      <c r="I401" s="80"/>
      <c r="J401" s="79"/>
      <c r="K401" s="81"/>
      <c r="L401" s="81"/>
    </row>
    <row r="402" spans="2:16" ht="23.25" customHeight="1" x14ac:dyDescent="0.25">
      <c r="B402" s="82" t="s">
        <v>40</v>
      </c>
      <c r="C402" s="79"/>
      <c r="D402" s="79"/>
      <c r="E402" s="79"/>
      <c r="F402" s="79"/>
      <c r="G402" s="79"/>
      <c r="H402" s="79"/>
      <c r="I402" s="79"/>
      <c r="J402" s="79"/>
      <c r="K402" s="79"/>
      <c r="L402" s="79"/>
    </row>
    <row r="403" spans="2:16" ht="18" customHeight="1" x14ac:dyDescent="0.25">
      <c r="B403" s="132" t="s">
        <v>15</v>
      </c>
      <c r="C403" s="132" t="s">
        <v>0</v>
      </c>
      <c r="D403" s="258" t="s">
        <v>41</v>
      </c>
      <c r="E403" s="259"/>
      <c r="F403" s="259"/>
      <c r="G403" s="259"/>
      <c r="H403" s="259"/>
      <c r="I403" s="260"/>
      <c r="J403" s="132" t="s">
        <v>15</v>
      </c>
      <c r="K403" s="132" t="s">
        <v>0</v>
      </c>
      <c r="L403" s="79"/>
    </row>
    <row r="404" spans="2:16" ht="18" customHeight="1" x14ac:dyDescent="0.25">
      <c r="B404" s="33" t="str">
        <f>IF(H398=3,B398,"")</f>
        <v/>
      </c>
      <c r="C404" s="33" t="str">
        <f>IFERROR(IF(B404="","",VLOOKUP(B404,LISTAS!$F$5:$G$1004,2,0)),"0")</f>
        <v/>
      </c>
      <c r="D404" s="253"/>
      <c r="E404" s="254"/>
      <c r="F404" s="253" t="s">
        <v>38</v>
      </c>
      <c r="G404" s="254"/>
      <c r="H404" s="253"/>
      <c r="I404" s="254"/>
      <c r="J404" s="111" t="str">
        <f>IF(H398=3,B400,"")</f>
        <v/>
      </c>
      <c r="K404" s="33" t="str">
        <f>IFERROR(IF(J404="","",VLOOKUP(J404,LISTAS!$F$5:$G$1004,2,0)),"0")</f>
        <v/>
      </c>
      <c r="L404" s="81"/>
    </row>
    <row r="405" spans="2:16" ht="18" customHeight="1" x14ac:dyDescent="0.25">
      <c r="B405" s="33" t="str">
        <f>IF(H398=3,B399,"")</f>
        <v/>
      </c>
      <c r="C405" s="33" t="str">
        <f>IFERROR(IF(B405="","",VLOOKUP(B405,LISTAS!$F$5:$G$1004,2,0)),"0")</f>
        <v/>
      </c>
      <c r="D405" s="253"/>
      <c r="E405" s="254"/>
      <c r="F405" s="253" t="s">
        <v>38</v>
      </c>
      <c r="G405" s="254"/>
      <c r="H405" s="253"/>
      <c r="I405" s="254"/>
      <c r="J405" s="111" t="str">
        <f>IF(H398=3,B400,"")</f>
        <v/>
      </c>
      <c r="K405" s="33" t="str">
        <f>IFERROR(IF(J405="","",VLOOKUP(J405,LISTAS!$F$5:$G$1004,2,0)),"0")</f>
        <v/>
      </c>
      <c r="L405" s="79"/>
    </row>
    <row r="406" spans="2:16" ht="18" customHeight="1" x14ac:dyDescent="0.25">
      <c r="B406" s="33" t="str">
        <f>IF(H398=3,B398,"")</f>
        <v/>
      </c>
      <c r="C406" s="33" t="str">
        <f>IFERROR(IF(B406="","",VLOOKUP(B406,LISTAS!$F$5:$G$1004,2,0)),"0")</f>
        <v/>
      </c>
      <c r="D406" s="253"/>
      <c r="E406" s="254"/>
      <c r="F406" s="253" t="s">
        <v>38</v>
      </c>
      <c r="G406" s="254"/>
      <c r="H406" s="253"/>
      <c r="I406" s="254"/>
      <c r="J406" s="111" t="str">
        <f>IF(H398=3,B399,"")</f>
        <v/>
      </c>
      <c r="K406" s="33" t="str">
        <f>IFERROR(IF(J406="","",VLOOKUP(J406,LISTAS!$F$5:$G$1004,2,0)),"0")</f>
        <v/>
      </c>
      <c r="L406" s="81"/>
    </row>
    <row r="409" spans="2:16" ht="30" customHeight="1" x14ac:dyDescent="0.25">
      <c r="B409" s="161" t="s">
        <v>75</v>
      </c>
      <c r="C409" s="79"/>
      <c r="D409" s="255" t="s">
        <v>42</v>
      </c>
      <c r="E409" s="256"/>
      <c r="F409" s="256"/>
      <c r="G409" s="257"/>
      <c r="H409" s="113"/>
      <c r="I409" s="255" t="s">
        <v>3</v>
      </c>
      <c r="J409" s="256"/>
      <c r="K409" s="256"/>
      <c r="L409" s="256"/>
    </row>
    <row r="410" spans="2:16" ht="18" customHeight="1" x14ac:dyDescent="0.25">
      <c r="B410" s="132" t="s">
        <v>15</v>
      </c>
      <c r="C410" s="132" t="s">
        <v>0</v>
      </c>
      <c r="D410" s="132" t="s">
        <v>43</v>
      </c>
      <c r="E410" s="132" t="s">
        <v>44</v>
      </c>
      <c r="F410" s="132" t="s">
        <v>77</v>
      </c>
      <c r="G410" s="132" t="s">
        <v>78</v>
      </c>
      <c r="H410" s="114"/>
      <c r="I410" s="132" t="s">
        <v>18</v>
      </c>
      <c r="J410" s="132" t="s">
        <v>15</v>
      </c>
      <c r="K410" s="132" t="s">
        <v>0</v>
      </c>
      <c r="L410" s="132" t="s">
        <v>45</v>
      </c>
    </row>
    <row r="411" spans="2:16" ht="18" customHeight="1" x14ac:dyDescent="0.25">
      <c r="B411" s="33"/>
      <c r="C411" s="33" t="str">
        <f>IFERROR(IF(B411="","",VLOOKUP(B411,LISTAS!$F$5:$G$1004,2,0)),"0")</f>
        <v/>
      </c>
      <c r="D411" s="33" t="str">
        <f>IF(H411&lt;3,"",IF(H411=3,IF(D417&lt;&gt;"",IF(H417&lt;&gt;"",IF(D417&lt;&gt;H417,IF(D417&gt;H417,"V","D"),""),""),"")))</f>
        <v/>
      </c>
      <c r="E411" s="33" t="str">
        <f>IF(H411&lt;3,"",IF(H411=3,IF(D419&lt;&gt;"",IF(H419&lt;&gt;"",IF(D419&lt;&gt;H419,IF(D419&gt;H419,"V","D"),""),""),"")))</f>
        <v/>
      </c>
      <c r="F411" s="33" t="s">
        <v>81</v>
      </c>
      <c r="G411" s="33" t="s">
        <v>81</v>
      </c>
      <c r="H411" s="117">
        <f>COUNTA(B411:B413)</f>
        <v>0</v>
      </c>
      <c r="I411" s="33" t="str">
        <f>IF(B411&lt;&gt;"",1,"")</f>
        <v/>
      </c>
      <c r="J411" s="33" t="str">
        <f>IF(I411&lt;&gt;"",P411,"")</f>
        <v/>
      </c>
      <c r="K411" s="33" t="str">
        <f>IFERROR(IF(J411="","",VLOOKUP(J411,LISTAS!$F$5:$G$1004,2,0)),"0")</f>
        <v/>
      </c>
      <c r="L411" s="130" t="str">
        <f>IF(H411=3,"OURO",IF(H411=4,"OURO",IF(H411=5,"OURO","")))</f>
        <v/>
      </c>
      <c r="M411" s="20" t="str">
        <f>IF(B411&lt;&gt;"",COUNTIF(D411:G411,"V")+(SUMIF(B417:B419,B411,D417:E419)/1000)+(SUMIF(J417:J419,B411,H417:I419)/1000)-(SUMIF(B417:B419,B411,H417:I419)/1000)-(SUMIF(J417:J419,B411,D417:E419)/1000)+0.003,"")</f>
        <v/>
      </c>
      <c r="N411" s="20" t="str">
        <f>IF(B411="","",B411)</f>
        <v/>
      </c>
      <c r="O411" s="20" t="str">
        <f>IF(B411&lt;&gt;"",LARGE(M411:M413,1),"")</f>
        <v/>
      </c>
      <c r="P411" s="20" t="str">
        <f>VLOOKUP(O411,M411:N413,2,0)</f>
        <v/>
      </c>
    </row>
    <row r="412" spans="2:16" ht="18" customHeight="1" x14ac:dyDescent="0.25">
      <c r="B412" s="33"/>
      <c r="C412" s="33" t="str">
        <f>IFERROR(IF(B412="","",VLOOKUP(B412,LISTAS!$F$5:$G$1004,2,0)),"0")</f>
        <v/>
      </c>
      <c r="D412" s="33" t="str">
        <f>IF(H411&lt;3,"",IF(H411=3,IF(D418&lt;&gt;"",IF(H418&lt;&gt;"",IF(D418&lt;&gt;H418,IF(D418&gt;H418,"V","D"),""),""),"")))</f>
        <v/>
      </c>
      <c r="E412" s="33" t="str">
        <f>IF(H411&lt;3,"",IF(H411=3,IF(D419&lt;&gt;"",IF(H419&lt;&gt;"",IF(D419&lt;&gt;H419,IF(D419&gt;H419,"D","V"),""),""),"")))</f>
        <v/>
      </c>
      <c r="F412" s="33" t="s">
        <v>81</v>
      </c>
      <c r="G412" s="33" t="s">
        <v>81</v>
      </c>
      <c r="H412" s="117"/>
      <c r="I412" s="33" t="str">
        <f>IF(B412&lt;&gt;"",2,"")</f>
        <v/>
      </c>
      <c r="J412" s="33" t="str">
        <f>IF(I412&lt;&gt;"",P412,"")</f>
        <v/>
      </c>
      <c r="K412" s="33" t="str">
        <f>IFERROR(IF(J412="","",VLOOKUP(J412,LISTAS!$F$5:$G$1004,2,0)),"0")</f>
        <v/>
      </c>
      <c r="L412" s="130" t="str">
        <f>IF(H411=3,"PRATA",IF(H411=4,"OURO",IF(H411=5,"OURO","")))</f>
        <v/>
      </c>
      <c r="M412" s="20" t="str">
        <f>IF(B412&lt;&gt;"",COUNTIF(D412:G412,"V")+(SUMIF(B417:B419,B412,D417:E419)/1000)+(SUMIF(J417:J419,B412,H417:I419)/1000)-(SUMIF(B417:B419,B412,H417:I419)/1000)-(SUMIF(J417:J419,B412,D417:E419)/1000)+0.002,"")</f>
        <v/>
      </c>
      <c r="N412" s="20" t="str">
        <f t="shared" ref="N412" si="30">IF(B412="","",B412)</f>
        <v/>
      </c>
      <c r="O412" s="20" t="str">
        <f>IF(B412&lt;&gt;"",LARGE(M411:M413,2),"")</f>
        <v/>
      </c>
      <c r="P412" s="20" t="str">
        <f>VLOOKUP(O412,M411:N413,2,0)</f>
        <v/>
      </c>
    </row>
    <row r="413" spans="2:16" ht="18" customHeight="1" x14ac:dyDescent="0.25">
      <c r="B413" s="33"/>
      <c r="C413" s="33" t="str">
        <f>IFERROR(IF(B413="","",VLOOKUP(B413,LISTAS!$F$5:$G$1004,2,0)),"0")</f>
        <v/>
      </c>
      <c r="D413" s="33" t="str">
        <f>IF(H411&lt;3,"",IF(H411=3,IF(D417&lt;&gt;"",IF(H417&lt;&gt;"",IF(D417&lt;&gt;H417,IF(D417&gt;H417,"D","V"),""),""),"")))</f>
        <v/>
      </c>
      <c r="E413" s="33" t="str">
        <f>IF(H411&lt;3,"",IF(H411=3,IF(D418&lt;&gt;"",IF(H418&lt;&gt;"",IF(D418&lt;&gt;H418,IF(D418&gt;H418,"D","V"),""),""),"")))</f>
        <v/>
      </c>
      <c r="F413" s="33" t="s">
        <v>81</v>
      </c>
      <c r="G413" s="33" t="s">
        <v>81</v>
      </c>
      <c r="H413" s="117"/>
      <c r="I413" s="33" t="str">
        <f>IF(B413&lt;&gt;"",3,"")</f>
        <v/>
      </c>
      <c r="J413" s="33" t="str">
        <f>IF(I413&lt;&gt;"",P413,"")</f>
        <v/>
      </c>
      <c r="K413" s="33" t="str">
        <f>IFERROR(IF(J413="","",VLOOKUP(J413,LISTAS!$F$5:$G$1004,2,0)),"0")</f>
        <v/>
      </c>
      <c r="L413" s="130" t="str">
        <f>IF(H411=3,"BRONZE",IF(H411=4,"PRATA",IF(H411=5,"OURO","")))</f>
        <v/>
      </c>
      <c r="M413" s="20" t="str">
        <f>IF(B413&lt;&gt;"",COUNTIF(D413:G413,"V")+(SUMIF(B417:B419,B413,D417:E419)/1000)+(SUMIF(J417:J419,B413,H417:I419)/1000)-(SUMIF(B417:B419,B413,H417:I419)/1000)-(SUMIF(J417:J419,B413,D417:E419)/1000)+0.001,"")</f>
        <v/>
      </c>
      <c r="N413" s="20" t="str">
        <f>IF(B413="","",B413)</f>
        <v/>
      </c>
      <c r="O413" s="20" t="str">
        <f>IF(B413&lt;&gt;"",LARGE(M411:M413,3),"")</f>
        <v/>
      </c>
      <c r="P413" s="20" t="str">
        <f>VLOOKUP(O413,M411:N413,2,0)</f>
        <v/>
      </c>
    </row>
    <row r="414" spans="2:16" ht="18" customHeight="1" x14ac:dyDescent="0.25">
      <c r="B414" s="79"/>
      <c r="C414" s="79"/>
      <c r="D414" s="79"/>
      <c r="E414" s="79"/>
      <c r="F414" s="79"/>
      <c r="G414" s="79"/>
      <c r="I414" s="80"/>
      <c r="J414" s="79"/>
      <c r="K414" s="81"/>
      <c r="L414" s="81"/>
    </row>
    <row r="415" spans="2:16" ht="23.25" customHeight="1" x14ac:dyDescent="0.25">
      <c r="B415" s="82" t="s">
        <v>40</v>
      </c>
      <c r="C415" s="79"/>
      <c r="D415" s="79"/>
      <c r="E415" s="79"/>
      <c r="F415" s="79"/>
      <c r="G415" s="79"/>
      <c r="H415" s="79"/>
      <c r="I415" s="79"/>
      <c r="J415" s="79"/>
      <c r="K415" s="79"/>
      <c r="L415" s="79"/>
    </row>
    <row r="416" spans="2:16" ht="18" customHeight="1" x14ac:dyDescent="0.25">
      <c r="B416" s="132" t="s">
        <v>15</v>
      </c>
      <c r="C416" s="132" t="s">
        <v>0</v>
      </c>
      <c r="D416" s="258" t="s">
        <v>41</v>
      </c>
      <c r="E416" s="259"/>
      <c r="F416" s="259"/>
      <c r="G416" s="259"/>
      <c r="H416" s="259"/>
      <c r="I416" s="260"/>
      <c r="J416" s="132" t="s">
        <v>15</v>
      </c>
      <c r="K416" s="132" t="s">
        <v>0</v>
      </c>
      <c r="L416" s="79"/>
    </row>
    <row r="417" spans="2:16" ht="18" customHeight="1" x14ac:dyDescent="0.25">
      <c r="B417" s="33" t="str">
        <f>IF(H411=3,B411,"")</f>
        <v/>
      </c>
      <c r="C417" s="33" t="str">
        <f>IFERROR(IF(B417="","",VLOOKUP(B417,LISTAS!$F$5:$G$1004,2,0)),"0")</f>
        <v/>
      </c>
      <c r="D417" s="253"/>
      <c r="E417" s="254"/>
      <c r="F417" s="253" t="s">
        <v>38</v>
      </c>
      <c r="G417" s="254"/>
      <c r="H417" s="253"/>
      <c r="I417" s="254"/>
      <c r="J417" s="111" t="str">
        <f>IF(H411=3,B413,"")</f>
        <v/>
      </c>
      <c r="K417" s="33" t="str">
        <f>IFERROR(IF(J417="","",VLOOKUP(J417,LISTAS!$F$5:$G$1004,2,0)),"0")</f>
        <v/>
      </c>
      <c r="L417" s="81"/>
    </row>
    <row r="418" spans="2:16" ht="18" customHeight="1" x14ac:dyDescent="0.25">
      <c r="B418" s="33" t="str">
        <f>IF(H411=3,B412,"")</f>
        <v/>
      </c>
      <c r="C418" s="33" t="str">
        <f>IFERROR(IF(B418="","",VLOOKUP(B418,LISTAS!$F$5:$G$1004,2,0)),"0")</f>
        <v/>
      </c>
      <c r="D418" s="253"/>
      <c r="E418" s="254"/>
      <c r="F418" s="253" t="s">
        <v>38</v>
      </c>
      <c r="G418" s="254"/>
      <c r="H418" s="253"/>
      <c r="I418" s="254"/>
      <c r="J418" s="111" t="str">
        <f>IF(H411=3,B413,"")</f>
        <v/>
      </c>
      <c r="K418" s="33" t="str">
        <f>IFERROR(IF(J418="","",VLOOKUP(J418,LISTAS!$F$5:$G$1004,2,0)),"0")</f>
        <v/>
      </c>
      <c r="L418" s="79"/>
    </row>
    <row r="419" spans="2:16" ht="18" customHeight="1" x14ac:dyDescent="0.25">
      <c r="B419" s="33" t="str">
        <f>IF(H411=3,B411,"")</f>
        <v/>
      </c>
      <c r="C419" s="33" t="str">
        <f>IFERROR(IF(B419="","",VLOOKUP(B419,LISTAS!$F$5:$G$1004,2,0)),"0")</f>
        <v/>
      </c>
      <c r="D419" s="253"/>
      <c r="E419" s="254"/>
      <c r="F419" s="253" t="s">
        <v>38</v>
      </c>
      <c r="G419" s="254"/>
      <c r="H419" s="253"/>
      <c r="I419" s="254"/>
      <c r="J419" s="111" t="str">
        <f>IF(H411=3,B412,"")</f>
        <v/>
      </c>
      <c r="K419" s="33" t="str">
        <f>IFERROR(IF(J419="","",VLOOKUP(J419,LISTAS!$F$5:$G$1004,2,0)),"0")</f>
        <v/>
      </c>
      <c r="L419" s="81"/>
    </row>
    <row r="422" spans="2:16" ht="30" customHeight="1" x14ac:dyDescent="0.25">
      <c r="B422" s="161" t="s">
        <v>76</v>
      </c>
      <c r="C422" s="79"/>
      <c r="D422" s="255" t="s">
        <v>42</v>
      </c>
      <c r="E422" s="256"/>
      <c r="F422" s="256"/>
      <c r="G422" s="257"/>
      <c r="H422" s="113"/>
      <c r="I422" s="255" t="s">
        <v>3</v>
      </c>
      <c r="J422" s="256"/>
      <c r="K422" s="256"/>
      <c r="L422" s="256"/>
    </row>
    <row r="423" spans="2:16" ht="18" customHeight="1" x14ac:dyDescent="0.25">
      <c r="B423" s="132" t="s">
        <v>15</v>
      </c>
      <c r="C423" s="132" t="s">
        <v>0</v>
      </c>
      <c r="D423" s="132" t="s">
        <v>43</v>
      </c>
      <c r="E423" s="132" t="s">
        <v>44</v>
      </c>
      <c r="F423" s="132" t="s">
        <v>77</v>
      </c>
      <c r="G423" s="132" t="s">
        <v>78</v>
      </c>
      <c r="H423" s="114"/>
      <c r="I423" s="132" t="s">
        <v>18</v>
      </c>
      <c r="J423" s="132" t="s">
        <v>15</v>
      </c>
      <c r="K423" s="132" t="s">
        <v>0</v>
      </c>
      <c r="L423" s="132" t="s">
        <v>45</v>
      </c>
    </row>
    <row r="424" spans="2:16" ht="18" customHeight="1" x14ac:dyDescent="0.25">
      <c r="B424" s="33"/>
      <c r="C424" s="33" t="str">
        <f>IFERROR(IF(B424="","",VLOOKUP(B424,LISTAS!$F$5:$G$1004,2,0)),"0")</f>
        <v/>
      </c>
      <c r="D424" s="33" t="str">
        <f>IF(H424&lt;3,"",IF(H424=3,IF(D430&lt;&gt;"",IF(H430&lt;&gt;"",IF(D430&lt;&gt;H430,IF(D430&gt;H430,"V","D"),""),""),"")))</f>
        <v/>
      </c>
      <c r="E424" s="33" t="str">
        <f>IF(H424&lt;3,"",IF(H424=3,IF(D432&lt;&gt;"",IF(H432&lt;&gt;"",IF(D432&lt;&gt;H432,IF(D432&gt;H432,"V","D"),""),""),"")))</f>
        <v/>
      </c>
      <c r="F424" s="33" t="s">
        <v>81</v>
      </c>
      <c r="G424" s="33" t="s">
        <v>81</v>
      </c>
      <c r="H424" s="117">
        <f>COUNTA(B424:B426)</f>
        <v>0</v>
      </c>
      <c r="I424" s="33" t="str">
        <f>IF(B424&lt;&gt;"",1,"")</f>
        <v/>
      </c>
      <c r="J424" s="33" t="str">
        <f>IF(I424&lt;&gt;"",P424,"")</f>
        <v/>
      </c>
      <c r="K424" s="33" t="str">
        <f>IFERROR(IF(J424="","",VLOOKUP(J424,LISTAS!$F$5:$G$1004,2,0)),"0")</f>
        <v/>
      </c>
      <c r="L424" s="130" t="str">
        <f>IF(H424=3,"OURO",IF(H424=4,"OURO",IF(H424=5,"OURO","")))</f>
        <v/>
      </c>
      <c r="M424" s="20" t="str">
        <f>IF(B424&lt;&gt;"",COUNTIF(D424:G424,"V")+(SUMIF(B430:B432,B424,D430:E432)/1000)+(SUMIF(J430:J432,B424,H430:I432)/1000)-(SUMIF(B430:B432,B424,H430:I432)/1000)-(SUMIF(J430:J432,B424,D430:E432)/1000)+0.003,"")</f>
        <v/>
      </c>
      <c r="N424" s="20" t="str">
        <f>IF(B424="","",B424)</f>
        <v/>
      </c>
      <c r="O424" s="20" t="str">
        <f>IF(B424&lt;&gt;"",LARGE(M424:M426,1),"")</f>
        <v/>
      </c>
      <c r="P424" s="20" t="str">
        <f>VLOOKUP(O424,M424:N426,2,0)</f>
        <v/>
      </c>
    </row>
    <row r="425" spans="2:16" ht="18" customHeight="1" x14ac:dyDescent="0.25">
      <c r="B425" s="33"/>
      <c r="C425" s="33" t="str">
        <f>IFERROR(IF(B425="","",VLOOKUP(B425,LISTAS!$F$5:$G$1004,2,0)),"0")</f>
        <v/>
      </c>
      <c r="D425" s="33" t="str">
        <f>IF(H424&lt;3,"",IF(H424=3,IF(D431&lt;&gt;"",IF(H431&lt;&gt;"",IF(D431&lt;&gt;H431,IF(D431&gt;H431,"V","D"),""),""),"")))</f>
        <v/>
      </c>
      <c r="E425" s="33" t="str">
        <f>IF(H424&lt;3,"",IF(H424=3,IF(D432&lt;&gt;"",IF(H432&lt;&gt;"",IF(D432&lt;&gt;H432,IF(D432&gt;H432,"D","V"),""),""),"")))</f>
        <v/>
      </c>
      <c r="F425" s="33" t="s">
        <v>81</v>
      </c>
      <c r="G425" s="33" t="s">
        <v>81</v>
      </c>
      <c r="H425" s="117"/>
      <c r="I425" s="33" t="str">
        <f>IF(B425&lt;&gt;"",2,"")</f>
        <v/>
      </c>
      <c r="J425" s="33" t="str">
        <f>IF(I425&lt;&gt;"",P425,"")</f>
        <v/>
      </c>
      <c r="K425" s="33" t="str">
        <f>IFERROR(IF(J425="","",VLOOKUP(J425,LISTAS!$F$5:$G$1004,2,0)),"0")</f>
        <v/>
      </c>
      <c r="L425" s="130" t="str">
        <f>IF(H424=3,"PRATA",IF(H424=4,"OURO",IF(H424=5,"OURO","")))</f>
        <v/>
      </c>
      <c r="M425" s="20" t="str">
        <f>IF(B425&lt;&gt;"",COUNTIF(D425:G425,"V")+(SUMIF(B430:B432,B425,D430:E432)/1000)+(SUMIF(J430:J432,B425,H430:I432)/1000)-(SUMIF(B430:B432,B425,H430:I432)/1000)-(SUMIF(J430:J432,B425,D430:E432)/1000)+0.002,"")</f>
        <v/>
      </c>
      <c r="N425" s="20" t="str">
        <f t="shared" ref="N425" si="31">IF(B425="","",B425)</f>
        <v/>
      </c>
      <c r="O425" s="20" t="str">
        <f>IF(B425&lt;&gt;"",LARGE(M424:M426,2),"")</f>
        <v/>
      </c>
      <c r="P425" s="20" t="str">
        <f>VLOOKUP(O425,M424:N426,2,0)</f>
        <v/>
      </c>
    </row>
    <row r="426" spans="2:16" ht="18" customHeight="1" x14ac:dyDescent="0.25">
      <c r="B426" s="33"/>
      <c r="C426" s="33" t="str">
        <f>IFERROR(IF(B426="","",VLOOKUP(B426,LISTAS!$F$5:$G$1004,2,0)),"0")</f>
        <v/>
      </c>
      <c r="D426" s="33" t="str">
        <f>IF(H424&lt;3,"",IF(H424=3,IF(D430&lt;&gt;"",IF(H430&lt;&gt;"",IF(D430&lt;&gt;H430,IF(D430&gt;H430,"D","V"),""),""),"")))</f>
        <v/>
      </c>
      <c r="E426" s="33" t="str">
        <f>IF(H424&lt;3,"",IF(H424=3,IF(D431&lt;&gt;"",IF(H431&lt;&gt;"",IF(D431&lt;&gt;H431,IF(D431&gt;H431,"D","V"),""),""),"")))</f>
        <v/>
      </c>
      <c r="F426" s="33" t="s">
        <v>81</v>
      </c>
      <c r="G426" s="33" t="s">
        <v>81</v>
      </c>
      <c r="H426" s="117"/>
      <c r="I426" s="33" t="str">
        <f>IF(B426&lt;&gt;"",3,"")</f>
        <v/>
      </c>
      <c r="J426" s="33" t="str">
        <f>IF(I426&lt;&gt;"",P426,"")</f>
        <v/>
      </c>
      <c r="K426" s="33" t="str">
        <f>IFERROR(IF(J426="","",VLOOKUP(J426,LISTAS!$F$5:$G$1004,2,0)),"0")</f>
        <v/>
      </c>
      <c r="L426" s="130" t="str">
        <f>IF(H424=3,"BRONZE",IF(H424=4,"PRATA",IF(H424=5,"OURO","")))</f>
        <v/>
      </c>
      <c r="M426" s="20" t="str">
        <f>IF(B426&lt;&gt;"",COUNTIF(D426:G426,"V")+(SUMIF(B430:B432,B426,D430:E432)/1000)+(SUMIF(J430:J432,B426,H430:I432)/1000)-(SUMIF(B430:B432,B426,H430:I432)/1000)-(SUMIF(J430:J432,B426,D430:E432)/1000)+0.001,"")</f>
        <v/>
      </c>
      <c r="N426" s="20" t="str">
        <f>IF(B426="","",B426)</f>
        <v/>
      </c>
      <c r="O426" s="20" t="str">
        <f>IF(B426&lt;&gt;"",LARGE(M424:M426,3),"")</f>
        <v/>
      </c>
      <c r="P426" s="20" t="str">
        <f>VLOOKUP(O426,M424:N426,2,0)</f>
        <v/>
      </c>
    </row>
    <row r="427" spans="2:16" ht="18" customHeight="1" x14ac:dyDescent="0.25">
      <c r="B427" s="79"/>
      <c r="C427" s="79"/>
      <c r="D427" s="79"/>
      <c r="E427" s="79"/>
      <c r="F427" s="79"/>
      <c r="G427" s="79"/>
      <c r="I427" s="80"/>
      <c r="J427" s="79"/>
      <c r="K427" s="81"/>
      <c r="L427" s="81"/>
    </row>
    <row r="428" spans="2:16" ht="23.25" customHeight="1" x14ac:dyDescent="0.25">
      <c r="B428" s="82" t="s">
        <v>40</v>
      </c>
      <c r="C428" s="79"/>
      <c r="D428" s="79"/>
      <c r="E428" s="79"/>
      <c r="F428" s="79"/>
      <c r="G428" s="79"/>
      <c r="H428" s="79"/>
      <c r="I428" s="79"/>
      <c r="J428" s="79"/>
      <c r="K428" s="79"/>
      <c r="L428" s="79"/>
    </row>
    <row r="429" spans="2:16" ht="18" customHeight="1" x14ac:dyDescent="0.25">
      <c r="B429" s="132" t="s">
        <v>15</v>
      </c>
      <c r="C429" s="132" t="s">
        <v>0</v>
      </c>
      <c r="D429" s="258" t="s">
        <v>41</v>
      </c>
      <c r="E429" s="259"/>
      <c r="F429" s="259"/>
      <c r="G429" s="259"/>
      <c r="H429" s="259"/>
      <c r="I429" s="260"/>
      <c r="J429" s="132" t="s">
        <v>15</v>
      </c>
      <c r="K429" s="132" t="s">
        <v>0</v>
      </c>
      <c r="L429" s="79"/>
    </row>
    <row r="430" spans="2:16" ht="18" customHeight="1" x14ac:dyDescent="0.25">
      <c r="B430" s="33" t="str">
        <f>IF(H424=3,B424,"")</f>
        <v/>
      </c>
      <c r="C430" s="33" t="str">
        <f>IFERROR(IF(B430="","",VLOOKUP(B430,LISTAS!$F$5:$G$1004,2,0)),"0")</f>
        <v/>
      </c>
      <c r="D430" s="253"/>
      <c r="E430" s="254"/>
      <c r="F430" s="253" t="s">
        <v>38</v>
      </c>
      <c r="G430" s="254"/>
      <c r="H430" s="253"/>
      <c r="I430" s="254"/>
      <c r="J430" s="111" t="str">
        <f>IF(H424=3,B426,"")</f>
        <v/>
      </c>
      <c r="K430" s="33" t="str">
        <f>IFERROR(IF(J430="","",VLOOKUP(J430,LISTAS!$F$5:$G$1004,2,0)),"0")</f>
        <v/>
      </c>
      <c r="L430" s="81"/>
    </row>
    <row r="431" spans="2:16" ht="18" customHeight="1" x14ac:dyDescent="0.25">
      <c r="B431" s="33" t="str">
        <f>IF(H424=3,B425,"")</f>
        <v/>
      </c>
      <c r="C431" s="33" t="str">
        <f>IFERROR(IF(B431="","",VLOOKUP(B431,LISTAS!$F$5:$G$1004,2,0)),"0")</f>
        <v/>
      </c>
      <c r="D431" s="253"/>
      <c r="E431" s="254"/>
      <c r="F431" s="253" t="s">
        <v>38</v>
      </c>
      <c r="G431" s="254"/>
      <c r="H431" s="253"/>
      <c r="I431" s="254"/>
      <c r="J431" s="111" t="str">
        <f>IF(H424=3,B426,"")</f>
        <v/>
      </c>
      <c r="K431" s="33" t="str">
        <f>IFERROR(IF(J431="","",VLOOKUP(J431,LISTAS!$F$5:$G$1004,2,0)),"0")</f>
        <v/>
      </c>
      <c r="L431" s="79"/>
    </row>
    <row r="432" spans="2:16" ht="18" customHeight="1" x14ac:dyDescent="0.25">
      <c r="B432" s="33" t="str">
        <f>IF(H424=3,B424,"")</f>
        <v/>
      </c>
      <c r="C432" s="33" t="str">
        <f>IFERROR(IF(B432="","",VLOOKUP(B432,LISTAS!$F$5:$G$1004,2,0)),"0")</f>
        <v/>
      </c>
      <c r="D432" s="253"/>
      <c r="E432" s="254"/>
      <c r="F432" s="253" t="s">
        <v>38</v>
      </c>
      <c r="G432" s="254"/>
      <c r="H432" s="253"/>
      <c r="I432" s="254"/>
      <c r="J432" s="111" t="str">
        <f>IF(H424=3,B425,"")</f>
        <v/>
      </c>
      <c r="K432" s="33" t="str">
        <f>IFERROR(IF(J432="","",VLOOKUP(J432,LISTAS!$F$5:$G$1004,2,0)),"0")</f>
        <v/>
      </c>
      <c r="L432" s="81"/>
    </row>
  </sheetData>
  <mergeCells count="416">
    <mergeCell ref="B2:L4"/>
    <mergeCell ref="C5:F5"/>
    <mergeCell ref="D6:G6"/>
    <mergeCell ref="I6:L6"/>
    <mergeCell ref="D15:I15"/>
    <mergeCell ref="D16:E16"/>
    <mergeCell ref="F16:G16"/>
    <mergeCell ref="H16:I16"/>
    <mergeCell ref="D19:E19"/>
    <mergeCell ref="F19:G19"/>
    <mergeCell ref="H19:I19"/>
    <mergeCell ref="D20:E20"/>
    <mergeCell ref="F20:G20"/>
    <mergeCell ref="H20:I20"/>
    <mergeCell ref="D17:E17"/>
    <mergeCell ref="F17:G17"/>
    <mergeCell ref="H17:I17"/>
    <mergeCell ref="D18:E18"/>
    <mergeCell ref="F18:G18"/>
    <mergeCell ref="H18:I18"/>
    <mergeCell ref="D23:E23"/>
    <mergeCell ref="F23:G23"/>
    <mergeCell ref="H23:I23"/>
    <mergeCell ref="D24:E24"/>
    <mergeCell ref="F24:G24"/>
    <mergeCell ref="H24:I24"/>
    <mergeCell ref="D21:E21"/>
    <mergeCell ref="F21:G21"/>
    <mergeCell ref="H21:I21"/>
    <mergeCell ref="D22:E22"/>
    <mergeCell ref="F22:G22"/>
    <mergeCell ref="H22:I22"/>
    <mergeCell ref="D37:E37"/>
    <mergeCell ref="F37:G37"/>
    <mergeCell ref="H37:I37"/>
    <mergeCell ref="D38:E38"/>
    <mergeCell ref="F38:G38"/>
    <mergeCell ref="H38:I38"/>
    <mergeCell ref="D25:E25"/>
    <mergeCell ref="F25:G25"/>
    <mergeCell ref="H25:I25"/>
    <mergeCell ref="D28:G28"/>
    <mergeCell ref="I28:L28"/>
    <mergeCell ref="D36:I36"/>
    <mergeCell ref="D41:E41"/>
    <mergeCell ref="F41:G41"/>
    <mergeCell ref="H41:I41"/>
    <mergeCell ref="D42:E42"/>
    <mergeCell ref="F42:G42"/>
    <mergeCell ref="H42:I42"/>
    <mergeCell ref="D39:E39"/>
    <mergeCell ref="F39:G39"/>
    <mergeCell ref="H39:I39"/>
    <mergeCell ref="D40:E40"/>
    <mergeCell ref="F40:G40"/>
    <mergeCell ref="H40:I40"/>
    <mergeCell ref="D54:E54"/>
    <mergeCell ref="F54:G54"/>
    <mergeCell ref="H54:I54"/>
    <mergeCell ref="D55:E55"/>
    <mergeCell ref="F55:G55"/>
    <mergeCell ref="H55:I55"/>
    <mergeCell ref="D45:G45"/>
    <mergeCell ref="I45:L45"/>
    <mergeCell ref="D52:I52"/>
    <mergeCell ref="D53:E53"/>
    <mergeCell ref="F53:G53"/>
    <mergeCell ref="H53:I53"/>
    <mergeCell ref="D67:E67"/>
    <mergeCell ref="F67:G67"/>
    <mergeCell ref="H67:I67"/>
    <mergeCell ref="D68:E68"/>
    <mergeCell ref="F68:G68"/>
    <mergeCell ref="H68:I68"/>
    <mergeCell ref="D58:G58"/>
    <mergeCell ref="I58:L58"/>
    <mergeCell ref="D65:I65"/>
    <mergeCell ref="D66:E66"/>
    <mergeCell ref="F66:G66"/>
    <mergeCell ref="H66:I66"/>
    <mergeCell ref="D80:E80"/>
    <mergeCell ref="F80:G80"/>
    <mergeCell ref="H80:I80"/>
    <mergeCell ref="D81:E81"/>
    <mergeCell ref="F81:G81"/>
    <mergeCell ref="H81:I81"/>
    <mergeCell ref="D71:G71"/>
    <mergeCell ref="I71:L71"/>
    <mergeCell ref="D78:I78"/>
    <mergeCell ref="D79:E79"/>
    <mergeCell ref="F79:G79"/>
    <mergeCell ref="H79:I79"/>
    <mergeCell ref="D93:E93"/>
    <mergeCell ref="F93:G93"/>
    <mergeCell ref="H93:I93"/>
    <mergeCell ref="D94:E94"/>
    <mergeCell ref="F94:G94"/>
    <mergeCell ref="H94:I94"/>
    <mergeCell ref="D84:G84"/>
    <mergeCell ref="I84:L84"/>
    <mergeCell ref="D91:I91"/>
    <mergeCell ref="D92:E92"/>
    <mergeCell ref="F92:G92"/>
    <mergeCell ref="H92:I92"/>
    <mergeCell ref="D106:E106"/>
    <mergeCell ref="F106:G106"/>
    <mergeCell ref="H106:I106"/>
    <mergeCell ref="D107:E107"/>
    <mergeCell ref="F107:G107"/>
    <mergeCell ref="H107:I107"/>
    <mergeCell ref="D97:G97"/>
    <mergeCell ref="I97:L97"/>
    <mergeCell ref="D104:I104"/>
    <mergeCell ref="D105:E105"/>
    <mergeCell ref="F105:G105"/>
    <mergeCell ref="H105:I105"/>
    <mergeCell ref="D119:E119"/>
    <mergeCell ref="F119:G119"/>
    <mergeCell ref="H119:I119"/>
    <mergeCell ref="D120:E120"/>
    <mergeCell ref="F120:G120"/>
    <mergeCell ref="H120:I120"/>
    <mergeCell ref="D110:G110"/>
    <mergeCell ref="I110:L110"/>
    <mergeCell ref="D117:I117"/>
    <mergeCell ref="D118:E118"/>
    <mergeCell ref="F118:G118"/>
    <mergeCell ref="H118:I118"/>
    <mergeCell ref="D132:E132"/>
    <mergeCell ref="F132:G132"/>
    <mergeCell ref="H132:I132"/>
    <mergeCell ref="D133:E133"/>
    <mergeCell ref="F133:G133"/>
    <mergeCell ref="H133:I133"/>
    <mergeCell ref="D123:G123"/>
    <mergeCell ref="I123:L123"/>
    <mergeCell ref="D130:I130"/>
    <mergeCell ref="D131:E131"/>
    <mergeCell ref="F131:G131"/>
    <mergeCell ref="H131:I131"/>
    <mergeCell ref="D145:E145"/>
    <mergeCell ref="F145:G145"/>
    <mergeCell ref="H145:I145"/>
    <mergeCell ref="D146:E146"/>
    <mergeCell ref="F146:G146"/>
    <mergeCell ref="H146:I146"/>
    <mergeCell ref="D136:G136"/>
    <mergeCell ref="I136:L136"/>
    <mergeCell ref="D143:I143"/>
    <mergeCell ref="D144:E144"/>
    <mergeCell ref="F144:G144"/>
    <mergeCell ref="H144:I144"/>
    <mergeCell ref="D158:E158"/>
    <mergeCell ref="F158:G158"/>
    <mergeCell ref="H158:I158"/>
    <mergeCell ref="D159:E159"/>
    <mergeCell ref="F159:G159"/>
    <mergeCell ref="H159:I159"/>
    <mergeCell ref="D149:G149"/>
    <mergeCell ref="I149:L149"/>
    <mergeCell ref="D156:I156"/>
    <mergeCell ref="D157:E157"/>
    <mergeCell ref="F157:G157"/>
    <mergeCell ref="H157:I157"/>
    <mergeCell ref="D171:E171"/>
    <mergeCell ref="F171:G171"/>
    <mergeCell ref="H171:I171"/>
    <mergeCell ref="D172:E172"/>
    <mergeCell ref="F172:G172"/>
    <mergeCell ref="H172:I172"/>
    <mergeCell ref="D162:G162"/>
    <mergeCell ref="I162:L162"/>
    <mergeCell ref="D169:I169"/>
    <mergeCell ref="D170:E170"/>
    <mergeCell ref="F170:G170"/>
    <mergeCell ref="H170:I170"/>
    <mergeCell ref="D184:E184"/>
    <mergeCell ref="F184:G184"/>
    <mergeCell ref="H184:I184"/>
    <mergeCell ref="D185:E185"/>
    <mergeCell ref="F185:G185"/>
    <mergeCell ref="H185:I185"/>
    <mergeCell ref="D175:G175"/>
    <mergeCell ref="I175:L175"/>
    <mergeCell ref="D182:I182"/>
    <mergeCell ref="D183:E183"/>
    <mergeCell ref="F183:G183"/>
    <mergeCell ref="H183:I183"/>
    <mergeCell ref="D197:E197"/>
    <mergeCell ref="F197:G197"/>
    <mergeCell ref="H197:I197"/>
    <mergeCell ref="D198:E198"/>
    <mergeCell ref="F198:G198"/>
    <mergeCell ref="H198:I198"/>
    <mergeCell ref="D188:G188"/>
    <mergeCell ref="I188:L188"/>
    <mergeCell ref="D195:I195"/>
    <mergeCell ref="D196:E196"/>
    <mergeCell ref="F196:G196"/>
    <mergeCell ref="H196:I196"/>
    <mergeCell ref="D210:E210"/>
    <mergeCell ref="F210:G210"/>
    <mergeCell ref="H210:I210"/>
    <mergeCell ref="D211:E211"/>
    <mergeCell ref="F211:G211"/>
    <mergeCell ref="H211:I211"/>
    <mergeCell ref="D201:G201"/>
    <mergeCell ref="I201:L201"/>
    <mergeCell ref="D208:I208"/>
    <mergeCell ref="D209:E209"/>
    <mergeCell ref="F209:G209"/>
    <mergeCell ref="H209:I209"/>
    <mergeCell ref="D223:E223"/>
    <mergeCell ref="F223:G223"/>
    <mergeCell ref="H223:I223"/>
    <mergeCell ref="D224:E224"/>
    <mergeCell ref="F224:G224"/>
    <mergeCell ref="H224:I224"/>
    <mergeCell ref="D214:G214"/>
    <mergeCell ref="I214:L214"/>
    <mergeCell ref="D221:I221"/>
    <mergeCell ref="D222:E222"/>
    <mergeCell ref="F222:G222"/>
    <mergeCell ref="H222:I222"/>
    <mergeCell ref="D236:E236"/>
    <mergeCell ref="F236:G236"/>
    <mergeCell ref="H236:I236"/>
    <mergeCell ref="D237:E237"/>
    <mergeCell ref="F237:G237"/>
    <mergeCell ref="H237:I237"/>
    <mergeCell ref="D227:G227"/>
    <mergeCell ref="I227:L227"/>
    <mergeCell ref="D234:I234"/>
    <mergeCell ref="D235:E235"/>
    <mergeCell ref="F235:G235"/>
    <mergeCell ref="H235:I235"/>
    <mergeCell ref="D249:E249"/>
    <mergeCell ref="F249:G249"/>
    <mergeCell ref="H249:I249"/>
    <mergeCell ref="D250:E250"/>
    <mergeCell ref="F250:G250"/>
    <mergeCell ref="H250:I250"/>
    <mergeCell ref="D240:G240"/>
    <mergeCell ref="I240:L240"/>
    <mergeCell ref="D247:I247"/>
    <mergeCell ref="D248:E248"/>
    <mergeCell ref="F248:G248"/>
    <mergeCell ref="H248:I248"/>
    <mergeCell ref="D262:E262"/>
    <mergeCell ref="F262:G262"/>
    <mergeCell ref="H262:I262"/>
    <mergeCell ref="D263:E263"/>
    <mergeCell ref="F263:G263"/>
    <mergeCell ref="H263:I263"/>
    <mergeCell ref="D253:G253"/>
    <mergeCell ref="I253:L253"/>
    <mergeCell ref="D260:I260"/>
    <mergeCell ref="D261:E261"/>
    <mergeCell ref="F261:G261"/>
    <mergeCell ref="H261:I261"/>
    <mergeCell ref="D275:E275"/>
    <mergeCell ref="F275:G275"/>
    <mergeCell ref="H275:I275"/>
    <mergeCell ref="D276:E276"/>
    <mergeCell ref="F276:G276"/>
    <mergeCell ref="H276:I276"/>
    <mergeCell ref="D266:G266"/>
    <mergeCell ref="I266:L266"/>
    <mergeCell ref="D273:I273"/>
    <mergeCell ref="D274:E274"/>
    <mergeCell ref="F274:G274"/>
    <mergeCell ref="H274:I274"/>
    <mergeCell ref="D288:E288"/>
    <mergeCell ref="F288:G288"/>
    <mergeCell ref="H288:I288"/>
    <mergeCell ref="D289:E289"/>
    <mergeCell ref="F289:G289"/>
    <mergeCell ref="H289:I289"/>
    <mergeCell ref="D279:G279"/>
    <mergeCell ref="I279:L279"/>
    <mergeCell ref="D286:I286"/>
    <mergeCell ref="D287:E287"/>
    <mergeCell ref="F287:G287"/>
    <mergeCell ref="H287:I287"/>
    <mergeCell ref="D301:E301"/>
    <mergeCell ref="F301:G301"/>
    <mergeCell ref="H301:I301"/>
    <mergeCell ref="D302:E302"/>
    <mergeCell ref="F302:G302"/>
    <mergeCell ref="H302:I302"/>
    <mergeCell ref="D292:G292"/>
    <mergeCell ref="I292:L292"/>
    <mergeCell ref="D299:I299"/>
    <mergeCell ref="D300:E300"/>
    <mergeCell ref="F300:G300"/>
    <mergeCell ref="H300:I300"/>
    <mergeCell ref="D314:E314"/>
    <mergeCell ref="F314:G314"/>
    <mergeCell ref="H314:I314"/>
    <mergeCell ref="D315:E315"/>
    <mergeCell ref="F315:G315"/>
    <mergeCell ref="H315:I315"/>
    <mergeCell ref="D305:G305"/>
    <mergeCell ref="I305:L305"/>
    <mergeCell ref="D312:I312"/>
    <mergeCell ref="D313:E313"/>
    <mergeCell ref="F313:G313"/>
    <mergeCell ref="H313:I313"/>
    <mergeCell ref="D327:E327"/>
    <mergeCell ref="F327:G327"/>
    <mergeCell ref="H327:I327"/>
    <mergeCell ref="D328:E328"/>
    <mergeCell ref="F328:G328"/>
    <mergeCell ref="H328:I328"/>
    <mergeCell ref="D318:G318"/>
    <mergeCell ref="I318:L318"/>
    <mergeCell ref="D325:I325"/>
    <mergeCell ref="D326:E326"/>
    <mergeCell ref="F326:G326"/>
    <mergeCell ref="H326:I326"/>
    <mergeCell ref="D340:E340"/>
    <mergeCell ref="F340:G340"/>
    <mergeCell ref="H340:I340"/>
    <mergeCell ref="D341:E341"/>
    <mergeCell ref="F341:G341"/>
    <mergeCell ref="H341:I341"/>
    <mergeCell ref="D331:G331"/>
    <mergeCell ref="I331:L331"/>
    <mergeCell ref="D338:I338"/>
    <mergeCell ref="D339:E339"/>
    <mergeCell ref="F339:G339"/>
    <mergeCell ref="H339:I339"/>
    <mergeCell ref="D353:E353"/>
    <mergeCell ref="F353:G353"/>
    <mergeCell ref="H353:I353"/>
    <mergeCell ref="D354:E354"/>
    <mergeCell ref="F354:G354"/>
    <mergeCell ref="H354:I354"/>
    <mergeCell ref="D344:G344"/>
    <mergeCell ref="I344:L344"/>
    <mergeCell ref="D351:I351"/>
    <mergeCell ref="D352:E352"/>
    <mergeCell ref="F352:G352"/>
    <mergeCell ref="H352:I352"/>
    <mergeCell ref="D366:E366"/>
    <mergeCell ref="F366:G366"/>
    <mergeCell ref="H366:I366"/>
    <mergeCell ref="D367:E367"/>
    <mergeCell ref="F367:G367"/>
    <mergeCell ref="H367:I367"/>
    <mergeCell ref="D357:G357"/>
    <mergeCell ref="I357:L357"/>
    <mergeCell ref="D364:I364"/>
    <mergeCell ref="D365:E365"/>
    <mergeCell ref="F365:G365"/>
    <mergeCell ref="H365:I365"/>
    <mergeCell ref="D379:E379"/>
    <mergeCell ref="F379:G379"/>
    <mergeCell ref="H379:I379"/>
    <mergeCell ref="D380:E380"/>
    <mergeCell ref="F380:G380"/>
    <mergeCell ref="H380:I380"/>
    <mergeCell ref="D370:G370"/>
    <mergeCell ref="I370:L370"/>
    <mergeCell ref="D377:I377"/>
    <mergeCell ref="D378:E378"/>
    <mergeCell ref="F378:G378"/>
    <mergeCell ref="H378:I378"/>
    <mergeCell ref="D392:E392"/>
    <mergeCell ref="F392:G392"/>
    <mergeCell ref="H392:I392"/>
    <mergeCell ref="D393:E393"/>
    <mergeCell ref="F393:G393"/>
    <mergeCell ref="H393:I393"/>
    <mergeCell ref="D383:G383"/>
    <mergeCell ref="I383:L383"/>
    <mergeCell ref="D390:I390"/>
    <mergeCell ref="D391:E391"/>
    <mergeCell ref="F391:G391"/>
    <mergeCell ref="H391:I391"/>
    <mergeCell ref="D405:E405"/>
    <mergeCell ref="F405:G405"/>
    <mergeCell ref="H405:I405"/>
    <mergeCell ref="D406:E406"/>
    <mergeCell ref="F406:G406"/>
    <mergeCell ref="H406:I406"/>
    <mergeCell ref="D396:G396"/>
    <mergeCell ref="I396:L396"/>
    <mergeCell ref="D403:I403"/>
    <mergeCell ref="D404:E404"/>
    <mergeCell ref="F404:G404"/>
    <mergeCell ref="H404:I404"/>
    <mergeCell ref="D418:E418"/>
    <mergeCell ref="F418:G418"/>
    <mergeCell ref="H418:I418"/>
    <mergeCell ref="D419:E419"/>
    <mergeCell ref="F419:G419"/>
    <mergeCell ref="H419:I419"/>
    <mergeCell ref="D409:G409"/>
    <mergeCell ref="I409:L409"/>
    <mergeCell ref="D416:I416"/>
    <mergeCell ref="D417:E417"/>
    <mergeCell ref="F417:G417"/>
    <mergeCell ref="H417:I417"/>
    <mergeCell ref="D431:E431"/>
    <mergeCell ref="F431:G431"/>
    <mergeCell ref="H431:I431"/>
    <mergeCell ref="D432:E432"/>
    <mergeCell ref="F432:G432"/>
    <mergeCell ref="H432:I432"/>
    <mergeCell ref="D422:G422"/>
    <mergeCell ref="I422:L422"/>
    <mergeCell ref="D429:I429"/>
    <mergeCell ref="D430:E430"/>
    <mergeCell ref="F430:G430"/>
    <mergeCell ref="H430:I430"/>
  </mergeCells>
  <conditionalFormatting sqref="L8:L12">
    <cfRule type="cellIs" dxfId="95" priority="94" operator="equal">
      <formula>"BRONZE"</formula>
    </cfRule>
    <cfRule type="cellIs" dxfId="94" priority="95" operator="equal">
      <formula>"PRATA"</formula>
    </cfRule>
    <cfRule type="containsText" dxfId="93" priority="96" operator="containsText" text="OURO">
      <formula>NOT(ISERROR(SEARCH("OURO",L8)))</formula>
    </cfRule>
  </conditionalFormatting>
  <conditionalFormatting sqref="L30:L33">
    <cfRule type="cellIs" dxfId="92" priority="91" operator="equal">
      <formula>"BRONZE"</formula>
    </cfRule>
    <cfRule type="cellIs" dxfId="91" priority="92" operator="equal">
      <formula>"PRATA"</formula>
    </cfRule>
    <cfRule type="containsText" dxfId="90" priority="93" operator="containsText" text="OURO">
      <formula>NOT(ISERROR(SEARCH("OURO",L30)))</formula>
    </cfRule>
  </conditionalFormatting>
  <conditionalFormatting sqref="L47:L49">
    <cfRule type="cellIs" dxfId="89" priority="88" operator="equal">
      <formula>"BRONZE"</formula>
    </cfRule>
    <cfRule type="cellIs" dxfId="88" priority="89" operator="equal">
      <formula>"PRATA"</formula>
    </cfRule>
    <cfRule type="containsText" dxfId="87" priority="90" operator="containsText" text="OURO">
      <formula>NOT(ISERROR(SEARCH("OURO",L47)))</formula>
    </cfRule>
  </conditionalFormatting>
  <conditionalFormatting sqref="L60:L62">
    <cfRule type="cellIs" dxfId="86" priority="85" operator="equal">
      <formula>"BRONZE"</formula>
    </cfRule>
    <cfRule type="cellIs" dxfId="85" priority="86" operator="equal">
      <formula>"PRATA"</formula>
    </cfRule>
    <cfRule type="containsText" dxfId="84" priority="87" operator="containsText" text="OURO">
      <formula>NOT(ISERROR(SEARCH("OURO",L60)))</formula>
    </cfRule>
  </conditionalFormatting>
  <conditionalFormatting sqref="L73:L75">
    <cfRule type="cellIs" dxfId="83" priority="82" operator="equal">
      <formula>"BRONZE"</formula>
    </cfRule>
    <cfRule type="cellIs" dxfId="82" priority="83" operator="equal">
      <formula>"PRATA"</formula>
    </cfRule>
    <cfRule type="containsText" dxfId="81" priority="84" operator="containsText" text="OURO">
      <formula>NOT(ISERROR(SEARCH("OURO",L73)))</formula>
    </cfRule>
  </conditionalFormatting>
  <conditionalFormatting sqref="L86:L88">
    <cfRule type="cellIs" dxfId="80" priority="79" operator="equal">
      <formula>"BRONZE"</formula>
    </cfRule>
    <cfRule type="cellIs" dxfId="79" priority="80" operator="equal">
      <formula>"PRATA"</formula>
    </cfRule>
    <cfRule type="containsText" dxfId="78" priority="81" operator="containsText" text="OURO">
      <formula>NOT(ISERROR(SEARCH("OURO",L86)))</formula>
    </cfRule>
  </conditionalFormatting>
  <conditionalFormatting sqref="L99:L101">
    <cfRule type="cellIs" dxfId="77" priority="76" operator="equal">
      <formula>"BRONZE"</formula>
    </cfRule>
    <cfRule type="cellIs" dxfId="76" priority="77" operator="equal">
      <formula>"PRATA"</formula>
    </cfRule>
    <cfRule type="containsText" dxfId="75" priority="78" operator="containsText" text="OURO">
      <formula>NOT(ISERROR(SEARCH("OURO",L99)))</formula>
    </cfRule>
  </conditionalFormatting>
  <conditionalFormatting sqref="L112:L114">
    <cfRule type="cellIs" dxfId="74" priority="73" operator="equal">
      <formula>"BRONZE"</formula>
    </cfRule>
    <cfRule type="cellIs" dxfId="73" priority="74" operator="equal">
      <formula>"PRATA"</formula>
    </cfRule>
    <cfRule type="containsText" dxfId="72" priority="75" operator="containsText" text="OURO">
      <formula>NOT(ISERROR(SEARCH("OURO",L112)))</formula>
    </cfRule>
  </conditionalFormatting>
  <conditionalFormatting sqref="L125:L127">
    <cfRule type="cellIs" dxfId="71" priority="70" operator="equal">
      <formula>"BRONZE"</formula>
    </cfRule>
    <cfRule type="cellIs" dxfId="70" priority="71" operator="equal">
      <formula>"PRATA"</formula>
    </cfRule>
    <cfRule type="containsText" dxfId="69" priority="72" operator="containsText" text="OURO">
      <formula>NOT(ISERROR(SEARCH("OURO",L125)))</formula>
    </cfRule>
  </conditionalFormatting>
  <conditionalFormatting sqref="L138:L140">
    <cfRule type="cellIs" dxfId="68" priority="67" operator="equal">
      <formula>"BRONZE"</formula>
    </cfRule>
    <cfRule type="cellIs" dxfId="67" priority="68" operator="equal">
      <formula>"PRATA"</formula>
    </cfRule>
    <cfRule type="containsText" dxfId="66" priority="69" operator="containsText" text="OURO">
      <formula>NOT(ISERROR(SEARCH("OURO",L138)))</formula>
    </cfRule>
  </conditionalFormatting>
  <conditionalFormatting sqref="L151:L153">
    <cfRule type="cellIs" dxfId="65" priority="64" operator="equal">
      <formula>"BRONZE"</formula>
    </cfRule>
    <cfRule type="cellIs" dxfId="64" priority="65" operator="equal">
      <formula>"PRATA"</formula>
    </cfRule>
    <cfRule type="containsText" dxfId="63" priority="66" operator="containsText" text="OURO">
      <formula>NOT(ISERROR(SEARCH("OURO",L151)))</formula>
    </cfRule>
  </conditionalFormatting>
  <conditionalFormatting sqref="L164:L166">
    <cfRule type="cellIs" dxfId="62" priority="61" operator="equal">
      <formula>"BRONZE"</formula>
    </cfRule>
    <cfRule type="cellIs" dxfId="61" priority="62" operator="equal">
      <formula>"PRATA"</formula>
    </cfRule>
    <cfRule type="containsText" dxfId="60" priority="63" operator="containsText" text="OURO">
      <formula>NOT(ISERROR(SEARCH("OURO",L164)))</formula>
    </cfRule>
  </conditionalFormatting>
  <conditionalFormatting sqref="L177:L179">
    <cfRule type="cellIs" dxfId="59" priority="58" operator="equal">
      <formula>"BRONZE"</formula>
    </cfRule>
    <cfRule type="cellIs" dxfId="58" priority="59" operator="equal">
      <formula>"PRATA"</formula>
    </cfRule>
    <cfRule type="containsText" dxfId="57" priority="60" operator="containsText" text="OURO">
      <formula>NOT(ISERROR(SEARCH("OURO",L177)))</formula>
    </cfRule>
  </conditionalFormatting>
  <conditionalFormatting sqref="L190:L192">
    <cfRule type="cellIs" dxfId="56" priority="55" operator="equal">
      <formula>"BRONZE"</formula>
    </cfRule>
    <cfRule type="cellIs" dxfId="55" priority="56" operator="equal">
      <formula>"PRATA"</formula>
    </cfRule>
    <cfRule type="containsText" dxfId="54" priority="57" operator="containsText" text="OURO">
      <formula>NOT(ISERROR(SEARCH("OURO",L190)))</formula>
    </cfRule>
  </conditionalFormatting>
  <conditionalFormatting sqref="L203:L205">
    <cfRule type="cellIs" dxfId="53" priority="52" operator="equal">
      <formula>"BRONZE"</formula>
    </cfRule>
    <cfRule type="cellIs" dxfId="52" priority="53" operator="equal">
      <formula>"PRATA"</formula>
    </cfRule>
    <cfRule type="containsText" dxfId="51" priority="54" operator="containsText" text="OURO">
      <formula>NOT(ISERROR(SEARCH("OURO",L203)))</formula>
    </cfRule>
  </conditionalFormatting>
  <conditionalFormatting sqref="L216:L218">
    <cfRule type="cellIs" dxfId="50" priority="49" operator="equal">
      <formula>"BRONZE"</formula>
    </cfRule>
    <cfRule type="cellIs" dxfId="49" priority="50" operator="equal">
      <formula>"PRATA"</formula>
    </cfRule>
    <cfRule type="containsText" dxfId="48" priority="51" operator="containsText" text="OURO">
      <formula>NOT(ISERROR(SEARCH("OURO",L216)))</formula>
    </cfRule>
  </conditionalFormatting>
  <conditionalFormatting sqref="L229:L231">
    <cfRule type="cellIs" dxfId="47" priority="46" operator="equal">
      <formula>"BRONZE"</formula>
    </cfRule>
    <cfRule type="cellIs" dxfId="46" priority="47" operator="equal">
      <formula>"PRATA"</formula>
    </cfRule>
    <cfRule type="containsText" dxfId="45" priority="48" operator="containsText" text="OURO">
      <formula>NOT(ISERROR(SEARCH("OURO",L229)))</formula>
    </cfRule>
  </conditionalFormatting>
  <conditionalFormatting sqref="L242:L244">
    <cfRule type="cellIs" dxfId="44" priority="43" operator="equal">
      <formula>"BRONZE"</formula>
    </cfRule>
    <cfRule type="cellIs" dxfId="43" priority="44" operator="equal">
      <formula>"PRATA"</formula>
    </cfRule>
    <cfRule type="containsText" dxfId="42" priority="45" operator="containsText" text="OURO">
      <formula>NOT(ISERROR(SEARCH("OURO",L242)))</formula>
    </cfRule>
  </conditionalFormatting>
  <conditionalFormatting sqref="L255:L257">
    <cfRule type="cellIs" dxfId="41" priority="40" operator="equal">
      <formula>"BRONZE"</formula>
    </cfRule>
    <cfRule type="cellIs" dxfId="40" priority="41" operator="equal">
      <formula>"PRATA"</formula>
    </cfRule>
    <cfRule type="containsText" dxfId="39" priority="42" operator="containsText" text="OURO">
      <formula>NOT(ISERROR(SEARCH("OURO",L255)))</formula>
    </cfRule>
  </conditionalFormatting>
  <conditionalFormatting sqref="L268:L270">
    <cfRule type="cellIs" dxfId="38" priority="37" operator="equal">
      <formula>"BRONZE"</formula>
    </cfRule>
    <cfRule type="cellIs" dxfId="37" priority="38" operator="equal">
      <formula>"PRATA"</formula>
    </cfRule>
    <cfRule type="containsText" dxfId="36" priority="39" operator="containsText" text="OURO">
      <formula>NOT(ISERROR(SEARCH("OURO",L268)))</formula>
    </cfRule>
  </conditionalFormatting>
  <conditionalFormatting sqref="L281:L283">
    <cfRule type="cellIs" dxfId="35" priority="34" operator="equal">
      <formula>"BRONZE"</formula>
    </cfRule>
    <cfRule type="cellIs" dxfId="34" priority="35" operator="equal">
      <formula>"PRATA"</formula>
    </cfRule>
    <cfRule type="containsText" dxfId="33" priority="36" operator="containsText" text="OURO">
      <formula>NOT(ISERROR(SEARCH("OURO",L281)))</formula>
    </cfRule>
  </conditionalFormatting>
  <conditionalFormatting sqref="L294:L296">
    <cfRule type="cellIs" dxfId="32" priority="31" operator="equal">
      <formula>"BRONZE"</formula>
    </cfRule>
    <cfRule type="cellIs" dxfId="31" priority="32" operator="equal">
      <formula>"PRATA"</formula>
    </cfRule>
    <cfRule type="containsText" dxfId="30" priority="33" operator="containsText" text="OURO">
      <formula>NOT(ISERROR(SEARCH("OURO",L294)))</formula>
    </cfRule>
  </conditionalFormatting>
  <conditionalFormatting sqref="L307:L309">
    <cfRule type="cellIs" dxfId="29" priority="28" operator="equal">
      <formula>"BRONZE"</formula>
    </cfRule>
    <cfRule type="cellIs" dxfId="28" priority="29" operator="equal">
      <formula>"PRATA"</formula>
    </cfRule>
    <cfRule type="containsText" dxfId="27" priority="30" operator="containsText" text="OURO">
      <formula>NOT(ISERROR(SEARCH("OURO",L307)))</formula>
    </cfRule>
  </conditionalFormatting>
  <conditionalFormatting sqref="L320:L322">
    <cfRule type="cellIs" dxfId="26" priority="25" operator="equal">
      <formula>"BRONZE"</formula>
    </cfRule>
    <cfRule type="cellIs" dxfId="25" priority="26" operator="equal">
      <formula>"PRATA"</formula>
    </cfRule>
    <cfRule type="containsText" dxfId="24" priority="27" operator="containsText" text="OURO">
      <formula>NOT(ISERROR(SEARCH("OURO",L320)))</formula>
    </cfRule>
  </conditionalFormatting>
  <conditionalFormatting sqref="L333:L335">
    <cfRule type="cellIs" dxfId="23" priority="22" operator="equal">
      <formula>"BRONZE"</formula>
    </cfRule>
    <cfRule type="cellIs" dxfId="22" priority="23" operator="equal">
      <formula>"PRATA"</formula>
    </cfRule>
    <cfRule type="containsText" dxfId="21" priority="24" operator="containsText" text="OURO">
      <formula>NOT(ISERROR(SEARCH("OURO",L333)))</formula>
    </cfRule>
  </conditionalFormatting>
  <conditionalFormatting sqref="L346:L348">
    <cfRule type="cellIs" dxfId="20" priority="19" operator="equal">
      <formula>"BRONZE"</formula>
    </cfRule>
    <cfRule type="cellIs" dxfId="19" priority="20" operator="equal">
      <formula>"PRATA"</formula>
    </cfRule>
    <cfRule type="containsText" dxfId="18" priority="21" operator="containsText" text="OURO">
      <formula>NOT(ISERROR(SEARCH("OURO",L346)))</formula>
    </cfRule>
  </conditionalFormatting>
  <conditionalFormatting sqref="L359:L361">
    <cfRule type="cellIs" dxfId="17" priority="16" operator="equal">
      <formula>"BRONZE"</formula>
    </cfRule>
    <cfRule type="cellIs" dxfId="16" priority="17" operator="equal">
      <formula>"PRATA"</formula>
    </cfRule>
    <cfRule type="containsText" dxfId="15" priority="18" operator="containsText" text="OURO">
      <formula>NOT(ISERROR(SEARCH("OURO",L359)))</formula>
    </cfRule>
  </conditionalFormatting>
  <conditionalFormatting sqref="L372:L374">
    <cfRule type="cellIs" dxfId="14" priority="13" operator="equal">
      <formula>"BRONZE"</formula>
    </cfRule>
    <cfRule type="cellIs" dxfId="13" priority="14" operator="equal">
      <formula>"PRATA"</formula>
    </cfRule>
    <cfRule type="containsText" dxfId="12" priority="15" operator="containsText" text="OURO">
      <formula>NOT(ISERROR(SEARCH("OURO",L372)))</formula>
    </cfRule>
  </conditionalFormatting>
  <conditionalFormatting sqref="L385:L387">
    <cfRule type="cellIs" dxfId="11" priority="10" operator="equal">
      <formula>"BRONZE"</formula>
    </cfRule>
    <cfRule type="cellIs" dxfId="10" priority="11" operator="equal">
      <formula>"PRATA"</formula>
    </cfRule>
    <cfRule type="containsText" dxfId="9" priority="12" operator="containsText" text="OURO">
      <formula>NOT(ISERROR(SEARCH("OURO",L385)))</formula>
    </cfRule>
  </conditionalFormatting>
  <conditionalFormatting sqref="L398:L400">
    <cfRule type="cellIs" dxfId="8" priority="7" operator="equal">
      <formula>"BRONZE"</formula>
    </cfRule>
    <cfRule type="cellIs" dxfId="7" priority="8" operator="equal">
      <formula>"PRATA"</formula>
    </cfRule>
    <cfRule type="containsText" dxfId="6" priority="9" operator="containsText" text="OURO">
      <formula>NOT(ISERROR(SEARCH("OURO",L398)))</formula>
    </cfRule>
  </conditionalFormatting>
  <conditionalFormatting sqref="L411:L413">
    <cfRule type="cellIs" dxfId="5" priority="4" operator="equal">
      <formula>"BRONZE"</formula>
    </cfRule>
    <cfRule type="cellIs" dxfId="4" priority="5" operator="equal">
      <formula>"PRATA"</formula>
    </cfRule>
    <cfRule type="containsText" dxfId="3" priority="6" operator="containsText" text="OURO">
      <formula>NOT(ISERROR(SEARCH("OURO",L411)))</formula>
    </cfRule>
  </conditionalFormatting>
  <conditionalFormatting sqref="L424:L426">
    <cfRule type="cellIs" dxfId="2" priority="1" operator="equal">
      <formula>"BRONZE"</formula>
    </cfRule>
    <cfRule type="cellIs" dxfId="1" priority="2" operator="equal">
      <formula>"PRATA"</formula>
    </cfRule>
    <cfRule type="containsText" dxfId="0" priority="3" operator="containsText" text="OURO">
      <formula>NOT(ISERROR(SEARCH("OURO",L424)))</formula>
    </cfRule>
  </conditionalFormatting>
  <pageMargins left="0.51181102362204722" right="0.51181102362204722" top="0.78740157480314965" bottom="0.78740157480314965" header="0.31496062992125984" footer="0.31496062992125984"/>
  <pageSetup paperSize="9" scale="60" orientation="landscape"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0000000}">
          <x14:formula1>
            <xm:f>LISTAS!$D$10:$D$41</xm:f>
          </x14:formula1>
          <xm:sqref>G5</xm:sqref>
        </x14:dataValidation>
        <x14:dataValidation type="list" allowBlank="1" showInputMessage="1" showErrorMessage="1" xr:uid="{00000000-0002-0000-1200-000001000000}">
          <x14:formula1>
            <xm:f>LISTAS!$F$5:$F$1004</xm:f>
          </x14:formula1>
          <xm:sqref>B8:B12 B30:B33 B47:B49 B60:B62 B73:B75 B86:B88 B99:B101 B112:B114 B125:B127 B138:B140 B151:B153 B179 B192 B424:B426 B203:B205 B216:B218 B229:B231 B242:B244 B255:B257 B268:B270 B281:B283 B294:B296 B307:B309 B320:B322 B333:B335 B346:B348 B359:B361 B372:B374 B385:B387 B398:B400 B411:B413 B177 B164:B165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tabColor rgb="FFFF66FF"/>
    <pageSetUpPr fitToPage="1"/>
  </sheetPr>
  <dimension ref="B1:AW200"/>
  <sheetViews>
    <sheetView showGridLines="0" topLeftCell="T117" zoomScale="57" zoomScaleNormal="100" workbookViewId="0">
      <selection activeCell="V168" sqref="V168"/>
    </sheetView>
  </sheetViews>
  <sheetFormatPr defaultColWidth="25.28515625" defaultRowHeight="16.5" x14ac:dyDescent="0.25"/>
  <cols>
    <col min="1" max="1" width="1.140625" style="1" customWidth="1"/>
    <col min="2" max="2" width="3.140625" style="1" customWidth="1"/>
    <col min="3" max="3" width="56.85546875" style="163" customWidth="1"/>
    <col min="4" max="4" width="5" style="1" customWidth="1"/>
    <col min="5" max="6" width="3.7109375" style="1" customWidth="1"/>
    <col min="7" max="7" width="18.7109375" style="173" customWidth="1"/>
    <col min="8" max="8" width="5" style="1" customWidth="1"/>
    <col min="9" max="9" width="3.7109375" style="1" customWidth="1"/>
    <col min="10" max="10" width="3.85546875" style="1" customWidth="1"/>
    <col min="11" max="11" width="18.7109375" style="173" customWidth="1"/>
    <col min="12" max="12" width="5" style="1" customWidth="1"/>
    <col min="13" max="14" width="3.7109375" style="1" customWidth="1"/>
    <col min="15" max="15" width="18.7109375" style="173" customWidth="1"/>
    <col min="16" max="16" width="5" style="1" customWidth="1"/>
    <col min="17" max="17" width="6.28515625" style="23" customWidth="1"/>
    <col min="18" max="18" width="18.7109375" style="183" customWidth="1"/>
    <col min="19" max="21" width="3.7109375" style="23" customWidth="1"/>
    <col min="22" max="22" width="18.5703125" style="183" customWidth="1"/>
    <col min="23" max="23" width="6.28515625" style="1" customWidth="1"/>
    <col min="24" max="24" width="5" style="2" customWidth="1"/>
    <col min="25" max="25" width="18.7109375" style="173" customWidth="1"/>
    <col min="26" max="27" width="3.7109375" style="1" customWidth="1"/>
    <col min="28" max="28" width="5" style="1" customWidth="1"/>
    <col min="29" max="29" width="47.42578125" style="173" customWidth="1"/>
    <col min="30" max="31" width="3.7109375" style="1" customWidth="1"/>
    <col min="32" max="32" width="5" style="1" customWidth="1"/>
    <col min="33" max="33" width="18.85546875" style="173" customWidth="1"/>
    <col min="34" max="34" width="3.7109375" style="1" customWidth="1"/>
    <col min="35" max="35" width="3.5703125" style="1" customWidth="1"/>
    <col min="36" max="36" width="5" style="1" customWidth="1"/>
    <col min="37" max="37" width="18.7109375" style="173" customWidth="1"/>
    <col min="38" max="38" width="3.28515625" style="23" customWidth="1"/>
    <col min="39" max="41" width="1.42578125" style="20" customWidth="1"/>
    <col min="42" max="42" width="9.7109375" style="1" customWidth="1"/>
    <col min="43" max="43" width="15.5703125" style="1" customWidth="1"/>
    <col min="44" max="44" width="57.28515625" style="1" customWidth="1"/>
    <col min="45" max="45" width="42.5703125" style="1" customWidth="1"/>
    <col min="46" max="16384" width="25.28515625" style="1"/>
  </cols>
  <sheetData>
    <row r="1" spans="2:49" ht="6" customHeight="1" x14ac:dyDescent="0.25"/>
    <row r="2" spans="2:49" s="3" customFormat="1" ht="60.75" customHeight="1" x14ac:dyDescent="0.25">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5"/>
      <c r="AN2" s="25"/>
      <c r="AO2" s="25"/>
      <c r="AP2" s="233"/>
      <c r="AQ2" s="233"/>
      <c r="AR2" s="233"/>
      <c r="AS2" s="233"/>
      <c r="AT2" s="233"/>
      <c r="AU2" s="233"/>
    </row>
    <row r="3" spans="2:49" s="3" customFormat="1" ht="60.75" customHeight="1" x14ac:dyDescent="0.25">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5"/>
      <c r="AN3" s="25"/>
      <c r="AO3" s="25"/>
      <c r="AP3" s="233"/>
      <c r="AQ3" s="233"/>
      <c r="AR3" s="233"/>
      <c r="AS3" s="233"/>
      <c r="AT3" s="233"/>
      <c r="AU3" s="233"/>
      <c r="AV3" s="1"/>
      <c r="AW3" s="1"/>
    </row>
    <row r="4" spans="2:49" s="3" customFormat="1" ht="13.5" customHeight="1" x14ac:dyDescent="0.25">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5"/>
      <c r="AN4" s="25"/>
      <c r="AO4" s="25"/>
      <c r="AP4" s="4"/>
      <c r="AQ4" s="4"/>
      <c r="AR4" s="4"/>
      <c r="AS4" s="4"/>
      <c r="AT4" s="4"/>
      <c r="AU4" s="4"/>
    </row>
    <row r="5" spans="2:49" s="3" customFormat="1" ht="30" customHeight="1" x14ac:dyDescent="0.25">
      <c r="B5" s="242" t="s">
        <v>19</v>
      </c>
      <c r="C5" s="242"/>
      <c r="D5" s="243"/>
      <c r="E5" s="40"/>
      <c r="G5" s="174"/>
      <c r="H5" s="4"/>
      <c r="K5" s="178"/>
      <c r="O5" s="178"/>
      <c r="Q5" s="24"/>
      <c r="R5" s="184"/>
      <c r="S5" s="24"/>
      <c r="T5" s="24"/>
      <c r="U5" s="24"/>
      <c r="V5" s="184"/>
      <c r="W5" s="24"/>
      <c r="X5" s="24"/>
      <c r="Y5" s="184"/>
      <c r="Z5" s="5"/>
      <c r="AB5" s="4"/>
      <c r="AC5" s="174"/>
      <c r="AG5" s="178"/>
      <c r="AK5" s="178"/>
      <c r="AL5" s="24"/>
      <c r="AM5" s="25"/>
      <c r="AN5" s="25"/>
      <c r="AO5" s="25"/>
      <c r="AP5" s="244" t="s">
        <v>19</v>
      </c>
      <c r="AQ5" s="245"/>
      <c r="AR5" s="6" t="s">
        <v>13</v>
      </c>
      <c r="AS5" s="7" t="s">
        <v>14</v>
      </c>
      <c r="AT5" s="4"/>
      <c r="AU5" s="4"/>
    </row>
    <row r="6" spans="2:49" ht="30" customHeight="1" x14ac:dyDescent="0.25">
      <c r="B6" s="247" t="s">
        <v>21</v>
      </c>
      <c r="C6" s="248"/>
      <c r="D6" s="248"/>
      <c r="E6" s="248"/>
      <c r="F6" s="248"/>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P6" s="246" t="s">
        <v>21</v>
      </c>
      <c r="AQ6" s="246"/>
      <c r="AR6" s="246"/>
      <c r="AS6" s="246"/>
      <c r="AT6" s="246"/>
      <c r="AU6" s="246"/>
    </row>
    <row r="7" spans="2:49" ht="28.5" customHeight="1" thickBot="1" x14ac:dyDescent="0.3">
      <c r="B7" s="73"/>
      <c r="C7" s="164"/>
      <c r="D7" s="61"/>
      <c r="E7" s="61"/>
      <c r="F7" s="61"/>
      <c r="G7" s="175"/>
      <c r="H7" s="61"/>
      <c r="I7" s="61"/>
      <c r="J7" s="61"/>
      <c r="K7" s="179"/>
      <c r="L7" s="61"/>
      <c r="M7" s="61"/>
      <c r="N7" s="61"/>
      <c r="O7" s="179"/>
      <c r="P7" s="61"/>
      <c r="Q7" s="61"/>
      <c r="R7" s="179"/>
      <c r="S7" s="61"/>
      <c r="T7" s="61"/>
      <c r="U7" s="61"/>
      <c r="V7" s="179"/>
      <c r="W7" s="61"/>
      <c r="X7" s="74"/>
      <c r="Y7" s="179"/>
      <c r="Z7" s="61"/>
      <c r="AA7" s="61"/>
      <c r="AB7" s="75"/>
      <c r="AC7" s="179"/>
      <c r="AD7" s="61"/>
      <c r="AE7" s="61"/>
      <c r="AF7" s="61"/>
      <c r="AG7" s="186"/>
      <c r="AH7" s="129"/>
      <c r="AI7" s="129"/>
      <c r="AJ7" s="61"/>
      <c r="AK7" s="179"/>
      <c r="AL7" s="61"/>
      <c r="AP7" s="228" t="s">
        <v>3</v>
      </c>
      <c r="AQ7" s="230"/>
      <c r="AR7" s="9" t="s">
        <v>15</v>
      </c>
      <c r="AS7" s="9" t="s">
        <v>0</v>
      </c>
      <c r="AT7" s="9" t="s">
        <v>16</v>
      </c>
      <c r="AU7" s="9" t="s">
        <v>17</v>
      </c>
    </row>
    <row r="8" spans="2:49" ht="18" customHeight="1" x14ac:dyDescent="0.25">
      <c r="B8" s="10">
        <v>1</v>
      </c>
      <c r="C8" s="162" t="str">
        <f>IF('09F GRP'!G5&gt;=3,'09F GRP'!J8,IF('09F GRP'!G5=2,'09F GRP'!J8,IF('09F GRP'!G5=1,'09F GRP'!J8,"")))</f>
        <v>LAURA PAIVA BRANCALHÃO</v>
      </c>
      <c r="D8" s="234">
        <v>2</v>
      </c>
      <c r="E8" s="51">
        <f>IF(D8&lt;&gt;"",D8,"")</f>
        <v>2</v>
      </c>
      <c r="F8" s="51" t="str">
        <f>IF(D8&lt;&gt;"",IF(C8="","",C8),"")</f>
        <v>LAURA PAIVA BRANCALHÃO</v>
      </c>
      <c r="G8" s="176">
        <f>IF(E8&lt;&gt;"",IF(E10&lt;&gt;"",SMALL(E8:E10,1),""),"")</f>
        <v>0</v>
      </c>
      <c r="H8" s="11"/>
      <c r="I8" s="11"/>
      <c r="J8" s="11"/>
      <c r="K8" s="166"/>
      <c r="L8" s="11"/>
      <c r="M8" s="12"/>
      <c r="N8" s="12"/>
      <c r="O8" s="180"/>
      <c r="P8" s="12"/>
      <c r="Q8" s="8"/>
      <c r="R8" s="182"/>
      <c r="S8" s="8"/>
      <c r="T8" s="8"/>
      <c r="U8" s="8"/>
      <c r="V8" s="182"/>
      <c r="W8" s="8"/>
      <c r="X8" s="62"/>
      <c r="Y8" s="182"/>
      <c r="Z8" s="8"/>
      <c r="AA8" s="8"/>
      <c r="AB8" s="11"/>
      <c r="AC8" s="182"/>
      <c r="AD8" s="8"/>
      <c r="AE8" s="8"/>
      <c r="AF8" s="8"/>
      <c r="AG8" s="181">
        <f>IF(AJ8&lt;&gt;"",AJ8,"")</f>
        <v>2</v>
      </c>
      <c r="AH8" s="78" t="str">
        <f>IF(AJ8&lt;&gt;"",IF(AK8="","",AK8),"")</f>
        <v>MARIA DOMENICA FURUKAVA MONTEIRO</v>
      </c>
      <c r="AI8" s="51">
        <f>IF(AG8&lt;&gt;"",IF(AG10&lt;&gt;"",SMALL(AG8:AG10,1),""),"")</f>
        <v>0</v>
      </c>
      <c r="AJ8" s="234">
        <v>2</v>
      </c>
      <c r="AK8" s="162" t="str">
        <f>IF('09F GRP'!G5&gt;=3,'09F GRP'!J47,IF('09F GRP'!G5=2,IF('09F GRP'!H8=3,"",'09F GRP'!J9),IF('09F GRP'!G5=1,'09F GRP'!J10,"")))</f>
        <v>MARIA DOMENICA FURUKAVA MONTEIRO</v>
      </c>
      <c r="AL8" s="63">
        <v>3</v>
      </c>
      <c r="AP8" s="13">
        <f>IF(AR8&lt;&gt;"",1,"")</f>
        <v>1</v>
      </c>
      <c r="AQ8" s="14" t="str">
        <f>IF(AP8&lt;&gt;"","LUGAR","")</f>
        <v>LUGAR</v>
      </c>
      <c r="AR8" s="15" t="str">
        <f>IF(S36&lt;&gt;"",IF(U36&lt;&gt;"",IF(S36=U36,"",IF(S36&gt;U36,R36,V36)),""),"")</f>
        <v>YASMIN HARUMI SERIKAWA MORI</v>
      </c>
      <c r="AS8" s="15" t="str">
        <f>IFERROR(IF(AR8="","",VLOOKUP(AR8,LISTAS!$F$5:$G$1004,2,0)),"0")</f>
        <v>COLÉGIO ARBOS SÃO CAETANO DO SUL</v>
      </c>
      <c r="AT8" s="15">
        <f t="shared" ref="AT8:AT38" si="0">IF(AP8="","",IF(AP8=1,400,IF(AP8=2,340,IF(AP8=3,300,IF(AP8=4,280,IF(AP8=5,270,IF(AP8=6,260,IF(AP8=7,250,IF(AP8=8,240,IF(AP8=9,200,IF(AP8=10,200,IF(AP8=11,200,IF(AP8=12,200,IF(AP8=13,200,IF(AP8=14,200,IF(AP8=15,200,IF(AP8=16,200,IF(AP8&gt;16,"",""))))))))))))))))))</f>
        <v>400</v>
      </c>
      <c r="AU8" s="15">
        <f>IF(AP8="","",IF($AS$5="NÃO","",IF(AP8=1,400,IF(AP8=2,340,IF(AP8=3,300,IF(AP8=4,280,IF(AP8=5,270,IF(AP8=6,260,IF(AP8=7,250,IF(AP8=8,240,IF(AP8=9,200,IF(AP8=10,200,IF(AP8=11,200,IF(AP8=12,200,IF(AP8=13,200,IF(AP8=14,200,IF(AP8=15,200,IF(AP8=16,200,IF(AP8&gt;16,"","")))))))))))))))))))</f>
        <v>400</v>
      </c>
    </row>
    <row r="9" spans="2:49" ht="18" customHeight="1" thickBot="1" x14ac:dyDescent="0.3">
      <c r="B9" s="10"/>
      <c r="C9" s="165" t="str">
        <f>IFERROR(IF(C8="","",VLOOKUP(C8,LISTAS!$F$5:$G$1004,2,0)),"0")</f>
        <v>LICEU JARDIM</v>
      </c>
      <c r="D9" s="235"/>
      <c r="E9" s="51"/>
      <c r="F9" s="51"/>
      <c r="G9" s="176"/>
      <c r="H9" s="11"/>
      <c r="I9" s="11"/>
      <c r="J9" s="11"/>
      <c r="K9" s="166"/>
      <c r="L9" s="11"/>
      <c r="M9" s="12"/>
      <c r="N9" s="12"/>
      <c r="O9" s="180"/>
      <c r="P9" s="12"/>
      <c r="Q9" s="8"/>
      <c r="R9" s="182"/>
      <c r="S9" s="8"/>
      <c r="T9" s="8"/>
      <c r="U9" s="8"/>
      <c r="V9" s="182"/>
      <c r="W9" s="8"/>
      <c r="X9" s="62"/>
      <c r="Y9" s="182"/>
      <c r="Z9" s="8"/>
      <c r="AA9" s="8"/>
      <c r="AB9" s="11"/>
      <c r="AC9" s="182"/>
      <c r="AD9" s="8"/>
      <c r="AE9" s="8"/>
      <c r="AF9" s="8"/>
      <c r="AG9" s="181"/>
      <c r="AH9" s="78"/>
      <c r="AI9" s="51"/>
      <c r="AJ9" s="235"/>
      <c r="AK9" s="165" t="str">
        <f>IFERROR(IF(AK8="","",VLOOKUP(AK8,LISTAS!$F$5:$G$1004,2,0)),"0")</f>
        <v>COLÉGIO SÃO MAURO</v>
      </c>
      <c r="AL9" s="63"/>
      <c r="AP9" s="13">
        <f>IF(AR9&lt;&gt;"",1+COUNTIF(AP8,"1"),"")</f>
        <v>2</v>
      </c>
      <c r="AQ9" s="14" t="str">
        <f t="shared" ref="AQ9:AQ39" si="1">IF(AP9&lt;&gt;"","LUGAR","")</f>
        <v>LUGAR</v>
      </c>
      <c r="AR9" s="15" t="str">
        <f>IF(S36&lt;&gt;"",IF(U36&lt;&gt;"",IF(S36=U36,"",IF(S36&lt;U36,R36,V36)),""),"")</f>
        <v>MARIA DOMENICA FURUKAVA MONTEIRO</v>
      </c>
      <c r="AS9" s="15" t="str">
        <f>IFERROR(IF(AR9="","",VLOOKUP(AR9,LISTAS!$F$5:$G$1004,2,0)),"0")</f>
        <v>COLÉGIO SÃO MAURO</v>
      </c>
      <c r="AT9" s="15">
        <f t="shared" si="0"/>
        <v>340</v>
      </c>
      <c r="AU9" s="15">
        <f t="shared" ref="AU9:AU38" si="2">IF(AP9="","",IF($AS$5="NÃO","",IF(AP9=1,400,IF(AP9=2,340,IF(AP9=3,300,IF(AP9=4,280,IF(AP9=5,270,IF(AP9=6,260,IF(AP9=7,250,IF(AP9=8,240,IF(AP9=9,200,IF(AP9=10,200,IF(AP9=11,200,IF(AP9=12,200,IF(AP9=13,200,IF(AP9=14,200,IF(AP9=15,200,IF(AP9=16,200,IF(AP9&gt;16,"","")))))))))))))))))))</f>
        <v>340</v>
      </c>
    </row>
    <row r="10" spans="2:49" ht="18" customHeight="1" x14ac:dyDescent="0.25">
      <c r="B10" s="16">
        <v>32</v>
      </c>
      <c r="C10" s="162" t="str">
        <f>IF('09F GRP'!G5&gt;=3,'09F GRP'!J424,IF('09F GRP'!G5=2,"",IF('09F GRP'!G5=1,"","")))</f>
        <v/>
      </c>
      <c r="D10" s="234">
        <v>0</v>
      </c>
      <c r="E10" s="52">
        <f>IF(D10&lt;&gt;"",D10,"")</f>
        <v>0</v>
      </c>
      <c r="F10" s="51" t="str">
        <f>IF(D10&lt;&gt;"",IF(C10="","",C10),"")</f>
        <v/>
      </c>
      <c r="G10" s="176" t="str">
        <f>VLOOKUP(G8,E8:F10,2,0)</f>
        <v/>
      </c>
      <c r="H10" s="11"/>
      <c r="I10" s="11"/>
      <c r="J10" s="11"/>
      <c r="K10" s="166"/>
      <c r="L10" s="11"/>
      <c r="M10" s="12"/>
      <c r="N10" s="12"/>
      <c r="O10" s="180"/>
      <c r="P10" s="12"/>
      <c r="Q10" s="8"/>
      <c r="R10" s="182"/>
      <c r="S10" s="8"/>
      <c r="T10" s="8"/>
      <c r="U10" s="8"/>
      <c r="V10" s="182"/>
      <c r="W10" s="8"/>
      <c r="X10" s="62"/>
      <c r="Y10" s="182"/>
      <c r="Z10" s="8"/>
      <c r="AA10" s="8"/>
      <c r="AB10" s="11"/>
      <c r="AC10" s="182"/>
      <c r="AD10" s="8"/>
      <c r="AE10" s="8"/>
      <c r="AF10" s="8"/>
      <c r="AG10" s="181">
        <f>IF(AJ10&lt;&gt;"",AJ10,"")</f>
        <v>0</v>
      </c>
      <c r="AH10" s="78" t="str">
        <f>IF(AJ10&lt;&gt;"",IF(AK10="","",AK10),"")</f>
        <v/>
      </c>
      <c r="AI10" s="55" t="str">
        <f>VLOOKUP(AI8,AG8:AH10,2,0)</f>
        <v/>
      </c>
      <c r="AJ10" s="234">
        <v>0</v>
      </c>
      <c r="AK10" s="162" t="str">
        <f>IF('09F GRP'!G5&gt;=3,'09F GRP'!J398,IF('09F GRP'!G5=2,"",IF('09F GRP'!G5=1,"","")))</f>
        <v/>
      </c>
      <c r="AL10" s="11">
        <v>30</v>
      </c>
      <c r="AP10" s="13">
        <f>IF(AR10&lt;&gt;"",1+COUNTIF(AP8:AP9,"1")+COUNTIF(AP8:AP9,"2"),"")</f>
        <v>3</v>
      </c>
      <c r="AQ10" s="14" t="str">
        <f t="shared" si="1"/>
        <v>LUGAR</v>
      </c>
      <c r="AR10" s="21" t="str">
        <f>IF(AR8&lt;&gt;"",IF(O35=AR8,O37,IF(O37=AR8,O35,IF(Y35=AR8,Y37,IF(Y37=AR8,Y35)))),"")</f>
        <v>LAURA PAIVA BRANCALHÃO</v>
      </c>
      <c r="AS10" s="15" t="str">
        <f>IFERROR(IF(AR10="","",VLOOKUP(AR10,LISTAS!$F$5:$G$1004,2,0)),"0")</f>
        <v>LICEU JARDIM</v>
      </c>
      <c r="AT10" s="15">
        <f t="shared" si="0"/>
        <v>300</v>
      </c>
      <c r="AU10" s="15">
        <f t="shared" si="2"/>
        <v>300</v>
      </c>
    </row>
    <row r="11" spans="2:49" ht="18" customHeight="1" thickBot="1" x14ac:dyDescent="0.3">
      <c r="B11" s="16"/>
      <c r="C11" s="165" t="str">
        <f>IF($C10="","",VLOOKUP($C10,LISTAS!$F$5:$G$964,2,0))</f>
        <v/>
      </c>
      <c r="D11" s="235"/>
      <c r="E11" s="128"/>
      <c r="F11" s="51"/>
      <c r="G11" s="176"/>
      <c r="H11" s="11"/>
      <c r="I11" s="11"/>
      <c r="J11" s="11"/>
      <c r="K11" s="166"/>
      <c r="L11" s="11"/>
      <c r="M11" s="12"/>
      <c r="N11" s="12"/>
      <c r="O11" s="180"/>
      <c r="P11" s="12"/>
      <c r="Q11" s="8"/>
      <c r="R11" s="182"/>
      <c r="S11" s="8"/>
      <c r="T11" s="8"/>
      <c r="U11" s="8"/>
      <c r="V11" s="182"/>
      <c r="W11" s="8"/>
      <c r="X11" s="62"/>
      <c r="Y11" s="182"/>
      <c r="Z11" s="8"/>
      <c r="AA11" s="8"/>
      <c r="AB11" s="11"/>
      <c r="AC11" s="182"/>
      <c r="AD11" s="8"/>
      <c r="AE11" s="8"/>
      <c r="AF11" s="8"/>
      <c r="AG11" s="181"/>
      <c r="AH11" s="78"/>
      <c r="AI11" s="123"/>
      <c r="AJ11" s="235"/>
      <c r="AK11" s="165" t="str">
        <f>IFERROR(IF(AK10="","",VLOOKUP(AK10,LISTAS!$F$5:$G$1004,2,0)),"0")</f>
        <v/>
      </c>
      <c r="AL11" s="11"/>
      <c r="AP11" s="13">
        <f>IF(AR11&lt;&gt;"",1+COUNTIF(AP8:AP10,"1")+COUNTIF(AP8:AP10,"2")+COUNTIF(AP8:AP10,"3"),"")</f>
        <v>4</v>
      </c>
      <c r="AQ11" s="14" t="str">
        <f t="shared" si="1"/>
        <v>LUGAR</v>
      </c>
      <c r="AR11" s="21" t="str">
        <f>IF(AR9&lt;&gt;"",IF(O35=AR9,O37,IF(O37=AR9,O35,IF(Y35=AR9,Y37,IF(Y37=AR9,Y35)))),"")</f>
        <v>LAIS FRANCELINO RODRIGUES</v>
      </c>
      <c r="AS11" s="15" t="str">
        <f>IFERROR(IF(AR11="","",VLOOKUP(AR11,LISTAS!$F$5:$G$1004,2,0)),"0")</f>
        <v>COLÉGIO ARBOS - UNIDADE SANTO ANDRÉ</v>
      </c>
      <c r="AT11" s="15">
        <f t="shared" si="0"/>
        <v>280</v>
      </c>
      <c r="AU11" s="15">
        <f t="shared" si="2"/>
        <v>280</v>
      </c>
    </row>
    <row r="12" spans="2:49" ht="18" customHeight="1" x14ac:dyDescent="0.25">
      <c r="B12" s="16"/>
      <c r="C12" s="166"/>
      <c r="D12" s="11"/>
      <c r="E12" s="11"/>
      <c r="F12" s="17"/>
      <c r="G12" s="162" t="str">
        <f>IF(D8&lt;&gt;"",IF(D10&lt;&gt;"",IF(D8=D10,"",IF(D8&gt;D10,C8,C10)),""),"")</f>
        <v>LAURA PAIVA BRANCALHÃO</v>
      </c>
      <c r="H12" s="234">
        <v>2</v>
      </c>
      <c r="I12" s="51">
        <f>IF(H12&lt;&gt;"",H12,"")</f>
        <v>2</v>
      </c>
      <c r="J12" s="51" t="str">
        <f>IF(H12&lt;&gt;"",IF(G12="","",G12),"")</f>
        <v>LAURA PAIVA BRANCALHÃO</v>
      </c>
      <c r="K12" s="176">
        <f>IF(I12&lt;&gt;"",IF(I14&lt;&gt;"",SMALL(I12:J14,1),""),"")</f>
        <v>0</v>
      </c>
      <c r="L12" s="11"/>
      <c r="M12" s="11"/>
      <c r="N12" s="11"/>
      <c r="O12" s="166"/>
      <c r="P12" s="11"/>
      <c r="Q12" s="8"/>
      <c r="R12" s="182"/>
      <c r="S12" s="8"/>
      <c r="T12" s="8"/>
      <c r="U12" s="8"/>
      <c r="V12" s="182"/>
      <c r="W12" s="8"/>
      <c r="X12" s="62"/>
      <c r="Y12" s="182"/>
      <c r="Z12" s="8"/>
      <c r="AA12" s="8"/>
      <c r="AB12" s="11"/>
      <c r="AC12" s="182"/>
      <c r="AD12" s="8"/>
      <c r="AE12" s="67"/>
      <c r="AF12" s="234">
        <v>2</v>
      </c>
      <c r="AG12" s="162" t="str">
        <f>IF(AJ8&lt;&gt;"",IF(AJ10&lt;&gt;"",IF(AJ8=AJ10,"",IF(AJ8&gt;AJ10,AK8,AK10)),""),"")</f>
        <v>MARIA DOMENICA FURUKAVA MONTEIRO</v>
      </c>
      <c r="AH12" s="65"/>
      <c r="AI12" s="8"/>
      <c r="AJ12" s="11"/>
      <c r="AK12" s="166"/>
      <c r="AL12" s="11"/>
      <c r="AP12" s="13">
        <f>IF(AR12&lt;&gt;"",1+COUNTIF(AP8:AP11,"1")+COUNTIF(AP8:AP11,"2")+COUNTIF(AP8:AP11,"3")+COUNTIF(AP8:AP11,"4"),"")</f>
        <v>5</v>
      </c>
      <c r="AQ12" s="14" t="str">
        <f t="shared" si="1"/>
        <v>LUGAR</v>
      </c>
      <c r="AR12" s="21" t="str">
        <f>IF(AR8&lt;&gt;"",IF(K20=AR8,K22,IF(K22=AR8,K20,IF(K50=AR8,K52,IF(K52=AR8,K50,IF(AC20=AR8,AC22,IF(AC22=AR8,AC20,IF(AC50=AR8,AC52,IF(AC52=AR8,AC50)))))))),"")</f>
        <v>CLARA ANTONITSCH VIDO</v>
      </c>
      <c r="AS12" s="15" t="str">
        <f>IFERROR(IF(AR12="","",VLOOKUP(AR12,LISTAS!$F$5:$G$1004,2,0)),"0")</f>
        <v>LICEU JARDIM</v>
      </c>
      <c r="AT12" s="15">
        <f t="shared" si="0"/>
        <v>270</v>
      </c>
      <c r="AU12" s="15">
        <f t="shared" si="2"/>
        <v>270</v>
      </c>
    </row>
    <row r="13" spans="2:49" ht="18" customHeight="1" thickBot="1" x14ac:dyDescent="0.3">
      <c r="B13" s="16"/>
      <c r="C13" s="166"/>
      <c r="D13" s="11"/>
      <c r="E13" s="11"/>
      <c r="F13" s="17"/>
      <c r="G13" s="165" t="str">
        <f>IFERROR(IF(G12="","",VLOOKUP(G12,LISTAS!$F$5:$G$1004,2,0)),"0")</f>
        <v>LICEU JARDIM</v>
      </c>
      <c r="H13" s="235"/>
      <c r="I13" s="51"/>
      <c r="J13" s="51"/>
      <c r="K13" s="176"/>
      <c r="L13" s="11"/>
      <c r="M13" s="11"/>
      <c r="N13" s="11"/>
      <c r="O13" s="166"/>
      <c r="P13" s="11"/>
      <c r="Q13" s="8"/>
      <c r="R13" s="182"/>
      <c r="S13" s="8"/>
      <c r="T13" s="8"/>
      <c r="U13" s="8"/>
      <c r="V13" s="182"/>
      <c r="W13" s="8"/>
      <c r="X13" s="62"/>
      <c r="Y13" s="182"/>
      <c r="Z13" s="8"/>
      <c r="AA13" s="8"/>
      <c r="AB13" s="11"/>
      <c r="AC13" s="182"/>
      <c r="AD13" s="8"/>
      <c r="AE13" s="67"/>
      <c r="AF13" s="235"/>
      <c r="AG13" s="165" t="str">
        <f>IFERROR(IF(AG12="","",VLOOKUP(AG12,LISTAS!$F$5:$G$1004,2,0)),"0")</f>
        <v>COLÉGIO SÃO MAURO</v>
      </c>
      <c r="AH13" s="65"/>
      <c r="AI13" s="8"/>
      <c r="AJ13" s="11"/>
      <c r="AK13" s="166"/>
      <c r="AL13" s="11"/>
      <c r="AP13" s="13" t="str">
        <f>IF(AR13&lt;&gt;"",1+COUNTIF(AP8:AP12,"1")+COUNTIF(AP8:AP12,"2")+COUNTIF(AP8:AP12,"3")+COUNTIF(AP8:AP12,"4")+COUNTIF(AP8:AP12,"5"),"")</f>
        <v/>
      </c>
      <c r="AQ13" s="14" t="str">
        <f t="shared" si="1"/>
        <v/>
      </c>
      <c r="AR13" s="21" t="str">
        <f>IF(AR9&lt;&gt;"",IF(K20=AR9,K22,IF(K22=AR9,K20,IF(K50=AR9,K52,IF(K52=AR9,K50,IF(AC20=AR9,AC22,IF(AC22=AR9,AC20,IF(AC50=AR9,AC52,IF(AC52=AR9,AC50)))))))),"")</f>
        <v/>
      </c>
      <c r="AS13" s="15" t="str">
        <f>IFERROR(IF(AR13="","",VLOOKUP(AR13,LISTAS!$F$5:$G$1004,2,0)),"0")</f>
        <v/>
      </c>
      <c r="AT13" s="15" t="str">
        <f t="shared" si="0"/>
        <v/>
      </c>
      <c r="AU13" s="15" t="str">
        <f t="shared" si="2"/>
        <v/>
      </c>
    </row>
    <row r="14" spans="2:49" ht="18" customHeight="1" x14ac:dyDescent="0.25">
      <c r="B14" s="16"/>
      <c r="C14" s="166"/>
      <c r="D14" s="11"/>
      <c r="E14" s="18"/>
      <c r="F14" s="19"/>
      <c r="G14" s="162" t="str">
        <f>IF(D16&lt;&gt;"",IF(D18&lt;&gt;"",IF(D16=D18,"",IF(D16&gt;D18,C16,C18)),""),"")</f>
        <v/>
      </c>
      <c r="H14" s="234">
        <v>0</v>
      </c>
      <c r="I14" s="52">
        <f>IF(H14&lt;&gt;"",H14,"")</f>
        <v>0</v>
      </c>
      <c r="J14" s="51" t="str">
        <f>IF(H14&lt;&gt;"",IF(G14="","",G14),"")</f>
        <v/>
      </c>
      <c r="K14" s="176" t="str">
        <f>VLOOKUP(K12,I12:J14,2,0)</f>
        <v/>
      </c>
      <c r="L14" s="11"/>
      <c r="M14" s="11"/>
      <c r="N14" s="11"/>
      <c r="O14" s="166"/>
      <c r="P14" s="11"/>
      <c r="Q14" s="8"/>
      <c r="R14" s="182"/>
      <c r="S14" s="8"/>
      <c r="T14" s="8"/>
      <c r="U14" s="8"/>
      <c r="V14" s="182"/>
      <c r="W14" s="60"/>
      <c r="X14" s="203"/>
      <c r="Y14" s="182"/>
      <c r="Z14" s="8"/>
      <c r="AA14" s="8"/>
      <c r="AB14" s="11"/>
      <c r="AC14" s="182"/>
      <c r="AD14" s="65"/>
      <c r="AE14" s="68"/>
      <c r="AF14" s="234">
        <v>0</v>
      </c>
      <c r="AG14" s="162" t="str">
        <f>IF(AJ16&lt;&gt;"",IF(AJ18&lt;&gt;"",IF(AJ16=AJ18,"",IF(AJ16&gt;AJ18,AK16,AK18)),""),"")</f>
        <v/>
      </c>
      <c r="AH14" s="66"/>
      <c r="AI14" s="8"/>
      <c r="AJ14" s="11"/>
      <c r="AK14" s="166"/>
      <c r="AL14" s="11"/>
      <c r="AP14" s="13" t="str">
        <f>IF(AR14&lt;&gt;"",1+COUNTIF(AP8:AP13,"1")+COUNTIF(AP8:AP13,"2")+COUNTIF(AP8:AP13,"3")+COUNTIF(AP8:AP13,"4")+COUNTIF(AP8:AP13,"5")+COUNTIF(AP8:AP13,"6"),"")</f>
        <v/>
      </c>
      <c r="AQ14" s="14" t="str">
        <f t="shared" si="1"/>
        <v/>
      </c>
      <c r="AR14" s="21" t="str">
        <f>IF(AR10&lt;&gt;"",IF(K20=AR10,K22,IF(K22=AR10,K20,IF(K50=AR10,K52,IF(K52=AR10,K50,IF(AC20=AR10,AC22,IF(AC22=AR10,AC20,IF(AC50=AR10,AC52,IF(AC52=AR10,AC50)))))))),"")</f>
        <v/>
      </c>
      <c r="AS14" s="15" t="str">
        <f>IFERROR(IF(AR14="","",VLOOKUP(AR14,LISTAS!$F$5:$G$1004,2,0)),"0")</f>
        <v/>
      </c>
      <c r="AT14" s="15" t="str">
        <f t="shared" si="0"/>
        <v/>
      </c>
      <c r="AU14" s="15" t="str">
        <f t="shared" si="2"/>
        <v/>
      </c>
    </row>
    <row r="15" spans="2:49" ht="18" customHeight="1" thickBot="1" x14ac:dyDescent="0.3">
      <c r="B15" s="16"/>
      <c r="C15" s="166"/>
      <c r="D15" s="11"/>
      <c r="E15" s="18"/>
      <c r="F15" s="11"/>
      <c r="G15" s="165" t="str">
        <f>IFERROR(IF(G14="","",VLOOKUP(G14,LISTAS!$F$5:$G$1004,2,0)),"0")</f>
        <v/>
      </c>
      <c r="H15" s="235"/>
      <c r="I15" s="54"/>
      <c r="J15" s="51"/>
      <c r="K15" s="176"/>
      <c r="L15" s="11"/>
      <c r="M15" s="11"/>
      <c r="N15" s="11"/>
      <c r="O15" s="166"/>
      <c r="P15" s="11"/>
      <c r="Q15" s="8"/>
      <c r="R15" s="182"/>
      <c r="S15" s="8"/>
      <c r="T15" s="8"/>
      <c r="U15" s="8"/>
      <c r="V15" s="182"/>
      <c r="W15" s="60"/>
      <c r="X15" s="203"/>
      <c r="Y15" s="182"/>
      <c r="Z15" s="8"/>
      <c r="AA15" s="8"/>
      <c r="AB15" s="11"/>
      <c r="AC15" s="182"/>
      <c r="AD15" s="65"/>
      <c r="AE15" s="8"/>
      <c r="AF15" s="235"/>
      <c r="AG15" s="165" t="str">
        <f>IFERROR(IF(AG14="","",VLOOKUP(AG14,LISTAS!$F$5:$G$1004,2,0)),"0")</f>
        <v/>
      </c>
      <c r="AH15" s="8"/>
      <c r="AI15" s="69"/>
      <c r="AJ15" s="11"/>
      <c r="AK15" s="166"/>
      <c r="AL15" s="11"/>
      <c r="AP15" s="13" t="str">
        <f>IF(AR15&lt;&gt;"",1+COUNTIF(AP8:AP14,"1")+COUNTIF(AP8:AP14,"2")+COUNTIF(AP8:AP14,"3")+COUNTIF(AP8:AP14,"4")+COUNTIF(AP8:AP14,"5")+COUNTIF(AP8:AP14,"6")+COUNTIF(AP8:AP14,"7"),"")</f>
        <v/>
      </c>
      <c r="AQ15" s="14" t="str">
        <f t="shared" si="1"/>
        <v/>
      </c>
      <c r="AR15" s="21" t="str">
        <f>IF(AR11&lt;&gt;"",IF(K20=AR11,K22,IF(K22=AR11,K20,IF(K50=AR11,K52,IF(K52=AR11,K50,IF(AC20=AR11,AC22,IF(AC22=AR11,AC20,IF(AC50=AR11,AC52,IF(AC52=AR11,AC50)))))))),"")</f>
        <v/>
      </c>
      <c r="AS15" s="15" t="str">
        <f>IFERROR(IF(AR15="","",VLOOKUP(AR15,LISTAS!$F$5:$G$1004,2,0)),"0")</f>
        <v/>
      </c>
      <c r="AT15" s="15" t="str">
        <f t="shared" si="0"/>
        <v/>
      </c>
      <c r="AU15" s="15" t="str">
        <f t="shared" si="2"/>
        <v/>
      </c>
    </row>
    <row r="16" spans="2:49" ht="18" customHeight="1" x14ac:dyDescent="0.25">
      <c r="B16" s="16">
        <v>17</v>
      </c>
      <c r="C16" s="162" t="str">
        <f>IF('09F GRP'!G5&gt;=3,'09F GRP'!J229,IF('09F GRP'!G5=2,"",IF('09F GRP'!G5=1,"","")))</f>
        <v/>
      </c>
      <c r="D16" s="234">
        <v>0</v>
      </c>
      <c r="E16" s="56">
        <f>IF(D16&lt;&gt;"",D16,"")</f>
        <v>0</v>
      </c>
      <c r="F16" s="51" t="str">
        <f>IF(D16&lt;&gt;"",IF(C16="","",C16),"")</f>
        <v/>
      </c>
      <c r="G16" s="176">
        <f>IF(E16&lt;&gt;"",IF(E18&lt;&gt;"",SMALL(E16:E18,1),""),"")</f>
        <v>0</v>
      </c>
      <c r="H16" s="11"/>
      <c r="I16" s="18"/>
      <c r="J16" s="11"/>
      <c r="K16" s="166"/>
      <c r="L16" s="11"/>
      <c r="M16" s="11"/>
      <c r="N16" s="11"/>
      <c r="O16" s="166"/>
      <c r="P16" s="11"/>
      <c r="Q16" s="8"/>
      <c r="R16" s="182"/>
      <c r="S16" s="8"/>
      <c r="T16" s="8"/>
      <c r="U16" s="8"/>
      <c r="V16" s="182"/>
      <c r="W16" s="8"/>
      <c r="X16" s="62"/>
      <c r="Y16" s="182"/>
      <c r="Z16" s="8"/>
      <c r="AA16" s="8"/>
      <c r="AB16" s="11"/>
      <c r="AC16" s="182"/>
      <c r="AD16" s="65"/>
      <c r="AE16" s="8"/>
      <c r="AF16" s="8"/>
      <c r="AG16" s="181">
        <f>IF(AJ16&lt;&gt;"",AJ16,"")</f>
        <v>0</v>
      </c>
      <c r="AH16" s="78" t="str">
        <f>IF(AJ16&lt;&gt;"",IF(AK16="","",AK16),"")</f>
        <v/>
      </c>
      <c r="AI16" s="53">
        <f>IF(AG16&lt;&gt;"",IF(AG18&lt;&gt;"",SMALL(AG16:AG18,1),""),"")</f>
        <v>0</v>
      </c>
      <c r="AJ16" s="234">
        <v>0</v>
      </c>
      <c r="AK16" s="162" t="str">
        <f>IF('09F GRP'!G5&gt;=3,'09F GRP'!J190,IF('09F GRP'!G5=2,"",IF('09F GRP'!G5=1,"","")))</f>
        <v/>
      </c>
      <c r="AL16" s="11">
        <v>14</v>
      </c>
      <c r="AP16" s="13" t="str">
        <f>IF(AR16&lt;&gt;"",1+COUNTIF(AP8:AP15,"1")+COUNTIF(AP8:AP15,"2")+COUNTIF(AP8:AP15,"3")+COUNTIF(AP8:AP15,"4")+COUNTIF(AP8:AP15,"5")+COUNTIF(AP8:AP15,"6")+COUNTIF(AP8:AP15,"7")+COUNTIF(AP8:AP15,"8"),"")</f>
        <v/>
      </c>
      <c r="AQ16" s="14" t="str">
        <f t="shared" si="1"/>
        <v/>
      </c>
      <c r="AR16" s="21" t="str">
        <f>IF(AR8&lt;&gt;"",IF(G12=AR8,G14,IF(G14=AR8,G12,IF(G28=AR8,G30,IF(G30=AR8,G28,IF(AG12=AR8,AG14,IF(AG14=AR8,AG12,IF(AG28=AR8,AG30,IF(AG30=AR8,AG28,IF(G42=AR8,G44,IF(G44=AR8,G42,IF(G58=AR8,G60,IF(G60=AR8,G58,IF(AG42=AR8,AG44,IF(AG44=AR8,AG42,IF(AG58=AR8,AG60,IF(AG60=AR8,AG58)))))))))))))))),"")</f>
        <v/>
      </c>
      <c r="AS16" s="15" t="str">
        <f>IFERROR(IF(AR16="","",VLOOKUP(AR16,LISTAS!$F$5:$G$1004,2,0)),"0")</f>
        <v/>
      </c>
      <c r="AT16" s="15" t="str">
        <f t="shared" si="0"/>
        <v/>
      </c>
      <c r="AU16" s="15" t="str">
        <f t="shared" si="2"/>
        <v/>
      </c>
    </row>
    <row r="17" spans="2:47" ht="18" customHeight="1" thickBot="1" x14ac:dyDescent="0.3">
      <c r="B17" s="16"/>
      <c r="C17" s="165" t="str">
        <f>IFERROR(IF(C16="","",VLOOKUP(C16,LISTAS!$F$5:$G$1004,2,0)),"0")</f>
        <v/>
      </c>
      <c r="D17" s="235"/>
      <c r="E17" s="57"/>
      <c r="F17" s="51"/>
      <c r="G17" s="176"/>
      <c r="H17" s="11"/>
      <c r="I17" s="18"/>
      <c r="J17" s="11"/>
      <c r="K17" s="166"/>
      <c r="L17" s="11"/>
      <c r="M17" s="11"/>
      <c r="N17" s="11"/>
      <c r="O17" s="166"/>
      <c r="P17" s="11"/>
      <c r="Q17" s="8"/>
      <c r="R17" s="182"/>
      <c r="S17" s="8"/>
      <c r="T17" s="8"/>
      <c r="U17" s="8"/>
      <c r="V17" s="182"/>
      <c r="W17" s="8"/>
      <c r="X17" s="62"/>
      <c r="Y17" s="182"/>
      <c r="Z17" s="8"/>
      <c r="AA17" s="8"/>
      <c r="AB17" s="11"/>
      <c r="AC17" s="182"/>
      <c r="AD17" s="65"/>
      <c r="AE17" s="8"/>
      <c r="AF17" s="8"/>
      <c r="AG17" s="181"/>
      <c r="AH17" s="78"/>
      <c r="AI17" s="124"/>
      <c r="AJ17" s="235"/>
      <c r="AK17" s="165" t="str">
        <f>IFERROR(IF(AK16="","",VLOOKUP(AK16,LISTAS!$F$5:$G$1004,2,0)),"0")</f>
        <v/>
      </c>
      <c r="AL17" s="11"/>
      <c r="AP17" s="13" t="str">
        <f>IF(AR17&lt;&gt;"",1+COUNTIF(AP8:AP16,"1")+COUNTIF(AP8:AP16,"2")+COUNTIF(AP8:AP16,"3")+COUNTIF(AP8:AP16,"4")+COUNTIF(AP8:AP16,"5")+COUNTIF(AP8:AP16,"6")+COUNTIF(AP8:AP16,"7")+COUNTIF(AP8:AP16,"8")+COUNTIF(AP8:AP16,"9"),"")</f>
        <v/>
      </c>
      <c r="AQ17" s="14" t="str">
        <f t="shared" si="1"/>
        <v/>
      </c>
      <c r="AR17" s="21" t="str">
        <f>IF(AR9&lt;&gt;"",IF(G12=AR9,G14,IF(G14=AR9,G12,IF(G28=AR9,G30,IF(G30=AR9,G28,IF(AG12=AR9,AG14,IF(AG14=AR9,AG12,IF(AG28=AR9,AG30,IF(AG30=AR9,AG28,IF(G42=AR9,G44,IF(G44=AR9,G42,IF(G58=AR9,G60,IF(G60=AR9,G58,IF(AG42=AR9,AG44,IF(AG44=AR9,AG42,IF(AG58=AR9,AG60,IF(AG60=AR9,AG58)))))))))))))))),"")</f>
        <v/>
      </c>
      <c r="AS17" s="15" t="str">
        <f>IFERROR(IF(AR17="","",VLOOKUP(AR17,LISTAS!$F$5:$G$1004,2,0)),"0")</f>
        <v/>
      </c>
      <c r="AT17" s="15" t="str">
        <f t="shared" si="0"/>
        <v/>
      </c>
      <c r="AU17" s="15" t="str">
        <f t="shared" si="2"/>
        <v/>
      </c>
    </row>
    <row r="18" spans="2:47" ht="18" customHeight="1" x14ac:dyDescent="0.25">
      <c r="B18" s="16">
        <v>16</v>
      </c>
      <c r="C18" s="162" t="str">
        <f>IF('09F GRP'!G5&gt;=3,'09F GRP'!J216,IF('09F GRP'!G5=2,"",IF('09F GRP'!G5=1,"","")))</f>
        <v/>
      </c>
      <c r="D18" s="234">
        <v>0</v>
      </c>
      <c r="E18" s="57">
        <f>IF(D18&lt;&gt;"",D18,"")</f>
        <v>0</v>
      </c>
      <c r="F18" s="51" t="str">
        <f>IF(D18&lt;&gt;"",IF(C18="","",C18),"")</f>
        <v/>
      </c>
      <c r="G18" s="176" t="str">
        <f>VLOOKUP(G16,E16:F18,2,0)</f>
        <v/>
      </c>
      <c r="H18" s="11"/>
      <c r="I18" s="18"/>
      <c r="J18" s="11"/>
      <c r="K18" s="166"/>
      <c r="L18" s="11"/>
      <c r="M18" s="11"/>
      <c r="N18" s="11"/>
      <c r="O18" s="166"/>
      <c r="P18" s="11"/>
      <c r="Q18" s="8"/>
      <c r="R18" s="182"/>
      <c r="S18" s="8"/>
      <c r="T18" s="8"/>
      <c r="U18" s="8"/>
      <c r="V18" s="182"/>
      <c r="W18" s="8"/>
      <c r="X18" s="62"/>
      <c r="Y18" s="182"/>
      <c r="Z18" s="8"/>
      <c r="AA18" s="8"/>
      <c r="AB18" s="11"/>
      <c r="AC18" s="182"/>
      <c r="AD18" s="65"/>
      <c r="AE18" s="8"/>
      <c r="AF18" s="8"/>
      <c r="AG18" s="181">
        <f>IF(AJ18&lt;&gt;"",AJ18,"")</f>
        <v>0</v>
      </c>
      <c r="AH18" s="78" t="str">
        <f>IF(AJ18&lt;&gt;"",IF(AK18="","",AK18),"")</f>
        <v/>
      </c>
      <c r="AI18" s="76" t="str">
        <f>VLOOKUP(AI16,AG16:AH18,2,0)</f>
        <v/>
      </c>
      <c r="AJ18" s="234">
        <v>0</v>
      </c>
      <c r="AK18" s="162" t="str">
        <f>IF('09F GRP'!G5&gt;=3,'09F GRP'!J255,IF('09F GRP'!G5=2,"",IF('09F GRP'!G5=1,"","")))</f>
        <v/>
      </c>
      <c r="AL18" s="11">
        <v>19</v>
      </c>
      <c r="AP18" s="13" t="str">
        <f>IF(AR18&lt;&gt;"",1+COUNTIF(AP8:AP17,"1")+COUNTIF(AP8:AP17,"2")+COUNTIF(AP8:AP17,"3")+COUNTIF(AP8:AP17,"4")+COUNTIF(AP8:AP17,"5")+COUNTIF(AP8:AP17,"6")+COUNTIF(AP8:AP17,"7")+COUNTIF(AP8:AP17,"8")+COUNTIF(AP8:AP17,"9")+COUNTIF(AP8:AP17,"10"),"")</f>
        <v/>
      </c>
      <c r="AQ18" s="14" t="str">
        <f t="shared" si="1"/>
        <v/>
      </c>
      <c r="AR18" s="21" t="str">
        <f>IF(AR10&lt;&gt;"",IF(G12=AR10,G14,IF(G14=AR10,G12,IF(G28=AR10,G30,IF(G30=AR10,G28,IF(AG12=AR10,AG14,IF(AG14=AR10,AG12,IF(AG28=AR10,AG30,IF(AG30=AR10,AG28,IF(G42=AR10,G44,IF(G44=AR10,G42,IF(G58=AR10,G60,IF(G60=AR10,G58,IF(AG42=AR10,AG44,IF(AG44=AR10,AG42,IF(AG58=AR10,AG60,IF(AG60=AR10,AG58)))))))))))))))),"")</f>
        <v/>
      </c>
      <c r="AS18" s="15" t="str">
        <f>IFERROR(IF(AR18="","",VLOOKUP(AR18,LISTAS!$F$5:$G$1004,2,0)),"0")</f>
        <v/>
      </c>
      <c r="AT18" s="15" t="str">
        <f t="shared" si="0"/>
        <v/>
      </c>
      <c r="AU18" s="15" t="str">
        <f t="shared" si="2"/>
        <v/>
      </c>
    </row>
    <row r="19" spans="2:47" ht="18" customHeight="1" thickBot="1" x14ac:dyDescent="0.3">
      <c r="B19" s="16"/>
      <c r="C19" s="165" t="str">
        <f>IFERROR(IF(C18="","",VLOOKUP(C18,LISTAS!$F$5:$G$1004,2,0)),"0")</f>
        <v/>
      </c>
      <c r="D19" s="235"/>
      <c r="E19" s="51"/>
      <c r="F19" s="51"/>
      <c r="G19" s="176"/>
      <c r="H19" s="11"/>
      <c r="I19" s="18"/>
      <c r="J19" s="11"/>
      <c r="K19" s="166"/>
      <c r="L19" s="11"/>
      <c r="M19" s="11"/>
      <c r="N19" s="11"/>
      <c r="O19" s="166"/>
      <c r="P19" s="11"/>
      <c r="Q19" s="8"/>
      <c r="R19" s="182"/>
      <c r="S19" s="8"/>
      <c r="T19" s="8"/>
      <c r="U19" s="8"/>
      <c r="V19" s="182"/>
      <c r="W19" s="8"/>
      <c r="X19" s="62"/>
      <c r="Y19" s="182"/>
      <c r="Z19" s="8"/>
      <c r="AA19" s="8"/>
      <c r="AB19" s="11"/>
      <c r="AC19" s="182"/>
      <c r="AD19" s="65"/>
      <c r="AE19" s="8"/>
      <c r="AF19" s="8"/>
      <c r="AG19" s="181"/>
      <c r="AH19" s="78"/>
      <c r="AI19" s="51"/>
      <c r="AJ19" s="235"/>
      <c r="AK19" s="165" t="str">
        <f>IFERROR(IF(AK18="","",VLOOKUP(AK18,LISTAS!$F$5:$G$1004,2,0)),"0")</f>
        <v/>
      </c>
      <c r="AL19" s="11"/>
      <c r="AP19" s="13" t="str">
        <f>IF(AR19&lt;&gt;"",1+COUNTIF(AP8:AP18,"1")+COUNTIF(AP8:AP18,"2")+COUNTIF(AP8:AP18,"3")+COUNTIF(AP8:AP18,"4")+COUNTIF(AP8:AP18,"5")+COUNTIF(AP8:AP18,"6")+COUNTIF(AP8:AP18,"7")+COUNTIF(AP8:AP18,"8")+COUNTIF(AP8:AP18,"9")+COUNTIF(AP8:AP18,"10")+COUNTIF(AP8:AP18,"11"),"")</f>
        <v/>
      </c>
      <c r="AQ19" s="14" t="str">
        <f t="shared" si="1"/>
        <v/>
      </c>
      <c r="AR19" s="21" t="str">
        <f>IF(AR11&lt;&gt;"",IF(G12=AR11,G14,IF(G14=AR11,G12,IF(G28=AR11,G30,IF(G30=AR11,G28,IF(AG12=AR11,AG14,IF(AG14=AR11,AG12,IF(AG28=AR11,AG30,IF(AG30=AR11,AG28,IF(G42=AR11,G44,IF(G44=AR11,G42,IF(G58=AR11,G60,IF(G60=AR11,G58,IF(AG42=AR11,AG44,IF(AG44=AR11,AG42,IF(AG58=AR11,AG60,IF(AG60=AR11,AG58)))))))))))))))),"")</f>
        <v/>
      </c>
      <c r="AS19" s="15" t="str">
        <f>IFERROR(IF(AR19="","",VLOOKUP(AR19,LISTAS!$F$5:$G$1004,2,0)),"0")</f>
        <v/>
      </c>
      <c r="AT19" s="15" t="str">
        <f t="shared" si="0"/>
        <v/>
      </c>
      <c r="AU19" s="15" t="str">
        <f t="shared" si="2"/>
        <v/>
      </c>
    </row>
    <row r="20" spans="2:47" ht="18" customHeight="1" x14ac:dyDescent="0.25">
      <c r="B20" s="16"/>
      <c r="C20" s="166"/>
      <c r="D20" s="11"/>
      <c r="E20" s="51"/>
      <c r="F20" s="51"/>
      <c r="G20" s="176"/>
      <c r="H20" s="11"/>
      <c r="I20" s="18"/>
      <c r="J20" s="11"/>
      <c r="K20" s="162" t="str">
        <f>IF(H12&lt;&gt;"",IF(H14&lt;&gt;"",IF(H12=H14,"",IF(H12&gt;H14,G12,G14)),""),"")</f>
        <v>LAURA PAIVA BRANCALHÃO</v>
      </c>
      <c r="L20" s="234">
        <v>2</v>
      </c>
      <c r="M20" s="51">
        <f>IF(L20&lt;&gt;"",L20,"")</f>
        <v>2</v>
      </c>
      <c r="N20" s="51" t="str">
        <f>IF(L20&lt;&gt;"",IF(K20="","",K20),"")</f>
        <v>LAURA PAIVA BRANCALHÃO</v>
      </c>
      <c r="O20" s="176">
        <f>IF(M20&lt;&gt;"",IF(M22&lt;&gt;"",SMALL(M20:N22,1),""),"")</f>
        <v>0</v>
      </c>
      <c r="P20" s="11"/>
      <c r="Q20" s="8"/>
      <c r="R20" s="202"/>
      <c r="S20" s="202"/>
      <c r="T20" s="202" t="s">
        <v>21</v>
      </c>
      <c r="U20" s="202"/>
      <c r="V20" s="202"/>
      <c r="W20" s="8"/>
      <c r="X20" s="62"/>
      <c r="Y20" s="182"/>
      <c r="Z20" s="8"/>
      <c r="AA20" s="8"/>
      <c r="AB20" s="234">
        <v>2</v>
      </c>
      <c r="AC20" s="162" t="str">
        <f>IF(AF12&lt;&gt;"",IF(AF14&lt;&gt;"",IF(AF12=AF14,"",IF(AF12&gt;AF14,AG12,AG14)),""),"")</f>
        <v>MARIA DOMENICA FURUKAVA MONTEIRO</v>
      </c>
      <c r="AD20" s="112"/>
      <c r="AE20" s="8"/>
      <c r="AF20" s="8"/>
      <c r="AG20" s="182"/>
      <c r="AH20" s="8"/>
      <c r="AI20" s="8"/>
      <c r="AJ20" s="11"/>
      <c r="AK20" s="166"/>
      <c r="AL20" s="11"/>
      <c r="AM20" s="23"/>
      <c r="AN20" s="23"/>
      <c r="AO20" s="23"/>
      <c r="AP20" s="13" t="str">
        <f>IF(AR20&lt;&gt;"",1+COUNTIF(AP8:AP19,"1")+COUNTIF(AP8:AP19,"2")+COUNTIF(AP8:AP19,"3")+COUNTIF(AP8:AP19,"4")+COUNTIF(AP8:AP19,"5")+COUNTIF(AP8:AP19,"6")+COUNTIF(AP8:AP19,"7")+COUNTIF(AP8:AP19,"8")+COUNTIF(AP8:AP19,"9")+COUNTIF(AP8:AP19,"10")+COUNTIF(AP8:AP19,"11")+COUNTIF(AP8:AP19,"12"),"")</f>
        <v/>
      </c>
      <c r="AQ20" s="14" t="str">
        <f t="shared" si="1"/>
        <v/>
      </c>
      <c r="AR20" s="21" t="str">
        <f>IF(AR12&lt;&gt;"",IF(G12=AR12,G14,IF(G14=AR12,G12,IF(G28=AR12,G30,IF(G30=AR12,G28,IF(AG12=AR12,AG14,IF(AG14=AR12,AG12,IF(AG28=AR12,AG30,IF(AG30=AR12,AG28,IF(G42=AR12,G44,IF(G44=AR12,G42,IF(G58=AR12,G60,IF(G60=AR12,G58,IF(AG42=AR12,AG44,IF(AG44=AR12,AG42,IF(AG58=AR12,AG60,IF(AG60=AR12,AG58)))))))))))))))),"")</f>
        <v/>
      </c>
      <c r="AS20" s="15" t="str">
        <f>IFERROR(IF(AR20="","",VLOOKUP(AR20,LISTAS!$F$5:$G$1004,2,0)),"0")</f>
        <v/>
      </c>
      <c r="AT20" s="15" t="str">
        <f t="shared" si="0"/>
        <v/>
      </c>
      <c r="AU20" s="15" t="str">
        <f t="shared" si="2"/>
        <v/>
      </c>
    </row>
    <row r="21" spans="2:47" ht="18" customHeight="1" thickBot="1" x14ac:dyDescent="0.3">
      <c r="B21" s="16"/>
      <c r="C21" s="166"/>
      <c r="D21" s="11"/>
      <c r="E21" s="11"/>
      <c r="F21" s="11"/>
      <c r="G21" s="166"/>
      <c r="H21" s="11"/>
      <c r="I21" s="18"/>
      <c r="J21" s="11"/>
      <c r="K21" s="165" t="str">
        <f>IFERROR(IF(K20="","",VLOOKUP(K20,LISTAS!$F$5:$G$1004,2,0)),"0")</f>
        <v>LICEU JARDIM</v>
      </c>
      <c r="L21" s="235"/>
      <c r="M21" s="51"/>
      <c r="N21" s="51"/>
      <c r="O21" s="176"/>
      <c r="P21" s="11"/>
      <c r="Q21" s="8"/>
      <c r="R21" s="202"/>
      <c r="S21" s="202"/>
      <c r="T21" s="202" t="s">
        <v>19</v>
      </c>
      <c r="U21" s="202"/>
      <c r="V21" s="202"/>
      <c r="W21" s="8"/>
      <c r="X21" s="62"/>
      <c r="Y21" s="182"/>
      <c r="Z21" s="8"/>
      <c r="AA21" s="8"/>
      <c r="AB21" s="235"/>
      <c r="AC21" s="165" t="str">
        <f>IFERROR(IF(AC20="","",VLOOKUP(AC20,LISTAS!$F$5:$G$1004,2,0)),"0")</f>
        <v>COLÉGIO SÃO MAURO</v>
      </c>
      <c r="AD21" s="8"/>
      <c r="AE21" s="69"/>
      <c r="AF21" s="8"/>
      <c r="AG21" s="182"/>
      <c r="AH21" s="8"/>
      <c r="AI21" s="8"/>
      <c r="AJ21" s="11"/>
      <c r="AK21" s="166"/>
      <c r="AL21" s="11"/>
      <c r="AM21" s="23"/>
      <c r="AN21" s="23"/>
      <c r="AO21" s="23"/>
      <c r="AP21" s="13" t="str">
        <f>IF(AR21&lt;&gt;"",1+COUNTIF(AP8:AP20,"1")+COUNTIF(AP8:AP20,"2")+COUNTIF(AP8:AP20,"3")+COUNTIF(AP8:AP20,"4")+COUNTIF(AP8:AP20,"5")+COUNTIF(AP8:AP20,"6")+COUNTIF(AP8:AP20,"7")+COUNTIF(AP8:AP20,"8")+COUNTIF(AP8:AP20,"9")+COUNTIF(AP8:AP20,"10")+COUNTIF(AP8:AP20,"11")+COUNTIF(AP8:AP20,"12")+COUNTIF(AP8:AP20,"13"),"")</f>
        <v/>
      </c>
      <c r="AQ21" s="14" t="str">
        <f t="shared" si="1"/>
        <v/>
      </c>
      <c r="AR21" s="21" t="str">
        <f>IF(AR13&lt;&gt;"",IF(G12=AR13,G14,IF(G14=AR13,G12,IF(G28=AR13,G30,IF(G30=AR13,G28,IF(AG12=AR13,AG14,IF(AG14=AR13,AG12,IF(AG28=AR13,AG30,IF(AG30=AR13,AG28,IF(G42=AR13,G44,IF(G44=AR13,G42,IF(G58=AR13,G60,IF(G60=AR13,G58,IF(AG42=AR13,AG44,IF(AG44=AR13,AG42,IF(AG58=AR13,AG60,IF(AG60=AR13,AG58)))))))))))))))),"")</f>
        <v/>
      </c>
      <c r="AS21" s="15" t="str">
        <f>IFERROR(IF(AR21="","",VLOOKUP(AR21,LISTAS!$F$5:$G$1004,2,0)),"0")</f>
        <v/>
      </c>
      <c r="AT21" s="15" t="str">
        <f t="shared" si="0"/>
        <v/>
      </c>
      <c r="AU21" s="15" t="str">
        <f t="shared" si="2"/>
        <v/>
      </c>
    </row>
    <row r="22" spans="2:47" ht="18" customHeight="1" x14ac:dyDescent="0.25">
      <c r="B22" s="16"/>
      <c r="C22" s="166"/>
      <c r="D22" s="11"/>
      <c r="E22" s="11"/>
      <c r="F22" s="11"/>
      <c r="G22" s="166"/>
      <c r="H22" s="11"/>
      <c r="I22" s="18"/>
      <c r="J22" s="19"/>
      <c r="K22" s="162" t="str">
        <f>IF(H28&lt;&gt;"",IF(H30&lt;&gt;"",IF(H28=H30,"",IF(H28&gt;H30,G28,G30)),""),"")</f>
        <v/>
      </c>
      <c r="L22" s="234">
        <v>0</v>
      </c>
      <c r="M22" s="52">
        <f>IF(L22&lt;&gt;"",L22,"")</f>
        <v>0</v>
      </c>
      <c r="N22" s="51" t="str">
        <f>IF(L22&lt;&gt;"",IF(K22="","",K22),"")</f>
        <v/>
      </c>
      <c r="O22" s="176" t="str">
        <f>VLOOKUP(O20,M20:N22,2,0)</f>
        <v/>
      </c>
      <c r="P22" s="11"/>
      <c r="Q22" s="8"/>
      <c r="R22" s="182"/>
      <c r="S22" s="8"/>
      <c r="T22" s="8"/>
      <c r="U22" s="8"/>
      <c r="V22" s="182"/>
      <c r="W22" s="8"/>
      <c r="X22" s="62"/>
      <c r="Y22" s="182"/>
      <c r="Z22" s="65"/>
      <c r="AA22" s="68"/>
      <c r="AB22" s="234">
        <v>0</v>
      </c>
      <c r="AC22" s="162" t="str">
        <f>IF(AF28&lt;&gt;"",IF(AF30&lt;&gt;"",IF(AF28=AF30,"",IF(AF28&gt;AF30,AG28,AG30)),""),"")</f>
        <v/>
      </c>
      <c r="AD22" s="8"/>
      <c r="AE22" s="69"/>
      <c r="AF22" s="8"/>
      <c r="AG22" s="182"/>
      <c r="AH22" s="8"/>
      <c r="AI22" s="8"/>
      <c r="AJ22" s="11"/>
      <c r="AK22" s="166"/>
      <c r="AL22" s="11"/>
      <c r="AP22" s="13" t="str">
        <f>IF(AR22&lt;&gt;"",1+COUNTIF(AP8:AP21,"1")+COUNTIF(AP8:AP21,"2")+COUNTIF(AP8:AP21,"3")+COUNTIF(AP8:AP21,"4")+COUNTIF(AP8:AP21,"5")+COUNTIF(AP8:AP21,"6")+COUNTIF(AP8:AP21,"7")+COUNTIF(AP8:AP21,"8")+COUNTIF(AP8:AP21,"9")+COUNTIF(AP8:AP21,"10")+COUNTIF(AP8:AP21,"11")+COUNTIF(AP8:AP21,"12")+COUNTIF(AP8:AP21,"13")+COUNTIF(AP8:AP21,"14"),"")</f>
        <v/>
      </c>
      <c r="AQ22" s="14" t="str">
        <f t="shared" si="1"/>
        <v/>
      </c>
      <c r="AR22" s="21" t="str">
        <f>IF(AR14&lt;&gt;"",IF(G12=AR14,G14,IF(G14=AR14,G12,IF(G28=AR14,G30,IF(G30=AR14,G28,IF(AG12=AR14,AG14,IF(AG14=AR14,AG12,IF(AG28=AR14,AG30,IF(AG30=AR14,AG28,IF(G42=AR14,G44,IF(G44=AR14,G42,IF(G58=AR14,G60,IF(G60=AR14,G58,IF(AG42=AR14,AG44,IF(AG44=AR14,AG42,IF(AG58=AR14,AG60,IF(AG60=AR14,AG58)))))))))))))))),"")</f>
        <v/>
      </c>
      <c r="AS22" s="15" t="str">
        <f>IFERROR(IF(AR22="","",VLOOKUP(AR22,LISTAS!$F$5:$G$1004,2,0)),"0")</f>
        <v/>
      </c>
      <c r="AT22" s="15" t="str">
        <f t="shared" si="0"/>
        <v/>
      </c>
      <c r="AU22" s="15" t="str">
        <f t="shared" si="2"/>
        <v/>
      </c>
    </row>
    <row r="23" spans="2:47" ht="18" customHeight="1" thickBot="1" x14ac:dyDescent="0.3">
      <c r="B23" s="16"/>
      <c r="C23" s="166"/>
      <c r="D23" s="11"/>
      <c r="E23" s="11"/>
      <c r="F23" s="11"/>
      <c r="G23" s="166"/>
      <c r="H23" s="11"/>
      <c r="I23" s="18"/>
      <c r="J23" s="11"/>
      <c r="K23" s="165" t="str">
        <f>IFERROR(IF(K22="","",VLOOKUP(K22,LISTAS!$F$5:$G$1004,2,0)),"0")</f>
        <v/>
      </c>
      <c r="L23" s="235"/>
      <c r="M23" s="54"/>
      <c r="N23" s="51"/>
      <c r="O23" s="176"/>
      <c r="P23" s="11"/>
      <c r="Q23" s="8"/>
      <c r="R23" s="182"/>
      <c r="S23" s="8"/>
      <c r="T23" s="8"/>
      <c r="U23" s="8"/>
      <c r="V23" s="182"/>
      <c r="W23" s="8"/>
      <c r="X23" s="62"/>
      <c r="Y23" s="182"/>
      <c r="Z23" s="65"/>
      <c r="AA23" s="8"/>
      <c r="AB23" s="235"/>
      <c r="AC23" s="165" t="str">
        <f>IFERROR(IF(AC22="","",VLOOKUP(AC22,LISTAS!$F$5:$G$1004,2,0)),"0")</f>
        <v/>
      </c>
      <c r="AD23" s="8"/>
      <c r="AE23" s="69"/>
      <c r="AF23" s="8"/>
      <c r="AG23" s="182"/>
      <c r="AH23" s="8"/>
      <c r="AI23" s="8"/>
      <c r="AJ23" s="11"/>
      <c r="AK23" s="166"/>
      <c r="AL23" s="11"/>
      <c r="AP23" s="13" t="str">
        <f>IF(AR23&lt;&gt;"",1+COUNTIF(AP8:AP22,"1")+COUNTIF(AP8:AP22,"2")+COUNTIF(AP8:AP22,"3")+COUNTIF(AP8:AP22,"4")+COUNTIF(AP8:AP22,"5")+COUNTIF(AP8:AP22,"6")+COUNTIF(AP8:AP22,"7")+COUNTIF(AP8:AP22,"8")+COUNTIF(AP8:AP22,"9")+COUNTIF(AP8:AP22,"10")+COUNTIF(AP8:AP22,"11")+COUNTIF(AP8:AP22,"12")+COUNTIF(AP8:AP22,"13")+COUNTIF(AP8:AP22,"14")+COUNTIF(AP8:AP22,"15"),"")</f>
        <v/>
      </c>
      <c r="AQ23" s="14" t="str">
        <f t="shared" si="1"/>
        <v/>
      </c>
      <c r="AR23" s="21" t="str">
        <f>IF(AR15&lt;&gt;"",IF(G12=AR15,G14,IF(G14=AR15,G12,IF(G28=AR15,G30,IF(G30=AR15,G28,IF(AG12=AR15,AG14,IF(AG14=AR15,AG12,IF(AG28=AR15,AG30,IF(AG30=AR15,AG28,IF(G42=AR15,G44,IF(G44=AR15,G42,IF(G58=AR15,G60,IF(G60=AR15,G58,IF(AG42=AR15,AG44,IF(AG44=AR15,AG42,IF(AG58=AR15,AG60,IF(AG60=AR15,AG58)))))))))))))))),"")</f>
        <v/>
      </c>
      <c r="AS23" s="15" t="str">
        <f>IFERROR(IF(AR23="","",VLOOKUP(AR23,LISTAS!$F$5:$G$1004,2,0)),"0")</f>
        <v/>
      </c>
      <c r="AT23" s="15" t="str">
        <f t="shared" si="0"/>
        <v/>
      </c>
      <c r="AU23" s="15" t="str">
        <f t="shared" si="2"/>
        <v/>
      </c>
    </row>
    <row r="24" spans="2:47" ht="18" customHeight="1" x14ac:dyDescent="0.25">
      <c r="B24" s="16">
        <v>9</v>
      </c>
      <c r="C24" s="162" t="str">
        <f>IF('09F GRP'!G5&gt;=3,'09F GRP'!J125,IF('09F GRP'!G5=2,"",IF('09F GRP'!G5=1,"","")))</f>
        <v/>
      </c>
      <c r="D24" s="234">
        <v>0</v>
      </c>
      <c r="E24" s="51">
        <f>IF(D24&lt;&gt;"",D24,"")</f>
        <v>0</v>
      </c>
      <c r="F24" s="51" t="str">
        <f>IF(D24&lt;&gt;"",IF(C24="","",C24),"")</f>
        <v/>
      </c>
      <c r="G24" s="176">
        <f>IF(E24&lt;&gt;"",IF(E26&lt;&gt;"",SMALL(E24:E26,1),""),"")</f>
        <v>0</v>
      </c>
      <c r="H24" s="11"/>
      <c r="I24" s="18"/>
      <c r="J24" s="11"/>
      <c r="K24" s="166"/>
      <c r="L24" s="11"/>
      <c r="M24" s="54"/>
      <c r="N24" s="51"/>
      <c r="O24" s="176"/>
      <c r="P24" s="11"/>
      <c r="Q24" s="8"/>
      <c r="R24" s="182"/>
      <c r="S24" s="8"/>
      <c r="T24" s="8"/>
      <c r="U24" s="8"/>
      <c r="V24" s="182"/>
      <c r="W24" s="8"/>
      <c r="X24" s="62"/>
      <c r="Y24" s="182"/>
      <c r="Z24" s="65"/>
      <c r="AA24" s="8"/>
      <c r="AB24" s="11"/>
      <c r="AC24" s="182"/>
      <c r="AD24" s="8"/>
      <c r="AE24" s="69"/>
      <c r="AF24" s="8"/>
      <c r="AG24" s="181">
        <f>IF(AJ24&lt;&gt;"",AJ24,"")</f>
        <v>0</v>
      </c>
      <c r="AH24" s="78" t="str">
        <f>IF(AJ24&lt;&gt;"",IF(AK24="","",AK24),"")</f>
        <v/>
      </c>
      <c r="AI24" s="51">
        <f>IF(AG24&lt;&gt;"",IF(AG26&lt;&gt;"",SMALL(AG24:AG26,1),""),"")</f>
        <v>0</v>
      </c>
      <c r="AJ24" s="234">
        <v>0</v>
      </c>
      <c r="AK24" s="162" t="str">
        <f>IF('09F GRP'!G5&gt;=3,'09F GRP'!J294,IF('09F GRP'!G5=2,"",IF('09F GRP'!G5=1,"","")))</f>
        <v/>
      </c>
      <c r="AL24" s="11">
        <v>22</v>
      </c>
      <c r="AP24" s="13" t="str">
        <f>IF(AR24&lt;&gt;"",1+COUNTIF(AP8:AP23,"1")+COUNTIF(AP8:AP23,"2")+COUNTIF(AP8:AP23,"3")+COUNTIF(AP8:AP23,"4")+COUNTIF(AP8:AP23,"5")+COUNTIF(AP8:AP23,"6")+COUNTIF(AP8:AP23,"7")+COUNTIF(AP8:AP23,"8")+COUNTIF(AP8:AP23,"9")+COUNTIF(AP8:AP23,"10")+COUNTIF(AP8:AP23,"11")+COUNTIF(AP8:AP23,"12")+COUNTIF(AP8:AP23,"13")+COUNTIF(AP8:AP23,"14")+COUNTIF(AP8:AP23,"15")+COUNTIF(AP8:AP23,"16"),"")</f>
        <v/>
      </c>
      <c r="AQ24" s="14" t="str">
        <f t="shared" si="1"/>
        <v/>
      </c>
      <c r="AR24" s="21" t="str">
        <f>IF(AR8&lt;&gt;"",IF(C8=AR8,G10,IF(C10=AR8,G10,IF(C16=AR8,G18,IF(C18=AR8,G18,IF(C38=AR8,G40,IF(C40=AR8,G40,IF(C46=AR8,G48,IF(C48=AR8,G48,IF(C24=AR8,G26,IF(C26=AR8,G26,IF(C32=AR8,G34,IF(C34=AR8,G34,IF(C54=AR8,G56,IF(C56=AR8,G56,IF(C62=AR8,G64,IF(C64=AR8,G64,IF(AK8=AR8,AI10,IF(AK10=AR8,AI10,IF(AK16=AR8,AI18,IF(AK18=AR8,AI18,IF(AK38=AR8,AI40,IF(AK40=AR8,AI40,IF(AK46=AR8,AI48,IF(AK48=AR8,AI48,IF(AK24=AR8,AI26,IF(AK26=AR8,AI26,IF(AK32=AR8,AI34,IF(AK34=AR8,AI34,IF(AK54=AR8,AI56,IF(AK56=AR8,AI56,IF(AK62=AR8,AI64,IF(AK64=AR8,AI64)))))))))))))))))))))))))))))))),"")</f>
        <v/>
      </c>
      <c r="AS24" s="15" t="str">
        <f>IFERROR(IF(AR24="","",VLOOKUP(AR24,LISTAS!$F$5:$G$1004,2,0)),"0")</f>
        <v/>
      </c>
      <c r="AT24" s="15" t="str">
        <f t="shared" si="0"/>
        <v/>
      </c>
      <c r="AU24" s="15" t="str">
        <f t="shared" si="2"/>
        <v/>
      </c>
    </row>
    <row r="25" spans="2:47" ht="18" customHeight="1" thickBot="1" x14ac:dyDescent="0.3">
      <c r="B25" s="16"/>
      <c r="C25" s="165" t="str">
        <f>IFERROR(IF(C24="","",VLOOKUP(C24,LISTAS!$F$5:$G$1004,2,0)),"0")</f>
        <v/>
      </c>
      <c r="D25" s="235"/>
      <c r="E25" s="51"/>
      <c r="F25" s="51"/>
      <c r="G25" s="176"/>
      <c r="H25" s="11"/>
      <c r="I25" s="18"/>
      <c r="J25" s="11"/>
      <c r="K25" s="166"/>
      <c r="L25" s="11"/>
      <c r="M25" s="18"/>
      <c r="N25" s="11"/>
      <c r="O25" s="166"/>
      <c r="P25" s="11"/>
      <c r="Q25" s="8"/>
      <c r="R25" s="182"/>
      <c r="S25" s="8"/>
      <c r="T25" s="8"/>
      <c r="U25" s="8"/>
      <c r="V25" s="182"/>
      <c r="W25" s="8"/>
      <c r="X25" s="62"/>
      <c r="Y25" s="182"/>
      <c r="Z25" s="65"/>
      <c r="AA25" s="8"/>
      <c r="AB25" s="11"/>
      <c r="AC25" s="182"/>
      <c r="AD25" s="8"/>
      <c r="AE25" s="69"/>
      <c r="AF25" s="8"/>
      <c r="AG25" s="181"/>
      <c r="AH25" s="78"/>
      <c r="AI25" s="51"/>
      <c r="AJ25" s="235"/>
      <c r="AK25" s="165" t="str">
        <f>IFERROR(IF(AK24="","",VLOOKUP(AK24,LISTAS!$F$5:$G$1004,2,0)),"0")</f>
        <v/>
      </c>
      <c r="AL25" s="11"/>
      <c r="AP25" s="13" t="str">
        <f>IF(AR25&lt;&gt;"",1+COUNTIF(AP8:AP24,"1")+COUNTIF(AP8:AP24,"2")+COUNTIF(AP8:AP24,"3")+COUNTIF(AP8:AP24,"4")+COUNTIF(AP8:AP24,"5")+COUNTIF(AP8:AP24,"6")+COUNTIF(AP8:AP24,"7")+COUNTIF(AP8:AP24,"8")+COUNTIF(AP8:AP24,"9")+COUNTIF(AP8:AP24,"10")+COUNTIF(AP8:AP24,"11")+COUNTIF(AP8:AP24,"12")+COUNTIF(AP8:AP24,"13")+COUNTIF(AP8:AP24,"14")+COUNTIF(AP8:AP24,"15")+COUNTIF(AP8:AP24,"16")+COUNTIF(AP8:AP24,"17"),"")</f>
        <v/>
      </c>
      <c r="AQ25" s="14" t="str">
        <f t="shared" si="1"/>
        <v/>
      </c>
      <c r="AR25" s="21" t="str">
        <f>IF(AR9&lt;&gt;"",IF(C8=AR9,G10,IF(C10=AR9,G10,IF(C16=AR9,G18,IF(C18=AR9,G18,IF(C38=AR9,G40,IF(C40=AR9,G40,IF(C46=AR9,G48,IF(C48=AR9,G48,IF(C24=AR9,G26,IF(C26=AR9,G26,IF(C32=AR9,G34,IF(C34=AR9,G34,IF(C54=AR9,G56,IF(C56=AR9,G56,IF(C62=AR9,G64,IF(C64=AR9,G64,IF(AK8=AR9,AI10,IF(AK10=AR9,AI10,IF(AK16=AR9,AI18,IF(AK18=AR9,AI18,IF(AK38=AR9,AI40,IF(AK40=AR9,AI40,IF(AK46=AR9,AI48,IF(AK48=AR9,AI48,IF(AK24=AR9,AI26,IF(AK26=AR9,AI26,IF(AK32=AR9,AI34,IF(AK34=AR9,AI34,IF(AK54=AR9,AI56,IF(AK56=AR9,AI56,IF(AK62=AR9,AI64,IF(AK64=AR9,AI64)))))))))))))))))))))))))))))))),"")</f>
        <v/>
      </c>
      <c r="AS25" s="15" t="str">
        <f>IFERROR(IF(AR25="","",VLOOKUP(AR25,LISTAS!$F$5:$G$1004,2,0)),"0")</f>
        <v/>
      </c>
      <c r="AT25" s="15" t="str">
        <f t="shared" si="0"/>
        <v/>
      </c>
      <c r="AU25" s="15" t="str">
        <f t="shared" si="2"/>
        <v/>
      </c>
    </row>
    <row r="26" spans="2:47" ht="18" customHeight="1" x14ac:dyDescent="0.25">
      <c r="B26" s="16">
        <v>24</v>
      </c>
      <c r="C26" s="162" t="str">
        <f>IF('09F GRP'!G5&gt;=3,'09F GRP'!J320,IF('09F GRP'!G5=2,"",IF('09F GRP'!G5=1,"","")))</f>
        <v/>
      </c>
      <c r="D26" s="234">
        <v>0</v>
      </c>
      <c r="E26" s="52">
        <f>IF(D26&lt;&gt;"",D26,"")</f>
        <v>0</v>
      </c>
      <c r="F26" s="51" t="str">
        <f>IF(D26&lt;&gt;"",IF(C26="","",C26),"")</f>
        <v/>
      </c>
      <c r="G26" s="176" t="str">
        <f>VLOOKUP(G24,E24:F26,2,0)</f>
        <v/>
      </c>
      <c r="H26" s="11"/>
      <c r="I26" s="18"/>
      <c r="J26" s="11"/>
      <c r="K26" s="166"/>
      <c r="L26" s="11"/>
      <c r="M26" s="18"/>
      <c r="N26" s="11"/>
      <c r="O26" s="166"/>
      <c r="P26" s="11"/>
      <c r="Q26" s="8"/>
      <c r="R26" s="182"/>
      <c r="S26" s="8"/>
      <c r="T26" s="8"/>
      <c r="U26" s="8"/>
      <c r="V26" s="182"/>
      <c r="W26" s="8"/>
      <c r="X26" s="62"/>
      <c r="Y26" s="182"/>
      <c r="Z26" s="65"/>
      <c r="AA26" s="8"/>
      <c r="AB26" s="11"/>
      <c r="AC26" s="182"/>
      <c r="AD26" s="8"/>
      <c r="AE26" s="69"/>
      <c r="AF26" s="8"/>
      <c r="AG26" s="181">
        <f>IF(AJ26&lt;&gt;"",AJ26,"")</f>
        <v>0</v>
      </c>
      <c r="AH26" s="78" t="str">
        <f>IF(AJ26&lt;&gt;"",IF(AK26="","",AK26),"")</f>
        <v/>
      </c>
      <c r="AI26" s="55" t="str">
        <f>VLOOKUP(AI24,AG24:AH26,2,0)</f>
        <v/>
      </c>
      <c r="AJ26" s="234">
        <v>0</v>
      </c>
      <c r="AK26" s="162" t="str">
        <f>IF('09F GRP'!G5&gt;=3,'09F GRP'!J151,IF('09F GRP'!G5=2,"",IF('09F GRP'!G5=1,"","")))</f>
        <v/>
      </c>
      <c r="AL26" s="11">
        <v>11</v>
      </c>
      <c r="AM26" s="23"/>
      <c r="AN26" s="23"/>
      <c r="AO26" s="23"/>
      <c r="AP26" s="13" t="str">
        <f>IF(AR26&lt;&gt;"",1+COUNTIF(AP8:AP25,"1")+COUNTIF(AP8:AP25,"2")+COUNTIF(AP8:AP25,"3")+COUNTIF(AP8:AP25,"4")+COUNTIF(AP8:AP25,"5")+COUNTIF(AP8:AP25,"6")+COUNTIF(AP8:AP25,"7")+COUNTIF(AP8:AP25,"8")+COUNTIF(AP8:AP25,"9")+COUNTIF(AP8:AP25,"10")+COUNTIF(AP8:AP25,"11")+COUNTIF(AP8:AP25,"12")+COUNTIF(AP8:AP25,"13")+COUNTIF(AP8:AP25,"14")+COUNTIF(AP8:AP25,"15")+COUNTIF(AP8:AP25,"16")+COUNTIF(AP8:AP25,"17")+COUNTIF(AP8:AP25,"18"),"")</f>
        <v/>
      </c>
      <c r="AQ26" s="14" t="str">
        <f t="shared" si="1"/>
        <v/>
      </c>
      <c r="AR26" s="21" t="str">
        <f>IF(AR10&lt;&gt;"",IF(C8=AR10,G10,IF(C10=AR10,G10,IF(C16=AR10,G18,IF(C18=AR10,G18,IF(C38=AR10,G40,IF(C40=AR10,G40,IF(C46=AR10,G48,IF(C48=AR10,G48,IF(C24=AR10,G26,IF(C26=AR10,G26,IF(C32=AR10,G34,IF(C34=AR10,G34,IF(C54=AR10,G56,IF(C56=AR10,G56,IF(C62=AR10,G64,IF(C64=AR10,G64,IF(AK8=AR10,AI10,IF(AK10=AR10,AI10,IF(AK16=AR10,AI18,IF(AK18=AR10,AI18,IF(AK38=AR10,AI40,IF(AK40=AR10,AI40,IF(AK46=AR10,AI48,IF(AK48=AR10,AI48,IF(AK24=AR10,AI26,IF(AK26=AR10,AI26,IF(AK32=AR10,AI34,IF(AK34=AR10,AI34,IF(AK54=AR10,AI56,IF(AK56=AR10,AI56,IF(AK62=AR10,AI64,IF(AK64=AR10,AI64)))))))))))))))))))))))))))))))),"")</f>
        <v/>
      </c>
      <c r="AS26" s="15" t="str">
        <f>IFERROR(IF(AR26="","",VLOOKUP(AR26,LISTAS!$F$5:$G$1004,2,0)),"0")</f>
        <v/>
      </c>
      <c r="AT26" s="15" t="str">
        <f t="shared" si="0"/>
        <v/>
      </c>
      <c r="AU26" s="15" t="str">
        <f t="shared" si="2"/>
        <v/>
      </c>
    </row>
    <row r="27" spans="2:47" ht="18" customHeight="1" thickBot="1" x14ac:dyDescent="0.3">
      <c r="B27" s="16"/>
      <c r="C27" s="165" t="str">
        <f>IFERROR(IF(C26="","",VLOOKUP(C26,LISTAS!$F$5:$G$1004,2,0)),"0")</f>
        <v/>
      </c>
      <c r="D27" s="235"/>
      <c r="E27" s="128"/>
      <c r="F27" s="51"/>
      <c r="G27" s="176"/>
      <c r="H27" s="11"/>
      <c r="I27" s="18"/>
      <c r="J27" s="11"/>
      <c r="K27" s="166"/>
      <c r="L27" s="11"/>
      <c r="M27" s="18"/>
      <c r="N27" s="11"/>
      <c r="O27" s="166"/>
      <c r="P27" s="11"/>
      <c r="Q27" s="8"/>
      <c r="R27" s="182"/>
      <c r="S27" s="8"/>
      <c r="T27" s="8"/>
      <c r="U27" s="8"/>
      <c r="V27" s="182"/>
      <c r="W27" s="8"/>
      <c r="X27" s="62"/>
      <c r="Y27" s="182"/>
      <c r="Z27" s="65"/>
      <c r="AA27" s="8"/>
      <c r="AB27" s="11"/>
      <c r="AC27" s="182"/>
      <c r="AD27" s="8"/>
      <c r="AE27" s="69"/>
      <c r="AF27" s="8"/>
      <c r="AG27" s="181"/>
      <c r="AH27" s="78"/>
      <c r="AI27" s="123"/>
      <c r="AJ27" s="235"/>
      <c r="AK27" s="165" t="str">
        <f>IFERROR(IF(AK26="","",VLOOKUP(AK26,LISTAS!$F$5:$G$1004,2,0)),"0")</f>
        <v/>
      </c>
      <c r="AL27" s="11"/>
      <c r="AP27" s="13" t="str">
        <f>IF(AR27&lt;&gt;"",1+COUNTIF(AP8:AP26,"1")+COUNTIF(AP8:AP26,"2")+COUNTIF(AP8:AP26,"3")+COUNTIF(AP8:AP26,"4")+COUNTIF(AP8:AP26,"5")+COUNTIF(AP8:AP26,"6")+COUNTIF(AP8:AP26,"7")+COUNTIF(AP8:AP26,"8")+COUNTIF(AP8:AP26,"9")+COUNTIF(AP8:AP26,"10")+COUNTIF(AP8:AP26,"11")+COUNTIF(AP8:AP26,"12")+COUNTIF(AP8:AP26,"13")+COUNTIF(AP8:AP26,"14")+COUNTIF(AP8:AP26,"15")+COUNTIF(AP8:AP26,"16")+COUNTIF(AP8:AP26,"17")+COUNTIF(AP8:AP26,"18")+COUNTIF(AP8:AP26,"19"),"")</f>
        <v/>
      </c>
      <c r="AQ27" s="14" t="str">
        <f t="shared" si="1"/>
        <v/>
      </c>
      <c r="AR27" s="21" t="str">
        <f>IF(AR11&lt;&gt;"",IF(C8=AR11,G10,IF(C10=AR11,G10,IF(C16=AR11,G18,IF(C18=AR11,G18,IF(C38=AR11,G40,IF(C40=AR11,G40,IF(C46=AR11,G48,IF(C48=AR11,G48,IF(C24=AR11,G26,IF(C26=AR11,G26,IF(C32=AR11,G34,IF(C34=AR11,G34,IF(C54=AR11,G56,IF(C56=AR11,G56,IF(C62=AR11,G64,IF(C64=AR11,G64,IF(AK8=AR11,AI10,IF(AK10=AR11,AI10,IF(AK16=AR11,AI18,IF(AK18=AR11,AI18,IF(AK38=AR11,AI40,IF(AK40=AR11,AI40,IF(AK46=AR11,AI48,IF(AK48=AR11,AI48,IF(AK24=AR11,AI26,IF(AK26=AR11,AI26,IF(AK32=AR11,AI34,IF(AK34=AR11,AI34,IF(AK54=AR11,AI56,IF(AK56=AR11,AI56,IF(AK62=AR11,AI64,IF(AK64=AR11,AI64)))))))))))))))))))))))))))))))),"")</f>
        <v/>
      </c>
      <c r="AS27" s="15" t="str">
        <f>IFERROR(IF(AR27="","",VLOOKUP(AR27,LISTAS!$F$5:$G$1004,2,0)),"0")</f>
        <v/>
      </c>
      <c r="AT27" s="15" t="str">
        <f t="shared" si="0"/>
        <v/>
      </c>
      <c r="AU27" s="15" t="str">
        <f t="shared" si="2"/>
        <v/>
      </c>
    </row>
    <row r="28" spans="2:47" ht="18" customHeight="1" x14ac:dyDescent="0.25">
      <c r="B28" s="16"/>
      <c r="C28" s="166"/>
      <c r="D28" s="11"/>
      <c r="E28" s="11"/>
      <c r="F28" s="17"/>
      <c r="G28" s="162" t="str">
        <f>IF(D24&lt;&gt;"",IF(D26&lt;&gt;"",IF(D24=D26,"",IF(D24&gt;D26,C24,C26)),""),"")</f>
        <v/>
      </c>
      <c r="H28" s="234">
        <v>0</v>
      </c>
      <c r="I28" s="56">
        <f>IF(H28&lt;&gt;"",H28,"")</f>
        <v>0</v>
      </c>
      <c r="J28" s="51" t="str">
        <f>IF(H28&lt;&gt;"",IF(G28="","",G28),"")</f>
        <v/>
      </c>
      <c r="K28" s="176">
        <f>IF(I28&lt;&gt;"",IF(I30&lt;&gt;"",SMALL(I28:J30,1),""),"")</f>
        <v>0</v>
      </c>
      <c r="L28" s="11"/>
      <c r="M28" s="18"/>
      <c r="N28" s="11"/>
      <c r="O28" s="166"/>
      <c r="P28" s="11"/>
      <c r="Q28" s="8"/>
      <c r="R28" s="182"/>
      <c r="S28" s="8"/>
      <c r="T28" s="8"/>
      <c r="U28" s="8"/>
      <c r="V28" s="182"/>
      <c r="W28" s="8"/>
      <c r="X28" s="62"/>
      <c r="Y28" s="182"/>
      <c r="Z28" s="65"/>
      <c r="AA28" s="8"/>
      <c r="AB28" s="11"/>
      <c r="AC28" s="182"/>
      <c r="AD28" s="8"/>
      <c r="AE28" s="17"/>
      <c r="AF28" s="234">
        <v>0</v>
      </c>
      <c r="AG28" s="162" t="str">
        <f>IF(AJ24&lt;&gt;"",IF(AJ26&lt;&gt;"",IF(AJ24=AJ26,"",IF(AJ24&gt;AJ26,AK24,AK26)),""),"")</f>
        <v/>
      </c>
      <c r="AH28" s="65"/>
      <c r="AI28" s="8"/>
      <c r="AJ28" s="11"/>
      <c r="AK28" s="166"/>
      <c r="AL28" s="11"/>
      <c r="AP28" s="13" t="str">
        <f>IF(AR28&lt;&gt;"",1+COUNTIF(AP8:AP27,"1")+COUNTIF(AP8:AP27,"2")+COUNTIF(AP8:AP27,"3")+COUNTIF(AP8:AP27,"4")+COUNTIF(AP8:AP27,"5")+COUNTIF(AP8:AP27,"6")+COUNTIF(AP8:AP27,"7")+COUNTIF(AP8:AP27,"8")+COUNTIF(AP8:AP27,"9")+COUNTIF(AP8:AP27,"10")+COUNTIF(AP8:AP27,"11")+COUNTIF(AP8:AP27,"12")+COUNTIF(AP8:AP27,"13")+COUNTIF(AP8:AP27,"14")+COUNTIF(AP8:AP27,"15")+COUNTIF(AP8:AP27,"16")+COUNTIF(AP8:AP27,"17")+COUNTIF(AP8:AP27,"18")+COUNTIF(AP8:AP27,"19")+COUNTIF(AP8:AP27,"20"),"")</f>
        <v/>
      </c>
      <c r="AQ28" s="14" t="str">
        <f t="shared" si="1"/>
        <v/>
      </c>
      <c r="AR28" s="21" t="str">
        <f>IF(AR12&lt;&gt;"",IF(C8=AR12,G10,IF(C10=AR12,G10,IF(C16=AR12,G18,IF(C18=AR12,G18,IF(C38=AR12,G40,IF(C40=AR12,G40,IF(C46=AR12,G48,IF(C48=AR12,G48,IF(C24=AR12,G26,IF(C26=AR12,G26,IF(C32=AR12,G34,IF(C34=AR12,G34,IF(C54=AR12,G56,IF(C56=AR12,G56,IF(C62=AR12,G64,IF(C64=AR12,G64,IF(AK8=AR12,AI10,IF(AK10=AR12,AI10,IF(AK16=AR12,AI18,IF(AK18=AR12,AI18,IF(AK38=AR12,AI40,IF(AK40=AR12,AI40,IF(AK46=AR12,AI48,IF(AK48=AR12,AI48,IF(AK24=AR12,AI26,IF(AK26=AR12,AI26,IF(AK32=AR12,AI34,IF(AK34=AR12,AI34,IF(AK54=AR12,AI56,IF(AK56=AR12,AI56,IF(AK62=AR12,AI64,IF(AK64=AR12,AI64)))))))))))))))))))))))))))))))),"")</f>
        <v/>
      </c>
      <c r="AS28" s="15" t="str">
        <f>IFERROR(IF(AR28="","",VLOOKUP(AR28,LISTAS!$F$5:$G$1004,2,0)),"0")</f>
        <v/>
      </c>
      <c r="AT28" s="15" t="str">
        <f t="shared" si="0"/>
        <v/>
      </c>
      <c r="AU28" s="15" t="str">
        <f t="shared" si="2"/>
        <v/>
      </c>
    </row>
    <row r="29" spans="2:47" ht="18" customHeight="1" thickBot="1" x14ac:dyDescent="0.3">
      <c r="B29" s="16"/>
      <c r="C29" s="166"/>
      <c r="D29" s="11"/>
      <c r="E29" s="11"/>
      <c r="F29" s="17"/>
      <c r="G29" s="165" t="str">
        <f>IFERROR(IF(G28="","",VLOOKUP(G28,LISTAS!$F$5:$G$1004,2,0)),"0")</f>
        <v/>
      </c>
      <c r="H29" s="235"/>
      <c r="I29" s="57"/>
      <c r="J29" s="51"/>
      <c r="K29" s="176"/>
      <c r="L29" s="11"/>
      <c r="M29" s="18"/>
      <c r="N29" s="11"/>
      <c r="O29" s="166"/>
      <c r="P29" s="11"/>
      <c r="Q29" s="8"/>
      <c r="R29" s="182"/>
      <c r="S29" s="8"/>
      <c r="T29" s="8"/>
      <c r="U29" s="8"/>
      <c r="V29" s="182"/>
      <c r="W29" s="8"/>
      <c r="X29" s="62"/>
      <c r="Y29" s="182"/>
      <c r="Z29" s="65"/>
      <c r="AA29" s="8"/>
      <c r="AB29" s="11"/>
      <c r="AC29" s="182"/>
      <c r="AD29" s="8"/>
      <c r="AE29" s="122"/>
      <c r="AF29" s="235"/>
      <c r="AG29" s="165" t="str">
        <f>IFERROR(IF(AG28="","",VLOOKUP(AG28,LISTAS!$F$5:$G$1004,2,0)),"0")</f>
        <v/>
      </c>
      <c r="AH29" s="65"/>
      <c r="AI29" s="8"/>
      <c r="AJ29" s="11"/>
      <c r="AK29" s="166"/>
      <c r="AL29" s="11"/>
      <c r="AP29" s="13" t="str">
        <f>IF(AR29&lt;&gt;"",1+COUNTIF(AP8:AP28,"1")+COUNTIF(AP8:AP28,"2")+COUNTIF(AP8:AP28,"3")+COUNTIF(AP8:AP28,"4")+COUNTIF(AP8:AP28,"5")+COUNTIF(AP8:AP28,"6")+COUNTIF(AP8:AP28,"7")+COUNTIF(AP8:AP28,"8")+COUNTIF(AP8:AP28,"9")+COUNTIF(AP8:AP28,"10")+COUNTIF(AP8:AP28,"11")+COUNTIF(AP8:AP28,"12")+COUNTIF(AP8:AP28,"13")+COUNTIF(AP8:AP28,"14")+COUNTIF(AP8:AP28,"15")+COUNTIF(AP8:AP28,"16")+COUNTIF(AP8:AP28,"17")+COUNTIF(AP8:AP28,"18")+COUNTIF(AP8:AP28,"19")+COUNTIF(AP8:AP28,"20")+COUNTIF(AP8:AP28,"21"),"")</f>
        <v/>
      </c>
      <c r="AQ29" s="14" t="str">
        <f t="shared" si="1"/>
        <v/>
      </c>
      <c r="AR29" s="21" t="str">
        <f>IF(AR13&lt;&gt;"",IF(C8=AR13,G10,IF(C10=AR13,G10,IF(C16=AR13,G18,IF(C18=AR13,G18,IF(C38=AR13,G40,IF(C40=AR13,G40,IF(C46=AR13,G48,IF(C48=AR13,G48,IF(C24=AR13,G26,IF(C26=AR13,G26,IF(C32=AR13,G34,IF(C34=AR13,G34,IF(C54=AR13,G56,IF(C56=AR13,G56,IF(C62=AR13,G64,IF(C64=AR13,G64,IF(AK8=AR13,AI10,IF(AK10=AR13,AI10,IF(AK16=AR13,AI18,IF(AK18=AR13,AI18,IF(AK38=AR13,AI40,IF(AK40=AR13,AI40,IF(AK46=AR13,AI48,IF(AK48=AR13,AI48,IF(AK24=AR13,AI26,IF(AK26=AR13,AI26,IF(AK32=AR13,AI34,IF(AK34=AR13,AI34,IF(AK54=AR13,AI56,IF(AK56=AR13,AI56,IF(AK62=AR13,AI64,IF(AK64=AR13,AI64)))))))))))))))))))))))))))))))),"")</f>
        <v/>
      </c>
      <c r="AS29" s="15" t="str">
        <f>IFERROR(IF(AR29="","",VLOOKUP(AR29,LISTAS!$F$5:$G$1004,2,0)),"0")</f>
        <v/>
      </c>
      <c r="AT29" s="15" t="str">
        <f t="shared" si="0"/>
        <v/>
      </c>
      <c r="AU29" s="15" t="str">
        <f t="shared" si="2"/>
        <v/>
      </c>
    </row>
    <row r="30" spans="2:47" ht="18" customHeight="1" x14ac:dyDescent="0.25">
      <c r="B30" s="16"/>
      <c r="C30" s="166"/>
      <c r="D30" s="11"/>
      <c r="E30" s="18"/>
      <c r="F30" s="19"/>
      <c r="G30" s="162" t="str">
        <f>IF(D32&lt;&gt;"",IF(D34&lt;&gt;"",IF(D32=D34,"",IF(D32&gt;D34,C32,C34)),""),"")</f>
        <v/>
      </c>
      <c r="H30" s="234">
        <v>0</v>
      </c>
      <c r="I30" s="57">
        <f>IF(H30&lt;&gt;"",H30,"")</f>
        <v>0</v>
      </c>
      <c r="J30" s="51" t="str">
        <f>IF(H30&lt;&gt;"",IF(G30="","",G30),"")</f>
        <v/>
      </c>
      <c r="K30" s="176" t="str">
        <f>VLOOKUP(K28,I28:J30,2,0)</f>
        <v/>
      </c>
      <c r="L30" s="11"/>
      <c r="M30" s="18"/>
      <c r="N30" s="11"/>
      <c r="O30" s="166"/>
      <c r="P30" s="11"/>
      <c r="Q30" s="8"/>
      <c r="R30" s="182"/>
      <c r="S30" s="8"/>
      <c r="T30" s="8"/>
      <c r="U30" s="8"/>
      <c r="V30" s="182"/>
      <c r="W30" s="8"/>
      <c r="X30" s="62"/>
      <c r="Y30" s="182"/>
      <c r="Z30" s="65"/>
      <c r="AA30" s="8"/>
      <c r="AB30" s="11"/>
      <c r="AC30" s="182"/>
      <c r="AD30" s="8"/>
      <c r="AE30" s="64"/>
      <c r="AF30" s="234">
        <v>0</v>
      </c>
      <c r="AG30" s="162" t="str">
        <f>IF(AJ32&lt;&gt;"",IF(AJ34&lt;&gt;"",IF(AJ32=AJ34,"",IF(AJ32&gt;AJ34,AK32,AK34)),""),"")</f>
        <v/>
      </c>
      <c r="AH30" s="66"/>
      <c r="AI30" s="8"/>
      <c r="AJ30" s="11"/>
      <c r="AK30" s="166"/>
      <c r="AL30" s="11"/>
      <c r="AP30" s="13" t="str">
        <f>IF(AR30&lt;&gt;"",1+COUNTIF(AP8:AP29,"1")+COUNTIF(AP8:AP29,"2")+COUNTIF(AP8:AP29,"3")+COUNTIF(AP8:AP29,"4")+COUNTIF(AP8:AP29,"5")+COUNTIF(AP8:AP29,"6")+COUNTIF(AP8:AP29,"7")+COUNTIF(AP8:AP29,"8")+COUNTIF(AP8:AP29,"9")+COUNTIF(AP8:AP29,"10")+COUNTIF(AP8:AP29,"11")+COUNTIF(AP8:AP29,"12")+COUNTIF(AP8:AP29,"13")+COUNTIF(AP8:AP29,"14")+COUNTIF(AP8:AP29,"15")+COUNTIF(AP8:AP29,"16")+COUNTIF(AP8:AP29,"17")+COUNTIF(AP8:AP29,"18")+COUNTIF(AP8:AP29,"19")+COUNTIF(AP8:AP29,"20")+COUNTIF(AP8:AP29,"21")+COUNTIF(AP8:AP29,"22"),"")</f>
        <v/>
      </c>
      <c r="AQ30" s="14" t="str">
        <f t="shared" si="1"/>
        <v/>
      </c>
      <c r="AR30" s="21" t="str">
        <f>IF(AR14&lt;&gt;"",IF(C8=AR14,G10,IF(C10=AR14,G10,IF(C16=AR14,G18,IF(C18=AR14,G18,IF(C38=AR14,G40,IF(C40=AR14,G40,IF(C46=AR14,G48,IF(C48=AR14,G48,IF(C24=AR14,G26,IF(C26=AR14,G26,IF(C32=AR14,G34,IF(C34=AR14,G34,IF(C54=AR14,G56,IF(C56=AR14,G56,IF(C62=AR14,G64,IF(C64=AR14,G64,IF(AK8=AR14,AI10,IF(AK10=AR14,AI10,IF(AK16=AR14,AI18,IF(AK18=AR14,AI18,IF(AK38=AR14,AI40,IF(AK40=AR14,AI40,IF(AK46=AR14,AI48,IF(AK48=AR14,AI48,IF(AK24=AR14,AI26,IF(AK26=AR14,AI26,IF(AK32=AR14,AI34,IF(AK34=AR14,AI34,IF(AK54=AR14,AI56,IF(AK56=AR14,AI56,IF(AK62=AR14,AI64,IF(AK64=AR14,AI64)))))))))))))))))))))))))))))))),"")</f>
        <v/>
      </c>
      <c r="AS30" s="15" t="str">
        <f>IFERROR(IF(AR30="","",VLOOKUP(AR30,LISTAS!$F$5:$G$1004,2,0)),"0")</f>
        <v/>
      </c>
      <c r="AT30" s="15" t="str">
        <f t="shared" si="0"/>
        <v/>
      </c>
      <c r="AU30" s="15" t="str">
        <f t="shared" si="2"/>
        <v/>
      </c>
    </row>
    <row r="31" spans="2:47" ht="18" customHeight="1" thickBot="1" x14ac:dyDescent="0.3">
      <c r="B31" s="16"/>
      <c r="C31" s="166"/>
      <c r="D31" s="11"/>
      <c r="E31" s="18"/>
      <c r="F31" s="11"/>
      <c r="G31" s="165" t="str">
        <f>IFERROR(IF(G30="","",VLOOKUP(G30,LISTAS!$F$5:$G$1004,2,0)),"0")</f>
        <v/>
      </c>
      <c r="H31" s="235"/>
      <c r="I31" s="51"/>
      <c r="J31" s="51"/>
      <c r="K31" s="176"/>
      <c r="L31" s="11"/>
      <c r="M31" s="18"/>
      <c r="N31" s="11"/>
      <c r="O31" s="166"/>
      <c r="P31" s="11"/>
      <c r="Q31" s="8"/>
      <c r="R31" s="182"/>
      <c r="S31" s="8"/>
      <c r="T31" s="8"/>
      <c r="U31" s="8"/>
      <c r="V31" s="182"/>
      <c r="W31" s="8"/>
      <c r="X31" s="62"/>
      <c r="Y31" s="182"/>
      <c r="Z31" s="65"/>
      <c r="AA31" s="8"/>
      <c r="AB31" s="11"/>
      <c r="AC31" s="182"/>
      <c r="AD31" s="8"/>
      <c r="AE31" s="8"/>
      <c r="AF31" s="235"/>
      <c r="AG31" s="165" t="str">
        <f>IFERROR(IF(AG30="","",VLOOKUP(AG30,LISTAS!$F$5:$G$1004,2,0)),"0")</f>
        <v/>
      </c>
      <c r="AH31" s="8"/>
      <c r="AI31" s="69"/>
      <c r="AJ31" s="11"/>
      <c r="AK31" s="166"/>
      <c r="AL31" s="11"/>
      <c r="AP31" s="13" t="str">
        <f>IF(AR31&lt;&gt;"",1+COUNTIF(AP8:AP30,"1")+COUNTIF(AP8:AP30,"2")+COUNTIF(AP8:AP30,"3")+COUNTIF(AP8:AP30,"4")+COUNTIF(AP8:AP30,"5")+COUNTIF(AP8:AP30,"6")+COUNTIF(AP8:AP30,"7")+COUNTIF(AP8:AP30,"8")+COUNTIF(AP8:AP30,"9")+COUNTIF(AP8:AP30,"10")+COUNTIF(AP8:AP30,"11")+COUNTIF(AP8:AP30,"12")+COUNTIF(AP8:AP30,"13")+COUNTIF(AP8:AP30,"14")+COUNTIF(AP8:AP30,"15")+COUNTIF(AP8:AP30,"16")+COUNTIF(AP8:AP30,"17")+COUNTIF(AP8:AP30,"18")+COUNTIF(AP8:AP30,"19")+COUNTIF(AP8:AP30,"20")+COUNTIF(AP8:AP30,"21")+COUNTIF(AP8:AP30,"22")+COUNTIF(AP8:AP30,"23"),"")</f>
        <v/>
      </c>
      <c r="AQ31" s="14" t="str">
        <f t="shared" si="1"/>
        <v/>
      </c>
      <c r="AR31" s="21" t="str">
        <f>IF(AR15&lt;&gt;"",IF(C8=AR15,G10,IF(C10=AR15,G10,IF(C16=AR15,G18,IF(C18=AR15,G18,IF(C38=AR15,G40,IF(C40=AR15,G40,IF(C46=AR15,G48,IF(C48=AR15,G48,IF(C24=AR15,G26,IF(C26=AR15,G26,IF(C32=AR15,G34,IF(C34=AR15,G34,IF(C54=AR15,G56,IF(C56=AR15,G56,IF(C62=AR15,G64,IF(C64=AR15,G64,IF(AK8=AR15,AI10,IF(AK10=AR15,AI10,IF(AK16=AR15,AI18,IF(AK18=AR15,AI18,IF(AK38=AR15,AI40,IF(AK40=AR15,AI40,IF(AK46=AR15,AI48,IF(AK48=AR15,AI48,IF(AK24=AR15,AI26,IF(AK26=AR15,AI26,IF(AK32=AR15,AI34,IF(AK34=AR15,AI34,IF(AK54=AR15,AI56,IF(AK56=AR15,AI56,IF(AK62=AR15,AI64,IF(AK64=AR15,AI64)))))))))))))))))))))))))))))))),"")</f>
        <v/>
      </c>
      <c r="AS31" s="15" t="str">
        <f>IFERROR(IF(AR31="","",VLOOKUP(AR31,LISTAS!$F$5:$G$1004,2,0)),"0")</f>
        <v/>
      </c>
      <c r="AT31" s="15" t="str">
        <f t="shared" si="0"/>
        <v/>
      </c>
      <c r="AU31" s="15" t="str">
        <f t="shared" si="2"/>
        <v/>
      </c>
    </row>
    <row r="32" spans="2:47" ht="18" customHeight="1" x14ac:dyDescent="0.25">
      <c r="B32" s="16">
        <v>25</v>
      </c>
      <c r="C32" s="162" t="str">
        <f>IF('09F GRP'!G5&gt;=3,'09F GRP'!J333,IF('09F GRP'!G5=2,"",IF('09F GRP'!G5=1,"","")))</f>
        <v/>
      </c>
      <c r="D32" s="234">
        <v>0</v>
      </c>
      <c r="E32" s="56">
        <f>IF(D32&lt;&gt;"",D32,"")</f>
        <v>0</v>
      </c>
      <c r="F32" s="51" t="str">
        <f>IF(D32&lt;&gt;"",IF(C32="","",C32),"")</f>
        <v/>
      </c>
      <c r="G32" s="176">
        <f>IF(E32&lt;&gt;"",IF(E34&lt;&gt;"",SMALL(E32:E34,1),""),"")</f>
        <v>0</v>
      </c>
      <c r="H32" s="11"/>
      <c r="I32" s="11"/>
      <c r="J32" s="11"/>
      <c r="K32" s="166"/>
      <c r="L32" s="11"/>
      <c r="M32" s="18"/>
      <c r="N32" s="11"/>
      <c r="O32" s="166"/>
      <c r="P32" s="11"/>
      <c r="Q32" s="8"/>
      <c r="R32" s="182"/>
      <c r="S32" s="8"/>
      <c r="T32" s="8"/>
      <c r="U32" s="8"/>
      <c r="V32" s="182"/>
      <c r="W32" s="8"/>
      <c r="X32" s="62"/>
      <c r="Y32" s="182"/>
      <c r="Z32" s="65"/>
      <c r="AA32" s="8"/>
      <c r="AB32" s="11"/>
      <c r="AC32" s="182"/>
      <c r="AD32" s="8"/>
      <c r="AE32" s="8"/>
      <c r="AF32" s="8"/>
      <c r="AG32" s="181">
        <f>IF(AJ32&lt;&gt;"",AJ32,"")</f>
        <v>0</v>
      </c>
      <c r="AH32" s="78" t="str">
        <f>IF(AJ32&lt;&gt;"",IF(AK32="","",AK32),"")</f>
        <v/>
      </c>
      <c r="AI32" s="53">
        <f>IF(AG32&lt;&gt;"",IF(AG34&lt;&gt;"",SMALL(AG32:AG34,1),""),"")</f>
        <v>0</v>
      </c>
      <c r="AJ32" s="234">
        <v>0</v>
      </c>
      <c r="AK32" s="162" t="str">
        <f>IF('09F GRP'!G5&gt;=3,'09F GRP'!J359,IF('09F GRP'!G5=2,"",IF('09F GRP'!G5=1,"","")))</f>
        <v/>
      </c>
      <c r="AL32" s="11">
        <v>27</v>
      </c>
      <c r="AP32" s="13" t="str">
        <f>IF(AR32&lt;&gt;"",1+COUNTIF(AP8:AP31,"1")+COUNTIF(AP8:AP31,"2")+COUNTIF(AP8:AP31,"3")+COUNTIF(AP8:AP31,"4")+COUNTIF(AP8:AP31,"5")+COUNTIF(AP8:AP31,"6")+COUNTIF(AP8:AP31,"7")+COUNTIF(AP8:AP31,"8")+COUNTIF(AP8:AP31,"9")+COUNTIF(AP8:AP31,"10")+COUNTIF(AP8:AP31,"11")+COUNTIF(AP8:AP31,"12")+COUNTIF(AP8:AP31,"13")+COUNTIF(AP8:AP31,"14")+COUNTIF(AP8:AP31,"15")+COUNTIF(AP8:AP31,"16")+COUNTIF(AP8:AP31,"17")+COUNTIF(AP8:AP31,"18")+COUNTIF(AP8:AP31,"19")+COUNTIF(AP8:AP31,"20")+COUNTIF(AP8:AP31,"21")+COUNTIF(AP8:AP31,"22")+COUNTIF(AP8:AP31,"23")+COUNTIF(AP8:AP31,"24"),"")</f>
        <v/>
      </c>
      <c r="AQ32" s="14" t="str">
        <f t="shared" si="1"/>
        <v/>
      </c>
      <c r="AR32" s="21" t="str">
        <f>IF(AR16&lt;&gt;"",IF(C8=AR16,G10,IF(C10=AR16,G10,IF(C16=AR16,G18,IF(C18=AR16,G18,IF(C38=AR16,G40,IF(C40=AR16,G40,IF(C46=AR16,G48,IF(C48=AR16,G48,IF(C24=AR16,G26,IF(C26=AR16,G26,IF(C32=AR16,G34,IF(C34=AR16,G34,IF(C54=AR16,G56,IF(C56=AR16,G56,IF(C62=AR16,G64,IF(C64=AR16,G64,IF(AK8=AR16,AI10,IF(AK10=AR16,AI10,IF(AK16=AR16,AI18,IF(AK18=AR16,AI18,IF(AK38=AR16,AI40,IF(AK40=AR16,AI40,IF(AK46=AR16,AI48,IF(AK48=AR16,AI48,IF(AK24=AR16,AI26,IF(AK26=AR16,AI26,IF(AK32=AR16,AI34,IF(AK34=AR16,AI34,IF(AK54=AR16,AI56,IF(AK56=AR16,AI56,IF(AK62=AR16,AI64,IF(AK64=AR16,AI64)))))))))))))))))))))))))))))))),"")</f>
        <v/>
      </c>
      <c r="AS32" s="15" t="str">
        <f>IFERROR(IF(AR32="","",VLOOKUP(AR32,LISTAS!$F$5:$G$1004,2,0)),"0")</f>
        <v/>
      </c>
      <c r="AT32" s="15" t="str">
        <f t="shared" si="0"/>
        <v/>
      </c>
      <c r="AU32" s="15" t="str">
        <f t="shared" si="2"/>
        <v/>
      </c>
    </row>
    <row r="33" spans="2:47" ht="18" customHeight="1" thickBot="1" x14ac:dyDescent="0.3">
      <c r="B33" s="16"/>
      <c r="C33" s="165" t="str">
        <f>IFERROR(IF(C32="","",VLOOKUP(C32,LISTAS!$F$5:$G$1004,2,0)),"0")</f>
        <v/>
      </c>
      <c r="D33" s="235"/>
      <c r="E33" s="57"/>
      <c r="F33" s="51"/>
      <c r="G33" s="176"/>
      <c r="H33" s="11"/>
      <c r="I33" s="11"/>
      <c r="J33" s="11"/>
      <c r="K33" s="166"/>
      <c r="L33" s="11"/>
      <c r="M33" s="18"/>
      <c r="N33" s="11"/>
      <c r="O33" s="166"/>
      <c r="P33" s="11"/>
      <c r="Q33" s="8"/>
      <c r="R33" s="182"/>
      <c r="S33" s="8"/>
      <c r="T33" s="8"/>
      <c r="U33" s="8"/>
      <c r="V33" s="182"/>
      <c r="W33" s="8"/>
      <c r="X33" s="62"/>
      <c r="Y33" s="182"/>
      <c r="Z33" s="65"/>
      <c r="AA33" s="8"/>
      <c r="AB33" s="11"/>
      <c r="AC33" s="182"/>
      <c r="AD33" s="8"/>
      <c r="AE33" s="8"/>
      <c r="AF33" s="8"/>
      <c r="AG33" s="181"/>
      <c r="AH33" s="78"/>
      <c r="AI33" s="124"/>
      <c r="AJ33" s="235"/>
      <c r="AK33" s="165" t="str">
        <f>IFERROR(IF(AK32="","",VLOOKUP(AK32,LISTAS!$F$5:$G$1004,2,0)),"0")</f>
        <v/>
      </c>
      <c r="AL33" s="11"/>
      <c r="AP33" s="13" t="str">
        <f>IF(AR33&lt;&gt;"",1+COUNTIF(AP8:AP32,"1")+COUNTIF(AP8:AP32,"2")+COUNTIF(AP8:AP32,"3")+COUNTIF(AP8:AP32,"4")+COUNTIF(AP8:AP32,"5")+COUNTIF(AP8:AP32,"6")+COUNTIF(AP8:AP32,"7")+COUNTIF(AP8:AP32,"8")+COUNTIF(AP8:AP32,"9")+COUNTIF(AP8:AP32,"10")+COUNTIF(AP8:AP32,"11")+COUNTIF(AP8:AP32,"12")+COUNTIF(AP8:AP32,"13")+COUNTIF(AP8:AP32,"14")+COUNTIF(AP8:AP32,"15")+COUNTIF(AP8:AP32,"16")+COUNTIF(AP8:AP32,"17")+COUNTIF(AP8:AP32,"18")+COUNTIF(AP8:AP32,"19")+COUNTIF(AP8:AP32,"20")+COUNTIF(AP8:AP32,"21")+COUNTIF(AP8:AP32,"22")+COUNTIF(AP8:AP32,"23")+COUNTIF(AP8:AP32,"24")+COUNTIF(AP8:AP32,"25"),"")</f>
        <v/>
      </c>
      <c r="AQ33" s="14" t="str">
        <f t="shared" si="1"/>
        <v/>
      </c>
      <c r="AR33" s="21" t="str">
        <f>IF(AR17&lt;&gt;"",IF(C8=AR17,G10,IF(C10=AR17,G10,IF(C16=AR17,G18,IF(C18=AR17,G18,IF(C38=AR17,G40,IF(C40=AR17,G40,IF(C46=AR17,G48,IF(C48=AR17,G48,IF(C24=AR17,G26,IF(C26=AR17,G26,IF(C32=AR17,G34,IF(C34=AR17,G34,IF(C54=AR17,G56,IF(C56=AR17,G56,IF(C62=AR17,G64,IF(C64=AR17,G64,IF(AK8=AR17,AI10,IF(AK10=AR17,AI10,IF(AK16=AR17,AI18,IF(AK18=AR17,AI18,IF(AK38=AR17,AI40,IF(AK40=AR17,AI40,IF(AK46=AR17,AI48,IF(AK48=AR17,AI48,IF(AK24=AR17,AI26,IF(AK26=AR17,AI26,IF(AK32=AR17,AI34,IF(AK34=AR17,AI34,IF(AK54=AR17,AI56,IF(AK56=AR17,AI56,IF(AK62=AR17,AI64,IF(AK64=AR17,AI64)))))))))))))))))))))))))))))))),"")</f>
        <v/>
      </c>
      <c r="AS33" s="15" t="str">
        <f>IFERROR(IF(AR33="","",VLOOKUP(AR33,LISTAS!$F$5:$G$1004,2,0)),"0")</f>
        <v/>
      </c>
      <c r="AT33" s="15" t="str">
        <f t="shared" si="0"/>
        <v/>
      </c>
      <c r="AU33" s="15" t="str">
        <f t="shared" si="2"/>
        <v/>
      </c>
    </row>
    <row r="34" spans="2:47" ht="18" customHeight="1" thickBot="1" x14ac:dyDescent="0.3">
      <c r="B34" s="16">
        <v>8</v>
      </c>
      <c r="C34" s="162" t="str">
        <f>IF('09F GRP'!G5&gt;=3,'09F GRP'!J112,IF('09F GRP'!G5=2,"",IF('09F GRP'!G5=1,"","")))</f>
        <v/>
      </c>
      <c r="D34" s="234">
        <v>0</v>
      </c>
      <c r="E34" s="57">
        <f>IF(D34&lt;&gt;"",D34,"")</f>
        <v>0</v>
      </c>
      <c r="F34" s="51" t="str">
        <f>IF(D34&lt;&gt;"",IF(C34="","",C34),"")</f>
        <v/>
      </c>
      <c r="G34" s="176" t="str">
        <f>VLOOKUP(G32,E32:F34,2,0)</f>
        <v/>
      </c>
      <c r="H34" s="11"/>
      <c r="I34" s="11"/>
      <c r="J34" s="11"/>
      <c r="K34" s="166"/>
      <c r="L34" s="11"/>
      <c r="M34" s="18"/>
      <c r="N34" s="11"/>
      <c r="O34" s="166"/>
      <c r="P34" s="11"/>
      <c r="Q34" s="8"/>
      <c r="R34" s="236" t="s">
        <v>37</v>
      </c>
      <c r="S34" s="236"/>
      <c r="T34" s="236"/>
      <c r="U34" s="236"/>
      <c r="V34" s="236"/>
      <c r="W34" s="8"/>
      <c r="X34" s="62"/>
      <c r="Y34" s="182"/>
      <c r="Z34" s="65"/>
      <c r="AA34" s="8"/>
      <c r="AB34" s="11"/>
      <c r="AC34" s="182"/>
      <c r="AD34" s="8"/>
      <c r="AE34" s="8"/>
      <c r="AF34" s="8"/>
      <c r="AG34" s="181">
        <f>IF(AJ34&lt;&gt;"",AJ34,"")</f>
        <v>0</v>
      </c>
      <c r="AH34" s="78" t="str">
        <f>IF(AJ34&lt;&gt;"",IF(AK34="","",AK34),"")</f>
        <v/>
      </c>
      <c r="AI34" s="125" t="str">
        <f>VLOOKUP(AI32,AG32:AH34,2,0)</f>
        <v/>
      </c>
      <c r="AJ34" s="234">
        <v>0</v>
      </c>
      <c r="AK34" s="162" t="str">
        <f>IF('09F GRP'!G5&gt;=3,'09F GRP'!J86,IF('09F GRP'!G5=2,"",IF('09F GRP'!G5=1,"","")))</f>
        <v/>
      </c>
      <c r="AL34" s="11">
        <v>6</v>
      </c>
      <c r="AP34" s="13" t="str">
        <f>IF(AR34&lt;&gt;"",1+COUNTIF(AP8:AP33,"1")+COUNTIF(AP8:AP33,"2")+COUNTIF(AP8:AP33,"3")+COUNTIF(AP8:AP33,"4")+COUNTIF(AP8:AP33,"5")+COUNTIF(AP8:AP33,"6")+COUNTIF(AP8:AP33,"7")+COUNTIF(AP8:AP33,"8")+COUNTIF(AP8:AP33,"9")+COUNTIF(AP8:AP33,"10")+COUNTIF(AP8:AP33,"11")+COUNTIF(AP8:AP33,"12")+COUNTIF(AP8:AP33,"13")+COUNTIF(AP8:AP33,"14")+COUNTIF(AP8:AP33,"15")+COUNTIF(AP8:AP33,"16")+COUNTIF(AP8:AP33,"17")+COUNTIF(AP8:AP33,"18")+COUNTIF(AP8:AP33,"19")+COUNTIF(AP8:AP33,"20")+COUNTIF(AP8:AP33,"21")+COUNTIF(AP8:AP33,"22")+COUNTIF(AP8:AP33,"23")+COUNTIF(AP8:AP33,"24")+COUNTIF(AP8:AP33,"25")+COUNTIF(AP8:AP33,"26"),"")</f>
        <v/>
      </c>
      <c r="AQ34" s="14" t="str">
        <f t="shared" si="1"/>
        <v/>
      </c>
      <c r="AR34" s="21" t="str">
        <f>IF(AR18&lt;&gt;"",IF(C8=AR18,G10,IF(C10=AR18,G10,IF(C16=AR18,G18,IF(C18=AR18,G18,IF(C38=AR18,G40,IF(C40=AR18,G40,IF(C46=AR18,G48,IF(C48=AR18,G48,IF(C24=AR18,G26,IF(C26=AR18,G26,IF(C32=AR18,G34,IF(C34=AR18,G34,IF(C54=AR18,G56,IF(C56=AR18,G56,IF(C62=AR18,G64,IF(C64=AR18,G64,IF(AK8=AR18,AI10,IF(AK10=AR18,AI10,IF(AK16=AR18,AI18,IF(AK18=AR18,AI18,IF(AK38=AR18,AI40,IF(AK40=AR18,AI40,IF(AK46=AR18,AI48,IF(AK48=AR18,AI48,IF(AK24=AR18,AI26,IF(AK26=AR18,AI26,IF(AK32=AR18,AI34,IF(AK34=AR18,AI34,IF(AK54=AR18,AI56,IF(AK56=AR18,AI56,IF(AK62=AR18,AI64,IF(AK64=AR18,AI64)))))))))))))))))))))))))))))))),"")</f>
        <v/>
      </c>
      <c r="AS34" s="15" t="str">
        <f>IFERROR(IF(AR34="","",VLOOKUP(AR34,LISTAS!$F$5:$G$1004,2,0)),"0")</f>
        <v/>
      </c>
      <c r="AT34" s="15" t="str">
        <f t="shared" si="0"/>
        <v/>
      </c>
      <c r="AU34" s="15" t="str">
        <f t="shared" si="2"/>
        <v/>
      </c>
    </row>
    <row r="35" spans="2:47" ht="18" customHeight="1" thickBot="1" x14ac:dyDescent="0.3">
      <c r="B35" s="16"/>
      <c r="C35" s="165" t="str">
        <f>IFERROR(IF(C34="","",VLOOKUP(C34,LISTAS!$F$5:$G$1004,2,0)),"0")</f>
        <v/>
      </c>
      <c r="D35" s="235"/>
      <c r="E35" s="51"/>
      <c r="F35" s="51"/>
      <c r="G35" s="176"/>
      <c r="H35" s="11"/>
      <c r="I35" s="11"/>
      <c r="J35" s="11"/>
      <c r="K35" s="166"/>
      <c r="L35" s="11"/>
      <c r="M35" s="18"/>
      <c r="N35" s="11"/>
      <c r="O35" s="162" t="str">
        <f>IF(L20&lt;&gt;"",IF(L22&lt;&gt;"",IF(L20=L22,"",IF(L20&gt;L22,K20,K22)),""),"")</f>
        <v>LAURA PAIVA BRANCALHÃO</v>
      </c>
      <c r="P35" s="234">
        <v>0</v>
      </c>
      <c r="Q35" s="8"/>
      <c r="R35" s="167"/>
      <c r="S35" s="71"/>
      <c r="T35" s="71"/>
      <c r="U35" s="71"/>
      <c r="V35" s="167"/>
      <c r="W35" s="8"/>
      <c r="X35" s="234">
        <v>1</v>
      </c>
      <c r="Y35" s="162" t="str">
        <f>IF(AB20&lt;&gt;"",IF(AB22&lt;&gt;"",IF(AB20=AB22,"",IF(AB20&gt;AB22,AC20,AC22)),""),"")</f>
        <v>MARIA DOMENICA FURUKAVA MONTEIRO</v>
      </c>
      <c r="Z35" s="65"/>
      <c r="AA35" s="8"/>
      <c r="AB35" s="11"/>
      <c r="AC35" s="182"/>
      <c r="AD35" s="8"/>
      <c r="AE35" s="8"/>
      <c r="AF35" s="8"/>
      <c r="AG35" s="181"/>
      <c r="AH35" s="78"/>
      <c r="AI35" s="51"/>
      <c r="AJ35" s="235"/>
      <c r="AK35" s="165" t="str">
        <f>IFERROR(IF(AK34="","",VLOOKUP(AK34,LISTAS!$F$5:$G$1004,2,0)),"0")</f>
        <v/>
      </c>
      <c r="AL35" s="11"/>
      <c r="AP35" s="13" t="str">
        <f>IF(AR35&lt;&gt;"",1+COUNTIF(AP8:AP34,"1")+COUNTIF(AP8:AP34,"2")+COUNTIF(AP8:AP34,"3")+COUNTIF(AP8:AP34,"4")+COUNTIF(AP8:AP34,"5")+COUNTIF(AP8:AP34,"6")+COUNTIF(AP8:AP34,"7")+COUNTIF(AP8:AP34,"8")+COUNTIF(AP8:AP34,"9")+COUNTIF(AP8:AP34,"10")+COUNTIF(AP8:AP34,"11")+COUNTIF(AP8:AP34,"12")+COUNTIF(AP8:AP34,"13")+COUNTIF(AP8:AP34,"14")+COUNTIF(AP8:AP34,"15")+COUNTIF(AP8:AP34,"16")+COUNTIF(AP8:AP34,"17")+COUNTIF(AP8:AP34,"18")+COUNTIF(AP8:AP34,"19")+COUNTIF(AP8:AP34,"20")+COUNTIF(AP8:AP34,"21")+COUNTIF(AP8:AP34,"22")+COUNTIF(AP8:AP34,"23")+COUNTIF(AP8:AP34,"24")+COUNTIF(AP8:AP34,"25")+COUNTIF(AP8:AP34,"26")+COUNTIF(AP8:AP34,"27"),"")</f>
        <v/>
      </c>
      <c r="AQ35" s="14" t="str">
        <f t="shared" si="1"/>
        <v/>
      </c>
      <c r="AR35" s="21" t="str">
        <f>IF(AR19&lt;&gt;"",IF(C8=AR19,G10,IF(C10=AR19,G10,IF(C16=AR19,G18,IF(C18=AR19,G18,IF(C38=AR19,G40,IF(C40=AR19,G40,IF(C46=AR19,G48,IF(C48=AR19,G48,IF(C24=AR19,G26,IF(C26=AR19,G26,IF(C32=AR19,G34,IF(C34=AR19,G34,IF(C54=AR19,G56,IF(C56=AR19,G56,IF(C62=AR19,G64,IF(C64=AR19,G64,IF(AK8=AR19,AI10,IF(AK10=AR19,AI10,IF(AK16=AR19,AI18,IF(AK18=AR19,AI18,IF(AK38=AR19,AI40,IF(AK40=AR19,AI40,IF(AK46=AR19,AI48,IF(AK48=AR19,AI48,IF(AK24=AR19,AI26,IF(AK26=AR19,AI26,IF(AK32=AR19,AI34,IF(AK34=AR19,AI34,IF(AK54=AR19,AI56,IF(AK56=AR19,AI56,IF(AK62=AR19,AI64,IF(AK64=AR19,AI64)))))))))))))))))))))))))))))))),"")</f>
        <v/>
      </c>
      <c r="AS35" s="15" t="str">
        <f>IFERROR(IF(AR35="","",VLOOKUP(AR35,LISTAS!$F$5:$G$1004,2,0)),"0")</f>
        <v/>
      </c>
      <c r="AT35" s="15" t="str">
        <f t="shared" si="0"/>
        <v/>
      </c>
      <c r="AU35" s="15" t="str">
        <f t="shared" si="2"/>
        <v/>
      </c>
    </row>
    <row r="36" spans="2:47" ht="18" customHeight="1" thickBot="1" x14ac:dyDescent="0.3">
      <c r="B36" s="16"/>
      <c r="C36" s="166"/>
      <c r="D36" s="11"/>
      <c r="E36" s="11"/>
      <c r="F36" s="11"/>
      <c r="G36" s="166"/>
      <c r="H36" s="11"/>
      <c r="I36" s="11"/>
      <c r="J36" s="11"/>
      <c r="K36" s="166"/>
      <c r="L36" s="11"/>
      <c r="M36" s="18"/>
      <c r="N36" s="11"/>
      <c r="O36" s="165" t="str">
        <f>IFERROR(IF(O35="","",VLOOKUP(O35,LISTAS!$F$5:$G$1004,2,0)),"0")</f>
        <v>LICEU JARDIM</v>
      </c>
      <c r="P36" s="235"/>
      <c r="Q36" s="8"/>
      <c r="R36" s="162" t="str">
        <f>IF(P35&lt;&gt;"",IF(P37&lt;&gt;"",IF(P35=P37,"",IF(P35&gt;P37,O35,O37)),""),"")</f>
        <v>YASMIN HARUMI SERIKAWA MORI</v>
      </c>
      <c r="S36" s="234">
        <v>1</v>
      </c>
      <c r="T36" s="237" t="s">
        <v>38</v>
      </c>
      <c r="U36" s="234">
        <v>0</v>
      </c>
      <c r="V36" s="162" t="str">
        <f>IF(X35&lt;&gt;"",IF(X37&lt;&gt;"",IF(X35=X37,"",IF(X35&gt;X37,Y35,Y37)),""),"")</f>
        <v>MARIA DOMENICA FURUKAVA MONTEIRO</v>
      </c>
      <c r="W36" s="112"/>
      <c r="X36" s="235"/>
      <c r="Y36" s="165" t="str">
        <f>IFERROR(IF(Y35="","",VLOOKUP(Y35,LISTAS!$F$5:$G$1004,2,0)),"0")</f>
        <v>COLÉGIO SÃO MAURO</v>
      </c>
      <c r="Z36" s="112"/>
      <c r="AA36" s="8"/>
      <c r="AB36" s="11"/>
      <c r="AC36" s="182"/>
      <c r="AD36" s="8"/>
      <c r="AE36" s="8"/>
      <c r="AF36" s="8"/>
      <c r="AG36" s="182"/>
      <c r="AH36" s="8"/>
      <c r="AI36" s="8"/>
      <c r="AJ36" s="11"/>
      <c r="AK36" s="166"/>
      <c r="AL36" s="11"/>
      <c r="AP36" s="13" t="str">
        <f>IF(AR36&lt;&gt;"",1+COUNTIF(AP8:AP35,"1")+COUNTIF(AP8:AP35,"2")+COUNTIF(AP8:AP35,"3")+COUNTIF(AP8:AP35,"4")+COUNTIF(AP8:AP35,"5")+COUNTIF(AP8:AP35,"6")+COUNTIF(AP8:AP35,"7")+COUNTIF(AP8:AP35,"8")+COUNTIF(AP8:AP35,"9")+COUNTIF(AP8:AP35,"10")+COUNTIF(AP8:AP35,"11")+COUNTIF(AP8:AP35,"12")+COUNTIF(AP8:AP35,"13")+COUNTIF(AP8:AP35,"14")+COUNTIF(AP8:AP35,"15")+COUNTIF(AP8:AP35,"16")+COUNTIF(AP8:AP35,"17")+COUNTIF(AP8:AP35,"18")+COUNTIF(AP8:AP35,"19")+COUNTIF(AP8:AP35,"20")+COUNTIF(AP8:AP35,"21")+COUNTIF(AP8:AP35,"22")+COUNTIF(AP8:AP35,"23")+COUNTIF(AP8:AP35,"24")+COUNTIF(AP8:AP35,"25")+COUNTIF(AP8:AP35,"26")+COUNTIF(AP8:AP35,"27")+COUNTIF(AP8:AP35,"28"),"")</f>
        <v/>
      </c>
      <c r="AQ36" s="14" t="str">
        <f t="shared" si="1"/>
        <v/>
      </c>
      <c r="AR36" s="21" t="str">
        <f>IF(AR20&lt;&gt;"",IF(C8=AR20,G10,IF(C10=AR20,G10,IF(C16=AR20,G18,IF(C18=AR20,G18,IF(C38=AR20,G40,IF(C40=AR20,G40,IF(C46=AR20,G48,IF(C48=AR20,G48,IF(C24=AR20,G26,IF(C26=AR20,G26,IF(C32=AR20,G34,IF(C34=AR20,G34,IF(C54=AR20,G56,IF(C56=AR20,G56,IF(C62=AR20,G64,IF(C64=AR20,G64,IF(AK8=AR20,AI10,IF(AK10=AR20,AI10,IF(AK16=AR20,AI18,IF(AK18=AR20,AI18,IF(AK38=AR20,AI40,IF(AK40=AR20,AI40,IF(AK46=AR20,AI48,IF(AK48=AR20,AI48,IF(AK24=AR20,AI26,IF(AK26=AR20,AI26,IF(AK32=AR20,AI34,IF(AK34=AR20,AI34,IF(AK54=AR20,AI56,IF(AK56=AR20,AI56,IF(AK62=AR20,AI64,IF(AK64=AR20,AI64)))))))))))))))))))))))))))))))),"")</f>
        <v/>
      </c>
      <c r="AS36" s="15" t="str">
        <f>IFERROR(IF(AR36="","",VLOOKUP(AR36,LISTAS!$F$5:$G$1004,2,0)),"0")</f>
        <v/>
      </c>
      <c r="AT36" s="15" t="str">
        <f t="shared" si="0"/>
        <v/>
      </c>
      <c r="AU36" s="15" t="str">
        <f t="shared" si="2"/>
        <v/>
      </c>
    </row>
    <row r="37" spans="2:47" ht="18" customHeight="1" thickBot="1" x14ac:dyDescent="0.3">
      <c r="B37" s="16"/>
      <c r="C37" s="166"/>
      <c r="D37" s="11"/>
      <c r="E37" s="11"/>
      <c r="F37" s="11"/>
      <c r="G37" s="166"/>
      <c r="H37" s="11"/>
      <c r="I37" s="11"/>
      <c r="J37" s="11"/>
      <c r="K37" s="166"/>
      <c r="L37" s="11"/>
      <c r="M37" s="18"/>
      <c r="N37" s="19"/>
      <c r="O37" s="162" t="str">
        <f>IF(L50&lt;&gt;"",IF(L52&lt;&gt;"",IF(L50=L52,"",IF(L50&gt;L52,K50,K52)),""),"")</f>
        <v>YASMIN HARUMI SERIKAWA MORI</v>
      </c>
      <c r="P37" s="234">
        <v>1</v>
      </c>
      <c r="Q37" s="72"/>
      <c r="R37" s="165" t="str">
        <f>IFERROR(IF(R36="","",VLOOKUP(R36,LISTAS!$F$5:$G$1004,2,0)),"0")</f>
        <v>COLÉGIO ARBOS SÃO CAETANO DO SUL</v>
      </c>
      <c r="S37" s="235"/>
      <c r="T37" s="237"/>
      <c r="U37" s="235"/>
      <c r="V37" s="165" t="str">
        <f>IFERROR(IF(V36="","",VLOOKUP(V36,LISTAS!$F$5:$G$1004,2,0)),"0")</f>
        <v>COLÉGIO SÃO MAURO</v>
      </c>
      <c r="W37" s="66"/>
      <c r="X37" s="234">
        <v>0</v>
      </c>
      <c r="Y37" s="162" t="str">
        <f>IF(AB50&lt;&gt;"",IF(AB52&lt;&gt;"",IF(AB50=AB52,"",IF(AB50&gt;AB52,AC50,AC52)),""),"")</f>
        <v>LAIS FRANCELINO RODRIGUES</v>
      </c>
      <c r="Z37" s="66"/>
      <c r="AA37" s="8"/>
      <c r="AB37" s="11"/>
      <c r="AC37" s="182"/>
      <c r="AD37" s="8"/>
      <c r="AE37" s="8"/>
      <c r="AF37" s="8"/>
      <c r="AG37" s="182"/>
      <c r="AH37" s="8"/>
      <c r="AI37" s="8"/>
      <c r="AJ37" s="11"/>
      <c r="AK37" s="166"/>
      <c r="AL37" s="11"/>
      <c r="AP37" s="13" t="str">
        <f>IF(AR37&lt;&gt;"",1+COUNTIF(AP8:AP36,"1")+COUNTIF(AP8:AP36,"2")+COUNTIF(AP8:AP36,"3")+COUNTIF(AP8:AP36,"4")+COUNTIF(AP8:AP36,"5")+COUNTIF(AP8:AP36,"6")+COUNTIF(AP8:AP36,"7")+COUNTIF(AP8:AP36,"8")+COUNTIF(AP8:AP36,"9")+COUNTIF(AP8:AP36,"10")+COUNTIF(AP8:AP36,"11")+COUNTIF(AP8:AP36,"12")+COUNTIF(AP8:AP36,"13")+COUNTIF(AP8:AP36,"14")+COUNTIF(AP8:AP36,"15")+COUNTIF(AP8:AP36,"16")+COUNTIF(AP8:AP36,"17")+COUNTIF(AP8:AP36,"18")+COUNTIF(AP8:AP36,"19")+COUNTIF(AP8:AP36,"20")+COUNTIF(AP8:AP36,"21")+COUNTIF(AP8:AP36,"22")+COUNTIF(AP8:AP36,"23")+COUNTIF(AP8:AP36,"24")+COUNTIF(AP8:AP36,"25")+COUNTIF(AP8:AP36,"26")+COUNTIF(AP8:AP36,"27")+COUNTIF(AP8:AP36,"28")+COUNTIF(AP8:AP36,"29"),"")</f>
        <v/>
      </c>
      <c r="AQ37" s="14" t="str">
        <f t="shared" si="1"/>
        <v/>
      </c>
      <c r="AR37" s="21" t="str">
        <f>IF(AR21&lt;&gt;"",IF(C8=AR21,G10,IF(C10=AR21,G10,IF(C16=AR21,G18,IF(C18=AR21,G18,IF(C38=AR21,G40,IF(C40=AR21,G40,IF(C46=AR21,G48,IF(C48=AR21,G48,IF(C24=AR21,G26,IF(C26=AR21,G26,IF(C32=AR21,G34,IF(C34=AR21,G34,IF(C54=AR21,G56,IF(C56=AR21,G56,IF(C62=AR21,G64,IF(C64=AR21,G64,IF(AK8=AR21,AI10,IF(AK10=AR21,AI10,IF(AK16=AR21,AI18,IF(AK18=AR21,AI18,IF(AK38=AR21,AI40,IF(AK40=AR21,AI40,IF(AK46=AR21,AI48,IF(AK48=AR21,AI48,IF(AK24=AR21,AI26,IF(AK26=AR21,AI26,IF(AK32=AR21,AI34,IF(AK34=AR21,AI34,IF(AK54=AR21,AI56,IF(AK56=AR21,AI56,IF(AK62=AR21,AI64,IF(AK64=AR21,AI64)))))))))))))))))))))))))))))))),"")</f>
        <v/>
      </c>
      <c r="AS37" s="15" t="str">
        <f>IFERROR(IF(AR37="","",VLOOKUP(AR37,LISTAS!$F$5:$G$1004,2,0)),"0")</f>
        <v/>
      </c>
      <c r="AT37" s="15" t="str">
        <f t="shared" si="0"/>
        <v/>
      </c>
      <c r="AU37" s="15" t="str">
        <f t="shared" si="2"/>
        <v/>
      </c>
    </row>
    <row r="38" spans="2:47" ht="18" customHeight="1" thickBot="1" x14ac:dyDescent="0.3">
      <c r="B38" s="16">
        <v>5</v>
      </c>
      <c r="C38" s="162" t="str">
        <f>IF('09F GRP'!G5&gt;=3,'09F GRP'!J73,IF('09F GRP'!G5=2,"",IF('09F GRP'!G5=1,'09F GRP'!J12,"")))</f>
        <v>YASMIN HARUMI SERIKAWA MORI</v>
      </c>
      <c r="D38" s="234">
        <v>2</v>
      </c>
      <c r="E38" s="51">
        <f>IF(D38&lt;&gt;"",D38,"")</f>
        <v>2</v>
      </c>
      <c r="F38" s="51" t="str">
        <f>IF(D38&lt;&gt;"",IF(C38="","",C38),"")</f>
        <v>YASMIN HARUMI SERIKAWA MORI</v>
      </c>
      <c r="G38" s="176">
        <f>IF(E38&lt;&gt;"",IF(E40&lt;&gt;"",SMALL(E38:E40,1),""),"")</f>
        <v>0</v>
      </c>
      <c r="H38" s="11"/>
      <c r="I38" s="11"/>
      <c r="J38" s="11"/>
      <c r="K38" s="166"/>
      <c r="L38" s="11"/>
      <c r="M38" s="18"/>
      <c r="N38" s="8"/>
      <c r="O38" s="165" t="str">
        <f>IFERROR(IF(O37="","",VLOOKUP(O37,LISTAS!$F$5:$G$1004,2,0)),"0")</f>
        <v>COLÉGIO ARBOS SÃO CAETANO DO SUL</v>
      </c>
      <c r="P38" s="235"/>
      <c r="Q38" s="60"/>
      <c r="R38" s="182"/>
      <c r="S38" s="8"/>
      <c r="T38" s="8"/>
      <c r="U38" s="8"/>
      <c r="V38" s="182"/>
      <c r="W38" s="8"/>
      <c r="X38" s="235"/>
      <c r="Y38" s="165" t="str">
        <f>IFERROR(IF(Y37="","",VLOOKUP(Y37,LISTAS!$F$5:$G$1004,2,0)),"0")</f>
        <v>COLÉGIO ARBOS - UNIDADE SANTO ANDRÉ</v>
      </c>
      <c r="Z38" s="65"/>
      <c r="AA38" s="8"/>
      <c r="AB38" s="11"/>
      <c r="AC38" s="182"/>
      <c r="AD38" s="8"/>
      <c r="AE38" s="8"/>
      <c r="AF38" s="8"/>
      <c r="AG38" s="181">
        <f>IF(AJ38&lt;&gt;"",AJ38,"")</f>
        <v>0</v>
      </c>
      <c r="AH38" s="78" t="str">
        <f>IF(AJ38&lt;&gt;"",IF(AK38="","",AK38),"")</f>
        <v/>
      </c>
      <c r="AI38" s="51">
        <f>IF(AG38&lt;&gt;"",IF(AG40&lt;&gt;"",SMALL(AG38:AG40,1),""),"")</f>
        <v>0</v>
      </c>
      <c r="AJ38" s="234">
        <v>0</v>
      </c>
      <c r="AK38" s="162" t="str">
        <f>IF('09F GRP'!G5&gt;=3,'09F GRP'!J99,IF('09F GRP'!G5=2,"",IF('09F GRP'!G5=1,"","")))</f>
        <v/>
      </c>
      <c r="AL38" s="11">
        <v>7</v>
      </c>
      <c r="AP38" s="13" t="str">
        <f>IF(AR38&lt;&gt;"",1+COUNTIF(AP8:AP37,"1")+COUNTIF(AP8:AP37,"2")+COUNTIF(AP8:AP37,"3")+COUNTIF(AP8:AP37,"4")+COUNTIF(AP8:AP37,"5")+COUNTIF(AP8:AP37,"6")+COUNTIF(AP8:AP37,"7")+COUNTIF(AP8:AP37,"8")+COUNTIF(AP8:AP37,"9")+COUNTIF(AP8:AP37,"10")+COUNTIF(AP8:AP37,"11")+COUNTIF(AP8:AP37,"12")+COUNTIF(AP8:AP37,"13")+COUNTIF(AP8:AP37,"14")+COUNTIF(AP8:AP37,"15")+COUNTIF(AP8:AP37,"16")+COUNTIF(AP8:AP37,"17")+COUNTIF(AP8:AP37,"18")+COUNTIF(AP8:AP37,"19")+COUNTIF(AP8:AP37,"20")+COUNTIF(AP8:AP37,"21")+COUNTIF(AP8:AP37,"22")+COUNTIF(AP8:AP37,"23")+COUNTIF(AP8:AP37,"24")+COUNTIF(AP8:AP37,"25")+COUNTIF(AP8:AP37,"26")+COUNTIF(AP8:AP37,"27")+COUNTIF(AP8:AP37,"28")+COUNTIF(AP8:AP37,"29")+COUNTIF(AP8:AP37,"30"),"")</f>
        <v/>
      </c>
      <c r="AQ38" s="14" t="str">
        <f t="shared" si="1"/>
        <v/>
      </c>
      <c r="AR38" s="21" t="str">
        <f>IF(AR22&lt;&gt;"",IF(C8=AR22,G10,IF(C10=AR22,G10,IF(C16=AR22,G18,IF(C18=AR22,G18,IF(C38=AR22,G40,IF(C40=AR22,G40,IF(C46=AR22,G48,IF(C48=AR22,G48,IF(C24=AR22,G26,IF(C26=AR22,G26,IF(C32=AR22,G34,IF(C34=AR22,G34,IF(C54=AR22,G56,IF(C56=AR22,G56,IF(C62=AR22,G64,IF(C64=AR22,G64,IF(AK8=AR22,AI10,IF(AK10=AR22,AI10,IF(AK16=AR22,AI18,IF(AK18=AR22,AI18,IF(AK38=AR22,AI40,IF(AK40=AR22,AI40,IF(AK46=AR22,AI48,IF(AK48=AR22,AI48,IF(AK24=AR22,AI26,IF(AK26=AR22,AI26,IF(AK32=AR22,AI34,IF(AK34=AR22,AI34,IF(AK54=AR22,AI56,IF(AK56=AR22,AI56,IF(AK62=AR22,AI64,IF(AK64=AR22,AI64)))))))))))))))))))))))))))))))),"")</f>
        <v/>
      </c>
      <c r="AS38" s="15" t="str">
        <f>IFERROR(IF(AR38="","",VLOOKUP(AR38,LISTAS!$F$5:$G$1004,2,0)),"0")</f>
        <v/>
      </c>
      <c r="AT38" s="15" t="str">
        <f t="shared" si="0"/>
        <v/>
      </c>
      <c r="AU38" s="15" t="str">
        <f t="shared" si="2"/>
        <v/>
      </c>
    </row>
    <row r="39" spans="2:47" ht="18" customHeight="1" thickBot="1" x14ac:dyDescent="0.3">
      <c r="B39" s="16"/>
      <c r="C39" s="165" t="str">
        <f>IFERROR(IF(C38="","",VLOOKUP(C38,LISTAS!$F$5:$G$1004,2,0)),"0")</f>
        <v>COLÉGIO ARBOS SÃO CAETANO DO SUL</v>
      </c>
      <c r="D39" s="235"/>
      <c r="E39" s="51"/>
      <c r="F39" s="51"/>
      <c r="G39" s="176"/>
      <c r="H39" s="11"/>
      <c r="I39" s="11"/>
      <c r="J39" s="11"/>
      <c r="K39" s="166"/>
      <c r="L39" s="11"/>
      <c r="M39" s="54"/>
      <c r="N39" s="78"/>
      <c r="O39" s="181"/>
      <c r="P39" s="78"/>
      <c r="Q39" s="78"/>
      <c r="R39" s="182"/>
      <c r="S39" s="8"/>
      <c r="T39" s="8"/>
      <c r="U39" s="8"/>
      <c r="V39" s="182"/>
      <c r="W39" s="8"/>
      <c r="X39" s="62"/>
      <c r="Y39" s="182"/>
      <c r="Z39" s="65"/>
      <c r="AA39" s="8"/>
      <c r="AB39" s="11"/>
      <c r="AC39" s="182"/>
      <c r="AD39" s="8"/>
      <c r="AE39" s="8"/>
      <c r="AF39" s="8"/>
      <c r="AG39" s="181"/>
      <c r="AH39" s="78"/>
      <c r="AI39" s="51"/>
      <c r="AJ39" s="235"/>
      <c r="AK39" s="165" t="str">
        <f>IFERROR(IF(AK38="","",VLOOKUP(AK38,LISTAS!$F$5:$G$1004,2,0)),"0")</f>
        <v/>
      </c>
      <c r="AL39" s="11"/>
      <c r="AP39" s="13" t="str">
        <f>IF(AR39&lt;&gt;"",1+COUNTIF(AP8:AP38,"1")+COUNTIF(AP8:AP38,"2")+COUNTIF(AP8:AP38,"3")+COUNTIF(AP8:AP38,"4")+COUNTIF(AP8:AP38,"5")+COUNTIF(AP8:AP38,"6")+COUNTIF(AP8:AP38,"7")+COUNTIF(AP8:AP38,"8")+COUNTIF(AP8:AP38,"9")+COUNTIF(AP8:AP38,"10")+COUNTIF(AP8:AP38,"11")+COUNTIF(AP8:AP38,"12")+COUNTIF(AP8:AP38,"13")+COUNTIF(AP8:AP38,"14")+COUNTIF(AP8:AP38,"15")+COUNTIF(AP8:AP38,"16")+COUNTIF(AP8:AP38,"17")+COUNTIF(AP8:AP38,"18")+COUNTIF(AP8:AP38,"19")+COUNTIF(AP8:AP38,"20")+COUNTIF(AP8:AP38,"21")+COUNTIF(AP8:AP38,"22")+COUNTIF(AP8:AP38,"23")+COUNTIF(AP8:AP38,"24")+COUNTIF(AP8:AP38,"25")+COUNTIF(AP8:AP38,"26")+COUNTIF(AP8:AP38,"27")+COUNTIF(AP8:AP38,"28")+COUNTIF(AP8:AP38,"29")+COUNTIF(AP8:AP38,"30")+COUNTIF(AP8:AP38,"31"),"")</f>
        <v/>
      </c>
      <c r="AQ39" s="14" t="str">
        <f t="shared" si="1"/>
        <v/>
      </c>
      <c r="AR39" s="21" t="str">
        <f>IF(AR23&lt;&gt;"",IF(C8=AR23,G10,IF(C10=AR23,G10,IF(C16=AR23,G18,IF(C18=AR23,G18,IF(C38=AR23,G40,IF(C40=AR23,G40,IF(C46=AR23,G48,IF(C48=AR23,G48,IF(C24=AR23,G26,IF(C26=AR23,G26,IF(C32=AR23,G34,IF(C34=AR23,G34,IF(C54=AR23,G56,IF(C56=AR23,G56,IF(C62=AR23,G64,IF(C64=AR23,G64,IF(AK8=AR23,AI10,IF(AK10=AR23,AI10,IF(AK16=AR23,AI18,IF(AK18=AR23,AI18,IF(AK38=AR23,AI40,IF(AK40=AR23,AI40,IF(AK46=AR23,AI48,IF(AK48=AR23,AI48,IF(AK24=AR23,AI26,IF(AK26=AR23,AI26,IF(AK32=AR23,AI34,IF(AK34=AR23,AI34,IF(AK54=AR23,AI56,IF(AK56=AR23,AI56,IF(AK62=AR23,AI64,IF(AK64=AR23,AI64)))))))))))))))))))))))))))))))),"")</f>
        <v/>
      </c>
      <c r="AS39" s="15" t="str">
        <f>IFERROR(IF(AR39="","",VLOOKUP(AR39,LISTAS!$F$5:$G$1004,2,0)),"0")</f>
        <v/>
      </c>
      <c r="AT39" s="15" t="str">
        <f>IF(AP39="","",IF(AP39=1,400,IF(AP39=2,340,IF(AP39=3,300,IF(AP39=4,280,IF(AP39=5,270,IF(AP39=6,260,IF(AP39=7,250,IF(AP39=8,240,IF(AP39=9,200,IF(AP39=10,200,IF(AP39=11,200,IF(AP39=12,200,IF(AP39=13,200,IF(AP39=14,200,IF(AP39=15,200,IF(AP39=16,200,IF(AP39&gt;16,"",""))))))))))))))))))</f>
        <v/>
      </c>
      <c r="AU39" s="15" t="str">
        <f>IF(AP39="","",IF($AS$5="NÃO","",IF(AP39=1,400,IF(AP39=2,340,IF(AP39=3,300,IF(AP39=4,280,IF(AP39=5,270,IF(AP39=6,260,IF(AP39=7,250,IF(AP39=8,240,IF(AP39=9,200,IF(AP39=10,200,IF(AP39=11,200,IF(AP39=12,200,IF(AP39=13,200,IF(AP39=14,200,IF(AP39=15,200,IF(AP39=16,200,IF(AP39&gt;16,"","")))))))))))))))))))</f>
        <v/>
      </c>
    </row>
    <row r="40" spans="2:47" ht="18" customHeight="1" x14ac:dyDescent="0.25">
      <c r="B40" s="16">
        <v>28</v>
      </c>
      <c r="C40" s="162" t="str">
        <f>IF('09F GRP'!G5&gt;=3,'09F GRP'!J372,IF('09F GRP'!G5=2,"",IF('09F GRP'!G5=1,"","")))</f>
        <v/>
      </c>
      <c r="D40" s="234">
        <v>0</v>
      </c>
      <c r="E40" s="52">
        <f>IF(D40&lt;&gt;"",D40,"")</f>
        <v>0</v>
      </c>
      <c r="F40" s="51" t="str">
        <f>IF(D40&lt;&gt;"",IF(C40="","",C40),"")</f>
        <v/>
      </c>
      <c r="G40" s="176" t="str">
        <f>VLOOKUP(G38,E38:F40,2,0)</f>
        <v/>
      </c>
      <c r="H40" s="11"/>
      <c r="I40" s="11"/>
      <c r="J40" s="11"/>
      <c r="K40" s="166"/>
      <c r="L40" s="11"/>
      <c r="M40" s="54"/>
      <c r="N40" s="51">
        <f>IF(P35&lt;&gt;"",P35,"")</f>
        <v>0</v>
      </c>
      <c r="O40" s="176" t="str">
        <f>IF(P35&lt;&gt;"",O35,"")</f>
        <v>LAURA PAIVA BRANCALHÃO</v>
      </c>
      <c r="P40" s="51">
        <f>IF(N40&lt;&gt;"",IF(N42&lt;&gt;"",LARGE(N40:N42,1),""),"")</f>
        <v>1</v>
      </c>
      <c r="Q40" s="78"/>
      <c r="R40" s="182"/>
      <c r="S40" s="8"/>
      <c r="T40" s="8"/>
      <c r="U40" s="8"/>
      <c r="V40" s="182"/>
      <c r="W40" s="8"/>
      <c r="X40" s="62"/>
      <c r="Y40" s="182"/>
      <c r="Z40" s="65"/>
      <c r="AA40" s="8"/>
      <c r="AB40" s="11"/>
      <c r="AC40" s="182"/>
      <c r="AD40" s="8"/>
      <c r="AE40" s="8"/>
      <c r="AF40" s="8"/>
      <c r="AG40" s="181">
        <f>IF(AJ40&lt;&gt;"",AJ40,"")</f>
        <v>0</v>
      </c>
      <c r="AH40" s="78" t="str">
        <f>IF(AJ40&lt;&gt;"",IF(AK40="","",AK40),"")</f>
        <v/>
      </c>
      <c r="AI40" s="55" t="str">
        <f>VLOOKUP(AI38,AG38:AH40,2,0)</f>
        <v/>
      </c>
      <c r="AJ40" s="234">
        <v>0</v>
      </c>
      <c r="AK40" s="162" t="str">
        <f>IF('09F GRP'!G5&gt;=3,'09F GRP'!J346,IF('09F GRP'!G5=2,"",IF('09F GRP'!G5=1,"","")))</f>
        <v/>
      </c>
      <c r="AL40" s="11">
        <v>26</v>
      </c>
    </row>
    <row r="41" spans="2:47" ht="18" customHeight="1" thickBot="1" x14ac:dyDescent="0.3">
      <c r="B41" s="16"/>
      <c r="C41" s="165" t="str">
        <f>IFERROR(IF(C40="","",VLOOKUP(C40,LISTAS!$F$5:$G$1004,2,0)),"0")</f>
        <v/>
      </c>
      <c r="D41" s="235"/>
      <c r="E41" s="128"/>
      <c r="F41" s="51"/>
      <c r="G41" s="176"/>
      <c r="H41" s="11"/>
      <c r="I41" s="11"/>
      <c r="J41" s="11"/>
      <c r="K41" s="166"/>
      <c r="L41" s="11"/>
      <c r="M41" s="54"/>
      <c r="N41" s="51"/>
      <c r="O41" s="176"/>
      <c r="P41" s="51"/>
      <c r="Q41" s="78"/>
      <c r="R41" s="182"/>
      <c r="S41" s="8"/>
      <c r="T41" s="8"/>
      <c r="U41" s="8"/>
      <c r="V41" s="182"/>
      <c r="W41" s="8"/>
      <c r="X41" s="62"/>
      <c r="Y41" s="182"/>
      <c r="Z41" s="65"/>
      <c r="AA41" s="8"/>
      <c r="AB41" s="11"/>
      <c r="AC41" s="182"/>
      <c r="AD41" s="8"/>
      <c r="AE41" s="8"/>
      <c r="AF41" s="8"/>
      <c r="AG41" s="181"/>
      <c r="AH41" s="78"/>
      <c r="AI41" s="123"/>
      <c r="AJ41" s="235"/>
      <c r="AK41" s="165" t="str">
        <f>IFERROR(IF(AK40="","",VLOOKUP(AK40,LISTAS!$F$5:$G$1004,2,0)),"0")</f>
        <v/>
      </c>
      <c r="AL41" s="11"/>
    </row>
    <row r="42" spans="2:47" ht="30" x14ac:dyDescent="0.25">
      <c r="B42" s="16"/>
      <c r="C42" s="166"/>
      <c r="D42" s="11"/>
      <c r="E42" s="11"/>
      <c r="F42" s="17"/>
      <c r="G42" s="162" t="str">
        <f>IF(D38&lt;&gt;"",IF(D40&lt;&gt;"",IF(D38=D40,"",IF(D38&gt;D40,C38,C40)),""),"")</f>
        <v>YASMIN HARUMI SERIKAWA MORI</v>
      </c>
      <c r="H42" s="234">
        <v>2</v>
      </c>
      <c r="I42" s="51">
        <f>IF(H42&lt;&gt;"",H42,"")</f>
        <v>2</v>
      </c>
      <c r="J42" s="51" t="str">
        <f>IF(H42&lt;&gt;"",IF(G42="","",G42),"")</f>
        <v>YASMIN HARUMI SERIKAWA MORI</v>
      </c>
      <c r="K42" s="176">
        <f>IF(I42&lt;&gt;"",IF(I44&lt;&gt;"",SMALL(I42:J44,1),""),"")</f>
        <v>0</v>
      </c>
      <c r="L42" s="11"/>
      <c r="M42" s="54"/>
      <c r="N42" s="51">
        <f>IF(P37&lt;&gt;"",P37,"")</f>
        <v>1</v>
      </c>
      <c r="O42" s="176" t="str">
        <f>IF(P37&lt;&gt;"",O37,"")</f>
        <v>YASMIN HARUMI SERIKAWA MORI</v>
      </c>
      <c r="P42" s="51" t="str">
        <f>VLOOKUP(P40,N40:O42,2,0)</f>
        <v>YASMIN HARUMI SERIKAWA MORI</v>
      </c>
      <c r="Q42" s="78"/>
      <c r="R42" s="182"/>
      <c r="S42" s="8"/>
      <c r="T42" s="8"/>
      <c r="U42" s="8"/>
      <c r="V42" s="182"/>
      <c r="W42" s="8"/>
      <c r="X42" s="62"/>
      <c r="Y42" s="182"/>
      <c r="Z42" s="65"/>
      <c r="AA42" s="8"/>
      <c r="AB42" s="11"/>
      <c r="AC42" s="182"/>
      <c r="AD42" s="8"/>
      <c r="AE42" s="67"/>
      <c r="AF42" s="234">
        <v>0</v>
      </c>
      <c r="AG42" s="162" t="str">
        <f>IF(AJ38&lt;&gt;"",IF(AJ40&lt;&gt;"",IF(AJ38=AJ40,"",IF(AJ38&gt;AJ40,AK38,AK40)),""),"")</f>
        <v/>
      </c>
      <c r="AH42" s="65"/>
      <c r="AI42" s="8"/>
      <c r="AJ42" s="11"/>
      <c r="AK42" s="166"/>
      <c r="AL42" s="11"/>
    </row>
    <row r="43" spans="2:47" ht="45.75" thickBot="1" x14ac:dyDescent="0.3">
      <c r="B43" s="16"/>
      <c r="C43" s="166"/>
      <c r="D43" s="11"/>
      <c r="E43" s="11"/>
      <c r="F43" s="17"/>
      <c r="G43" s="165" t="str">
        <f>IFERROR(IF(G42="","",VLOOKUP(G42,LISTAS!$F$5:$G$1004,2,0)),"0")</f>
        <v>COLÉGIO ARBOS SÃO CAETANO DO SUL</v>
      </c>
      <c r="H43" s="235"/>
      <c r="I43" s="51"/>
      <c r="J43" s="51"/>
      <c r="K43" s="176"/>
      <c r="L43" s="11"/>
      <c r="M43" s="54"/>
      <c r="N43" s="51"/>
      <c r="O43" s="176"/>
      <c r="P43" s="51"/>
      <c r="Q43" s="78"/>
      <c r="R43" s="182"/>
      <c r="S43" s="8"/>
      <c r="T43" s="8"/>
      <c r="U43" s="8"/>
      <c r="V43" s="182"/>
      <c r="W43" s="8"/>
      <c r="X43" s="62"/>
      <c r="Y43" s="182"/>
      <c r="Z43" s="65"/>
      <c r="AA43" s="8"/>
      <c r="AB43" s="11"/>
      <c r="AC43" s="182"/>
      <c r="AD43" s="8"/>
      <c r="AE43" s="67"/>
      <c r="AF43" s="235"/>
      <c r="AG43" s="165" t="str">
        <f>IFERROR(IF(AG42="","",VLOOKUP(AG42,LISTAS!$F$5:$G$1004,2,0)),"0")</f>
        <v/>
      </c>
      <c r="AH43" s="65"/>
      <c r="AI43" s="8"/>
      <c r="AJ43" s="11"/>
      <c r="AK43" s="166"/>
      <c r="AL43" s="11"/>
    </row>
    <row r="44" spans="2:47" ht="18" customHeight="1" x14ac:dyDescent="0.25">
      <c r="B44" s="16"/>
      <c r="C44" s="166"/>
      <c r="D44" s="11"/>
      <c r="E44" s="18"/>
      <c r="F44" s="19"/>
      <c r="G44" s="162" t="str">
        <f>IF(D46&lt;&gt;"",IF(D48&lt;&gt;"",IF(D46=D48,"",IF(D46&gt;D48,C46,C48)),""),"")</f>
        <v/>
      </c>
      <c r="H44" s="234">
        <v>0</v>
      </c>
      <c r="I44" s="52">
        <f>IF(H44&lt;&gt;"",H44,"")</f>
        <v>0</v>
      </c>
      <c r="J44" s="51" t="str">
        <f>IF(H44&lt;&gt;"",IF(G44="","",G44),"")</f>
        <v/>
      </c>
      <c r="K44" s="176" t="str">
        <f>VLOOKUP(K42,I42:J44,2,0)</f>
        <v/>
      </c>
      <c r="L44" s="11"/>
      <c r="M44" s="54"/>
      <c r="N44" s="51">
        <f>IF(P35&lt;&gt;"",P35,"")</f>
        <v>0</v>
      </c>
      <c r="O44" s="176" t="str">
        <f>IF(P35&lt;&gt;"",O35,"")</f>
        <v>LAURA PAIVA BRANCALHÃO</v>
      </c>
      <c r="P44" s="51">
        <f>IF(N44&lt;&gt;"",IF(N46&lt;&gt;"",SMALL(N44:N46,1),""),"")</f>
        <v>0</v>
      </c>
      <c r="Q44" s="78"/>
      <c r="R44" s="182"/>
      <c r="S44" s="8"/>
      <c r="T44" s="8"/>
      <c r="U44" s="8"/>
      <c r="V44" s="182"/>
      <c r="W44" s="8"/>
      <c r="X44" s="62"/>
      <c r="Y44" s="182"/>
      <c r="Z44" s="65"/>
      <c r="AA44" s="8"/>
      <c r="AB44" s="11"/>
      <c r="AC44" s="182"/>
      <c r="AD44" s="65"/>
      <c r="AE44" s="68"/>
      <c r="AF44" s="234">
        <v>0</v>
      </c>
      <c r="AG44" s="162" t="str">
        <f>IF(AJ46&lt;&gt;"",IF(AJ48&lt;&gt;"",IF(AJ46=AJ48,"",IF(AJ46&gt;AJ48,AK46,AK48)),""),"")</f>
        <v/>
      </c>
      <c r="AH44" s="66"/>
      <c r="AI44" s="8"/>
      <c r="AJ44" s="11"/>
      <c r="AK44" s="166"/>
      <c r="AL44" s="11"/>
    </row>
    <row r="45" spans="2:47" ht="18" customHeight="1" thickBot="1" x14ac:dyDescent="0.3">
      <c r="B45" s="16"/>
      <c r="C45" s="166"/>
      <c r="D45" s="11"/>
      <c r="E45" s="18"/>
      <c r="F45" s="11"/>
      <c r="G45" s="165" t="str">
        <f>IFERROR(IF(G44="","",VLOOKUP(G44,LISTAS!$F$5:$G$1004,2,0)),"0")</f>
        <v/>
      </c>
      <c r="H45" s="235"/>
      <c r="I45" s="54"/>
      <c r="J45" s="51"/>
      <c r="K45" s="176"/>
      <c r="L45" s="11"/>
      <c r="M45" s="54"/>
      <c r="N45" s="51"/>
      <c r="O45" s="176"/>
      <c r="P45" s="51"/>
      <c r="Q45" s="78"/>
      <c r="R45" s="182"/>
      <c r="S45" s="8"/>
      <c r="T45" s="8"/>
      <c r="U45" s="8"/>
      <c r="V45" s="182"/>
      <c r="W45" s="8"/>
      <c r="X45" s="62"/>
      <c r="Y45" s="182"/>
      <c r="Z45" s="8"/>
      <c r="AA45" s="69"/>
      <c r="AB45" s="11"/>
      <c r="AC45" s="182"/>
      <c r="AD45" s="65"/>
      <c r="AE45" s="8"/>
      <c r="AF45" s="235"/>
      <c r="AG45" s="165" t="str">
        <f>IFERROR(IF(AG44="","",VLOOKUP(AG44,LISTAS!$F$5:$G$1004,2,0)),"0")</f>
        <v/>
      </c>
      <c r="AH45" s="8"/>
      <c r="AI45" s="69"/>
      <c r="AJ45" s="11"/>
      <c r="AK45" s="166"/>
      <c r="AL45" s="11"/>
    </row>
    <row r="46" spans="2:47" ht="18" customHeight="1" x14ac:dyDescent="0.25">
      <c r="B46" s="16">
        <v>12</v>
      </c>
      <c r="C46" s="162" t="str">
        <f>IF('09F GRP'!G5&gt;=3,'09F GRP'!J164,IF('09F GRP'!G5=2,"",IF('09F GRP'!G5=1,"","")))</f>
        <v/>
      </c>
      <c r="D46" s="234">
        <v>0</v>
      </c>
      <c r="E46" s="56">
        <f>IF(D46&lt;&gt;"",D46,"")</f>
        <v>0</v>
      </c>
      <c r="F46" s="51" t="str">
        <f>IF(D46&lt;&gt;"",IF(C46="","",C46),"")</f>
        <v/>
      </c>
      <c r="G46" s="176">
        <f>IF(E46&lt;&gt;"",IF(E48&lt;&gt;"",SMALL(E46:E48,1),""),"")</f>
        <v>0</v>
      </c>
      <c r="H46" s="51"/>
      <c r="I46" s="54"/>
      <c r="J46" s="51"/>
      <c r="K46" s="176"/>
      <c r="L46" s="11"/>
      <c r="M46" s="54"/>
      <c r="N46" s="51">
        <f>IF(P37&lt;&gt;"",P37,"")</f>
        <v>1</v>
      </c>
      <c r="O46" s="176" t="str">
        <f>IF(P37&lt;&gt;"",O37,"")</f>
        <v>YASMIN HARUMI SERIKAWA MORI</v>
      </c>
      <c r="P46" s="51" t="str">
        <f>VLOOKUP(P44,N44:O46,2,0)</f>
        <v>LAURA PAIVA BRANCALHÃO</v>
      </c>
      <c r="Q46" s="78"/>
      <c r="R46" s="182"/>
      <c r="S46" s="8"/>
      <c r="T46" s="8"/>
      <c r="U46" s="8"/>
      <c r="V46" s="182"/>
      <c r="W46" s="8"/>
      <c r="X46" s="62"/>
      <c r="Y46" s="182"/>
      <c r="Z46" s="8"/>
      <c r="AA46" s="69"/>
      <c r="AB46" s="11"/>
      <c r="AC46" s="182"/>
      <c r="AD46" s="65"/>
      <c r="AE46" s="8"/>
      <c r="AF46" s="8"/>
      <c r="AG46" s="181">
        <f>IF(AJ46&lt;&gt;"",AJ46,"")</f>
        <v>0</v>
      </c>
      <c r="AH46" s="78" t="str">
        <f>IF(AJ46&lt;&gt;"",IF(AK46="","",AK46),"")</f>
        <v/>
      </c>
      <c r="AI46" s="53">
        <f>IF(AG46&lt;&gt;"",IF(AG48&lt;&gt;"",SMALL(AG46:AG48,1),""),"")</f>
        <v>0</v>
      </c>
      <c r="AJ46" s="234">
        <v>0</v>
      </c>
      <c r="AK46" s="162" t="str">
        <f>IF('09F GRP'!G5&gt;=3,'09F GRP'!J138,IF('09F GRP'!G5=2,"",IF('09F GRP'!G5=1,"","")))</f>
        <v/>
      </c>
      <c r="AL46" s="11">
        <v>10</v>
      </c>
    </row>
    <row r="47" spans="2:47" ht="18" customHeight="1" thickBot="1" x14ac:dyDescent="0.3">
      <c r="B47" s="16"/>
      <c r="C47" s="165" t="str">
        <f>IFERROR(IF(C46="","",VLOOKUP(C46,LISTAS!$F$5:$G$1004,2,0)),"0")</f>
        <v/>
      </c>
      <c r="D47" s="235"/>
      <c r="E47" s="57"/>
      <c r="F47" s="51"/>
      <c r="G47" s="176"/>
      <c r="H47" s="51"/>
      <c r="I47" s="54"/>
      <c r="J47" s="11"/>
      <c r="K47" s="166"/>
      <c r="L47" s="11"/>
      <c r="M47" s="54"/>
      <c r="N47" s="51"/>
      <c r="O47" s="176"/>
      <c r="P47" s="51"/>
      <c r="Q47" s="78"/>
      <c r="R47" s="182"/>
      <c r="S47" s="8"/>
      <c r="T47" s="8"/>
      <c r="U47" s="8"/>
      <c r="V47" s="182"/>
      <c r="W47" s="8"/>
      <c r="X47" s="62"/>
      <c r="Y47" s="182"/>
      <c r="Z47" s="8"/>
      <c r="AA47" s="69"/>
      <c r="AB47" s="11"/>
      <c r="AC47" s="182"/>
      <c r="AD47" s="65"/>
      <c r="AE47" s="8"/>
      <c r="AF47" s="8"/>
      <c r="AG47" s="181"/>
      <c r="AH47" s="78"/>
      <c r="AI47" s="124"/>
      <c r="AJ47" s="235"/>
      <c r="AK47" s="165" t="str">
        <f>IFERROR(IF(AK46="","",VLOOKUP(AK46,LISTAS!$F$5:$G$1004,2,0)),"0")</f>
        <v/>
      </c>
      <c r="AL47" s="11"/>
    </row>
    <row r="48" spans="2:47" ht="18" customHeight="1" x14ac:dyDescent="0.25">
      <c r="B48" s="16">
        <v>21</v>
      </c>
      <c r="C48" s="162" t="str">
        <f>IF('09F GRP'!G5&gt;=3,'09F GRP'!J281,IF('09F GRP'!G5=2,"",IF('09F GRP'!G5=1,"","")))</f>
        <v/>
      </c>
      <c r="D48" s="234">
        <v>0</v>
      </c>
      <c r="E48" s="57">
        <f>IF(D48&lt;&gt;"",D48,"")</f>
        <v>0</v>
      </c>
      <c r="F48" s="51" t="str">
        <f>IF(D48&lt;&gt;"",IF(C48="","",C48),"")</f>
        <v/>
      </c>
      <c r="G48" s="176" t="str">
        <f>VLOOKUP(G46,E46:F48,2,0)</f>
        <v/>
      </c>
      <c r="H48" s="51"/>
      <c r="I48" s="54"/>
      <c r="J48" s="11"/>
      <c r="K48" s="166"/>
      <c r="L48" s="11"/>
      <c r="M48" s="54"/>
      <c r="N48" s="51"/>
      <c r="O48" s="176"/>
      <c r="P48" s="51"/>
      <c r="Q48" s="78"/>
      <c r="R48" s="182"/>
      <c r="S48" s="8"/>
      <c r="T48" s="8"/>
      <c r="U48" s="8"/>
      <c r="V48" s="182"/>
      <c r="W48" s="8"/>
      <c r="X48" s="62"/>
      <c r="Y48" s="182"/>
      <c r="Z48" s="8"/>
      <c r="AA48" s="69"/>
      <c r="AB48" s="11"/>
      <c r="AC48" s="182"/>
      <c r="AD48" s="65"/>
      <c r="AE48" s="8"/>
      <c r="AF48" s="8"/>
      <c r="AG48" s="181">
        <f>IF(AJ48&lt;&gt;"",AJ48,"")</f>
        <v>0</v>
      </c>
      <c r="AH48" s="78" t="str">
        <f>IF(AJ48&lt;&gt;"",IF(AK48="","",AK48),"")</f>
        <v/>
      </c>
      <c r="AI48" s="125" t="str">
        <f>VLOOKUP(AI46,AG46:AH48,2,0)</f>
        <v/>
      </c>
      <c r="AJ48" s="234">
        <v>0</v>
      </c>
      <c r="AK48" s="162" t="str">
        <f>IF('09F GRP'!G5&gt;=3,'09F GRP'!J307,IF('09F GRP'!G5=2,"",IF('09F GRP'!G5=1,"","")))</f>
        <v/>
      </c>
      <c r="AL48" s="11">
        <v>23</v>
      </c>
    </row>
    <row r="49" spans="2:41" ht="18" customHeight="1" thickBot="1" x14ac:dyDescent="0.3">
      <c r="B49" s="16"/>
      <c r="C49" s="165" t="str">
        <f>IFERROR(IF(C48="","",VLOOKUP(C48,LISTAS!$F$5:$G$1004,2,0)),"0")</f>
        <v/>
      </c>
      <c r="D49" s="235"/>
      <c r="E49" s="51"/>
      <c r="F49" s="51"/>
      <c r="G49" s="176"/>
      <c r="H49" s="51"/>
      <c r="I49" s="54"/>
      <c r="J49" s="11"/>
      <c r="K49" s="166"/>
      <c r="L49" s="11"/>
      <c r="M49" s="54"/>
      <c r="N49" s="51"/>
      <c r="O49" s="176"/>
      <c r="P49" s="51"/>
      <c r="Q49" s="78"/>
      <c r="R49" s="182"/>
      <c r="S49" s="8"/>
      <c r="T49" s="8"/>
      <c r="U49" s="8"/>
      <c r="V49" s="182"/>
      <c r="W49" s="8"/>
      <c r="X49" s="62"/>
      <c r="Y49" s="182"/>
      <c r="Z49" s="8"/>
      <c r="AA49" s="69"/>
      <c r="AB49" s="11"/>
      <c r="AC49" s="182"/>
      <c r="AD49" s="65"/>
      <c r="AE49" s="8"/>
      <c r="AF49" s="8"/>
      <c r="AG49" s="181"/>
      <c r="AH49" s="78"/>
      <c r="AI49" s="51"/>
      <c r="AJ49" s="235"/>
      <c r="AK49" s="165" t="str">
        <f>IFERROR(IF(AK48="","",VLOOKUP(AK48,LISTAS!$F$5:$G$1004,2,0)),"0")</f>
        <v/>
      </c>
      <c r="AL49" s="11"/>
    </row>
    <row r="50" spans="2:41" ht="18" customHeight="1" x14ac:dyDescent="0.25">
      <c r="B50" s="16"/>
      <c r="C50" s="166"/>
      <c r="D50" s="11"/>
      <c r="E50" s="11"/>
      <c r="F50" s="11"/>
      <c r="G50" s="166"/>
      <c r="H50" s="11"/>
      <c r="I50" s="18"/>
      <c r="J50" s="11"/>
      <c r="K50" s="162" t="str">
        <f>IF(H42&lt;&gt;"",IF(H44&lt;&gt;"",IF(H42=H44,"",IF(H42&gt;H44,G42,G44)),""),"")</f>
        <v>YASMIN HARUMI SERIKAWA MORI</v>
      </c>
      <c r="L50" s="234">
        <v>1</v>
      </c>
      <c r="M50" s="56">
        <f>IF(L50&lt;&gt;"",L50,"")</f>
        <v>1</v>
      </c>
      <c r="N50" s="51" t="str">
        <f>IF(L50&lt;&gt;"",IF(K50="","",K50),"")</f>
        <v>YASMIN HARUMI SERIKAWA MORI</v>
      </c>
      <c r="O50" s="176">
        <f>IF(M50&lt;&gt;"",IF(M52&lt;&gt;"",SMALL(M50:N52,1),""),"")</f>
        <v>0</v>
      </c>
      <c r="P50" s="51"/>
      <c r="Q50" s="78"/>
      <c r="R50" s="182"/>
      <c r="S50" s="8"/>
      <c r="T50" s="8"/>
      <c r="U50" s="8"/>
      <c r="V50" s="182"/>
      <c r="W50" s="8"/>
      <c r="X50" s="62"/>
      <c r="Y50" s="182"/>
      <c r="Z50" s="8"/>
      <c r="AA50" s="70"/>
      <c r="AB50" s="234">
        <v>0</v>
      </c>
      <c r="AC50" s="162" t="str">
        <f>IF(AF42&lt;&gt;"",IF(AF44&lt;&gt;"",IF(AF42=AF44,"",IF(AF42&gt;AF44,AG42,AG44)),""),"")</f>
        <v/>
      </c>
      <c r="AD50" s="112"/>
      <c r="AE50" s="8"/>
      <c r="AF50" s="8"/>
      <c r="AG50" s="182"/>
      <c r="AH50" s="8"/>
      <c r="AI50" s="8"/>
      <c r="AJ50" s="11"/>
      <c r="AK50" s="166"/>
      <c r="AL50" s="11"/>
    </row>
    <row r="51" spans="2:41" ht="18" customHeight="1" thickBot="1" x14ac:dyDescent="0.3">
      <c r="B51" s="16"/>
      <c r="C51" s="166"/>
      <c r="D51" s="11"/>
      <c r="E51" s="11"/>
      <c r="F51" s="11"/>
      <c r="G51" s="166"/>
      <c r="H51" s="11"/>
      <c r="I51" s="18"/>
      <c r="J51" s="11"/>
      <c r="K51" s="165" t="str">
        <f>IFERROR(IF(K50="","",VLOOKUP(K50,LISTAS!$F$5:$G$1004,2,0)),"0")</f>
        <v>COLÉGIO ARBOS SÃO CAETANO DO SUL</v>
      </c>
      <c r="L51" s="235"/>
      <c r="M51" s="57"/>
      <c r="N51" s="51"/>
      <c r="O51" s="176"/>
      <c r="P51" s="51"/>
      <c r="Q51" s="78"/>
      <c r="R51" s="182"/>
      <c r="S51" s="8"/>
      <c r="T51" s="8"/>
      <c r="U51" s="8"/>
      <c r="V51" s="182"/>
      <c r="W51" s="8"/>
      <c r="X51" s="62"/>
      <c r="Y51" s="182"/>
      <c r="Z51" s="8"/>
      <c r="AA51" s="8"/>
      <c r="AB51" s="235"/>
      <c r="AC51" s="165" t="str">
        <f>IFERROR(IF(AC50="","",VLOOKUP(AC50,LISTAS!$F$5:$G$1004,2,0)),"0")</f>
        <v/>
      </c>
      <c r="AD51" s="8"/>
      <c r="AE51" s="69"/>
      <c r="AF51" s="8"/>
      <c r="AG51" s="182"/>
      <c r="AH51" s="8"/>
      <c r="AI51" s="8"/>
      <c r="AJ51" s="11"/>
      <c r="AK51" s="166"/>
      <c r="AL51" s="11"/>
    </row>
    <row r="52" spans="2:41" ht="18" customHeight="1" x14ac:dyDescent="0.25">
      <c r="B52" s="16"/>
      <c r="C52" s="166"/>
      <c r="D52" s="11"/>
      <c r="E52" s="11"/>
      <c r="F52" s="11"/>
      <c r="G52" s="166"/>
      <c r="H52" s="11"/>
      <c r="I52" s="18"/>
      <c r="J52" s="19"/>
      <c r="K52" s="162" t="str">
        <f>IF(H58&lt;&gt;"",IF(H60&lt;&gt;"",IF(H58=H60,"",IF(H58&gt;H60,G58,G60)),""),"")</f>
        <v>CLARA ANTONITSCH VIDO</v>
      </c>
      <c r="L52" s="234">
        <v>0</v>
      </c>
      <c r="M52" s="57">
        <f>IF(L52&lt;&gt;"",L52,"")</f>
        <v>0</v>
      </c>
      <c r="N52" s="51" t="str">
        <f>IF(L52&lt;&gt;"",IF(K52="","",K52),"")</f>
        <v>CLARA ANTONITSCH VIDO</v>
      </c>
      <c r="O52" s="176" t="str">
        <f>VLOOKUP(O50,M50:N52,2,0)</f>
        <v>CLARA ANTONITSCH VIDO</v>
      </c>
      <c r="P52" s="51"/>
      <c r="Q52" s="78"/>
      <c r="R52" s="182"/>
      <c r="S52" s="8"/>
      <c r="T52" s="8"/>
      <c r="U52" s="8"/>
      <c r="V52" s="182"/>
      <c r="W52" s="8"/>
      <c r="X52" s="62"/>
      <c r="Y52" s="182"/>
      <c r="Z52" s="8"/>
      <c r="AA52" s="8"/>
      <c r="AB52" s="234">
        <v>2</v>
      </c>
      <c r="AC52" s="162" t="str">
        <f>IF(AF58&lt;&gt;"",IF(AF60&lt;&gt;"",IF(AF58=AF60,"",IF(AF58&gt;AF60,AG58,AG60)),""),"")</f>
        <v>LAIS FRANCELINO RODRIGUES</v>
      </c>
      <c r="AD52" s="8"/>
      <c r="AE52" s="69"/>
      <c r="AF52" s="8"/>
      <c r="AG52" s="182"/>
      <c r="AH52" s="8"/>
      <c r="AI52" s="8"/>
      <c r="AJ52" s="11"/>
      <c r="AK52" s="166"/>
      <c r="AL52" s="11"/>
    </row>
    <row r="53" spans="2:41" ht="18" customHeight="1" thickBot="1" x14ac:dyDescent="0.3">
      <c r="B53" s="16"/>
      <c r="C53" s="166"/>
      <c r="D53" s="11"/>
      <c r="E53" s="11"/>
      <c r="F53" s="11"/>
      <c r="G53" s="166"/>
      <c r="H53" s="11"/>
      <c r="I53" s="18"/>
      <c r="J53" s="11"/>
      <c r="K53" s="165" t="str">
        <f>IFERROR(IF(K52="","",VLOOKUP(K52,LISTAS!$F$5:$G$1004,2,0)),"0")</f>
        <v>LICEU JARDIM</v>
      </c>
      <c r="L53" s="235"/>
      <c r="M53" s="51"/>
      <c r="N53" s="51"/>
      <c r="O53" s="176"/>
      <c r="P53" s="51"/>
      <c r="Q53" s="78"/>
      <c r="R53" s="182"/>
      <c r="S53" s="8"/>
      <c r="T53" s="8"/>
      <c r="U53" s="8"/>
      <c r="V53" s="182"/>
      <c r="W53" s="8"/>
      <c r="X53" s="62"/>
      <c r="Y53" s="182"/>
      <c r="Z53" s="8"/>
      <c r="AA53" s="8"/>
      <c r="AB53" s="235"/>
      <c r="AC53" s="165" t="str">
        <f>IFERROR(IF(AC52="","",VLOOKUP(AC52,LISTAS!$F$5:$G$1004,2,0)),"0")</f>
        <v>COLÉGIO ARBOS - UNIDADE SANTO ANDRÉ</v>
      </c>
      <c r="AD53" s="8"/>
      <c r="AE53" s="69"/>
      <c r="AF53" s="8"/>
      <c r="AG53" s="182"/>
      <c r="AH53" s="8"/>
      <c r="AI53" s="8"/>
      <c r="AJ53" s="11"/>
      <c r="AK53" s="166"/>
      <c r="AL53" s="11"/>
    </row>
    <row r="54" spans="2:41" ht="18" customHeight="1" x14ac:dyDescent="0.25">
      <c r="B54" s="16">
        <v>20</v>
      </c>
      <c r="C54" s="162" t="str">
        <f>IF('09F GRP'!G5&gt;=3,'09F GRP'!J268,IF('09F GRP'!G5=2,"",IF('09F GRP'!G5=1,"","")))</f>
        <v/>
      </c>
      <c r="D54" s="234">
        <v>0</v>
      </c>
      <c r="E54" s="51">
        <f>IF(D54&lt;&gt;"",D54,"")</f>
        <v>0</v>
      </c>
      <c r="F54" s="51" t="str">
        <f>IF(D54&lt;&gt;"",IF(C54="","",C54),"")</f>
        <v/>
      </c>
      <c r="G54" s="176">
        <f>IF(E54&lt;&gt;"",IF(E56&lt;&gt;"",SMALL(E54:E56,1),""),"")</f>
        <v>0</v>
      </c>
      <c r="H54" s="51"/>
      <c r="I54" s="54"/>
      <c r="J54" s="51"/>
      <c r="K54" s="176"/>
      <c r="L54" s="51"/>
      <c r="M54" s="51"/>
      <c r="N54" s="11"/>
      <c r="O54" s="166"/>
      <c r="P54" s="11"/>
      <c r="Q54" s="8"/>
      <c r="R54" s="182"/>
      <c r="S54" s="8"/>
      <c r="T54" s="8"/>
      <c r="U54" s="8"/>
      <c r="V54" s="182"/>
      <c r="W54" s="8"/>
      <c r="X54" s="62"/>
      <c r="Y54" s="182"/>
      <c r="Z54" s="8"/>
      <c r="AA54" s="8"/>
      <c r="AB54" s="11"/>
      <c r="AC54" s="182"/>
      <c r="AD54" s="8"/>
      <c r="AE54" s="69"/>
      <c r="AF54" s="8"/>
      <c r="AG54" s="181">
        <f>IF(AJ54&lt;&gt;"",AJ54,"")</f>
        <v>0</v>
      </c>
      <c r="AH54" s="78" t="str">
        <f>IF(AJ54&lt;&gt;"",IF(AK54="","",AK54),"")</f>
        <v/>
      </c>
      <c r="AI54" s="51">
        <f>IF(AG54&lt;&gt;"",IF(AG56&lt;&gt;"",SMALL(AG54:AG56,1),""),"")</f>
        <v>0</v>
      </c>
      <c r="AJ54" s="234">
        <v>0</v>
      </c>
      <c r="AK54" s="162" t="str">
        <f>IF('09F GRP'!G5&gt;=3,'09F GRP'!J203,IF('09F GRP'!G5=2,"",IF('09F GRP'!G5=1,"","")))</f>
        <v/>
      </c>
      <c r="AL54" s="11">
        <v>15</v>
      </c>
    </row>
    <row r="55" spans="2:41" ht="18" customHeight="1" thickBot="1" x14ac:dyDescent="0.3">
      <c r="B55" s="16"/>
      <c r="C55" s="165" t="str">
        <f>IFERROR(IF(C54="","",VLOOKUP(C54,LISTAS!$F$5:$G$1004,2,0)),"0")</f>
        <v/>
      </c>
      <c r="D55" s="235"/>
      <c r="E55" s="51"/>
      <c r="F55" s="51"/>
      <c r="G55" s="176"/>
      <c r="H55" s="51"/>
      <c r="I55" s="54"/>
      <c r="J55" s="51"/>
      <c r="K55" s="176"/>
      <c r="L55" s="51"/>
      <c r="M55" s="51"/>
      <c r="N55" s="11"/>
      <c r="O55" s="166"/>
      <c r="P55" s="11"/>
      <c r="Q55" s="8"/>
      <c r="R55" s="182"/>
      <c r="S55" s="8"/>
      <c r="T55" s="8"/>
      <c r="U55" s="8"/>
      <c r="V55" s="182"/>
      <c r="W55" s="8"/>
      <c r="X55" s="62"/>
      <c r="Y55" s="182"/>
      <c r="Z55" s="8"/>
      <c r="AA55" s="8"/>
      <c r="AB55" s="11"/>
      <c r="AC55" s="182"/>
      <c r="AD55" s="8"/>
      <c r="AE55" s="69"/>
      <c r="AF55" s="8"/>
      <c r="AG55" s="181"/>
      <c r="AH55" s="78"/>
      <c r="AI55" s="51"/>
      <c r="AJ55" s="235"/>
      <c r="AK55" s="165" t="str">
        <f>IFERROR(IF(AK54="","",VLOOKUP(AK54,LISTAS!$F$5:$G$1004,2,0)),"0")</f>
        <v/>
      </c>
      <c r="AL55" s="11"/>
    </row>
    <row r="56" spans="2:41" ht="18" customHeight="1" x14ac:dyDescent="0.25">
      <c r="B56" s="16">
        <v>13</v>
      </c>
      <c r="C56" s="162" t="str">
        <f>IF('09F GRP'!G5&gt;=3,'09F GRP'!J177,IF('09F GRP'!G5=2,"",IF('09F GRP'!G5=1,"","")))</f>
        <v/>
      </c>
      <c r="D56" s="234">
        <v>0</v>
      </c>
      <c r="E56" s="52">
        <f>IF(D56&lt;&gt;"",D56,"")</f>
        <v>0</v>
      </c>
      <c r="F56" s="51" t="str">
        <f>IF(D56&lt;&gt;"",IF(C56="","",C56),"")</f>
        <v/>
      </c>
      <c r="G56" s="176" t="str">
        <f>VLOOKUP(G54,E54:F56,2,0)</f>
        <v/>
      </c>
      <c r="H56" s="51"/>
      <c r="I56" s="54"/>
      <c r="J56" s="51"/>
      <c r="K56" s="176"/>
      <c r="L56" s="51"/>
      <c r="M56" s="51"/>
      <c r="N56" s="11"/>
      <c r="O56" s="166"/>
      <c r="P56" s="11"/>
      <c r="Q56" s="8"/>
      <c r="R56" s="182"/>
      <c r="S56" s="8"/>
      <c r="T56" s="8"/>
      <c r="U56" s="8"/>
      <c r="V56" s="182"/>
      <c r="W56" s="8"/>
      <c r="X56" s="62"/>
      <c r="Y56" s="182"/>
      <c r="Z56" s="8"/>
      <c r="AA56" s="8"/>
      <c r="AB56" s="11"/>
      <c r="AC56" s="182"/>
      <c r="AD56" s="8"/>
      <c r="AE56" s="69"/>
      <c r="AF56" s="8"/>
      <c r="AG56" s="181">
        <f>IF(AJ56&lt;&gt;"",AJ56,"")</f>
        <v>0</v>
      </c>
      <c r="AH56" s="78" t="str">
        <f>IF(AJ56&lt;&gt;"",IF(AK56="","",AK56),"")</f>
        <v/>
      </c>
      <c r="AI56" s="55" t="str">
        <f>VLOOKUP(AI54,AG54:AH56,2,0)</f>
        <v/>
      </c>
      <c r="AJ56" s="234">
        <v>0</v>
      </c>
      <c r="AK56" s="162" t="str">
        <f>IF('09F GRP'!G5&gt;=3,'09F GRP'!J242,IF('09F GRP'!G5=2,"",IF('09F GRP'!G5=1,"","")))</f>
        <v/>
      </c>
      <c r="AL56" s="11">
        <v>18</v>
      </c>
      <c r="AN56" s="23"/>
      <c r="AO56" s="23"/>
    </row>
    <row r="57" spans="2:41" ht="18" customHeight="1" thickBot="1" x14ac:dyDescent="0.3">
      <c r="B57" s="16"/>
      <c r="C57" s="165" t="str">
        <f>IFERROR(IF(C56="","",VLOOKUP(C56,LISTAS!$F$5:$G$1004,2,0)),"0")</f>
        <v/>
      </c>
      <c r="D57" s="235"/>
      <c r="E57" s="128"/>
      <c r="F57" s="51"/>
      <c r="G57" s="176"/>
      <c r="H57" s="51"/>
      <c r="I57" s="54"/>
      <c r="J57" s="51"/>
      <c r="K57" s="176"/>
      <c r="L57" s="51"/>
      <c r="M57" s="51"/>
      <c r="N57" s="11"/>
      <c r="O57" s="166"/>
      <c r="P57" s="11"/>
      <c r="Q57" s="8"/>
      <c r="R57" s="182"/>
      <c r="S57" s="8"/>
      <c r="T57" s="8"/>
      <c r="U57" s="8"/>
      <c r="V57" s="182"/>
      <c r="W57" s="8"/>
      <c r="X57" s="62"/>
      <c r="Y57" s="182"/>
      <c r="Z57" s="8"/>
      <c r="AA57" s="8"/>
      <c r="AB57" s="11"/>
      <c r="AC57" s="182"/>
      <c r="AD57" s="8"/>
      <c r="AE57" s="69"/>
      <c r="AF57" s="8"/>
      <c r="AG57" s="181"/>
      <c r="AH57" s="126"/>
      <c r="AI57" s="51"/>
      <c r="AJ57" s="235"/>
      <c r="AK57" s="165" t="str">
        <f>IFERROR(IF(AK56="","",VLOOKUP(AK56,LISTAS!$F$5:$G$1004,2,0)),"0")</f>
        <v/>
      </c>
      <c r="AL57" s="11"/>
      <c r="AM57" s="23"/>
      <c r="AN57" s="23"/>
      <c r="AO57" s="23"/>
    </row>
    <row r="58" spans="2:41" ht="18" customHeight="1" x14ac:dyDescent="0.25">
      <c r="B58" s="16"/>
      <c r="C58" s="166"/>
      <c r="D58" s="11"/>
      <c r="E58" s="11"/>
      <c r="F58" s="17"/>
      <c r="G58" s="162" t="str">
        <f>IF(D54&lt;&gt;"",IF(D56&lt;&gt;"",IF(D54=D56,"",IF(D54&gt;D56,C54,C56)),""),"")</f>
        <v/>
      </c>
      <c r="H58" s="234">
        <v>0</v>
      </c>
      <c r="I58" s="56">
        <f>IF(H58&lt;&gt;"",H58,"")</f>
        <v>0</v>
      </c>
      <c r="J58" s="51" t="str">
        <f>IF(H58&lt;&gt;"",IF(G58="","",G58),"")</f>
        <v/>
      </c>
      <c r="K58" s="176">
        <f>IF(I58&lt;&gt;"",IF(I60&lt;&gt;"",SMALL(I58:J60,1),""),"")</f>
        <v>0</v>
      </c>
      <c r="L58" s="51"/>
      <c r="M58" s="51"/>
      <c r="N58" s="11"/>
      <c r="O58" s="166"/>
      <c r="P58" s="11"/>
      <c r="Q58" s="8"/>
      <c r="R58" s="182"/>
      <c r="S58" s="8"/>
      <c r="T58" s="8"/>
      <c r="U58" s="8"/>
      <c r="V58" s="182"/>
      <c r="W58" s="8"/>
      <c r="X58" s="62"/>
      <c r="Y58" s="182"/>
      <c r="Z58" s="8"/>
      <c r="AA58" s="8"/>
      <c r="AB58" s="11"/>
      <c r="AC58" s="182"/>
      <c r="AD58" s="8"/>
      <c r="AE58" s="69"/>
      <c r="AF58" s="234">
        <v>0</v>
      </c>
      <c r="AG58" s="162" t="str">
        <f>IF(AJ54&lt;&gt;"",IF(AJ56&lt;&gt;"",IF(AJ54=AJ56,"",IF(AJ54&gt;AJ56,AK54,AK56)),""),"")</f>
        <v/>
      </c>
      <c r="AH58" s="65"/>
      <c r="AI58" s="8"/>
      <c r="AJ58" s="11"/>
      <c r="AK58" s="166"/>
      <c r="AL58" s="11"/>
      <c r="AM58" s="23"/>
    </row>
    <row r="59" spans="2:41" ht="18" customHeight="1" thickBot="1" x14ac:dyDescent="0.3">
      <c r="B59" s="16"/>
      <c r="C59" s="166"/>
      <c r="D59" s="11"/>
      <c r="E59" s="11"/>
      <c r="F59" s="17"/>
      <c r="G59" s="165" t="str">
        <f>IFERROR(IF(G58="","",VLOOKUP(G58,LISTAS!$F$5:$G$1004,2,0)),"0")</f>
        <v/>
      </c>
      <c r="H59" s="235"/>
      <c r="I59" s="57"/>
      <c r="J59" s="51"/>
      <c r="K59" s="176"/>
      <c r="L59" s="51"/>
      <c r="M59" s="51"/>
      <c r="N59" s="11"/>
      <c r="O59" s="166"/>
      <c r="P59" s="11"/>
      <c r="Q59" s="8"/>
      <c r="R59" s="182"/>
      <c r="S59" s="8"/>
      <c r="T59" s="8"/>
      <c r="U59" s="8"/>
      <c r="V59" s="182"/>
      <c r="W59" s="8"/>
      <c r="X59" s="62"/>
      <c r="Y59" s="182"/>
      <c r="Z59" s="8"/>
      <c r="AA59" s="8"/>
      <c r="AB59" s="11"/>
      <c r="AC59" s="182"/>
      <c r="AD59" s="8"/>
      <c r="AE59" s="70"/>
      <c r="AF59" s="235"/>
      <c r="AG59" s="165" t="str">
        <f>IFERROR(IF(AG58="","",VLOOKUP(AG58,LISTAS!$F$5:$G$1004,2,0)),"0")</f>
        <v/>
      </c>
      <c r="AH59" s="65"/>
      <c r="AI59" s="8"/>
      <c r="AJ59" s="11"/>
      <c r="AK59" s="166"/>
      <c r="AL59" s="11"/>
    </row>
    <row r="60" spans="2:41" ht="18" customHeight="1" x14ac:dyDescent="0.25">
      <c r="B60" s="16"/>
      <c r="C60" s="166"/>
      <c r="D60" s="11"/>
      <c r="E60" s="18"/>
      <c r="F60" s="19"/>
      <c r="G60" s="162" t="str">
        <f>IF(D62&lt;&gt;"",IF(D64&lt;&gt;"",IF(D62=D64,"",IF(D62&gt;D64,C62,C64)),""),"")</f>
        <v>CLARA ANTONITSCH VIDO</v>
      </c>
      <c r="H60" s="234">
        <v>2</v>
      </c>
      <c r="I60" s="57">
        <f>IF(H60&lt;&gt;"",H60,"")</f>
        <v>2</v>
      </c>
      <c r="J60" s="51" t="str">
        <f>IF(H60&lt;&gt;"",IF(G60="","",G60),"")</f>
        <v>CLARA ANTONITSCH VIDO</v>
      </c>
      <c r="K60" s="176" t="str">
        <f>VLOOKUP(K58,I58:J60,2,0)</f>
        <v/>
      </c>
      <c r="L60" s="51"/>
      <c r="M60" s="51"/>
      <c r="N60" s="11"/>
      <c r="O60" s="166"/>
      <c r="P60" s="11"/>
      <c r="Q60" s="8"/>
      <c r="R60" s="182"/>
      <c r="S60" s="8"/>
      <c r="T60" s="8"/>
      <c r="U60" s="8"/>
      <c r="V60" s="182"/>
      <c r="W60" s="8"/>
      <c r="X60" s="62"/>
      <c r="Y60" s="182"/>
      <c r="Z60" s="8"/>
      <c r="AA60" s="8"/>
      <c r="AB60" s="11"/>
      <c r="AC60" s="182"/>
      <c r="AD60" s="8"/>
      <c r="AE60" s="64"/>
      <c r="AF60" s="234">
        <v>2</v>
      </c>
      <c r="AG60" s="162" t="str">
        <f>IF(AJ62&lt;&gt;"",IF(AJ64&lt;&gt;"",IF(AJ62=AJ64,"",IF(AJ62&gt;AJ64,AK62,AK64)),""),"")</f>
        <v>LAIS FRANCELINO RODRIGUES</v>
      </c>
      <c r="AH60" s="66"/>
      <c r="AI60" s="8"/>
      <c r="AJ60" s="11"/>
      <c r="AK60" s="166"/>
      <c r="AL60" s="11"/>
    </row>
    <row r="61" spans="2:41" ht="18" customHeight="1" thickBot="1" x14ac:dyDescent="0.3">
      <c r="B61" s="16"/>
      <c r="C61" s="166"/>
      <c r="D61" s="11"/>
      <c r="E61" s="18"/>
      <c r="F61" s="11"/>
      <c r="G61" s="165" t="str">
        <f>IFERROR(IF(G60="","",VLOOKUP(G60,LISTAS!$F$5:$G$1004,2,0)),"0")</f>
        <v>LICEU JARDIM</v>
      </c>
      <c r="H61" s="235"/>
      <c r="I61" s="51"/>
      <c r="J61" s="51"/>
      <c r="K61" s="176"/>
      <c r="L61" s="51"/>
      <c r="M61" s="51"/>
      <c r="N61" s="11"/>
      <c r="O61" s="166"/>
      <c r="P61" s="11"/>
      <c r="Q61" s="8"/>
      <c r="R61" s="182"/>
      <c r="S61" s="8"/>
      <c r="T61" s="8"/>
      <c r="U61" s="8"/>
      <c r="V61" s="182"/>
      <c r="W61" s="8"/>
      <c r="X61" s="62"/>
      <c r="Y61" s="182"/>
      <c r="Z61" s="8"/>
      <c r="AA61" s="8"/>
      <c r="AB61" s="11"/>
      <c r="AC61" s="182"/>
      <c r="AD61" s="8"/>
      <c r="AE61" s="8"/>
      <c r="AF61" s="235"/>
      <c r="AG61" s="165" t="str">
        <f>IFERROR(IF(AG60="","",VLOOKUP(AG60,LISTAS!$F$5:$G$1004,2,0)),"0")</f>
        <v>COLÉGIO ARBOS - UNIDADE SANTO ANDRÉ</v>
      </c>
      <c r="AH61" s="8"/>
      <c r="AI61" s="69"/>
      <c r="AJ61" s="11"/>
      <c r="AK61" s="166"/>
      <c r="AL61" s="11"/>
    </row>
    <row r="62" spans="2:41" ht="18" customHeight="1" x14ac:dyDescent="0.25">
      <c r="B62" s="16">
        <v>29</v>
      </c>
      <c r="C62" s="162" t="str">
        <f>IF('09F GRP'!G5&gt;=3,'09F GRP'!J385,IF('09F GRP'!G5=2,"",IF('09F GRP'!G5=1,"","")))</f>
        <v/>
      </c>
      <c r="D62" s="234">
        <v>0</v>
      </c>
      <c r="E62" s="56">
        <f>IF(D62&lt;&gt;"",D62,"")</f>
        <v>0</v>
      </c>
      <c r="F62" s="51" t="str">
        <f>IF(D62&lt;&gt;"",IF(C62="","",C62),"")</f>
        <v/>
      </c>
      <c r="G62" s="176">
        <f>IF(E62&lt;&gt;"",IF(E64&lt;&gt;"",SMALL(E62:E64,1),""),"")</f>
        <v>0</v>
      </c>
      <c r="H62" s="51"/>
      <c r="I62" s="51"/>
      <c r="J62" s="51"/>
      <c r="K62" s="176"/>
      <c r="L62" s="51"/>
      <c r="M62" s="51"/>
      <c r="N62" s="11"/>
      <c r="O62" s="166"/>
      <c r="P62" s="11"/>
      <c r="Q62" s="8"/>
      <c r="R62" s="182"/>
      <c r="S62" s="8"/>
      <c r="T62" s="8"/>
      <c r="U62" s="8"/>
      <c r="V62" s="182"/>
      <c r="W62" s="8"/>
      <c r="X62" s="62"/>
      <c r="Y62" s="182"/>
      <c r="Z62" s="8"/>
      <c r="AA62" s="8"/>
      <c r="AB62" s="11"/>
      <c r="AC62" s="182"/>
      <c r="AD62" s="8"/>
      <c r="AE62" s="8"/>
      <c r="AF62" s="8"/>
      <c r="AG62" s="181">
        <f>IF(AJ62&lt;&gt;"",AJ62,"")</f>
        <v>0</v>
      </c>
      <c r="AH62" s="78" t="str">
        <f>IF(AJ62&lt;&gt;"",IF(AK62="","",AK62),"")</f>
        <v/>
      </c>
      <c r="AI62" s="53">
        <f>IF(AG62&lt;&gt;"",IF(AG64&lt;&gt;"",SMALL(AG62:AG64,1),""),"")</f>
        <v>0</v>
      </c>
      <c r="AJ62" s="234">
        <v>0</v>
      </c>
      <c r="AK62" s="185" t="str">
        <f>IF('09F GRP'!G5&gt;=3,'09F GRP'!J411,IF('09F GRP'!G5=2,"",IF('09F GRP'!G5=1,"","")))</f>
        <v/>
      </c>
      <c r="AL62" s="11">
        <v>31</v>
      </c>
    </row>
    <row r="63" spans="2:41" ht="18" customHeight="1" thickBot="1" x14ac:dyDescent="0.3">
      <c r="B63" s="16"/>
      <c r="C63" s="165" t="str">
        <f>IFERROR(IF(C62="","",VLOOKUP(C62,LISTAS!$F$5:$G$1004,2,0)),"0")</f>
        <v/>
      </c>
      <c r="D63" s="235"/>
      <c r="E63" s="57"/>
      <c r="F63" s="51"/>
      <c r="G63" s="176"/>
      <c r="H63" s="51"/>
      <c r="I63" s="51"/>
      <c r="J63" s="51"/>
      <c r="K63" s="166"/>
      <c r="L63" s="11"/>
      <c r="M63" s="11"/>
      <c r="N63" s="11"/>
      <c r="O63" s="166"/>
      <c r="P63" s="11"/>
      <c r="Q63" s="8"/>
      <c r="R63" s="182"/>
      <c r="S63" s="8"/>
      <c r="T63" s="8"/>
      <c r="U63" s="8"/>
      <c r="V63" s="182"/>
      <c r="W63" s="8"/>
      <c r="X63" s="62"/>
      <c r="Y63" s="182"/>
      <c r="Z63" s="8"/>
      <c r="AA63" s="8"/>
      <c r="AB63" s="11"/>
      <c r="AC63" s="182"/>
      <c r="AD63" s="8"/>
      <c r="AE63" s="8"/>
      <c r="AF63" s="8"/>
      <c r="AG63" s="181"/>
      <c r="AH63" s="78"/>
      <c r="AI63" s="77"/>
      <c r="AJ63" s="235"/>
      <c r="AK63" s="165" t="str">
        <f>IFERROR(IF(AK62="","",VLOOKUP(AK62,LISTAS!$F$5:$G$1004,2,0)),"0")</f>
        <v/>
      </c>
      <c r="AL63" s="11"/>
    </row>
    <row r="64" spans="2:41" ht="18" customHeight="1" x14ac:dyDescent="0.25">
      <c r="B64" s="16">
        <v>4</v>
      </c>
      <c r="C64" s="162" t="str">
        <f>IF('09F GRP'!G5&gt;=3,'09F GRP'!J60,IF('09F GRP'!G5=2,IF('09F GRP'!H8=3,"",'09F GRP'!J31),IF('09F GRP'!G5=1,'09F GRP'!J11,"")))</f>
        <v>CLARA ANTONITSCH VIDO</v>
      </c>
      <c r="D64" s="234">
        <v>2</v>
      </c>
      <c r="E64" s="57">
        <f>IF(D64&lt;&gt;"",D64,"")</f>
        <v>2</v>
      </c>
      <c r="F64" s="51" t="str">
        <f>IF(D64&lt;&gt;"",IF(C64="","",C64),"")</f>
        <v>CLARA ANTONITSCH VIDO</v>
      </c>
      <c r="G64" s="176" t="str">
        <f>VLOOKUP(G62,E62:F64,2,0)</f>
        <v/>
      </c>
      <c r="H64" s="51"/>
      <c r="I64" s="51"/>
      <c r="J64" s="51"/>
      <c r="K64" s="166"/>
      <c r="L64" s="11"/>
      <c r="M64" s="11"/>
      <c r="N64" s="11"/>
      <c r="O64" s="166"/>
      <c r="P64" s="11"/>
      <c r="Q64" s="8"/>
      <c r="R64" s="182"/>
      <c r="S64" s="8"/>
      <c r="T64" s="8"/>
      <c r="U64" s="8"/>
      <c r="V64" s="182"/>
      <c r="W64" s="8"/>
      <c r="X64" s="62"/>
      <c r="Y64" s="182"/>
      <c r="Z64" s="8"/>
      <c r="AA64" s="8"/>
      <c r="AB64" s="11"/>
      <c r="AC64" s="182"/>
      <c r="AD64" s="8"/>
      <c r="AE64" s="8"/>
      <c r="AF64" s="8"/>
      <c r="AG64" s="181">
        <f>IF(AJ64&lt;&gt;"",AJ64,"")</f>
        <v>2</v>
      </c>
      <c r="AH64" s="78" t="str">
        <f>IF(AJ64&lt;&gt;"",IF(AK64="","",AK64),"")</f>
        <v>LAIS FRANCELINO RODRIGUES</v>
      </c>
      <c r="AI64" s="76" t="str">
        <f>VLOOKUP(AI62,AG62:AH64,2,0)</f>
        <v/>
      </c>
      <c r="AJ64" s="234">
        <v>2</v>
      </c>
      <c r="AK64" s="162" t="str">
        <f>IF('09F GRP'!G5&gt;=3,'09F GRP'!J30,IF('09F GRP'!G5=2,IF('09F GRP'!H8=3,'09F GRP'!J30,'09F GRP'!J30),IF('09F GRP'!G5=1,'09F GRP'!J9,"")))</f>
        <v>LAIS FRANCELINO RODRIGUES</v>
      </c>
      <c r="AL64" s="11">
        <v>2</v>
      </c>
    </row>
    <row r="65" spans="2:47" ht="18" customHeight="1" thickBot="1" x14ac:dyDescent="0.3">
      <c r="B65" s="16"/>
      <c r="C65" s="165" t="str">
        <f>IFERROR(IF(C64="","",VLOOKUP(C64,LISTAS!$F$5:$G$1004,2,0)),"0")</f>
        <v>LICEU JARDIM</v>
      </c>
      <c r="D65" s="235"/>
      <c r="E65" s="51"/>
      <c r="F65" s="51"/>
      <c r="G65" s="176"/>
      <c r="H65" s="51"/>
      <c r="I65" s="51"/>
      <c r="J65" s="51"/>
      <c r="K65" s="166"/>
      <c r="L65" s="11"/>
      <c r="M65" s="11"/>
      <c r="N65" s="11"/>
      <c r="O65" s="166"/>
      <c r="P65" s="11"/>
      <c r="Q65" s="8"/>
      <c r="R65" s="182"/>
      <c r="S65" s="8"/>
      <c r="T65" s="8"/>
      <c r="U65" s="8"/>
      <c r="V65" s="182"/>
      <c r="W65" s="8"/>
      <c r="X65" s="62"/>
      <c r="Y65" s="182"/>
      <c r="Z65" s="8"/>
      <c r="AA65" s="8"/>
      <c r="AB65" s="11"/>
      <c r="AC65" s="182"/>
      <c r="AD65" s="8"/>
      <c r="AE65" s="8"/>
      <c r="AF65" s="8"/>
      <c r="AG65" s="181"/>
      <c r="AH65" s="78"/>
      <c r="AI65" s="51"/>
      <c r="AJ65" s="235"/>
      <c r="AK65" s="165" t="str">
        <f>IFERROR(IF(AK64="","",VLOOKUP(AK64,LISTAS!$F$5:$G$1004,2,0)),"0")</f>
        <v>COLÉGIO ARBOS - UNIDADE SANTO ANDRÉ</v>
      </c>
      <c r="AL65" s="11"/>
    </row>
    <row r="66" spans="2:47" ht="18" customHeight="1" x14ac:dyDescent="0.25">
      <c r="B66" s="16"/>
      <c r="C66" s="167"/>
      <c r="D66" s="71"/>
      <c r="E66" s="127"/>
      <c r="F66" s="127"/>
      <c r="G66" s="177"/>
      <c r="H66" s="127"/>
      <c r="I66" s="127"/>
      <c r="J66" s="127"/>
      <c r="K66" s="167"/>
      <c r="L66" s="71"/>
      <c r="M66" s="71"/>
      <c r="N66" s="71"/>
      <c r="O66" s="167"/>
      <c r="P66" s="71"/>
      <c r="Q66" s="8"/>
      <c r="R66" s="182"/>
      <c r="S66" s="8"/>
      <c r="T66" s="8"/>
      <c r="U66" s="8"/>
      <c r="V66" s="182"/>
      <c r="W66" s="8"/>
      <c r="X66" s="62"/>
      <c r="Y66" s="182"/>
      <c r="Z66" s="8"/>
      <c r="AA66" s="8"/>
      <c r="AB66" s="11"/>
      <c r="AC66" s="182"/>
      <c r="AD66" s="8"/>
      <c r="AE66" s="8"/>
      <c r="AF66" s="8"/>
      <c r="AG66" s="181"/>
      <c r="AH66" s="78"/>
      <c r="AI66" s="78"/>
      <c r="AJ66" s="71"/>
      <c r="AK66" s="167"/>
      <c r="AL66" s="11"/>
    </row>
    <row r="67" spans="2:47" ht="18" customHeight="1" x14ac:dyDescent="0.25">
      <c r="B67" s="11"/>
      <c r="C67" s="167"/>
      <c r="D67" s="71"/>
      <c r="E67" s="71"/>
      <c r="F67" s="71"/>
      <c r="G67" s="167"/>
      <c r="H67" s="71"/>
      <c r="I67" s="71"/>
      <c r="J67" s="71"/>
      <c r="K67" s="167"/>
      <c r="L67" s="71"/>
      <c r="M67" s="71"/>
      <c r="N67" s="71"/>
      <c r="O67" s="167"/>
      <c r="P67" s="71"/>
      <c r="Q67" s="8"/>
      <c r="R67" s="182"/>
      <c r="S67" s="8"/>
      <c r="T67" s="8"/>
      <c r="U67" s="8"/>
      <c r="V67" s="182"/>
      <c r="W67" s="8"/>
      <c r="X67" s="62"/>
      <c r="Y67" s="182"/>
      <c r="Z67" s="8"/>
      <c r="AA67" s="8"/>
      <c r="AB67" s="11"/>
      <c r="AC67" s="182"/>
      <c r="AD67" s="8"/>
      <c r="AE67" s="8"/>
      <c r="AF67" s="8"/>
      <c r="AG67" s="182"/>
      <c r="AH67" s="8"/>
      <c r="AI67" s="8"/>
      <c r="AJ67" s="71"/>
      <c r="AK67" s="167"/>
      <c r="AL67" s="11"/>
    </row>
    <row r="68" spans="2:47" ht="18" customHeight="1" x14ac:dyDescent="0.25">
      <c r="B68" s="22"/>
      <c r="C68" s="168"/>
      <c r="D68" s="22"/>
      <c r="E68" s="22"/>
      <c r="F68" s="22"/>
      <c r="G68" s="168"/>
      <c r="H68" s="22"/>
      <c r="I68" s="22"/>
      <c r="J68" s="22"/>
      <c r="K68" s="168"/>
      <c r="L68" s="22"/>
      <c r="M68" s="22"/>
      <c r="N68" s="22"/>
      <c r="O68" s="168"/>
      <c r="P68" s="22"/>
      <c r="W68" s="22"/>
      <c r="X68" s="22"/>
      <c r="Y68" s="168"/>
      <c r="Z68" s="22"/>
      <c r="AA68" s="22"/>
      <c r="AB68" s="22"/>
      <c r="AC68" s="168"/>
      <c r="AD68" s="22"/>
      <c r="AE68" s="22"/>
      <c r="AF68" s="22"/>
      <c r="AG68" s="168"/>
      <c r="AH68" s="22"/>
      <c r="AI68" s="22"/>
      <c r="AJ68" s="22"/>
      <c r="AK68" s="168"/>
    </row>
    <row r="69" spans="2:47" ht="18" customHeight="1" x14ac:dyDescent="0.25">
      <c r="B69" s="22"/>
      <c r="C69" s="168"/>
      <c r="D69" s="22"/>
      <c r="E69" s="22"/>
      <c r="F69" s="22"/>
      <c r="G69" s="168"/>
      <c r="H69" s="22"/>
      <c r="I69" s="22"/>
      <c r="J69" s="22"/>
      <c r="K69" s="168"/>
      <c r="L69" s="22"/>
      <c r="M69" s="22"/>
      <c r="N69" s="22"/>
      <c r="O69" s="168"/>
      <c r="P69" s="22"/>
      <c r="W69" s="22"/>
      <c r="X69" s="22"/>
      <c r="Y69" s="168"/>
      <c r="Z69" s="22"/>
      <c r="AA69" s="22"/>
      <c r="AB69" s="22"/>
      <c r="AC69" s="168"/>
      <c r="AD69" s="22"/>
      <c r="AE69" s="22"/>
      <c r="AF69" s="22"/>
      <c r="AG69" s="168"/>
      <c r="AH69" s="22"/>
      <c r="AI69" s="22"/>
      <c r="AJ69" s="22"/>
      <c r="AK69" s="168"/>
    </row>
    <row r="70" spans="2:47" ht="30" customHeight="1" x14ac:dyDescent="0.25">
      <c r="B70" s="249" t="s">
        <v>20</v>
      </c>
      <c r="C70" s="250"/>
      <c r="D70" s="250"/>
      <c r="E70" s="250"/>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0"/>
      <c r="AI70" s="250"/>
      <c r="AJ70" s="250"/>
      <c r="AK70" s="250"/>
      <c r="AL70" s="250"/>
      <c r="AP70" s="240" t="s">
        <v>4</v>
      </c>
      <c r="AQ70" s="240"/>
      <c r="AR70" s="240"/>
      <c r="AS70" s="240"/>
      <c r="AT70" s="240"/>
      <c r="AU70" s="240"/>
    </row>
    <row r="71" spans="2:47" ht="18" customHeight="1" thickBot="1" x14ac:dyDescent="0.3">
      <c r="B71" s="73"/>
      <c r="C71" s="164"/>
      <c r="D71" s="61"/>
      <c r="E71" s="61"/>
      <c r="F71" s="61"/>
      <c r="G71" s="175"/>
      <c r="H71" s="61"/>
      <c r="I71" s="61"/>
      <c r="J71" s="61"/>
      <c r="K71" s="179"/>
      <c r="L71" s="61"/>
      <c r="M71" s="61"/>
      <c r="N71" s="61"/>
      <c r="O71" s="179"/>
      <c r="P71" s="61"/>
      <c r="Q71" s="61"/>
      <c r="R71" s="179"/>
      <c r="S71" s="61"/>
      <c r="T71" s="61"/>
      <c r="U71" s="61"/>
      <c r="V71" s="179"/>
      <c r="W71" s="61"/>
      <c r="X71" s="74"/>
      <c r="Y71" s="179"/>
      <c r="Z71" s="61"/>
      <c r="AA71" s="61"/>
      <c r="AB71" s="75"/>
      <c r="AC71" s="179"/>
      <c r="AD71" s="61"/>
      <c r="AE71" s="61"/>
      <c r="AF71" s="61"/>
      <c r="AG71" s="179"/>
      <c r="AH71" s="61"/>
      <c r="AI71" s="61"/>
      <c r="AJ71" s="61"/>
      <c r="AK71" s="179"/>
      <c r="AL71" s="61"/>
      <c r="AP71" s="228" t="s">
        <v>3</v>
      </c>
      <c r="AQ71" s="230"/>
      <c r="AR71" s="9" t="s">
        <v>15</v>
      </c>
      <c r="AS71" s="9" t="s">
        <v>0</v>
      </c>
      <c r="AT71" s="9" t="s">
        <v>16</v>
      </c>
      <c r="AU71" s="9" t="s">
        <v>17</v>
      </c>
    </row>
    <row r="72" spans="2:47" ht="18" customHeight="1" x14ac:dyDescent="0.25">
      <c r="B72" s="10">
        <v>1</v>
      </c>
      <c r="C72" s="169" t="str">
        <f>IF('09F GRP'!G5&gt;=3,'09F GRP'!J9,IF('09F GRP'!G5=2,IF('09F GRP'!H8=3,'09F GRP'!J9,'09F GRP'!J10),IF('09F GRP'!G5=1,"","")))</f>
        <v>ANA JÚLIA RIBEIRO DE LIMA BARRETO SANTOS</v>
      </c>
      <c r="D72" s="234">
        <v>2</v>
      </c>
      <c r="E72" s="51">
        <f>IF(D72&lt;&gt;"",D72,"")</f>
        <v>2</v>
      </c>
      <c r="F72" s="51" t="str">
        <f>IF(D72&lt;&gt;"",IF(C72="","",C72),"")</f>
        <v>ANA JÚLIA RIBEIRO DE LIMA BARRETO SANTOS</v>
      </c>
      <c r="G72" s="176">
        <f>IF(E72&lt;&gt;"",IF(E74&lt;&gt;"",SMALL(E72:E74,1),""),"")</f>
        <v>0</v>
      </c>
      <c r="H72" s="11"/>
      <c r="I72" s="11"/>
      <c r="J72" s="11"/>
      <c r="K72" s="166"/>
      <c r="L72" s="11"/>
      <c r="M72" s="12"/>
      <c r="N72" s="12"/>
      <c r="O72" s="180"/>
      <c r="P72" s="12"/>
      <c r="Q72" s="8"/>
      <c r="R72" s="182"/>
      <c r="S72" s="8"/>
      <c r="T72" s="8"/>
      <c r="U72" s="8"/>
      <c r="V72" s="182"/>
      <c r="W72" s="8"/>
      <c r="X72" s="62"/>
      <c r="Y72" s="182"/>
      <c r="Z72" s="8"/>
      <c r="AA72" s="8"/>
      <c r="AB72" s="11"/>
      <c r="AC72" s="182"/>
      <c r="AD72" s="8"/>
      <c r="AE72" s="8"/>
      <c r="AF72" s="8"/>
      <c r="AG72" s="181">
        <f>IF(AJ72&lt;&gt;"",AJ72,"")</f>
        <v>2</v>
      </c>
      <c r="AH72" s="78" t="str">
        <f>IF(AJ72&lt;&gt;"",IF(AK72="","",AK72),"")</f>
        <v>OLGA OLIVEIRA WELSCH</v>
      </c>
      <c r="AI72" s="51">
        <f>IF(AG72&lt;&gt;"",IF(AG74&lt;&gt;"",SMALL(AG72:AG74,1),""),"")</f>
        <v>0</v>
      </c>
      <c r="AJ72" s="234">
        <v>2</v>
      </c>
      <c r="AK72" s="169" t="str">
        <f>IF('09F GRP'!G5&gt;=3,'09F GRP'!J48,IF('09F GRP'!G5=2,IF('09F GRP'!H8=3,"",'09F GRP'!J11),IF('09F GRP'!G5=1,"","")))</f>
        <v>OLGA OLIVEIRA WELSCH</v>
      </c>
      <c r="AL72" s="63">
        <v>3</v>
      </c>
      <c r="AP72" s="13">
        <f>IF(AR72&lt;&gt;"",1,"")</f>
        <v>1</v>
      </c>
      <c r="AQ72" s="14" t="str">
        <f>IF(AP72&lt;&gt;"","LUGAR","")</f>
        <v>LUGAR</v>
      </c>
      <c r="AR72" s="15" t="str">
        <f>IF(S100&lt;&gt;"",IF(U100&lt;&gt;"",IF(S100=U100,"",IF(S100&gt;U100,R100,V100)),""),"")</f>
        <v>HELOISA NEGRÃO DE OLIVEIRA</v>
      </c>
      <c r="AS72" s="15" t="str">
        <f>IFERROR(IF(AR72="","",VLOOKUP(AR72,LISTAS!$F$5:$G$1004,2,0)),"0")</f>
        <v>EXTERNATO SANTO ANTONIO</v>
      </c>
      <c r="AT72" s="15">
        <f>IF(AP72="","",IF(AP72=1,180,IF(AP72=2,170,IF(AP72=3,150,IF(AP72=4,140,IF(AP72=5,135,IF(AP72=6,130,IF(AP72=7,120,IF(AP72=8,110,IF(AP72=9,105,IF(AP72=10,105,IF(AP72=11,105,IF(AP72=12,105,IF(AP72=13,105,IF(AP72=14,105,IF(AP72=15,105,IF(AP72=16,105,IF(AP72&gt;16,"",""))))))))))))))))))</f>
        <v>180</v>
      </c>
      <c r="AU72" s="15">
        <f>IF(AP72="","",IF($AS$5="NÃO","",IF(AP72=1,180,IF(AP72=2,170,IF(AP72=3,150,IF(AP72=4,140,IF(AP72=5,135,IF(AP72=6,130,IF(AP72=7,120,IF(AP72=8,110,IF(AP72=9,105,IF(AP72=10,105,IF(AP72=11,105,IF(AP72=12,105,IF(AP72=13,105,IF(AP72=14,105,IF(AP72=15,105,IF(AP72=16,105,IF(AP72&gt;16,"","")))))))))))))))))))</f>
        <v>180</v>
      </c>
    </row>
    <row r="73" spans="2:47" ht="18" customHeight="1" thickBot="1" x14ac:dyDescent="0.3">
      <c r="B73" s="10"/>
      <c r="C73" s="170" t="str">
        <f>IFERROR(IF(C72="","",VLOOKUP(C72,LISTAS!$F$5:$G$1004,2,0)),"0")</f>
        <v>COLÉGIO ENGENHEIRO SALVADOR ARENA</v>
      </c>
      <c r="D73" s="235"/>
      <c r="E73" s="51"/>
      <c r="F73" s="51"/>
      <c r="G73" s="176"/>
      <c r="H73" s="11"/>
      <c r="I73" s="11"/>
      <c r="J73" s="11"/>
      <c r="K73" s="166"/>
      <c r="L73" s="11"/>
      <c r="M73" s="12"/>
      <c r="N73" s="12"/>
      <c r="O73" s="180"/>
      <c r="P73" s="12"/>
      <c r="Q73" s="8"/>
      <c r="R73" s="182"/>
      <c r="S73" s="8"/>
      <c r="T73" s="8"/>
      <c r="U73" s="8"/>
      <c r="V73" s="182"/>
      <c r="W73" s="8"/>
      <c r="X73" s="62"/>
      <c r="Y73" s="182"/>
      <c r="Z73" s="8"/>
      <c r="AA73" s="8"/>
      <c r="AB73" s="11"/>
      <c r="AC73" s="182"/>
      <c r="AD73" s="8"/>
      <c r="AE73" s="8"/>
      <c r="AF73" s="8"/>
      <c r="AG73" s="181"/>
      <c r="AH73" s="78"/>
      <c r="AI73" s="51"/>
      <c r="AJ73" s="235"/>
      <c r="AK73" s="170" t="str">
        <f>IFERROR(IF(AK72="","",VLOOKUP(AK72,LISTAS!$F$5:$G$1004,2,0)),"0")</f>
        <v>COLÉGIO ENGENHEIRO SALVADOR ARENA</v>
      </c>
      <c r="AL73" s="63"/>
      <c r="AP73" s="13">
        <f>IF(AR73&lt;&gt;"",1+COUNTIF(AP72,"1"),"")</f>
        <v>2</v>
      </c>
      <c r="AQ73" s="14" t="str">
        <f t="shared" ref="AQ73:AQ103" si="3">IF(AP73&lt;&gt;"","LUGAR","")</f>
        <v>LUGAR</v>
      </c>
      <c r="AR73" s="15" t="str">
        <f>IF(S100&lt;&gt;"",IF(U100&lt;&gt;"",IF(S100=U100,"",IF(S100&lt;U100,R100,V100)),""),"")</f>
        <v>OLGA OLIVEIRA WELSCH</v>
      </c>
      <c r="AS73" s="15" t="str">
        <f>IFERROR(IF(AR73="","",VLOOKUP(AR73,LISTAS!$F$5:$G$1004,2,0)),"0")</f>
        <v>COLÉGIO ENGENHEIRO SALVADOR ARENA</v>
      </c>
      <c r="AT73" s="15">
        <f t="shared" ref="AT73:AT102" si="4">IF(AP73="","",IF(AP73=1,180,IF(AP73=2,170,IF(AP73=3,150,IF(AP73=4,140,IF(AP73=5,135,IF(AP73=6,130,IF(AP73=7,120,IF(AP73=8,110,IF(AP73=9,105,IF(AP73=10,105,IF(AP73=11,105,IF(AP73=12,105,IF(AP73=13,105,IF(AP73=14,105,IF(AP73=15,105,IF(AP73=16,105,IF(AP73&gt;16,"",""))))))))))))))))))</f>
        <v>170</v>
      </c>
      <c r="AU73" s="15">
        <f t="shared" ref="AU73:AU102" si="5">IF(AP73="","",IF($AS$5="NÃO","",IF(AP73=1,180,IF(AP73=2,170,IF(AP73=3,150,IF(AP73=4,140,IF(AP73=5,135,IF(AP73=6,130,IF(AP73=7,120,IF(AP73=8,110,IF(AP73=9,105,IF(AP73=10,105,IF(AP73=11,105,IF(AP73=12,105,IF(AP73=13,105,IF(AP73=14,105,IF(AP73=15,105,IF(AP73=16,105,IF(AP73&gt;16,"","")))))))))))))))))))</f>
        <v>170</v>
      </c>
    </row>
    <row r="74" spans="2:47" ht="18" customHeight="1" x14ac:dyDescent="0.25">
      <c r="B74" s="16">
        <v>32</v>
      </c>
      <c r="C74" s="169" t="str">
        <f>IF('09F GRP'!G5&gt;=3,'09F GRP'!J425,IF('09F GRP'!G5=2,"",IF('09F GRP'!G5=1,"","")))</f>
        <v/>
      </c>
      <c r="D74" s="234">
        <v>0</v>
      </c>
      <c r="E74" s="52">
        <f>IF(D74&lt;&gt;"",D74,"")</f>
        <v>0</v>
      </c>
      <c r="F74" s="51" t="str">
        <f>IF(D74&lt;&gt;"",IF(C74="","",C74),"")</f>
        <v/>
      </c>
      <c r="G74" s="176" t="str">
        <f>VLOOKUP(G72,E72:F74,2,0)</f>
        <v/>
      </c>
      <c r="H74" s="11"/>
      <c r="I74" s="11"/>
      <c r="J74" s="11"/>
      <c r="K74" s="166"/>
      <c r="L74" s="11"/>
      <c r="M74" s="12"/>
      <c r="N74" s="12"/>
      <c r="O74" s="180"/>
      <c r="P74" s="12"/>
      <c r="Q74" s="8"/>
      <c r="R74" s="182"/>
      <c r="S74" s="8"/>
      <c r="T74" s="8"/>
      <c r="U74" s="8"/>
      <c r="V74" s="182"/>
      <c r="W74" s="8"/>
      <c r="X74" s="62"/>
      <c r="Y74" s="182"/>
      <c r="Z74" s="8"/>
      <c r="AA74" s="8"/>
      <c r="AB74" s="11"/>
      <c r="AC74" s="182"/>
      <c r="AD74" s="8"/>
      <c r="AE74" s="8"/>
      <c r="AF74" s="8"/>
      <c r="AG74" s="181">
        <f>IF(AJ74&lt;&gt;"",AJ74,"")</f>
        <v>0</v>
      </c>
      <c r="AH74" s="78" t="str">
        <f>IF(AJ74&lt;&gt;"",IF(AK74="","",AK74),"")</f>
        <v/>
      </c>
      <c r="AI74" s="55" t="str">
        <f>VLOOKUP(AI72,AG72:AH74,2,0)</f>
        <v/>
      </c>
      <c r="AJ74" s="234">
        <v>0</v>
      </c>
      <c r="AK74" s="169" t="str">
        <f>IF('09F GRP'!G5&gt;=3,'09F GRP'!J399,IF('09F GRP'!G5=2,"",IF('09F GRP'!G5=1,"","")))</f>
        <v/>
      </c>
      <c r="AL74" s="11">
        <v>30</v>
      </c>
      <c r="AP74" s="13">
        <f>IF(AR74&lt;&gt;"",1+COUNTIF(AP72:AP73,"1")+COUNTIF(AP72:AP73,"2"),"")</f>
        <v>3</v>
      </c>
      <c r="AQ74" s="14" t="str">
        <f t="shared" si="3"/>
        <v>LUGAR</v>
      </c>
      <c r="AR74" s="21" t="str">
        <f>IF(AR72&lt;&gt;"",IF(O99=AR72,O101,IF(O101=AR72,O99,IF(Y99=AR72,Y101,IF(Y101=AR72,Y99)))),"")</f>
        <v>ANA JÚLIA RIBEIRO DE LIMA BARRETO SANTOS</v>
      </c>
      <c r="AS74" s="15" t="str">
        <f>IFERROR(IF(AR74="","",VLOOKUP(AR74,LISTAS!$F$5:$G$1004,2,0)),"0")</f>
        <v>COLÉGIO ENGENHEIRO SALVADOR ARENA</v>
      </c>
      <c r="AT74" s="15">
        <f t="shared" si="4"/>
        <v>150</v>
      </c>
      <c r="AU74" s="15">
        <f t="shared" si="5"/>
        <v>150</v>
      </c>
    </row>
    <row r="75" spans="2:47" ht="18" customHeight="1" thickBot="1" x14ac:dyDescent="0.3">
      <c r="B75" s="16"/>
      <c r="C75" s="170" t="str">
        <f>IFERROR(IF(C74="","",VLOOKUP(C74,LISTAS!$F$5:$G$1004,2,0)),"0")</f>
        <v/>
      </c>
      <c r="D75" s="235"/>
      <c r="E75" s="128"/>
      <c r="F75" s="51"/>
      <c r="G75" s="176"/>
      <c r="H75" s="11"/>
      <c r="I75" s="11"/>
      <c r="J75" s="11"/>
      <c r="K75" s="166"/>
      <c r="L75" s="11"/>
      <c r="M75" s="12"/>
      <c r="N75" s="12"/>
      <c r="O75" s="180"/>
      <c r="P75" s="12"/>
      <c r="Q75" s="8"/>
      <c r="R75" s="182"/>
      <c r="S75" s="8"/>
      <c r="T75" s="8"/>
      <c r="U75" s="8"/>
      <c r="V75" s="182"/>
      <c r="W75" s="8"/>
      <c r="X75" s="62"/>
      <c r="Y75" s="182"/>
      <c r="Z75" s="8"/>
      <c r="AA75" s="8"/>
      <c r="AB75" s="11"/>
      <c r="AC75" s="182"/>
      <c r="AD75" s="8"/>
      <c r="AE75" s="8"/>
      <c r="AF75" s="8"/>
      <c r="AG75" s="181"/>
      <c r="AH75" s="78"/>
      <c r="AI75" s="123"/>
      <c r="AJ75" s="235"/>
      <c r="AK75" s="170" t="str">
        <f>IFERROR(IF(AK74="","",VLOOKUP(AK74,LISTAS!$F$5:$G$1004,2,0)),"0")</f>
        <v/>
      </c>
      <c r="AL75" s="11"/>
      <c r="AP75" s="13">
        <f>IF(AR75&lt;&gt;"",1+COUNTIF(AP72:AP74,"1")+COUNTIF(AP72:AP74,"2")+COUNTIF(AP72:AP74,"3"),"")</f>
        <v>4</v>
      </c>
      <c r="AQ75" s="14" t="str">
        <f t="shared" si="3"/>
        <v>LUGAR</v>
      </c>
      <c r="AR75" s="21" t="str">
        <f>IF(AR73&lt;&gt;"",IF(O99=AR73,O101,IF(O101=AR73,O99,IF(Y99=AR73,Y101,IF(Y101=AR73,Y99)))),"")</f>
        <v>MANUELLA PIRES DE FARIAS</v>
      </c>
      <c r="AS75" s="15" t="str">
        <f>IFERROR(IF(AR75="","",VLOOKUP(AR75,LISTAS!$F$5:$G$1004,2,0)),"0")</f>
        <v>COLÉGIO ENGENHEIRO SALVADOR ARENA</v>
      </c>
      <c r="AT75" s="15">
        <f t="shared" si="4"/>
        <v>140</v>
      </c>
      <c r="AU75" s="15">
        <f t="shared" si="5"/>
        <v>140</v>
      </c>
    </row>
    <row r="76" spans="2:47" ht="18" customHeight="1" x14ac:dyDescent="0.25">
      <c r="B76" s="16"/>
      <c r="C76" s="166"/>
      <c r="D76" s="11"/>
      <c r="E76" s="11"/>
      <c r="F76" s="17"/>
      <c r="G76" s="169" t="str">
        <f>IF(D72&lt;&gt;"",IF(D74&lt;&gt;"",IF(D72=D74,"",IF(D72&gt;D74,C72,C74)),""),"")</f>
        <v>ANA JÚLIA RIBEIRO DE LIMA BARRETO SANTOS</v>
      </c>
      <c r="H76" s="234">
        <v>2</v>
      </c>
      <c r="I76" s="51">
        <f>IF(H76&lt;&gt;"",H76,"")</f>
        <v>2</v>
      </c>
      <c r="J76" s="51" t="str">
        <f>IF(H76&lt;&gt;"",IF(G76="","",G76),"")</f>
        <v>ANA JÚLIA RIBEIRO DE LIMA BARRETO SANTOS</v>
      </c>
      <c r="K76" s="176">
        <f>IF(I76&lt;&gt;"",IF(I78&lt;&gt;"",SMALL(I76:J78,1),""),"")</f>
        <v>0</v>
      </c>
      <c r="L76" s="11"/>
      <c r="M76" s="11"/>
      <c r="N76" s="11"/>
      <c r="O76" s="166"/>
      <c r="P76" s="11"/>
      <c r="Q76" s="8"/>
      <c r="R76" s="182"/>
      <c r="S76" s="8"/>
      <c r="T76" s="8"/>
      <c r="U76" s="8"/>
      <c r="V76" s="182"/>
      <c r="W76" s="8"/>
      <c r="X76" s="62"/>
      <c r="Y76" s="182"/>
      <c r="Z76" s="8"/>
      <c r="AA76" s="8"/>
      <c r="AB76" s="11"/>
      <c r="AC76" s="182"/>
      <c r="AD76" s="8"/>
      <c r="AE76" s="67"/>
      <c r="AF76" s="234">
        <v>2</v>
      </c>
      <c r="AG76" s="169" t="str">
        <f>IF(AJ72&lt;&gt;"",IF(AJ74&lt;&gt;"",IF(AJ72=AJ74,"",IF(AJ72&gt;AJ74,AK72,AK74)),""),"")</f>
        <v>OLGA OLIVEIRA WELSCH</v>
      </c>
      <c r="AH76" s="65"/>
      <c r="AI76" s="8"/>
      <c r="AJ76" s="11"/>
      <c r="AK76" s="166"/>
      <c r="AL76" s="11"/>
      <c r="AP76" s="13">
        <f>IF(AR76&lt;&gt;"",1+COUNTIF(AP72:AP75,"1")+COUNTIF(AP72:AP75,"2")+COUNTIF(AP72:AP75,"3")+COUNTIF(AP72:AP75,"4"),"")</f>
        <v>5</v>
      </c>
      <c r="AQ76" s="14" t="str">
        <f t="shared" si="3"/>
        <v>LUGAR</v>
      </c>
      <c r="AR76" s="21" t="str">
        <f>IF(AR72&lt;&gt;"",IF(K84=AR72,K86,IF(K86=AR72,K84,IF(K114=AR72,K116,IF(K116=AR72,K114,IF(AC84=AR72,AC86,IF(AC86=AR72,AC84,IF(AC114=AR72,AC116,IF(AC116=AR72,AC114)))))))),"")</f>
        <v>SOPHIA MENDES DA SILVA</v>
      </c>
      <c r="AS76" s="15" t="str">
        <f>IFERROR(IF(AR76="","",VLOOKUP(AR76,LISTAS!$F$5:$G$1004,2,0)),"0")</f>
        <v>COLÉGIO ARBOS - UNIDADE SANTO ANDRÉ</v>
      </c>
      <c r="AT76" s="15">
        <f t="shared" si="4"/>
        <v>135</v>
      </c>
      <c r="AU76" s="15">
        <f t="shared" si="5"/>
        <v>135</v>
      </c>
    </row>
    <row r="77" spans="2:47" ht="18" customHeight="1" thickBot="1" x14ac:dyDescent="0.3">
      <c r="B77" s="16"/>
      <c r="C77" s="166"/>
      <c r="D77" s="11"/>
      <c r="E77" s="11"/>
      <c r="F77" s="17"/>
      <c r="G77" s="170" t="str">
        <f>IFERROR(IF(G76="","",VLOOKUP(G76,LISTAS!$F$5:$G$1004,2,0)),"0")</f>
        <v>COLÉGIO ENGENHEIRO SALVADOR ARENA</v>
      </c>
      <c r="H77" s="235"/>
      <c r="I77" s="51"/>
      <c r="J77" s="51"/>
      <c r="K77" s="176"/>
      <c r="L77" s="11"/>
      <c r="M77" s="11"/>
      <c r="N77" s="11"/>
      <c r="O77" s="166"/>
      <c r="P77" s="11"/>
      <c r="Q77" s="8"/>
      <c r="R77" s="182"/>
      <c r="S77" s="8"/>
      <c r="T77" s="8"/>
      <c r="U77" s="8"/>
      <c r="V77" s="182"/>
      <c r="W77" s="8"/>
      <c r="X77" s="62"/>
      <c r="Y77" s="182"/>
      <c r="Z77" s="8"/>
      <c r="AA77" s="8"/>
      <c r="AB77" s="11"/>
      <c r="AC77" s="182"/>
      <c r="AD77" s="8"/>
      <c r="AE77" s="67"/>
      <c r="AF77" s="235"/>
      <c r="AG77" s="170" t="str">
        <f>IFERROR(IF(AG76="","",VLOOKUP(AG76,LISTAS!$F$5:$G$1004,2,0)),"0")</f>
        <v>COLÉGIO ENGENHEIRO SALVADOR ARENA</v>
      </c>
      <c r="AH77" s="65"/>
      <c r="AI77" s="8"/>
      <c r="AJ77" s="11"/>
      <c r="AK77" s="166"/>
      <c r="AL77" s="11"/>
      <c r="AP77" s="13" t="str">
        <f>IF(AR77&lt;&gt;"",1+COUNTIF(AP72:AP76,"1")+COUNTIF(AP72:AP76,"2")+COUNTIF(AP72:AP76,"3")+COUNTIF(AP72:AP76,"4")+COUNTIF(AP72:AP76,"5"),"")</f>
        <v/>
      </c>
      <c r="AQ77" s="14" t="str">
        <f t="shared" si="3"/>
        <v/>
      </c>
      <c r="AR77" s="21" t="str">
        <f>IF(AR73&lt;&gt;"",IF(K84=AR73,K86,IF(K86=AR73,K84,IF(K114=AR73,K116,IF(K116=AR73,K114,IF(AC84=AR73,AC86,IF(AC86=AR73,AC84,IF(AC114=AR73,AC116,IF(AC116=AR73,AC114)))))))),"")</f>
        <v/>
      </c>
      <c r="AS77" s="15" t="str">
        <f>IFERROR(IF(AR77="","",VLOOKUP(AR77,LISTAS!$F$5:$G$1004,2,0)),"0")</f>
        <v/>
      </c>
      <c r="AT77" s="15" t="str">
        <f t="shared" si="4"/>
        <v/>
      </c>
      <c r="AU77" s="15" t="str">
        <f t="shared" si="5"/>
        <v/>
      </c>
    </row>
    <row r="78" spans="2:47" x14ac:dyDescent="0.25">
      <c r="B78" s="16"/>
      <c r="C78" s="166"/>
      <c r="D78" s="11"/>
      <c r="E78" s="18"/>
      <c r="F78" s="19"/>
      <c r="G78" s="169" t="str">
        <f>IF(D80&lt;&gt;"",IF(D82&lt;&gt;"",IF(D80=D82,"",IF(D80&gt;D82,C80,C82)),""),"")</f>
        <v/>
      </c>
      <c r="H78" s="234">
        <v>0</v>
      </c>
      <c r="I78" s="52">
        <f>IF(H78&lt;&gt;"",H78,"")</f>
        <v>0</v>
      </c>
      <c r="J78" s="51" t="str">
        <f>IF(H78&lt;&gt;"",IF(G78="","",G78),"")</f>
        <v/>
      </c>
      <c r="K78" s="176" t="str">
        <f>VLOOKUP(K76,I76:J78,2,0)</f>
        <v/>
      </c>
      <c r="L78" s="11"/>
      <c r="M78" s="11"/>
      <c r="N78" s="11"/>
      <c r="O78" s="166"/>
      <c r="P78" s="11"/>
      <c r="Q78" s="8"/>
      <c r="R78" s="182"/>
      <c r="S78" s="8"/>
      <c r="T78" s="8"/>
      <c r="U78" s="8"/>
      <c r="V78" s="182"/>
      <c r="W78" s="8"/>
      <c r="X78" s="62"/>
      <c r="Y78" s="182"/>
      <c r="Z78" s="8"/>
      <c r="AA78" s="8"/>
      <c r="AB78" s="11"/>
      <c r="AC78" s="182"/>
      <c r="AD78" s="65"/>
      <c r="AE78" s="68"/>
      <c r="AF78" s="234">
        <v>0</v>
      </c>
      <c r="AG78" s="169" t="str">
        <f>IF(AJ80&lt;&gt;"",IF(AJ82&lt;&gt;"",IF(AJ80=AJ82,"",IF(AJ80&gt;AJ82,AK80,AK82)),""),"")</f>
        <v/>
      </c>
      <c r="AH78" s="66"/>
      <c r="AI78" s="8"/>
      <c r="AJ78" s="11"/>
      <c r="AK78" s="166"/>
      <c r="AL78" s="11"/>
      <c r="AP78" s="13" t="str">
        <f>IF(AR78&lt;&gt;"",1+COUNTIF(AP72:AP77,"1")+COUNTIF(AP72:AP77,"2")+COUNTIF(AP72:AP77,"3")+COUNTIF(AP72:AP77,"4")+COUNTIF(AP72:AP77,"5")+COUNTIF(AP72:AP77,"6"),"")</f>
        <v/>
      </c>
      <c r="AQ78" s="14" t="str">
        <f t="shared" si="3"/>
        <v/>
      </c>
      <c r="AR78" s="21" t="str">
        <f>IF(AR74&lt;&gt;"",IF(K84=AR74,K86,IF(K86=AR74,K84,IF(K114=AR74,K116,IF(K116=AR74,K114,IF(AC84=AR74,AC86,IF(AC86=AR74,AC84,IF(AC114=AR74,AC116,IF(AC116=AR74,AC114)))))))),"")</f>
        <v/>
      </c>
      <c r="AS78" s="15" t="str">
        <f>IFERROR(IF(AR78="","",VLOOKUP(AR78,LISTAS!$F$5:$G$1004,2,0)),"0")</f>
        <v/>
      </c>
      <c r="AT78" s="15" t="str">
        <f t="shared" si="4"/>
        <v/>
      </c>
      <c r="AU78" s="15" t="str">
        <f t="shared" si="5"/>
        <v/>
      </c>
    </row>
    <row r="79" spans="2:47" ht="17.25" thickBot="1" x14ac:dyDescent="0.3">
      <c r="B79" s="16"/>
      <c r="C79" s="166"/>
      <c r="D79" s="11"/>
      <c r="E79" s="18"/>
      <c r="F79" s="11"/>
      <c r="G79" s="170" t="str">
        <f>IFERROR(IF(G78="","",VLOOKUP(G78,LISTAS!$F$5:$G$1004,2,0)),"0")</f>
        <v/>
      </c>
      <c r="H79" s="235"/>
      <c r="I79" s="54"/>
      <c r="J79" s="51"/>
      <c r="K79" s="176"/>
      <c r="L79" s="11"/>
      <c r="M79" s="11"/>
      <c r="N79" s="11"/>
      <c r="O79" s="166"/>
      <c r="P79" s="11"/>
      <c r="Q79" s="8"/>
      <c r="R79" s="182"/>
      <c r="S79" s="8"/>
      <c r="T79" s="8"/>
      <c r="U79" s="8"/>
      <c r="V79" s="182"/>
      <c r="W79" s="8"/>
      <c r="X79" s="62"/>
      <c r="Y79" s="182"/>
      <c r="Z79" s="8"/>
      <c r="AA79" s="8"/>
      <c r="AB79" s="11"/>
      <c r="AC79" s="182"/>
      <c r="AD79" s="65"/>
      <c r="AE79" s="8"/>
      <c r="AF79" s="235"/>
      <c r="AG79" s="170" t="str">
        <f>IFERROR(IF(AG78="","",VLOOKUP(AG78,LISTAS!$F$5:$G$1004,2,0)),"0")</f>
        <v/>
      </c>
      <c r="AH79" s="8"/>
      <c r="AI79" s="69"/>
      <c r="AJ79" s="11"/>
      <c r="AK79" s="166"/>
      <c r="AL79" s="11"/>
      <c r="AP79" s="13" t="str">
        <f>IF(AR79&lt;&gt;"",1+COUNTIF(AP72:AP78,"1")+COUNTIF(AP72:AP78,"2")+COUNTIF(AP72:AP78,"3")+COUNTIF(AP72:AP78,"4")+COUNTIF(AP72:AP78,"5")+COUNTIF(AP72:AP78,"6")+COUNTIF(AP72:AP78,"7"),"")</f>
        <v/>
      </c>
      <c r="AQ79" s="14" t="str">
        <f t="shared" si="3"/>
        <v/>
      </c>
      <c r="AR79" s="21" t="str">
        <f>IF(AR75&lt;&gt;"",IF(K84=AR75,K86,IF(K86=AR75,K84,IF(K114=AR75,K116,IF(K116=AR75,K114,IF(AC84=AR75,AC86,IF(AC86=AR75,AC84,IF(AC114=AR75,AC116,IF(AC116=AR75,AC114)))))))),"")</f>
        <v/>
      </c>
      <c r="AS79" s="15" t="str">
        <f>IFERROR(IF(AR79="","",VLOOKUP(AR79,LISTAS!$F$5:$G$1004,2,0)),"0")</f>
        <v/>
      </c>
      <c r="AT79" s="15" t="str">
        <f t="shared" si="4"/>
        <v/>
      </c>
      <c r="AU79" s="15" t="str">
        <f t="shared" si="5"/>
        <v/>
      </c>
    </row>
    <row r="80" spans="2:47" ht="18" customHeight="1" x14ac:dyDescent="0.25">
      <c r="B80" s="16">
        <v>17</v>
      </c>
      <c r="C80" s="169" t="str">
        <f>IF('09F GRP'!G5&gt;=3,'09F GRP'!J230,IF('09F GRP'!G5=2,"",IF('09F GRP'!G5=1,"","")))</f>
        <v/>
      </c>
      <c r="D80" s="234">
        <v>0</v>
      </c>
      <c r="E80" s="56">
        <f>IF(D80&lt;&gt;"",D80,"")</f>
        <v>0</v>
      </c>
      <c r="F80" s="51" t="str">
        <f>IF(D80&lt;&gt;"",IF(C80="","",C80),"")</f>
        <v/>
      </c>
      <c r="G80" s="176">
        <f>IF(E80&lt;&gt;"",IF(E82&lt;&gt;"",SMALL(E80:E82,1),""),"")</f>
        <v>0</v>
      </c>
      <c r="H80" s="11"/>
      <c r="I80" s="18"/>
      <c r="J80" s="11"/>
      <c r="K80" s="166"/>
      <c r="L80" s="11"/>
      <c r="M80" s="11"/>
      <c r="N80" s="11"/>
      <c r="O80" s="166"/>
      <c r="P80" s="11"/>
      <c r="Q80" s="8"/>
      <c r="R80" s="182"/>
      <c r="S80" s="8"/>
      <c r="T80" s="8"/>
      <c r="U80" s="8"/>
      <c r="V80" s="182"/>
      <c r="W80" s="8"/>
      <c r="X80" s="62"/>
      <c r="Y80" s="182"/>
      <c r="Z80" s="8"/>
      <c r="AA80" s="8"/>
      <c r="AB80" s="11"/>
      <c r="AC80" s="182"/>
      <c r="AD80" s="65"/>
      <c r="AE80" s="8"/>
      <c r="AF80" s="8"/>
      <c r="AG80" s="181">
        <f>IF(AJ80&lt;&gt;"",AJ80,"")</f>
        <v>0</v>
      </c>
      <c r="AH80" s="78" t="str">
        <f>IF(AJ80&lt;&gt;"",IF(AK80="","",AK80),"")</f>
        <v/>
      </c>
      <c r="AI80" s="53">
        <f>IF(AG80&lt;&gt;"",IF(AG82&lt;&gt;"",SMALL(AG80:AG82,1),""),"")</f>
        <v>0</v>
      </c>
      <c r="AJ80" s="234">
        <v>0</v>
      </c>
      <c r="AK80" s="169" t="str">
        <f>IF('09F GRP'!G5&gt;=3,'09F GRP'!J191,IF('09F GRP'!G5=2,"",IF('09F GRP'!G5=1,"","")))</f>
        <v/>
      </c>
      <c r="AL80" s="11">
        <v>14</v>
      </c>
      <c r="AP80" s="13" t="str">
        <f>IF(AR80&lt;&gt;"",1+COUNTIF(AP72:AP79,"1")+COUNTIF(AP72:AP79,"2")+COUNTIF(AP72:AP79,"3")+COUNTIF(AP72:AP79,"4")+COUNTIF(AP72:AP79,"5")+COUNTIF(AP72:AP79,"6")+COUNTIF(AP72:AP79,"7")+COUNTIF(AP72:AP79,"8"),"")</f>
        <v/>
      </c>
      <c r="AQ80" s="14" t="str">
        <f t="shared" si="3"/>
        <v/>
      </c>
      <c r="AR80" s="21" t="str">
        <f>IF(AR72&lt;&gt;"",IF(G76=AR72,G78,IF(G78=AR72,G76,IF(G92=AR72,G94,IF(G94=AR72,G92,IF(AG76=AR72,AG78,IF(AG78=AR72,AG76,IF(AG92=AR72,AG94,IF(AG94=AR72,AG92,IF(G106=AR72,G108,IF(G108=AR72,G106,IF(G122=AR72,G124,IF(G124=AR72,G122,IF(AG106=AR72,AG108,IF(AG108=AR72,AG106,IF(AG122=AR72,AG124,IF(AG124=AR72,AG122)))))))))))))))),"")</f>
        <v/>
      </c>
      <c r="AS80" s="15" t="str">
        <f>IFERROR(IF(AR80="","",VLOOKUP(AR80,LISTAS!$F$5:$G$1004,2,0)),"0")</f>
        <v/>
      </c>
      <c r="AT80" s="15" t="str">
        <f t="shared" si="4"/>
        <v/>
      </c>
      <c r="AU80" s="15" t="str">
        <f t="shared" si="5"/>
        <v/>
      </c>
    </row>
    <row r="81" spans="2:47" ht="18" customHeight="1" thickBot="1" x14ac:dyDescent="0.3">
      <c r="B81" s="16"/>
      <c r="C81" s="170" t="str">
        <f>IFERROR(IF(C80="","",VLOOKUP(C80,LISTAS!$F$5:$G$1004,2,0)),"0")</f>
        <v/>
      </c>
      <c r="D81" s="235"/>
      <c r="E81" s="57"/>
      <c r="F81" s="51"/>
      <c r="G81" s="176"/>
      <c r="H81" s="11"/>
      <c r="I81" s="18"/>
      <c r="J81" s="11"/>
      <c r="K81" s="166"/>
      <c r="L81" s="11"/>
      <c r="M81" s="11"/>
      <c r="N81" s="11"/>
      <c r="O81" s="166"/>
      <c r="P81" s="11"/>
      <c r="Q81" s="8"/>
      <c r="R81" s="182"/>
      <c r="S81" s="8"/>
      <c r="T81" s="8"/>
      <c r="U81" s="8"/>
      <c r="V81" s="182"/>
      <c r="W81" s="8"/>
      <c r="X81" s="62"/>
      <c r="Y81" s="182"/>
      <c r="Z81" s="8"/>
      <c r="AA81" s="8"/>
      <c r="AB81" s="11"/>
      <c r="AC81" s="182"/>
      <c r="AD81" s="65"/>
      <c r="AE81" s="8"/>
      <c r="AF81" s="8"/>
      <c r="AG81" s="181"/>
      <c r="AH81" s="78"/>
      <c r="AI81" s="124"/>
      <c r="AJ81" s="235"/>
      <c r="AK81" s="170" t="str">
        <f>IFERROR(IF(AK80="","",VLOOKUP(AK80,LISTAS!$F$5:$G$1004,2,0)),"0")</f>
        <v/>
      </c>
      <c r="AL81" s="11"/>
      <c r="AP81" s="13" t="str">
        <f>IF(AR81&lt;&gt;"",1+COUNTIF(AP72:AP80,"1")+COUNTIF(AP72:AP80,"2")+COUNTIF(AP72:AP80,"3")+COUNTIF(AP72:AP80,"4")+COUNTIF(AP72:AP80,"5")+COUNTIF(AP72:AP80,"6")+COUNTIF(AP72:AP80,"7")+COUNTIF(AP72:AP80,"8")+COUNTIF(AP72:AP80,"9"),"")</f>
        <v/>
      </c>
      <c r="AQ81" s="14" t="str">
        <f t="shared" si="3"/>
        <v/>
      </c>
      <c r="AR81" s="21" t="str">
        <f>IF(AR73&lt;&gt;"",IF(G76=AR73,G78,IF(G78=AR73,G76,IF(G92=AR73,G94,IF(G94=AR73,G92,IF(AG76=AR73,AG78,IF(AG78=AR73,AG76,IF(AG92=AR73,AG94,IF(AG94=AR73,AG92,IF(G106=AR73,G108,IF(G108=AR73,G106,IF(G122=AR73,G124,IF(G124=AR73,G122,IF(AG106=AR73,AG108,IF(AG108=AR73,AG106,IF(AG122=AR73,AG124,IF(AG124=AR73,AG122)))))))))))))))),"")</f>
        <v/>
      </c>
      <c r="AS81" s="15" t="str">
        <f>IFERROR(IF(AR81="","",VLOOKUP(AR81,LISTAS!$F$5:$G$1004,2,0)),"0")</f>
        <v/>
      </c>
      <c r="AT81" s="15" t="str">
        <f t="shared" si="4"/>
        <v/>
      </c>
      <c r="AU81" s="15" t="str">
        <f t="shared" si="5"/>
        <v/>
      </c>
    </row>
    <row r="82" spans="2:47" ht="18" customHeight="1" x14ac:dyDescent="0.25">
      <c r="B82" s="16">
        <v>16</v>
      </c>
      <c r="C82" s="169" t="str">
        <f>IF('09F GRP'!G5&gt;=3,'09F GRP'!J217,IF('09F GRP'!G5=2,"",IF('09F GRP'!G5=1,"","")))</f>
        <v/>
      </c>
      <c r="D82" s="234">
        <v>0</v>
      </c>
      <c r="E82" s="57">
        <f>IF(D82&lt;&gt;"",D82,"")</f>
        <v>0</v>
      </c>
      <c r="F82" s="51" t="str">
        <f>IF(D82&lt;&gt;"",IF(C82="","",C82),"")</f>
        <v/>
      </c>
      <c r="G82" s="176" t="str">
        <f>VLOOKUP(G80,E80:F82,2,0)</f>
        <v/>
      </c>
      <c r="H82" s="11"/>
      <c r="I82" s="18"/>
      <c r="J82" s="11"/>
      <c r="K82" s="166"/>
      <c r="L82" s="11"/>
      <c r="M82" s="11"/>
      <c r="N82" s="11"/>
      <c r="O82" s="166"/>
      <c r="P82" s="11"/>
      <c r="Q82" s="8"/>
      <c r="R82" s="182"/>
      <c r="S82" s="8"/>
      <c r="T82" s="8"/>
      <c r="U82" s="8"/>
      <c r="V82" s="182"/>
      <c r="W82" s="8"/>
      <c r="X82" s="62"/>
      <c r="Y82" s="182"/>
      <c r="Z82" s="8"/>
      <c r="AA82" s="8"/>
      <c r="AB82" s="11"/>
      <c r="AC82" s="182"/>
      <c r="AD82" s="65"/>
      <c r="AE82" s="8"/>
      <c r="AF82" s="8"/>
      <c r="AG82" s="181">
        <f>IF(AJ82&lt;&gt;"",AJ82,"")</f>
        <v>0</v>
      </c>
      <c r="AH82" s="78" t="str">
        <f>IF(AJ82&lt;&gt;"",IF(AK82="","",AK82),"")</f>
        <v/>
      </c>
      <c r="AI82" s="76" t="str">
        <f>VLOOKUP(AI80,AG80:AH82,2,0)</f>
        <v/>
      </c>
      <c r="AJ82" s="234">
        <v>0</v>
      </c>
      <c r="AK82" s="169" t="str">
        <f>IF('09F GRP'!G5&gt;=3,'09F GRP'!J256,IF('09F GRP'!G5=2,"",IF('09F GRP'!G5=1,"","")))</f>
        <v/>
      </c>
      <c r="AL82" s="11">
        <v>19</v>
      </c>
      <c r="AP82" s="13" t="str">
        <f>IF(AR82&lt;&gt;"",1+COUNTIF(AP72:AP81,"1")+COUNTIF(AP72:AP81,"2")+COUNTIF(AP72:AP81,"3")+COUNTIF(AP72:AP81,"4")+COUNTIF(AP72:AP81,"5")+COUNTIF(AP72:AP81,"6")+COUNTIF(AP72:AP81,"7")+COUNTIF(AP72:AP81,"8")+COUNTIF(AP72:AP81,"9")+COUNTIF(AP72:AP81,"10"),"")</f>
        <v/>
      </c>
      <c r="AQ82" s="14" t="str">
        <f t="shared" si="3"/>
        <v/>
      </c>
      <c r="AR82" s="21" t="str">
        <f>IF(AR74&lt;&gt;"",IF(G76=AR74,G78,IF(G78=AR74,G76,IF(G92=AR74,G94,IF(G94=AR74,G92,IF(AG76=AR74,AG78,IF(AG78=AR74,AG76,IF(AG92=AR74,AG94,IF(AG94=AR74,AG92,IF(G106=AR74,G108,IF(G108=AR74,G106,IF(G122=AR74,G124,IF(G124=AR74,G122,IF(AG106=AR74,AG108,IF(AG108=AR74,AG106,IF(AG122=AR74,AG124,IF(AG124=AR74,AG122)))))))))))))))),"")</f>
        <v/>
      </c>
      <c r="AS82" s="15" t="str">
        <f>IFERROR(IF(AR82="","",VLOOKUP(AR82,LISTAS!$F$5:$G$1004,2,0)),"0")</f>
        <v/>
      </c>
      <c r="AT82" s="15" t="str">
        <f t="shared" si="4"/>
        <v/>
      </c>
      <c r="AU82" s="15" t="str">
        <f t="shared" si="5"/>
        <v/>
      </c>
    </row>
    <row r="83" spans="2:47" ht="18" customHeight="1" thickBot="1" x14ac:dyDescent="0.3">
      <c r="B83" s="16"/>
      <c r="C83" s="170" t="str">
        <f>IFERROR(IF(C82="","",VLOOKUP(C82,LISTAS!$F$5:$G$1004,2,0)),"0")</f>
        <v/>
      </c>
      <c r="D83" s="235"/>
      <c r="E83" s="51"/>
      <c r="F83" s="51"/>
      <c r="G83" s="176"/>
      <c r="H83" s="11"/>
      <c r="I83" s="18"/>
      <c r="J83" s="11"/>
      <c r="K83" s="166"/>
      <c r="L83" s="11"/>
      <c r="M83" s="11"/>
      <c r="N83" s="11"/>
      <c r="O83" s="166"/>
      <c r="P83" s="11"/>
      <c r="Q83" s="8"/>
      <c r="R83" s="182"/>
      <c r="S83" s="8"/>
      <c r="T83" s="8"/>
      <c r="U83" s="8"/>
      <c r="V83" s="182"/>
      <c r="W83" s="8"/>
      <c r="X83" s="62"/>
      <c r="Y83" s="182"/>
      <c r="Z83" s="8"/>
      <c r="AA83" s="8"/>
      <c r="AB83" s="11"/>
      <c r="AC83" s="182"/>
      <c r="AD83" s="65"/>
      <c r="AE83" s="8"/>
      <c r="AF83" s="8"/>
      <c r="AG83" s="181"/>
      <c r="AH83" s="78"/>
      <c r="AI83" s="51"/>
      <c r="AJ83" s="235"/>
      <c r="AK83" s="170" t="str">
        <f>IFERROR(IF(AK82="","",VLOOKUP(AK82,LISTAS!$F$5:$G$1004,2,0)),"0")</f>
        <v/>
      </c>
      <c r="AL83" s="11"/>
      <c r="AP83" s="13" t="str">
        <f>IF(AR83&lt;&gt;"",1+COUNTIF(AP72:AP82,"1")+COUNTIF(AP72:AP82,"2")+COUNTIF(AP72:AP82,"3")+COUNTIF(AP72:AP82,"4")+COUNTIF(AP72:AP82,"5")+COUNTIF(AP72:AP82,"6")+COUNTIF(AP72:AP82,"7")+COUNTIF(AP72:AP82,"8")+COUNTIF(AP72:AP82,"9")+COUNTIF(AP72:AP82,"10")+COUNTIF(AP72:AP82,"11"),"")</f>
        <v/>
      </c>
      <c r="AQ83" s="14" t="str">
        <f t="shared" si="3"/>
        <v/>
      </c>
      <c r="AR83" s="21" t="str">
        <f>IF(AR75&lt;&gt;"",IF(G76=AR75,G78,IF(G78=AR75,G76,IF(G92=AR75,G94,IF(G94=AR75,G92,IF(AG76=AR75,AG78,IF(AG78=AR75,AG76,IF(AG92=AR75,AG94,IF(AG94=AR75,AG92,IF(G106=AR75,G108,IF(G108=AR75,G106,IF(G122=AR75,G124,IF(G124=AR75,G122,IF(AG106=AR75,AG108,IF(AG108=AR75,AG106,IF(AG122=AR75,AG124,IF(AG124=AR75,AG122)))))))))))))))),"")</f>
        <v/>
      </c>
      <c r="AS83" s="15" t="str">
        <f>IFERROR(IF(AR83="","",VLOOKUP(AR83,LISTAS!$F$5:$G$1004,2,0)),"0")</f>
        <v/>
      </c>
      <c r="AT83" s="15" t="str">
        <f t="shared" si="4"/>
        <v/>
      </c>
      <c r="AU83" s="15" t="str">
        <f t="shared" si="5"/>
        <v/>
      </c>
    </row>
    <row r="84" spans="2:47" ht="18" customHeight="1" x14ac:dyDescent="0.25">
      <c r="B84" s="16"/>
      <c r="C84" s="166"/>
      <c r="D84" s="11"/>
      <c r="E84" s="11"/>
      <c r="F84" s="11"/>
      <c r="G84" s="166"/>
      <c r="H84" s="11"/>
      <c r="I84" s="18"/>
      <c r="J84" s="11"/>
      <c r="K84" s="169" t="str">
        <f>IF(H76&lt;&gt;"",IF(H78&lt;&gt;"",IF(H76=H78,"",IF(H76&gt;H78,G76,G78)),""),"")</f>
        <v>ANA JÚLIA RIBEIRO DE LIMA BARRETO SANTOS</v>
      </c>
      <c r="L84" s="234">
        <v>2</v>
      </c>
      <c r="M84" s="51">
        <f>IF(L84&lt;&gt;"",L84,"")</f>
        <v>2</v>
      </c>
      <c r="N84" s="51" t="str">
        <f>IF(L84&lt;&gt;"",IF(K84="","",K84),"")</f>
        <v>ANA JÚLIA RIBEIRO DE LIMA BARRETO SANTOS</v>
      </c>
      <c r="O84" s="176">
        <f>IF(M84&lt;&gt;"",IF(M86&lt;&gt;"",SMALL(M84:N86,1),""),"")</f>
        <v>0</v>
      </c>
      <c r="P84" s="11"/>
      <c r="Q84" s="8"/>
      <c r="R84" s="238" t="s">
        <v>20</v>
      </c>
      <c r="S84" s="239"/>
      <c r="T84" s="239"/>
      <c r="U84" s="239"/>
      <c r="V84" s="239"/>
      <c r="W84" s="8"/>
      <c r="X84" s="62"/>
      <c r="Y84" s="182"/>
      <c r="Z84" s="8"/>
      <c r="AA84" s="8"/>
      <c r="AB84" s="234">
        <v>2</v>
      </c>
      <c r="AC84" s="169" t="str">
        <f>IF(AF76&lt;&gt;"",IF(AF78&lt;&gt;"",IF(AF76=AF78,"",IF(AF76&gt;AF78,AG76,AG78)),""),"")</f>
        <v>OLGA OLIVEIRA WELSCH</v>
      </c>
      <c r="AD84" s="112"/>
      <c r="AE84" s="8"/>
      <c r="AF84" s="8"/>
      <c r="AG84" s="182"/>
      <c r="AH84" s="8"/>
      <c r="AI84" s="8"/>
      <c r="AJ84" s="11"/>
      <c r="AK84" s="166"/>
      <c r="AL84" s="11"/>
      <c r="AP84" s="13" t="str">
        <f>IF(AR84&lt;&gt;"",1+COUNTIF(AP72:AP83,"1")+COUNTIF(AP72:AP83,"2")+COUNTIF(AP72:AP83,"3")+COUNTIF(AP72:AP83,"4")+COUNTIF(AP72:AP83,"5")+COUNTIF(AP72:AP83,"6")+COUNTIF(AP72:AP83,"7")+COUNTIF(AP72:AP83,"8")+COUNTIF(AP72:AP83,"9")+COUNTIF(AP72:AP83,"10")+COUNTIF(AP72:AP83,"11")+COUNTIF(AP72:AP83,"12"),"")</f>
        <v/>
      </c>
      <c r="AQ84" s="14" t="str">
        <f t="shared" si="3"/>
        <v/>
      </c>
      <c r="AR84" s="21" t="str">
        <f>IF(AR76&lt;&gt;"",IF(G76=AR76,G78,IF(G78=AR76,G76,IF(G92=AR76,G94,IF(G94=AR76,G92,IF(AG76=AR76,AG78,IF(AG78=AR76,AG76,IF(AG92=AR76,AG94,IF(AG94=AR76,AG92,IF(G106=AR76,G108,IF(G108=AR76,G106,IF(G122=AR76,G124,IF(G124=AR76,G122,IF(AG106=AR76,AG108,IF(AG108=AR76,AG106,IF(AG122=AR76,AG124,IF(AG124=AR76,AG122)))))))))))))))),"")</f>
        <v/>
      </c>
      <c r="AS84" s="15" t="str">
        <f>IFERROR(IF(AR84="","",VLOOKUP(AR84,LISTAS!$F$5:$G$1004,2,0)),"0")</f>
        <v/>
      </c>
      <c r="AT84" s="15" t="str">
        <f t="shared" si="4"/>
        <v/>
      </c>
      <c r="AU84" s="15" t="str">
        <f t="shared" si="5"/>
        <v/>
      </c>
    </row>
    <row r="85" spans="2:47" ht="18" customHeight="1" thickBot="1" x14ac:dyDescent="0.3">
      <c r="B85" s="16"/>
      <c r="C85" s="166"/>
      <c r="D85" s="11"/>
      <c r="E85" s="11"/>
      <c r="F85" s="11"/>
      <c r="G85" s="166"/>
      <c r="H85" s="11"/>
      <c r="I85" s="18"/>
      <c r="J85" s="11"/>
      <c r="K85" s="170" t="str">
        <f>IFERROR(IF(K84="","",VLOOKUP(K84,LISTAS!$F$5:$G$1004,2,0)),"0")</f>
        <v>COLÉGIO ENGENHEIRO SALVADOR ARENA</v>
      </c>
      <c r="L85" s="235"/>
      <c r="M85" s="51"/>
      <c r="N85" s="51"/>
      <c r="O85" s="176"/>
      <c r="P85" s="11"/>
      <c r="Q85" s="8"/>
      <c r="R85" s="202"/>
      <c r="S85" s="202"/>
      <c r="T85" s="202" t="s">
        <v>19</v>
      </c>
      <c r="U85" s="202"/>
      <c r="V85" s="202"/>
      <c r="W85" s="8"/>
      <c r="X85" s="62"/>
      <c r="Y85" s="182"/>
      <c r="Z85" s="8"/>
      <c r="AA85" s="8"/>
      <c r="AB85" s="235"/>
      <c r="AC85" s="170" t="str">
        <f>IFERROR(IF(AC84="","",VLOOKUP(AC84,LISTAS!$F$5:$G$1004,2,0)),"0")</f>
        <v>COLÉGIO ENGENHEIRO SALVADOR ARENA</v>
      </c>
      <c r="AD85" s="8"/>
      <c r="AE85" s="69"/>
      <c r="AF85" s="8"/>
      <c r="AG85" s="182"/>
      <c r="AH85" s="8"/>
      <c r="AI85" s="8"/>
      <c r="AJ85" s="11"/>
      <c r="AK85" s="166"/>
      <c r="AL85" s="11"/>
      <c r="AP85" s="13" t="str">
        <f>IF(AR85&lt;&gt;"",1+COUNTIF(AP72:AP84,"1")+COUNTIF(AP72:AP84,"2")+COUNTIF(AP72:AP84,"3")+COUNTIF(AP72:AP84,"4")+COUNTIF(AP72:AP84,"5")+COUNTIF(AP72:AP84,"6")+COUNTIF(AP72:AP84,"7")+COUNTIF(AP72:AP84,"8")+COUNTIF(AP72:AP84,"9")+COUNTIF(AP72:AP84,"10")+COUNTIF(AP72:AP84,"11")+COUNTIF(AP72:AP84,"12")+COUNTIF(AP72:AP84,"13"),"")</f>
        <v/>
      </c>
      <c r="AQ85" s="14" t="str">
        <f t="shared" si="3"/>
        <v/>
      </c>
      <c r="AR85" s="21" t="str">
        <f>IF(AR77&lt;&gt;"",IF(G76=AR77,G78,IF(G78=AR77,G76,IF(G92=AR77,G94,IF(G94=AR77,G92,IF(AG76=AR77,AG78,IF(AG78=AR77,AG76,IF(AG92=AR77,AG94,IF(AG94=AR77,AG92,IF(G106=AR77,G108,IF(G108=AR77,G106,IF(G122=AR77,G124,IF(G124=AR77,G122,IF(AG106=AR77,AG108,IF(AG108=AR77,AG106,IF(AG122=AR77,AG124,IF(AG124=AR77,AG122)))))))))))))))),"")</f>
        <v/>
      </c>
      <c r="AS85" s="15" t="str">
        <f>IFERROR(IF(AR85="","",VLOOKUP(AR85,LISTAS!$F$5:$G$1004,2,0)),"0")</f>
        <v/>
      </c>
      <c r="AT85" s="15" t="str">
        <f t="shared" si="4"/>
        <v/>
      </c>
      <c r="AU85" s="15" t="str">
        <f t="shared" si="5"/>
        <v/>
      </c>
    </row>
    <row r="86" spans="2:47" ht="18" customHeight="1" x14ac:dyDescent="0.25">
      <c r="B86" s="16"/>
      <c r="C86" s="166"/>
      <c r="D86" s="11"/>
      <c r="E86" s="11"/>
      <c r="F86" s="11"/>
      <c r="G86" s="166"/>
      <c r="H86" s="11"/>
      <c r="I86" s="18"/>
      <c r="J86" s="19"/>
      <c r="K86" s="169" t="str">
        <f>IF(H92&lt;&gt;"",IF(H94&lt;&gt;"",IF(H92=H94,"",IF(H92&gt;H94,G92,G94)),""),"")</f>
        <v/>
      </c>
      <c r="L86" s="234">
        <v>0</v>
      </c>
      <c r="M86" s="52">
        <f>IF(L86&lt;&gt;"",L86,"")</f>
        <v>0</v>
      </c>
      <c r="N86" s="51" t="str">
        <f>IF(L86&lt;&gt;"",IF(K86="","",K86),"")</f>
        <v/>
      </c>
      <c r="O86" s="176" t="str">
        <f>VLOOKUP(O84,M84:N86,2,0)</f>
        <v/>
      </c>
      <c r="P86" s="11"/>
      <c r="Q86" s="8"/>
      <c r="R86" s="182"/>
      <c r="S86" s="8"/>
      <c r="T86" s="8"/>
      <c r="U86" s="8"/>
      <c r="V86" s="182"/>
      <c r="W86" s="8"/>
      <c r="X86" s="62"/>
      <c r="Y86" s="182"/>
      <c r="Z86" s="65"/>
      <c r="AA86" s="68"/>
      <c r="AB86" s="234">
        <v>0</v>
      </c>
      <c r="AC86" s="169" t="str">
        <f>IF(AF92&lt;&gt;"",IF(AF94&lt;&gt;"",IF(AF92=AF94,"",IF(AF92&gt;AF94,AG92,AG94)),""),"")</f>
        <v/>
      </c>
      <c r="AD86" s="8"/>
      <c r="AE86" s="69"/>
      <c r="AF86" s="8"/>
      <c r="AG86" s="182"/>
      <c r="AH86" s="8"/>
      <c r="AI86" s="8"/>
      <c r="AJ86" s="11"/>
      <c r="AK86" s="166"/>
      <c r="AL86" s="11"/>
      <c r="AP86" s="13" t="str">
        <f>IF(AR86&lt;&gt;"",1+COUNTIF(AP72:AP85,"1")+COUNTIF(AP72:AP85,"2")+COUNTIF(AP72:AP85,"3")+COUNTIF(AP72:AP85,"4")+COUNTIF(AP72:AP85,"5")+COUNTIF(AP72:AP85,"6")+COUNTIF(AP72:AP85,"7")+COUNTIF(AP72:AP85,"8")+COUNTIF(AP72:AP85,"9")+COUNTIF(AP72:AP85,"10")+COUNTIF(AP72:AP85,"11")+COUNTIF(AP72:AP85,"12")+COUNTIF(AP72:AP85,"13")+COUNTIF(AP72:AP85,"14"),"")</f>
        <v/>
      </c>
      <c r="AQ86" s="14" t="str">
        <f t="shared" si="3"/>
        <v/>
      </c>
      <c r="AR86" s="21" t="str">
        <f>IF(AR78&lt;&gt;"",IF(G76=AR78,G78,IF(G78=AR78,G76,IF(G92=AR78,G94,IF(G94=AR78,G92,IF(AG76=AR78,AG78,IF(AG78=AR78,AG76,IF(AG92=AR78,AG94,IF(AG94=AR78,AG92,IF(G106=AR78,G108,IF(G108=AR78,G106,IF(G122=AR78,G124,IF(G124=AR78,G122,IF(AG106=AR78,AG108,IF(AG108=AR78,AG106,IF(AG122=AR78,AG124,IF(AG124=AR78,AG122)))))))))))))))),"")</f>
        <v/>
      </c>
      <c r="AS86" s="15" t="str">
        <f>IFERROR(IF(AR86="","",VLOOKUP(AR86,LISTAS!$F$5:$G$1004,2,0)),"0")</f>
        <v/>
      </c>
      <c r="AT86" s="15" t="str">
        <f t="shared" si="4"/>
        <v/>
      </c>
      <c r="AU86" s="15" t="str">
        <f t="shared" si="5"/>
        <v/>
      </c>
    </row>
    <row r="87" spans="2:47" ht="18" customHeight="1" thickBot="1" x14ac:dyDescent="0.3">
      <c r="B87" s="16"/>
      <c r="C87" s="166"/>
      <c r="D87" s="11"/>
      <c r="E87" s="11"/>
      <c r="F87" s="11"/>
      <c r="G87" s="166"/>
      <c r="H87" s="11"/>
      <c r="I87" s="18"/>
      <c r="J87" s="11"/>
      <c r="K87" s="170" t="str">
        <f>IFERROR(IF(K86="","",VLOOKUP(K86,LISTAS!$F$5:$G$1004,2,0)),"0")</f>
        <v/>
      </c>
      <c r="L87" s="235"/>
      <c r="M87" s="54"/>
      <c r="N87" s="51"/>
      <c r="O87" s="176"/>
      <c r="P87" s="11"/>
      <c r="Q87" s="8"/>
      <c r="R87" s="182"/>
      <c r="S87" s="8"/>
      <c r="T87" s="8"/>
      <c r="U87" s="8"/>
      <c r="V87" s="182"/>
      <c r="W87" s="8"/>
      <c r="X87" s="62"/>
      <c r="Y87" s="182"/>
      <c r="Z87" s="65"/>
      <c r="AA87" s="8"/>
      <c r="AB87" s="235"/>
      <c r="AC87" s="170" t="str">
        <f>IFERROR(IF(AC86="","",VLOOKUP(AC86,LISTAS!$F$5:$G$1004,2,0)),"0")</f>
        <v/>
      </c>
      <c r="AD87" s="8"/>
      <c r="AE87" s="69"/>
      <c r="AF87" s="8"/>
      <c r="AG87" s="182"/>
      <c r="AH87" s="8"/>
      <c r="AI87" s="8"/>
      <c r="AJ87" s="11"/>
      <c r="AK87" s="166"/>
      <c r="AL87" s="11"/>
      <c r="AP87" s="13" t="str">
        <f>IF(AR87&lt;&gt;"",1+COUNTIF(AP72:AP86,"1")+COUNTIF(AP72:AP86,"2")+COUNTIF(AP72:AP86,"3")+COUNTIF(AP72:AP86,"4")+COUNTIF(AP72:AP86,"5")+COUNTIF(AP72:AP86,"6")+COUNTIF(AP72:AP86,"7")+COUNTIF(AP72:AP86,"8")+COUNTIF(AP72:AP86,"9")+COUNTIF(AP72:AP86,"10")+COUNTIF(AP72:AP86,"11")+COUNTIF(AP72:AP86,"12")+COUNTIF(AP72:AP86,"13")+COUNTIF(AP72:AP86,"14")+COUNTIF(AP72:AP86,"15"),"")</f>
        <v/>
      </c>
      <c r="AQ87" s="14" t="str">
        <f t="shared" si="3"/>
        <v/>
      </c>
      <c r="AR87" s="21" t="str">
        <f>IF(AR79&lt;&gt;"",IF(G76=AR79,G78,IF(G78=AR79,G76,IF(G92=AR79,G94,IF(G94=AR79,G92,IF(AG76=AR79,AG78,IF(AG78=AR79,AG76,IF(AG92=AR79,AG94,IF(AG94=AR79,AG92,IF(G106=AR79,G108,IF(G108=AR79,G106,IF(G122=AR79,G124,IF(G124=AR79,G122,IF(AG106=AR79,AG108,IF(AG108=AR79,AG106,IF(AG122=AR79,AG124,IF(AG124=AR79,AG122)))))))))))))))),"")</f>
        <v/>
      </c>
      <c r="AS87" s="15" t="str">
        <f>IFERROR(IF(AR87="","",VLOOKUP(AR87,LISTAS!$F$5:$G$1004,2,0)),"0")</f>
        <v/>
      </c>
      <c r="AT87" s="15" t="str">
        <f t="shared" si="4"/>
        <v/>
      </c>
      <c r="AU87" s="15" t="str">
        <f t="shared" si="5"/>
        <v/>
      </c>
    </row>
    <row r="88" spans="2:47" ht="18" customHeight="1" x14ac:dyDescent="0.25">
      <c r="B88" s="16">
        <v>9</v>
      </c>
      <c r="C88" s="169" t="str">
        <f>IF('09F GRP'!G5&gt;=3,'09F GRP'!J126,IF('09F GRP'!G5=2,"",IF('09F GRP'!G5=1,"","")))</f>
        <v/>
      </c>
      <c r="D88" s="234">
        <v>0</v>
      </c>
      <c r="E88" s="51">
        <f>IF(D88&lt;&gt;"",D88,"")</f>
        <v>0</v>
      </c>
      <c r="F88" s="51" t="str">
        <f>IF(D88&lt;&gt;"",IF(C88="","",C88),"")</f>
        <v/>
      </c>
      <c r="G88" s="176">
        <f>IF(E88&lt;&gt;"",IF(E90&lt;&gt;"",SMALL(E88:E90,1),""),"")</f>
        <v>0</v>
      </c>
      <c r="H88" s="51"/>
      <c r="I88" s="18"/>
      <c r="J88" s="11"/>
      <c r="K88" s="166"/>
      <c r="L88" s="11"/>
      <c r="M88" s="54"/>
      <c r="N88" s="51"/>
      <c r="O88" s="176"/>
      <c r="P88" s="11"/>
      <c r="Q88" s="8"/>
      <c r="R88" s="182"/>
      <c r="S88" s="8"/>
      <c r="T88" s="8"/>
      <c r="U88" s="8"/>
      <c r="V88" s="182"/>
      <c r="W88" s="8"/>
      <c r="X88" s="62"/>
      <c r="Y88" s="182"/>
      <c r="Z88" s="65"/>
      <c r="AA88" s="8"/>
      <c r="AB88" s="11"/>
      <c r="AC88" s="182"/>
      <c r="AD88" s="8"/>
      <c r="AE88" s="69"/>
      <c r="AF88" s="78"/>
      <c r="AG88" s="181">
        <f>IF(AJ88&lt;&gt;"",AJ88,"")</f>
        <v>0</v>
      </c>
      <c r="AH88" s="78" t="str">
        <f>IF(AJ88&lt;&gt;"",IF(AK88="","",AK88),"")</f>
        <v/>
      </c>
      <c r="AI88" s="51">
        <f>IF(AG88&lt;&gt;"",IF(AG90&lt;&gt;"",SMALL(AG88:AG90,1),""),"")</f>
        <v>0</v>
      </c>
      <c r="AJ88" s="234">
        <v>0</v>
      </c>
      <c r="AK88" s="169" t="str">
        <f>IF('09F GRP'!G5&gt;=3,'09F GRP'!J295,IF('09F GRP'!G5=2,"",IF('09F GRP'!G5=1,"","")))</f>
        <v/>
      </c>
      <c r="AL88" s="11">
        <v>22</v>
      </c>
      <c r="AP88" s="13" t="str">
        <f>IF(AR88&lt;&gt;"",1+COUNTIF(AP72:AP87,"1")+COUNTIF(AP72:AP87,"2")+COUNTIF(AP72:AP87,"3")+COUNTIF(AP72:AP87,"4")+COUNTIF(AP72:AP87,"5")+COUNTIF(AP72:AP87,"6")+COUNTIF(AP72:AP87,"7")+COUNTIF(AP72:AP87,"8")+COUNTIF(AP72:AP87,"9")+COUNTIF(AP72:AP87,"10")+COUNTIF(AP72:AP87,"11")+COUNTIF(AP72:AP87,"12")+COUNTIF(AP72:AP87,"13")+COUNTIF(AP72:AP87,"14")+COUNTIF(AP72:AP87,"15")+COUNTIF(AP72:AP87,"16"),"")</f>
        <v/>
      </c>
      <c r="AQ88" s="14" t="str">
        <f t="shared" si="3"/>
        <v/>
      </c>
      <c r="AR88" s="21" t="str">
        <f>IF(AR72&lt;&gt;"",IF(C72=AR72,G74,IF(C74=AR72,G74,IF(C80=AR72,G82,IF(C82=AR72,G82,IF(C102=AR72,G104,IF(C104=AR72,G104,IF(C110=AR72,G112,IF(C112=AR72,G112,IF(C88=AR72,G90,IF(C90=AR72,G90,IF(C96=AR72,G98,IF(C98=AR72,G98,IF(C118=AR72,G120,IF(C120=AR72,G120,IF(C126=AR72,G128,IF(C128=AR72,G128,IF(AK72=AR72,AI74,IF(AK74=AR72,AI74,IF(AK80=AR72,AI82,IF(AK82=AR72,AI82,IF(AK102=AR72,AI104,IF(AK104=AR72,AI104,IF(AK110=AR72,AI112,IF(AK112=AR72,AI112,IF(AK88=AR72,AI90,IF(AK90=AR72,AI90,IF(AK96=AR72,AI98,IF(AK98=AR72,AI98,IF(AK118=AR72,AI120,IF(AK120=AR72,AI120,IF(AK126=AR72,AI128,IF(AK128=AR72,AI128)))))))))))))))))))))))))))))))),"")</f>
        <v/>
      </c>
      <c r="AS88" s="15" t="str">
        <f>IFERROR(IF(AR88="","",VLOOKUP(AR88,LISTAS!$F$5:$G$1004,2,0)),"0")</f>
        <v/>
      </c>
      <c r="AT88" s="15" t="str">
        <f t="shared" si="4"/>
        <v/>
      </c>
      <c r="AU88" s="15" t="str">
        <f t="shared" si="5"/>
        <v/>
      </c>
    </row>
    <row r="89" spans="2:47" ht="18" customHeight="1" thickBot="1" x14ac:dyDescent="0.3">
      <c r="B89" s="16"/>
      <c r="C89" s="170" t="str">
        <f>IFERROR(IF(C88="","",VLOOKUP(C88,LISTAS!$F$5:$G$1004,2,0)),"0")</f>
        <v/>
      </c>
      <c r="D89" s="235"/>
      <c r="E89" s="51"/>
      <c r="F89" s="51"/>
      <c r="G89" s="176"/>
      <c r="H89" s="51"/>
      <c r="I89" s="18"/>
      <c r="J89" s="11"/>
      <c r="K89" s="166"/>
      <c r="L89" s="11"/>
      <c r="M89" s="18"/>
      <c r="N89" s="11"/>
      <c r="O89" s="166"/>
      <c r="P89" s="11"/>
      <c r="Q89" s="8"/>
      <c r="R89" s="182"/>
      <c r="S89" s="8"/>
      <c r="T89" s="8"/>
      <c r="U89" s="8"/>
      <c r="V89" s="182"/>
      <c r="W89" s="8"/>
      <c r="X89" s="62"/>
      <c r="Y89" s="182"/>
      <c r="Z89" s="65"/>
      <c r="AA89" s="8"/>
      <c r="AB89" s="11"/>
      <c r="AC89" s="182"/>
      <c r="AD89" s="8"/>
      <c r="AE89" s="69"/>
      <c r="AF89" s="78"/>
      <c r="AG89" s="181"/>
      <c r="AH89" s="78"/>
      <c r="AI89" s="51"/>
      <c r="AJ89" s="235"/>
      <c r="AK89" s="170" t="str">
        <f>IFERROR(IF(AK88="","",VLOOKUP(AK88,LISTAS!$F$5:$G$1004,2,0)),"0")</f>
        <v/>
      </c>
      <c r="AL89" s="11"/>
      <c r="AP89" s="13" t="str">
        <f>IF(AR89&lt;&gt;"",1+COUNTIF(AP72:AP88,"1")+COUNTIF(AP72:AP88,"2")+COUNTIF(AP72:AP88,"3")+COUNTIF(AP72:AP88,"4")+COUNTIF(AP72:AP88,"5")+COUNTIF(AP72:AP88,"6")+COUNTIF(AP72:AP88,"7")+COUNTIF(AP72:AP88,"8")+COUNTIF(AP72:AP88,"9")+COUNTIF(AP72:AP88,"10")+COUNTIF(AP72:AP88,"11")+COUNTIF(AP72:AP88,"12")+COUNTIF(AP72:AP88,"13")+COUNTIF(AP72:AP88,"14")+COUNTIF(AP72:AP88,"15")+COUNTIF(AP72:AP88,"16")+COUNTIF(AP72:AP88,"17"),"")</f>
        <v/>
      </c>
      <c r="AQ89" s="14" t="str">
        <f t="shared" si="3"/>
        <v/>
      </c>
      <c r="AR89" s="21" t="str">
        <f>IF(AR73&lt;&gt;"",IF(C72=AR73,G74,IF(C74=AR73,G74,IF(C80=AR73,G82,IF(C82=AR73,G82,IF(C102=AR73,G104,IF(C104=AR73,G104,IF(C110=AR73,G112,IF(C112=AR73,G112,IF(C88=AR73,G90,IF(C90=AR73,G90,IF(C96=AR73,G98,IF(C98=AR73,G98,IF(C118=AR73,G120,IF(C120=AR73,G120,IF(C126=AR73,G128,IF(C128=AR73,G128,IF(AK72=AR73,AI74,IF(AK74=AR73,AI74,IF(AK80=AR73,AI82,IF(AK82=AR73,AI82,IF(AK102=AR73,AI104,IF(AK104=AR73,AI104,IF(AK110=AR73,AI112,IF(AK112=AR73,AI112,IF(AK88=AR73,AI90,IF(AK90=AR73,AI90,IF(AK96=AR73,AI98,IF(AK98=AR73,AI98,IF(AK118=AR73,AI120,IF(AK120=AR73,AI120,IF(AK126=AR73,AI128,IF(AK128=AR73,AI128)))))))))))))))))))))))))))))))),"")</f>
        <v/>
      </c>
      <c r="AS89" s="15" t="str">
        <f>IFERROR(IF(AR89="","",VLOOKUP(AR89,LISTAS!$F$5:$G$1004,2,0)),"0")</f>
        <v/>
      </c>
      <c r="AT89" s="15" t="str">
        <f t="shared" si="4"/>
        <v/>
      </c>
      <c r="AU89" s="15" t="str">
        <f t="shared" si="5"/>
        <v/>
      </c>
    </row>
    <row r="90" spans="2:47" ht="18" customHeight="1" x14ac:dyDescent="0.25">
      <c r="B90" s="16">
        <v>24</v>
      </c>
      <c r="C90" s="169" t="str">
        <f>IF('09F GRP'!G5&gt;=3,'09F GRP'!J321,IF('09F GRP'!G5=2,"",IF('09F GRP'!G5=1,"","")))</f>
        <v/>
      </c>
      <c r="D90" s="234">
        <v>0</v>
      </c>
      <c r="E90" s="52">
        <f>IF(D90&lt;&gt;"",D90,"")</f>
        <v>0</v>
      </c>
      <c r="F90" s="51" t="str">
        <f>IF(D90&lt;&gt;"",IF(C90="","",C90),"")</f>
        <v/>
      </c>
      <c r="G90" s="176" t="str">
        <f>VLOOKUP(G88,E88:F90,2,0)</f>
        <v/>
      </c>
      <c r="H90" s="51"/>
      <c r="I90" s="18"/>
      <c r="J90" s="11"/>
      <c r="K90" s="166"/>
      <c r="L90" s="11"/>
      <c r="M90" s="18"/>
      <c r="N90" s="11"/>
      <c r="O90" s="166"/>
      <c r="P90" s="11"/>
      <c r="Q90" s="8"/>
      <c r="R90" s="182"/>
      <c r="S90" s="8"/>
      <c r="T90" s="8"/>
      <c r="U90" s="8"/>
      <c r="V90" s="182"/>
      <c r="W90" s="8"/>
      <c r="X90" s="62"/>
      <c r="Y90" s="182"/>
      <c r="Z90" s="65"/>
      <c r="AA90" s="8"/>
      <c r="AB90" s="11"/>
      <c r="AC90" s="182"/>
      <c r="AD90" s="8"/>
      <c r="AE90" s="69"/>
      <c r="AF90" s="78"/>
      <c r="AG90" s="181">
        <f>IF(AJ90&lt;&gt;"",AJ90,"")</f>
        <v>0</v>
      </c>
      <c r="AH90" s="78" t="str">
        <f>IF(AJ90&lt;&gt;"",IF(AK90="","",AK90),"")</f>
        <v/>
      </c>
      <c r="AI90" s="55" t="str">
        <f>VLOOKUP(AI88,AG88:AH90,2,0)</f>
        <v/>
      </c>
      <c r="AJ90" s="234">
        <v>0</v>
      </c>
      <c r="AK90" s="169" t="str">
        <f>IF('09F GRP'!G5&gt;=3,'09F GRP'!J152,IF('09F GRP'!G5=2,"",IF('09F GRP'!G5=1,"","")))</f>
        <v/>
      </c>
      <c r="AL90" s="11">
        <v>11</v>
      </c>
      <c r="AP90" s="13" t="str">
        <f>IF(AR90&lt;&gt;"",1+COUNTIF(AP72:AP89,"1")+COUNTIF(AP72:AP89,"2")+COUNTIF(AP72:AP89,"3")+COUNTIF(AP72:AP89,"4")+COUNTIF(AP72:AP89,"5")+COUNTIF(AP72:AP89,"6")+COUNTIF(AP72:AP89,"7")+COUNTIF(AP72:AP89,"8")+COUNTIF(AP72:AP89,"9")+COUNTIF(AP72:AP89,"10")+COUNTIF(AP72:AP89,"11")+COUNTIF(AP72:AP89,"12")+COUNTIF(AP72:AP89,"13")+COUNTIF(AP72:AP89,"14")+COUNTIF(AP72:AP89,"15")+COUNTIF(AP72:AP89,"16")+COUNTIF(AP72:AP89,"17")+COUNTIF(AP72:AP89,"18"),"")</f>
        <v/>
      </c>
      <c r="AQ90" s="14" t="str">
        <f t="shared" si="3"/>
        <v/>
      </c>
      <c r="AR90" s="21" t="str">
        <f>IF(AR74&lt;&gt;"",IF(C72=AR74,G74,IF(C74=AR74,G74,IF(C80=AR74,G82,IF(C82=AR74,G82,IF(C102=AR74,G104,IF(C104=AR74,G104,IF(C110=AR74,G112,IF(C112=AR74,G112,IF(C88=AR74,G90,IF(C90=AR74,G90,IF(C96=AR74,G98,IF(C98=AR74,G98,IF(C118=AR74,G120,IF(C120=AR74,G120,IF(C126=AR74,G128,IF(C128=AR74,G128,IF(AK72=AR74,AI74,IF(AK74=AR74,AI74,IF(AK80=AR74,AI82,IF(AK82=AR74,AI82,IF(AK102=AR74,AI104,IF(AK104=AR74,AI104,IF(AK110=AR74,AI112,IF(AK112=AR74,AI112,IF(AK88=AR74,AI90,IF(AK90=AR74,AI90,IF(AK96=AR74,AI98,IF(AK98=AR74,AI98,IF(AK118=AR74,AI120,IF(AK120=AR74,AI120,IF(AK126=AR74,AI128,IF(AK128=AR74,AI128)))))))))))))))))))))))))))))))),"")</f>
        <v/>
      </c>
      <c r="AS90" s="15" t="str">
        <f>IFERROR(IF(AR90="","",VLOOKUP(AR90,LISTAS!$F$5:$G$1004,2,0)),"0")</f>
        <v/>
      </c>
      <c r="AT90" s="15" t="str">
        <f t="shared" si="4"/>
        <v/>
      </c>
      <c r="AU90" s="15" t="str">
        <f t="shared" si="5"/>
        <v/>
      </c>
    </row>
    <row r="91" spans="2:47" ht="18" customHeight="1" thickBot="1" x14ac:dyDescent="0.3">
      <c r="B91" s="16"/>
      <c r="C91" s="170" t="str">
        <f>IFERROR(IF(C90="","",VLOOKUP(C90,LISTAS!$F$5:$G$1004,2,0)),"0")</f>
        <v/>
      </c>
      <c r="D91" s="235"/>
      <c r="E91" s="128"/>
      <c r="F91" s="51"/>
      <c r="G91" s="176"/>
      <c r="H91" s="51"/>
      <c r="I91" s="18"/>
      <c r="J91" s="11"/>
      <c r="K91" s="166"/>
      <c r="L91" s="11"/>
      <c r="M91" s="18"/>
      <c r="N91" s="11"/>
      <c r="O91" s="166"/>
      <c r="P91" s="11"/>
      <c r="Q91" s="8"/>
      <c r="R91" s="182"/>
      <c r="S91" s="8"/>
      <c r="T91" s="8"/>
      <c r="U91" s="8"/>
      <c r="V91" s="182"/>
      <c r="W91" s="8"/>
      <c r="X91" s="62"/>
      <c r="Y91" s="182"/>
      <c r="Z91" s="65"/>
      <c r="AA91" s="8"/>
      <c r="AB91" s="11"/>
      <c r="AC91" s="182"/>
      <c r="AD91" s="8"/>
      <c r="AE91" s="69"/>
      <c r="AF91" s="78"/>
      <c r="AG91" s="181"/>
      <c r="AH91" s="78"/>
      <c r="AI91" s="123"/>
      <c r="AJ91" s="235"/>
      <c r="AK91" s="170" t="str">
        <f>IFERROR(IF(AK90="","",VLOOKUP(AK90,LISTAS!$F$5:$G$1004,2,0)),"0")</f>
        <v/>
      </c>
      <c r="AL91" s="11"/>
      <c r="AP91" s="13" t="str">
        <f>IF(AR91&lt;&gt;"",1+COUNTIF(AP72:AP90,"1")+COUNTIF(AP72:AP90,"2")+COUNTIF(AP72:AP90,"3")+COUNTIF(AP72:AP90,"4")+COUNTIF(AP72:AP90,"5")+COUNTIF(AP72:AP90,"6")+COUNTIF(AP72:AP90,"7")+COUNTIF(AP72:AP90,"8")+COUNTIF(AP72:AP90,"9")+COUNTIF(AP72:AP90,"10")+COUNTIF(AP72:AP90,"11")+COUNTIF(AP72:AP90,"12")+COUNTIF(AP72:AP90,"13")+COUNTIF(AP72:AP90,"14")+COUNTIF(AP72:AP90,"15")+COUNTIF(AP72:AP90,"16")+COUNTIF(AP72:AP90,"17")+COUNTIF(AP72:AP90,"18")+COUNTIF(AP72:AP90,"19"),"")</f>
        <v/>
      </c>
      <c r="AQ91" s="14" t="str">
        <f t="shared" si="3"/>
        <v/>
      </c>
      <c r="AR91" s="21" t="str">
        <f>IF(AR75&lt;&gt;"",IF(C72=AR75,G74,IF(C74=AR75,G74,IF(C80=AR75,G82,IF(C82=AR75,G82,IF(C102=AR75,G104,IF(C104=AR75,G104,IF(C110=AR75,G112,IF(C112=AR75,G112,IF(C88=AR75,G90,IF(C90=AR75,G90,IF(C96=AR75,G98,IF(C98=AR75,G98,IF(C118=AR75,G120,IF(C120=AR75,G120,IF(C126=AR75,G128,IF(C128=AR75,G128,IF(AK72=AR75,AI74,IF(AK74=AR75,AI74,IF(AK80=AR75,AI82,IF(AK82=AR75,AI82,IF(AK102=AR75,AI104,IF(AK104=AR75,AI104,IF(AK110=AR75,AI112,IF(AK112=AR75,AI112,IF(AK88=AR75,AI90,IF(AK90=AR75,AI90,IF(AK96=AR75,AI98,IF(AK98=AR75,AI98,IF(AK118=AR75,AI120,IF(AK120=AR75,AI120,IF(AK126=AR75,AI128,IF(AK128=AR75,AI128)))))))))))))))))))))))))))))))),"")</f>
        <v/>
      </c>
      <c r="AS91" s="15" t="str">
        <f>IFERROR(IF(AR91="","",VLOOKUP(AR91,LISTAS!$F$5:$G$1004,2,0)),"0")</f>
        <v/>
      </c>
      <c r="AT91" s="15" t="str">
        <f t="shared" si="4"/>
        <v/>
      </c>
      <c r="AU91" s="15" t="str">
        <f t="shared" si="5"/>
        <v/>
      </c>
    </row>
    <row r="92" spans="2:47" ht="18" customHeight="1" x14ac:dyDescent="0.25">
      <c r="B92" s="16"/>
      <c r="C92" s="166"/>
      <c r="D92" s="11"/>
      <c r="E92" s="11"/>
      <c r="F92" s="17"/>
      <c r="G92" s="169" t="str">
        <f>IF(D88&lt;&gt;"",IF(D90&lt;&gt;"",IF(D88=D90,"",IF(D88&gt;D90,C88,C90)),""),"")</f>
        <v/>
      </c>
      <c r="H92" s="234">
        <v>0</v>
      </c>
      <c r="I92" s="56">
        <f>IF(H92&lt;&gt;"",H92,"")</f>
        <v>0</v>
      </c>
      <c r="J92" s="51" t="str">
        <f>IF(H92&lt;&gt;"",IF(G92="","",G92),"")</f>
        <v/>
      </c>
      <c r="K92" s="176">
        <f>IF(I92&lt;&gt;"",IF(I94&lt;&gt;"",SMALL(I92:J94,1),""),"")</f>
        <v>0</v>
      </c>
      <c r="L92" s="51"/>
      <c r="M92" s="18"/>
      <c r="N92" s="11"/>
      <c r="O92" s="166"/>
      <c r="P92" s="11"/>
      <c r="Q92" s="8"/>
      <c r="R92" s="182"/>
      <c r="S92" s="8"/>
      <c r="T92" s="8"/>
      <c r="U92" s="8"/>
      <c r="V92" s="182"/>
      <c r="W92" s="8"/>
      <c r="X92" s="62"/>
      <c r="Y92" s="182"/>
      <c r="Z92" s="65"/>
      <c r="AA92" s="8"/>
      <c r="AB92" s="11"/>
      <c r="AC92" s="182"/>
      <c r="AD92" s="8"/>
      <c r="AE92" s="17"/>
      <c r="AF92" s="234">
        <v>0</v>
      </c>
      <c r="AG92" s="169" t="str">
        <f>IF(AJ88&lt;&gt;"",IF(AJ90&lt;&gt;"",IF(AJ88=AJ90,"",IF(AJ88&gt;AJ90,AK88,AK90)),""),"")</f>
        <v/>
      </c>
      <c r="AH92" s="65"/>
      <c r="AI92" s="8"/>
      <c r="AJ92" s="11"/>
      <c r="AK92" s="166"/>
      <c r="AL92" s="11"/>
      <c r="AN92" s="23"/>
      <c r="AO92" s="23"/>
      <c r="AP92" s="13" t="str">
        <f>IF(AR92&lt;&gt;"",1+COUNTIF(AP72:AP91,"1")+COUNTIF(AP72:AP91,"2")+COUNTIF(AP72:AP91,"3")+COUNTIF(AP72:AP91,"4")+COUNTIF(AP72:AP91,"5")+COUNTIF(AP72:AP91,"6")+COUNTIF(AP72:AP91,"7")+COUNTIF(AP72:AP91,"8")+COUNTIF(AP72:AP91,"9")+COUNTIF(AP72:AP91,"10")+COUNTIF(AP72:AP91,"11")+COUNTIF(AP72:AP91,"12")+COUNTIF(AP72:AP91,"13")+COUNTIF(AP72:AP91,"14")+COUNTIF(AP72:AP91,"15")+COUNTIF(AP72:AP91,"16")+COUNTIF(AP72:AP91,"17")+COUNTIF(AP72:AP91,"18")+COUNTIF(AP72:AP91,"19")+COUNTIF(AP72:AP91,"20"),"")</f>
        <v/>
      </c>
      <c r="AQ92" s="14" t="str">
        <f t="shared" si="3"/>
        <v/>
      </c>
      <c r="AR92" s="21" t="str">
        <f>IF(AR76&lt;&gt;"",IF(C72=AR76,G74,IF(C74=AR76,G74,IF(C80=AR76,G82,IF(C82=AR76,G82,IF(C102=AR76,G104,IF(C104=AR76,G104,IF(C110=AR76,G112,IF(C112=AR76,G112,IF(C88=AR76,G90,IF(C90=AR76,G90,IF(C96=AR76,G98,IF(C98=AR76,G98,IF(C118=AR76,G120,IF(C120=AR76,G120,IF(C126=AR76,G128,IF(C128=AR76,G128,IF(AK72=AR76,AI74,IF(AK74=AR76,AI74,IF(AK80=AR76,AI82,IF(AK82=AR76,AI82,IF(AK102=AR76,AI104,IF(AK104=AR76,AI104,IF(AK110=AR76,AI112,IF(AK112=AR76,AI112,IF(AK88=AR76,AI90,IF(AK90=AR76,AI90,IF(AK96=AR76,AI98,IF(AK98=AR76,AI98,IF(AK118=AR76,AI120,IF(AK120=AR76,AI120,IF(AK126=AR76,AI128,IF(AK128=AR76,AI128)))))))))))))))))))))))))))))))),"")</f>
        <v/>
      </c>
      <c r="AS92" s="15" t="str">
        <f>IFERROR(IF(AR92="","",VLOOKUP(AR92,LISTAS!$F$5:$G$1004,2,0)),"0")</f>
        <v/>
      </c>
      <c r="AT92" s="15" t="str">
        <f t="shared" si="4"/>
        <v/>
      </c>
      <c r="AU92" s="15" t="str">
        <f t="shared" si="5"/>
        <v/>
      </c>
    </row>
    <row r="93" spans="2:47" ht="18" customHeight="1" thickBot="1" x14ac:dyDescent="0.3">
      <c r="B93" s="16"/>
      <c r="C93" s="166"/>
      <c r="D93" s="11"/>
      <c r="E93" s="11"/>
      <c r="F93" s="17"/>
      <c r="G93" s="170" t="str">
        <f>IFERROR(IF(G92="","",VLOOKUP(G92,LISTAS!$F$5:$G$1004,2,0)),"0")</f>
        <v/>
      </c>
      <c r="H93" s="235"/>
      <c r="I93" s="57"/>
      <c r="J93" s="51"/>
      <c r="K93" s="176"/>
      <c r="L93" s="51"/>
      <c r="M93" s="18"/>
      <c r="N93" s="11"/>
      <c r="O93" s="166"/>
      <c r="P93" s="11"/>
      <c r="Q93" s="8"/>
      <c r="R93" s="182"/>
      <c r="S93" s="8"/>
      <c r="T93" s="8"/>
      <c r="U93" s="8"/>
      <c r="V93" s="182"/>
      <c r="W93" s="8"/>
      <c r="X93" s="62"/>
      <c r="Y93" s="182"/>
      <c r="Z93" s="65"/>
      <c r="AA93" s="8"/>
      <c r="AB93" s="11"/>
      <c r="AC93" s="182"/>
      <c r="AD93" s="8"/>
      <c r="AE93" s="122"/>
      <c r="AF93" s="235"/>
      <c r="AG93" s="170" t="str">
        <f>IFERROR(IF(AG92="","",VLOOKUP(AG92,LISTAS!$F$5:$G$1004,2,0)),"0")</f>
        <v/>
      </c>
      <c r="AH93" s="65"/>
      <c r="AI93" s="8"/>
      <c r="AJ93" s="11"/>
      <c r="AK93" s="166"/>
      <c r="AL93" s="11"/>
      <c r="AM93" s="23"/>
      <c r="AN93" s="23"/>
      <c r="AO93" s="23"/>
      <c r="AP93" s="13" t="str">
        <f>IF(AR93&lt;&gt;"",1+COUNTIF(AP72:AP92,"1")+COUNTIF(AP72:AP92,"2")+COUNTIF(AP72:AP92,"3")+COUNTIF(AP72:AP92,"4")+COUNTIF(AP72:AP92,"5")+COUNTIF(AP72:AP92,"6")+COUNTIF(AP72:AP92,"7")+COUNTIF(AP72:AP92,"8")+COUNTIF(AP72:AP92,"9")+COUNTIF(AP72:AP92,"10")+COUNTIF(AP72:AP92,"11")+COUNTIF(AP72:AP92,"12")+COUNTIF(AP72:AP92,"13")+COUNTIF(AP72:AP92,"14")+COUNTIF(AP72:AP92,"15")+COUNTIF(AP72:AP92,"16")+COUNTIF(AP72:AP92,"17")+COUNTIF(AP72:AP92,"18")+COUNTIF(AP72:AP92,"19")+COUNTIF(AP72:AP92,"20")+COUNTIF(AP72:AP92,"21"),"")</f>
        <v/>
      </c>
      <c r="AQ93" s="14" t="str">
        <f t="shared" si="3"/>
        <v/>
      </c>
      <c r="AR93" s="21" t="str">
        <f>IF(AR77&lt;&gt;"",IF(C72=AR77,G74,IF(C74=AR77,G74,IF(C80=AR77,G82,IF(C82=AR77,G82,IF(C102=AR77,G104,IF(C104=AR77,G104,IF(C110=AR77,G112,IF(C112=AR77,G112,IF(C88=AR77,G90,IF(C90=AR77,G90,IF(C96=AR77,G98,IF(C98=AR77,G98,IF(C118=AR77,G120,IF(C120=AR77,G120,IF(C126=AR77,G128,IF(C128=AR77,G128,IF(AK72=AR77,AI74,IF(AK74=AR77,AI74,IF(AK80=AR77,AI82,IF(AK82=AR77,AI82,IF(AK102=AR77,AI104,IF(AK104=AR77,AI104,IF(AK110=AR77,AI112,IF(AK112=AR77,AI112,IF(AK88=AR77,AI90,IF(AK90=AR77,AI90,IF(AK96=AR77,AI98,IF(AK98=AR77,AI98,IF(AK118=AR77,AI120,IF(AK120=AR77,AI120,IF(AK126=AR77,AI128,IF(AK128=AR77,AI128)))))))))))))))))))))))))))))))),"")</f>
        <v/>
      </c>
      <c r="AS93" s="15" t="str">
        <f>IFERROR(IF(AR93="","",VLOOKUP(AR93,LISTAS!$F$5:$G$1004,2,0)),"0")</f>
        <v/>
      </c>
      <c r="AT93" s="15" t="str">
        <f t="shared" si="4"/>
        <v/>
      </c>
      <c r="AU93" s="15" t="str">
        <f t="shared" si="5"/>
        <v/>
      </c>
    </row>
    <row r="94" spans="2:47" ht="18" customHeight="1" x14ac:dyDescent="0.25">
      <c r="B94" s="16"/>
      <c r="C94" s="166"/>
      <c r="D94" s="11"/>
      <c r="E94" s="18"/>
      <c r="F94" s="19"/>
      <c r="G94" s="169" t="str">
        <f>IF(D96&lt;&gt;"",IF(D98&lt;&gt;"",IF(D96=D98,"",IF(D96&gt;D98,C96,C98)),""),"")</f>
        <v/>
      </c>
      <c r="H94" s="234">
        <v>0</v>
      </c>
      <c r="I94" s="57">
        <f>IF(H94&lt;&gt;"",H94,"")</f>
        <v>0</v>
      </c>
      <c r="J94" s="51" t="str">
        <f>IF(H94&lt;&gt;"",IF(G94="","",G94),"")</f>
        <v/>
      </c>
      <c r="K94" s="176" t="str">
        <f>VLOOKUP(K92,I92:J94,2,0)</f>
        <v/>
      </c>
      <c r="L94" s="51"/>
      <c r="M94" s="18"/>
      <c r="N94" s="11"/>
      <c r="O94" s="166"/>
      <c r="P94" s="11"/>
      <c r="Q94" s="8"/>
      <c r="R94" s="182"/>
      <c r="S94" s="8"/>
      <c r="T94" s="8"/>
      <c r="U94" s="8"/>
      <c r="V94" s="182"/>
      <c r="W94" s="8"/>
      <c r="X94" s="62"/>
      <c r="Y94" s="182"/>
      <c r="Z94" s="65"/>
      <c r="AA94" s="8"/>
      <c r="AB94" s="11"/>
      <c r="AC94" s="182"/>
      <c r="AD94" s="8"/>
      <c r="AE94" s="64"/>
      <c r="AF94" s="234">
        <v>0</v>
      </c>
      <c r="AG94" s="169" t="str">
        <f>IF(AJ96&lt;&gt;"",IF(AJ98&lt;&gt;"",IF(AJ96=AJ98,"",IF(AJ96&gt;AJ98,AK96,AK98)),""),"")</f>
        <v/>
      </c>
      <c r="AH94" s="66"/>
      <c r="AI94" s="8"/>
      <c r="AJ94" s="11"/>
      <c r="AK94" s="166"/>
      <c r="AL94" s="11"/>
      <c r="AM94" s="23"/>
      <c r="AP94" s="13" t="str">
        <f>IF(AR94&lt;&gt;"",1+COUNTIF(AP72:AP93,"1")+COUNTIF(AP72:AP93,"2")+COUNTIF(AP72:AP93,"3")+COUNTIF(AP72:AP93,"4")+COUNTIF(AP72:AP93,"5")+COUNTIF(AP72:AP93,"6")+COUNTIF(AP72:AP93,"7")+COUNTIF(AP72:AP93,"8")+COUNTIF(AP72:AP93,"9")+COUNTIF(AP72:AP93,"10")+COUNTIF(AP72:AP93,"11")+COUNTIF(AP72:AP93,"12")+COUNTIF(AP72:AP93,"13")+COUNTIF(AP72:AP93,"14")+COUNTIF(AP72:AP93,"15")+COUNTIF(AP72:AP93,"16")+COUNTIF(AP72:AP93,"17")+COUNTIF(AP72:AP93,"18")+COUNTIF(AP72:AP93,"19")+COUNTIF(AP72:AP93,"20")+COUNTIF(AP72:AP93,"21")+COUNTIF(AP72:AP93,"22"),"")</f>
        <v/>
      </c>
      <c r="AQ94" s="14" t="str">
        <f t="shared" si="3"/>
        <v/>
      </c>
      <c r="AR94" s="21" t="str">
        <f>IF(AR78&lt;&gt;"",IF(C72=AR78,G74,IF(C74=AR78,G74,IF(C80=AR78,G82,IF(C82=AR78,G82,IF(C102=AR78,G104,IF(C104=AR78,G104,IF(C110=AR78,G112,IF(C112=AR78,G112,IF(C88=AR78,G90,IF(C90=AR78,G90,IF(C96=AR78,G98,IF(C98=AR78,G98,IF(C118=AR78,G120,IF(C120=AR78,G120,IF(C126=AR78,G128,IF(C128=AR78,G128,IF(AK72=AR78,AI74,IF(AK74=AR78,AI74,IF(AK80=AR78,AI82,IF(AK82=AR78,AI82,IF(AK102=AR78,AI104,IF(AK104=AR78,AI104,IF(AK110=AR78,AI112,IF(AK112=AR78,AI112,IF(AK88=AR78,AI90,IF(AK90=AR78,AI90,IF(AK96=AR78,AI98,IF(AK98=AR78,AI98,IF(AK118=AR78,AI120,IF(AK120=AR78,AI120,IF(AK126=AR78,AI128,IF(AK128=AR78,AI128)))))))))))))))))))))))))))))))),"")</f>
        <v/>
      </c>
      <c r="AS94" s="15" t="str">
        <f>IFERROR(IF(AR94="","",VLOOKUP(AR94,LISTAS!$F$5:$G$1004,2,0)),"0")</f>
        <v/>
      </c>
      <c r="AT94" s="15" t="str">
        <f t="shared" si="4"/>
        <v/>
      </c>
      <c r="AU94" s="15" t="str">
        <f t="shared" si="5"/>
        <v/>
      </c>
    </row>
    <row r="95" spans="2:47" ht="18" customHeight="1" thickBot="1" x14ac:dyDescent="0.3">
      <c r="B95" s="16"/>
      <c r="C95" s="166"/>
      <c r="D95" s="11"/>
      <c r="E95" s="18"/>
      <c r="F95" s="11"/>
      <c r="G95" s="170" t="str">
        <f>IFERROR(IF(G94="","",VLOOKUP(G94,LISTAS!$F$5:$G$1004,2,0)),"0")</f>
        <v/>
      </c>
      <c r="H95" s="235"/>
      <c r="I95" s="51"/>
      <c r="J95" s="51"/>
      <c r="K95" s="176"/>
      <c r="L95" s="51"/>
      <c r="M95" s="18"/>
      <c r="N95" s="11"/>
      <c r="O95" s="166"/>
      <c r="P95" s="11"/>
      <c r="Q95" s="8"/>
      <c r="R95" s="182"/>
      <c r="S95" s="8"/>
      <c r="T95" s="8"/>
      <c r="U95" s="8"/>
      <c r="V95" s="182"/>
      <c r="W95" s="8"/>
      <c r="X95" s="62"/>
      <c r="Y95" s="182"/>
      <c r="Z95" s="65"/>
      <c r="AA95" s="8"/>
      <c r="AB95" s="11"/>
      <c r="AC95" s="182"/>
      <c r="AD95" s="8"/>
      <c r="AE95" s="8"/>
      <c r="AF95" s="235"/>
      <c r="AG95" s="170" t="str">
        <f>IFERROR(IF(AG94="","",VLOOKUP(AG94,LISTAS!$F$5:$G$1004,2,0)),"0")</f>
        <v/>
      </c>
      <c r="AH95" s="8"/>
      <c r="AI95" s="69"/>
      <c r="AJ95" s="11"/>
      <c r="AK95" s="166"/>
      <c r="AL95" s="11"/>
      <c r="AP95" s="13" t="str">
        <f>IF(AR95&lt;&gt;"",1+COUNTIF(AP72:AP94,"1")+COUNTIF(AP72:AP94,"2")+COUNTIF(AP72:AP94,"3")+COUNTIF(AP72:AP94,"4")+COUNTIF(AP72:AP94,"5")+COUNTIF(AP72:AP94,"6")+COUNTIF(AP72:AP94,"7")+COUNTIF(AP72:AP94,"8")+COUNTIF(AP72:AP94,"9")+COUNTIF(AP72:AP94,"10")+COUNTIF(AP72:AP94,"11")+COUNTIF(AP72:AP94,"12")+COUNTIF(AP72:AP94,"13")+COUNTIF(AP72:AP94,"14")+COUNTIF(AP72:AP94,"15")+COUNTIF(AP72:AP94,"16")+COUNTIF(AP72:AP94,"17")+COUNTIF(AP72:AP94,"18")+COUNTIF(AP72:AP94,"19")+COUNTIF(AP72:AP94,"20")+COUNTIF(AP72:AP94,"21")+COUNTIF(AP72:AP94,"22")+COUNTIF(AP72:AP94,"23"),"")</f>
        <v/>
      </c>
      <c r="AQ95" s="14" t="str">
        <f t="shared" si="3"/>
        <v/>
      </c>
      <c r="AR95" s="21" t="str">
        <f>IF(AR79&lt;&gt;"",IF(C72=AR79,G74,IF(C74=AR79,G74,IF(C80=AR79,G82,IF(C82=AR79,G82,IF(C102=AR79,G104,IF(C104=AR79,G104,IF(C110=AR79,G112,IF(C112=AR79,G112,IF(C88=AR79,G90,IF(C90=AR79,G90,IF(C96=AR79,G98,IF(C98=AR79,G98,IF(C118=AR79,G120,IF(C120=AR79,G120,IF(C126=AR79,G128,IF(C128=AR79,G128,IF(AK72=AR79,AI74,IF(AK74=AR79,AI74,IF(AK80=AR79,AI82,IF(AK82=AR79,AI82,IF(AK102=AR79,AI104,IF(AK104=AR79,AI104,IF(AK110=AR79,AI112,IF(AK112=AR79,AI112,IF(AK88=AR79,AI90,IF(AK90=AR79,AI90,IF(AK96=AR79,AI98,IF(AK98=AR79,AI98,IF(AK118=AR79,AI120,IF(AK120=AR79,AI120,IF(AK126=AR79,AI128,IF(AK128=AR79,AI128)))))))))))))))))))))))))))))))),"")</f>
        <v/>
      </c>
      <c r="AS95" s="15" t="str">
        <f>IFERROR(IF(AR95="","",VLOOKUP(AR95,LISTAS!$F$5:$G$1004,2,0)),"0")</f>
        <v/>
      </c>
      <c r="AT95" s="15" t="str">
        <f t="shared" si="4"/>
        <v/>
      </c>
      <c r="AU95" s="15" t="str">
        <f t="shared" si="5"/>
        <v/>
      </c>
    </row>
    <row r="96" spans="2:47" ht="18" customHeight="1" x14ac:dyDescent="0.25">
      <c r="B96" s="16">
        <v>25</v>
      </c>
      <c r="C96" s="169" t="str">
        <f>IF('09F GRP'!G5&gt;=3,'09F GRP'!J334,IF('09F GRP'!G5=2,"",IF('09F GRP'!G5=1,"","")))</f>
        <v/>
      </c>
      <c r="D96" s="234">
        <v>0</v>
      </c>
      <c r="E96" s="56">
        <f>IF(D96&lt;&gt;"",D96,"")</f>
        <v>0</v>
      </c>
      <c r="F96" s="51" t="str">
        <f>IF(D96&lt;&gt;"",IF(C96="","",C96),"")</f>
        <v/>
      </c>
      <c r="G96" s="176">
        <f>IF(E96&lt;&gt;"",IF(E98&lt;&gt;"",SMALL(E96:E98,1),""),"")</f>
        <v>0</v>
      </c>
      <c r="H96" s="51"/>
      <c r="I96" s="51"/>
      <c r="J96" s="51"/>
      <c r="K96" s="176"/>
      <c r="L96" s="51"/>
      <c r="M96" s="18"/>
      <c r="N96" s="11"/>
      <c r="O96" s="166"/>
      <c r="P96" s="11"/>
      <c r="Q96" s="8"/>
      <c r="R96" s="182"/>
      <c r="S96" s="8"/>
      <c r="T96" s="8"/>
      <c r="U96" s="8"/>
      <c r="V96" s="182"/>
      <c r="W96" s="8"/>
      <c r="X96" s="62"/>
      <c r="Y96" s="182"/>
      <c r="Z96" s="65"/>
      <c r="AA96" s="8"/>
      <c r="AB96" s="11"/>
      <c r="AC96" s="182"/>
      <c r="AD96" s="8"/>
      <c r="AE96" s="8"/>
      <c r="AF96" s="78"/>
      <c r="AG96" s="181">
        <f>IF(AJ96&lt;&gt;"",AJ96,"")</f>
        <v>0</v>
      </c>
      <c r="AH96" s="78" t="str">
        <f>IF(AJ96&lt;&gt;"",IF(AK96="","",AK96),"")</f>
        <v/>
      </c>
      <c r="AI96" s="53">
        <f>IF(AG96&lt;&gt;"",IF(AG98&lt;&gt;"",SMALL(AG96:AG98,1),""),"")</f>
        <v>0</v>
      </c>
      <c r="AJ96" s="234">
        <v>0</v>
      </c>
      <c r="AK96" s="169" t="str">
        <f>IF('09F GRP'!G5&gt;=3,'09F GRP'!J360,IF('09F GRP'!G5=2,"",IF('09F GRP'!G5=1,"","")))</f>
        <v/>
      </c>
      <c r="AL96" s="11">
        <v>27</v>
      </c>
      <c r="AP96" s="13" t="str">
        <f>IF(AR96&lt;&gt;"",1+COUNTIF(AP72:AP95,"1")+COUNTIF(AP72:AP95,"2")+COUNTIF(AP72:AP95,"3")+COUNTIF(AP72:AP95,"4")+COUNTIF(AP72:AP95,"5")+COUNTIF(AP72:AP95,"6")+COUNTIF(AP72:AP95,"7")+COUNTIF(AP72:AP95,"8")+COUNTIF(AP72:AP95,"9")+COUNTIF(AP72:AP95,"10")+COUNTIF(AP72:AP95,"11")+COUNTIF(AP72:AP95,"12")+COUNTIF(AP72:AP95,"13")+COUNTIF(AP72:AP95,"14")+COUNTIF(AP72:AP95,"15")+COUNTIF(AP72:AP95,"16")+COUNTIF(AP72:AP95,"17")+COUNTIF(AP72:AP95,"18")+COUNTIF(AP72:AP95,"19")+COUNTIF(AP72:AP95,"20")+COUNTIF(AP72:AP95,"21")+COUNTIF(AP72:AP95,"22")+COUNTIF(AP72:AP95,"23")+COUNTIF(AP72:AP95,"24"),"")</f>
        <v/>
      </c>
      <c r="AQ96" s="14" t="str">
        <f t="shared" si="3"/>
        <v/>
      </c>
      <c r="AR96" s="21" t="str">
        <f>IF(AR80&lt;&gt;"",IF(C72=AR80,G74,IF(C74=AR80,G74,IF(C80=AR80,G82,IF(C82=AR80,G82,IF(C102=AR80,G104,IF(C104=AR80,G104,IF(C110=AR80,G112,IF(C112=AR80,G112,IF(C88=AR80,G90,IF(C90=AR80,G90,IF(C96=AR80,G98,IF(C98=AR80,G98,IF(C118=AR80,G120,IF(C120=AR80,G120,IF(C126=AR80,G128,IF(C128=AR80,G128,IF(AK72=AR80,AI74,IF(AK74=AR80,AI74,IF(AK80=AR80,AI82,IF(AK82=AR80,AI82,IF(AK102=AR80,AI104,IF(AK104=AR80,AI104,IF(AK110=AR80,AI112,IF(AK112=AR80,AI112,IF(AK88=AR80,AI90,IF(AK90=AR80,AI90,IF(AK96=AR80,AI98,IF(AK98=AR80,AI98,IF(AK118=AR80,AI120,IF(AK120=AR80,AI120,IF(AK126=AR80,AI128,IF(AK128=AR80,AI128)))))))))))))))))))))))))))))))),"")</f>
        <v/>
      </c>
      <c r="AS96" s="15" t="str">
        <f>IFERROR(IF(AR96="","",VLOOKUP(AR96,LISTAS!$F$5:$G$1004,2,0)),"0")</f>
        <v/>
      </c>
      <c r="AT96" s="15" t="str">
        <f t="shared" si="4"/>
        <v/>
      </c>
      <c r="AU96" s="15" t="str">
        <f t="shared" si="5"/>
        <v/>
      </c>
    </row>
    <row r="97" spans="2:47" ht="18" customHeight="1" thickBot="1" x14ac:dyDescent="0.3">
      <c r="B97" s="16"/>
      <c r="C97" s="170" t="str">
        <f>IFERROR(IF(C96="","",VLOOKUP(C96,LISTAS!$F$5:$G$1004,2,0)),"0")</f>
        <v/>
      </c>
      <c r="D97" s="235"/>
      <c r="E97" s="57"/>
      <c r="F97" s="51"/>
      <c r="G97" s="176"/>
      <c r="H97" s="51"/>
      <c r="I97" s="11"/>
      <c r="J97" s="11"/>
      <c r="K97" s="166"/>
      <c r="L97" s="11"/>
      <c r="M97" s="18"/>
      <c r="N97" s="11"/>
      <c r="O97" s="166"/>
      <c r="P97" s="11"/>
      <c r="Q97" s="8"/>
      <c r="R97" s="182"/>
      <c r="S97" s="8"/>
      <c r="T97" s="8"/>
      <c r="U97" s="8"/>
      <c r="V97" s="182"/>
      <c r="W97" s="8"/>
      <c r="X97" s="62"/>
      <c r="Y97" s="182"/>
      <c r="Z97" s="65"/>
      <c r="AA97" s="8"/>
      <c r="AB97" s="11"/>
      <c r="AC97" s="182"/>
      <c r="AD97" s="8"/>
      <c r="AE97" s="8"/>
      <c r="AF97" s="78"/>
      <c r="AG97" s="181"/>
      <c r="AH97" s="78"/>
      <c r="AI97" s="124"/>
      <c r="AJ97" s="235"/>
      <c r="AK97" s="170" t="str">
        <f>IFERROR(IF(AK96="","",VLOOKUP(AK96,LISTAS!$F$5:$G$1004,2,0)),"0")</f>
        <v/>
      </c>
      <c r="AL97" s="11"/>
      <c r="AP97" s="13" t="str">
        <f>IF(AR97&lt;&gt;"",1+COUNTIF(AP72:AP96,"1")+COUNTIF(AP72:AP96,"2")+COUNTIF(AP72:AP96,"3")+COUNTIF(AP72:AP96,"4")+COUNTIF(AP72:AP96,"5")+COUNTIF(AP72:AP96,"6")+COUNTIF(AP72:AP96,"7")+COUNTIF(AP72:AP96,"8")+COUNTIF(AP72:AP96,"9")+COUNTIF(AP72:AP96,"10")+COUNTIF(AP72:AP96,"11")+COUNTIF(AP72:AP96,"12")+COUNTIF(AP72:AP96,"13")+COUNTIF(AP72:AP96,"14")+COUNTIF(AP72:AP96,"15")+COUNTIF(AP72:AP96,"16")+COUNTIF(AP72:AP96,"17")+COUNTIF(AP72:AP96,"18")+COUNTIF(AP72:AP96,"19")+COUNTIF(AP72:AP96,"20")+COUNTIF(AP72:AP96,"21")+COUNTIF(AP72:AP96,"22")+COUNTIF(AP72:AP96,"23")+COUNTIF(AP72:AP96,"24")+COUNTIF(AP72:AP96,"25"),"")</f>
        <v/>
      </c>
      <c r="AQ97" s="14" t="str">
        <f t="shared" si="3"/>
        <v/>
      </c>
      <c r="AR97" s="21" t="str">
        <f>IF(AR81&lt;&gt;"",IF(C72=AR81,G74,IF(C74=AR81,G74,IF(C80=AR81,G82,IF(C82=AR81,G82,IF(C102=AR81,G104,IF(C104=AR81,G104,IF(C110=AR81,G112,IF(C112=AR81,G112,IF(C88=AR81,G90,IF(C90=AR81,G90,IF(C96=AR81,G98,IF(C98=AR81,G98,IF(C118=AR81,G120,IF(C120=AR81,G120,IF(C126=AR81,G128,IF(C128=AR81,G128,IF(AK72=AR81,AI74,IF(AK74=AR81,AI74,IF(AK80=AR81,AI82,IF(AK82=AR81,AI82,IF(AK102=AR81,AI104,IF(AK104=AR81,AI104,IF(AK110=AR81,AI112,IF(AK112=AR81,AI112,IF(AK88=AR81,AI90,IF(AK90=AR81,AI90,IF(AK96=AR81,AI98,IF(AK98=AR81,AI98,IF(AK118=AR81,AI120,IF(AK120=AR81,AI120,IF(AK126=AR81,AI128,IF(AK128=AR81,AI128)))))))))))))))))))))))))))))))),"")</f>
        <v/>
      </c>
      <c r="AS97" s="15" t="str">
        <f>IFERROR(IF(AR97="","",VLOOKUP(AR97,LISTAS!$F$5:$G$1004,2,0)),"0")</f>
        <v/>
      </c>
      <c r="AT97" s="15" t="str">
        <f t="shared" si="4"/>
        <v/>
      </c>
      <c r="AU97" s="15" t="str">
        <f t="shared" si="5"/>
        <v/>
      </c>
    </row>
    <row r="98" spans="2:47" ht="18" customHeight="1" thickBot="1" x14ac:dyDescent="0.3">
      <c r="B98" s="16">
        <v>8</v>
      </c>
      <c r="C98" s="169" t="str">
        <f>IF('09F GRP'!G5&gt;=3,'09F GRP'!J113,IF('09F GRP'!G5=2,"",IF('09F GRP'!G5=1,"","")))</f>
        <v/>
      </c>
      <c r="D98" s="234">
        <v>0</v>
      </c>
      <c r="E98" s="57">
        <f>IF(D98&lt;&gt;"",D98,"")</f>
        <v>0</v>
      </c>
      <c r="F98" s="51" t="str">
        <f>IF(D98&lt;&gt;"",IF(C98="","",C98),"")</f>
        <v/>
      </c>
      <c r="G98" s="176" t="str">
        <f>VLOOKUP(G96,E96:F98,2,0)</f>
        <v/>
      </c>
      <c r="H98" s="51"/>
      <c r="I98" s="11"/>
      <c r="J98" s="11"/>
      <c r="K98" s="166"/>
      <c r="L98" s="11"/>
      <c r="M98" s="18"/>
      <c r="N98" s="11"/>
      <c r="O98" s="166"/>
      <c r="P98" s="11"/>
      <c r="Q98" s="8"/>
      <c r="R98" s="236" t="s">
        <v>37</v>
      </c>
      <c r="S98" s="236"/>
      <c r="T98" s="236"/>
      <c r="U98" s="236"/>
      <c r="V98" s="236"/>
      <c r="W98" s="8"/>
      <c r="X98" s="62"/>
      <c r="Y98" s="182"/>
      <c r="Z98" s="65"/>
      <c r="AA98" s="8"/>
      <c r="AB98" s="11"/>
      <c r="AC98" s="182"/>
      <c r="AD98" s="8"/>
      <c r="AE98" s="8"/>
      <c r="AF98" s="78"/>
      <c r="AG98" s="181">
        <f>IF(AJ98&lt;&gt;"",AJ98,"")</f>
        <v>0</v>
      </c>
      <c r="AH98" s="78" t="str">
        <f>IF(AJ98&lt;&gt;"",IF(AK98="","",AK98),"")</f>
        <v/>
      </c>
      <c r="AI98" s="125" t="str">
        <f>VLOOKUP(AI96,AG96:AH98,2,0)</f>
        <v/>
      </c>
      <c r="AJ98" s="234">
        <v>0</v>
      </c>
      <c r="AK98" s="169" t="str">
        <f>IF('09F GRP'!G5&gt;=3,'09F GRP'!J87,IF('09F GRP'!G5=2,"",IF('09F GRP'!G5=1,"","")))</f>
        <v/>
      </c>
      <c r="AL98" s="11">
        <v>6</v>
      </c>
      <c r="AN98" s="23"/>
      <c r="AO98" s="23"/>
      <c r="AP98" s="13" t="str">
        <f>IF(AR98&lt;&gt;"",1+COUNTIF(AP72:AP97,"1")+COUNTIF(AP72:AP97,"2")+COUNTIF(AP72:AP97,"3")+COUNTIF(AP72:AP97,"4")+COUNTIF(AP72:AP97,"5")+COUNTIF(AP72:AP97,"6")+COUNTIF(AP72:AP97,"7")+COUNTIF(AP72:AP97,"8")+COUNTIF(AP72:AP97,"9")+COUNTIF(AP72:AP97,"10")+COUNTIF(AP72:AP97,"11")+COUNTIF(AP72:AP97,"12")+COUNTIF(AP72:AP97,"13")+COUNTIF(AP72:AP97,"14")+COUNTIF(AP72:AP97,"15")+COUNTIF(AP72:AP97,"16")+COUNTIF(AP72:AP97,"17")+COUNTIF(AP72:AP97,"18")+COUNTIF(AP72:AP97,"19")+COUNTIF(AP72:AP97,"20")+COUNTIF(AP72:AP97,"21")+COUNTIF(AP72:AP97,"22")+COUNTIF(AP72:AP97,"23")+COUNTIF(AP72:AP97,"24")+COUNTIF(AP72:AP97,"25")+COUNTIF(AP72:AP97,"26"),"")</f>
        <v/>
      </c>
      <c r="AQ98" s="14" t="str">
        <f t="shared" si="3"/>
        <v/>
      </c>
      <c r="AR98" s="21" t="str">
        <f>IF(AR82&lt;&gt;"",IF(C72=AR82,G74,IF(C74=AR82,G74,IF(C80=AR82,G82,IF(C82=AR82,G82,IF(C102=AR82,G104,IF(C104=AR82,G104,IF(C110=AR82,G112,IF(C112=AR82,G112,IF(C88=AR82,G90,IF(C90=AR82,G90,IF(C96=AR82,G98,IF(C98=AR82,G98,IF(C118=AR82,G120,IF(C120=AR82,G120,IF(C126=AR82,G128,IF(C128=AR82,G128,IF(AK72=AR82,AI74,IF(AK74=AR82,AI74,IF(AK80=AR82,AI82,IF(AK82=AR82,AI82,IF(AK102=AR82,AI104,IF(AK104=AR82,AI104,IF(AK110=AR82,AI112,IF(AK112=AR82,AI112,IF(AK88=AR82,AI90,IF(AK90=AR82,AI90,IF(AK96=AR82,AI98,IF(AK98=AR82,AI98,IF(AK118=AR82,AI120,IF(AK120=AR82,AI120,IF(AK126=AR82,AI128,IF(AK128=AR82,AI128)))))))))))))))))))))))))))))))),"")</f>
        <v/>
      </c>
      <c r="AS98" s="15" t="str">
        <f>IFERROR(IF(AR98="","",VLOOKUP(AR98,LISTAS!$F$5:$G$1004,2,0)),"0")</f>
        <v/>
      </c>
      <c r="AT98" s="15" t="str">
        <f t="shared" si="4"/>
        <v/>
      </c>
      <c r="AU98" s="15" t="str">
        <f t="shared" si="5"/>
        <v/>
      </c>
    </row>
    <row r="99" spans="2:47" ht="18" customHeight="1" thickBot="1" x14ac:dyDescent="0.3">
      <c r="B99" s="16"/>
      <c r="C99" s="170" t="str">
        <f>IFERROR(IF(C98="","",VLOOKUP(C98,LISTAS!$F$5:$G$1004,2,0)),"0")</f>
        <v/>
      </c>
      <c r="D99" s="235"/>
      <c r="E99" s="51"/>
      <c r="F99" s="51"/>
      <c r="G99" s="176"/>
      <c r="H99" s="51"/>
      <c r="I99" s="11"/>
      <c r="J99" s="11"/>
      <c r="K99" s="166"/>
      <c r="L99" s="11"/>
      <c r="M99" s="18"/>
      <c r="N99" s="11"/>
      <c r="O99" s="169" t="str">
        <f>IF(L84&lt;&gt;"",IF(L86&lt;&gt;"",IF(L84=L86,"",IF(L84&gt;L86,K84,K86)),""),"")</f>
        <v>ANA JÚLIA RIBEIRO DE LIMA BARRETO SANTOS</v>
      </c>
      <c r="P99" s="234">
        <v>0</v>
      </c>
      <c r="Q99" s="8"/>
      <c r="R99" s="167"/>
      <c r="S99" s="71"/>
      <c r="T99" s="71"/>
      <c r="U99" s="71"/>
      <c r="V99" s="167"/>
      <c r="W99" s="8"/>
      <c r="X99" s="234">
        <v>1</v>
      </c>
      <c r="Y99" s="169" t="str">
        <f>IF(AB84&lt;&gt;"",IF(AB86&lt;&gt;"",IF(AB84=AB86,"",IF(AB84&gt;AB86,AC84,AC86)),""),"")</f>
        <v>OLGA OLIVEIRA WELSCH</v>
      </c>
      <c r="Z99" s="65"/>
      <c r="AA99" s="8"/>
      <c r="AB99" s="11"/>
      <c r="AC99" s="182"/>
      <c r="AD99" s="8"/>
      <c r="AE99" s="8"/>
      <c r="AF99" s="78"/>
      <c r="AG99" s="181"/>
      <c r="AH99" s="78"/>
      <c r="AI99" s="51"/>
      <c r="AJ99" s="235"/>
      <c r="AK99" s="170" t="str">
        <f>IFERROR(IF(AK98="","",VLOOKUP(AK98,LISTAS!$F$5:$G$1004,2,0)),"0")</f>
        <v/>
      </c>
      <c r="AL99" s="11"/>
      <c r="AM99" s="23"/>
      <c r="AP99" s="13" t="str">
        <f>IF(AR99&lt;&gt;"",1+COUNTIF(AP72:AP98,"1")+COUNTIF(AP72:AP98,"2")+COUNTIF(AP72:AP98,"3")+COUNTIF(AP72:AP98,"4")+COUNTIF(AP72:AP98,"5")+COUNTIF(AP72:AP98,"6")+COUNTIF(AP72:AP98,"7")+COUNTIF(AP72:AP98,"8")+COUNTIF(AP72:AP98,"9")+COUNTIF(AP72:AP98,"10")+COUNTIF(AP72:AP98,"11")+COUNTIF(AP72:AP98,"12")+COUNTIF(AP72:AP98,"13")+COUNTIF(AP72:AP98,"14")+COUNTIF(AP72:AP98,"15")+COUNTIF(AP72:AP98,"16")+COUNTIF(AP72:AP98,"17")+COUNTIF(AP72:AP98,"18")+COUNTIF(AP72:AP98,"19")+COUNTIF(AP72:AP98,"20")+COUNTIF(AP72:AP98,"21")+COUNTIF(AP72:AP98,"22")+COUNTIF(AP72:AP98,"23")+COUNTIF(AP72:AP98,"24")+COUNTIF(AP72:AP98,"25")+COUNTIF(AP72:AP98,"26")+COUNTIF(AP72:AP98,"27"),"")</f>
        <v/>
      </c>
      <c r="AQ99" s="14" t="str">
        <f t="shared" si="3"/>
        <v/>
      </c>
      <c r="AR99" s="21" t="str">
        <f>IF(AR83&lt;&gt;"",IF(C72=AR83,G74,IF(C74=AR83,G74,IF(C80=AR83,G82,IF(C82=AR83,G82,IF(C102=AR83,G104,IF(C104=AR83,G104,IF(C110=AR83,G112,IF(C112=AR83,G112,IF(C88=AR83,G90,IF(C90=AR83,G90,IF(C96=AR83,G98,IF(C98=AR83,G98,IF(C118=AR83,G120,IF(C120=AR83,G120,IF(C126=AR83,G128,IF(C128=AR83,G128,IF(AK72=AR83,AI74,IF(AK74=AR83,AI74,IF(AK80=AR83,AI82,IF(AK82=AR83,AI82,IF(AK102=AR83,AI104,IF(AK104=AR83,AI104,IF(AK110=AR83,AI112,IF(AK112=AR83,AI112,IF(AK88=AR83,AI90,IF(AK90=AR83,AI90,IF(AK96=AR83,AI98,IF(AK98=AR83,AI98,IF(AK118=AR83,AI120,IF(AK120=AR83,AI120,IF(AK126=AR83,AI128,IF(AK128=AR83,AI128)))))))))))))))))))))))))))))))),"")</f>
        <v/>
      </c>
      <c r="AS99" s="15" t="str">
        <f>IFERROR(IF(AR99="","",VLOOKUP(AR99,LISTAS!$F$5:$G$1004,2,0)),"0")</f>
        <v/>
      </c>
      <c r="AT99" s="15" t="str">
        <f t="shared" si="4"/>
        <v/>
      </c>
      <c r="AU99" s="15" t="str">
        <f t="shared" si="5"/>
        <v/>
      </c>
    </row>
    <row r="100" spans="2:47" ht="18" customHeight="1" thickBot="1" x14ac:dyDescent="0.3">
      <c r="B100" s="16"/>
      <c r="C100" s="166"/>
      <c r="D100" s="11"/>
      <c r="E100" s="51"/>
      <c r="F100" s="51"/>
      <c r="G100" s="176"/>
      <c r="H100" s="51"/>
      <c r="I100" s="11"/>
      <c r="J100" s="11"/>
      <c r="K100" s="166"/>
      <c r="L100" s="11"/>
      <c r="M100" s="18"/>
      <c r="N100" s="11"/>
      <c r="O100" s="170" t="str">
        <f>IFERROR(IF(O99="","",VLOOKUP(O99,LISTAS!$F$5:$G$1004,2,0)),"0")</f>
        <v>COLÉGIO ENGENHEIRO SALVADOR ARENA</v>
      </c>
      <c r="P100" s="235"/>
      <c r="Q100" s="8"/>
      <c r="R100" s="169" t="str">
        <f>IF(P99&lt;&gt;"",IF(P101&lt;&gt;"",IF(P99=P101,"",IF(P99&gt;P101,O99,O101)),""),"")</f>
        <v>HELOISA NEGRÃO DE OLIVEIRA</v>
      </c>
      <c r="S100" s="234">
        <v>1</v>
      </c>
      <c r="T100" s="237" t="s">
        <v>38</v>
      </c>
      <c r="U100" s="234">
        <v>0</v>
      </c>
      <c r="V100" s="169" t="str">
        <f>IF(X99&lt;&gt;"",IF(X101&lt;&gt;"",IF(X99=X101,"",IF(X99&gt;X101,Y99,Y101)),""),"")</f>
        <v>OLGA OLIVEIRA WELSCH</v>
      </c>
      <c r="W100" s="112"/>
      <c r="X100" s="235"/>
      <c r="Y100" s="170" t="str">
        <f>IFERROR(IF(Y99="","",VLOOKUP(Y99,LISTAS!$F$5:$G$1004,2,0)),"0")</f>
        <v>COLÉGIO ENGENHEIRO SALVADOR ARENA</v>
      </c>
      <c r="Z100" s="112"/>
      <c r="AA100" s="8"/>
      <c r="AB100" s="11"/>
      <c r="AC100" s="182"/>
      <c r="AD100" s="8"/>
      <c r="AE100" s="8"/>
      <c r="AF100" s="78"/>
      <c r="AG100" s="181"/>
      <c r="AH100" s="78"/>
      <c r="AI100" s="78"/>
      <c r="AJ100" s="11"/>
      <c r="AK100" s="166"/>
      <c r="AL100" s="11"/>
      <c r="AP100" s="13" t="str">
        <f>IF(AR100&lt;&gt;"",1+COUNTIF(AP72:AP99,"1")+COUNTIF(AP72:AP99,"2")+COUNTIF(AP72:AP99,"3")+COUNTIF(AP72:AP99,"4")+COUNTIF(AP72:AP99,"5")+COUNTIF(AP72:AP99,"6")+COUNTIF(AP72:AP99,"7")+COUNTIF(AP72:AP99,"8")+COUNTIF(AP72:AP99,"9")+COUNTIF(AP72:AP99,"10")+COUNTIF(AP72:AP99,"11")+COUNTIF(AP72:AP99,"12")+COUNTIF(AP72:AP99,"13")+COUNTIF(AP72:AP99,"14")+COUNTIF(AP72:AP99,"15")+COUNTIF(AP72:AP99,"16")+COUNTIF(AP72:AP99,"17")+COUNTIF(AP72:AP99,"18")+COUNTIF(AP72:AP99,"19")+COUNTIF(AP72:AP99,"20")+COUNTIF(AP72:AP99,"21")+COUNTIF(AP72:AP99,"22")+COUNTIF(AP72:AP99,"23")+COUNTIF(AP72:AP99,"24")+COUNTIF(AP72:AP99,"25")+COUNTIF(AP72:AP99,"26")+COUNTIF(AP72:AP99,"27")+COUNTIF(AP72:AP99,"28"),"")</f>
        <v/>
      </c>
      <c r="AQ100" s="14" t="str">
        <f t="shared" si="3"/>
        <v/>
      </c>
      <c r="AR100" s="21" t="str">
        <f>IF(AR84&lt;&gt;"",IF(C72=AR84,G74,IF(C74=AR84,G74,IF(C80=AR84,G82,IF(C82=AR84,G82,IF(C102=AR84,G104,IF(C104=AR84,G104,IF(C110=AR84,G112,IF(C112=AR84,G112,IF(C88=AR84,G90,IF(C90=AR84,G90,IF(C96=AR84,G98,IF(C98=AR84,G98,IF(C118=AR84,G120,IF(C120=AR84,G120,IF(C126=AR84,G128,IF(C128=AR84,G128,IF(AK72=AR84,AI74,IF(AK74=AR84,AI74,IF(AK80=AR84,AI82,IF(AK82=AR84,AI82,IF(AK102=AR84,AI104,IF(AK104=AR84,AI104,IF(AK110=AR84,AI112,IF(AK112=AR84,AI112,IF(AK88=AR84,AI90,IF(AK90=AR84,AI90,IF(AK96=AR84,AI98,IF(AK98=AR84,AI98,IF(AK118=AR84,AI120,IF(AK120=AR84,AI120,IF(AK126=AR84,AI128,IF(AK128=AR84,AI128)))))))))))))))))))))))))))))))),"")</f>
        <v/>
      </c>
      <c r="AS100" s="15" t="str">
        <f>IFERROR(IF(AR100="","",VLOOKUP(AR100,LISTAS!$F$5:$G$1004,2,0)),"0")</f>
        <v/>
      </c>
      <c r="AT100" s="15" t="str">
        <f t="shared" si="4"/>
        <v/>
      </c>
      <c r="AU100" s="15" t="str">
        <f t="shared" si="5"/>
        <v/>
      </c>
    </row>
    <row r="101" spans="2:47" ht="18" customHeight="1" thickBot="1" x14ac:dyDescent="0.3">
      <c r="B101" s="16"/>
      <c r="C101" s="166"/>
      <c r="D101" s="11"/>
      <c r="E101" s="11"/>
      <c r="F101" s="11"/>
      <c r="G101" s="166"/>
      <c r="H101" s="11"/>
      <c r="I101" s="11"/>
      <c r="J101" s="11"/>
      <c r="K101" s="166"/>
      <c r="L101" s="11"/>
      <c r="M101" s="18"/>
      <c r="N101" s="19"/>
      <c r="O101" s="169" t="str">
        <f>IF(L114&lt;&gt;"",IF(L116&lt;&gt;"",IF(L114=L116,"",IF(L114&gt;L116,K114,K116)),""),"")</f>
        <v>HELOISA NEGRÃO DE OLIVEIRA</v>
      </c>
      <c r="P101" s="234">
        <v>1</v>
      </c>
      <c r="Q101" s="72"/>
      <c r="R101" s="170" t="str">
        <f>IFERROR(IF(R100="","",VLOOKUP(R100,LISTAS!$F$5:$G$1004,2,0)),"0")</f>
        <v>EXTERNATO SANTO ANTONIO</v>
      </c>
      <c r="S101" s="235"/>
      <c r="T101" s="237"/>
      <c r="U101" s="235"/>
      <c r="V101" s="170" t="str">
        <f>IFERROR(IF(V100="","",VLOOKUP(V100,LISTAS!$F$5:$G$1004,2,0)),"0")</f>
        <v>COLÉGIO ENGENHEIRO SALVADOR ARENA</v>
      </c>
      <c r="W101" s="66"/>
      <c r="X101" s="234">
        <v>0</v>
      </c>
      <c r="Y101" s="169" t="str">
        <f>IF(AB114&lt;&gt;"",IF(AB116&lt;&gt;"",IF(AB114=AB116,"",IF(AB114&gt;AB116,AC114,AC116)),""),"")</f>
        <v>MANUELLA PIRES DE FARIAS</v>
      </c>
      <c r="Z101" s="66"/>
      <c r="AA101" s="8"/>
      <c r="AB101" s="11"/>
      <c r="AC101" s="182"/>
      <c r="AD101" s="8"/>
      <c r="AE101" s="8"/>
      <c r="AF101" s="78"/>
      <c r="AG101" s="181"/>
      <c r="AH101" s="78"/>
      <c r="AI101" s="78"/>
      <c r="AJ101" s="11"/>
      <c r="AK101" s="166"/>
      <c r="AL101" s="11"/>
      <c r="AP101" s="13" t="str">
        <f>IF(AR101&lt;&gt;"",1+COUNTIF(AP72:AP100,"1")+COUNTIF(AP72:AP100,"2")+COUNTIF(AP72:AP100,"3")+COUNTIF(AP72:AP100,"4")+COUNTIF(AP72:AP100,"5")+COUNTIF(AP72:AP100,"6")+COUNTIF(AP72:AP100,"7")+COUNTIF(AP72:AP100,"8")+COUNTIF(AP72:AP100,"9")+COUNTIF(AP72:AP100,"10")+COUNTIF(AP72:AP100,"11")+COUNTIF(AP72:AP100,"12")+COUNTIF(AP72:AP100,"13")+COUNTIF(AP72:AP100,"14")+COUNTIF(AP72:AP100,"15")+COUNTIF(AP72:AP100,"16")+COUNTIF(AP72:AP100,"17")+COUNTIF(AP72:AP100,"18")+COUNTIF(AP72:AP100,"19")+COUNTIF(AP72:AP100,"20")+COUNTIF(AP72:AP100,"21")+COUNTIF(AP72:AP100,"22")+COUNTIF(AP72:AP100,"23")+COUNTIF(AP72:AP100,"24")+COUNTIF(AP72:AP100,"25")+COUNTIF(AP72:AP100,"26")+COUNTIF(AP72:AP100,"27")+COUNTIF(AP72:AP100,"28")+COUNTIF(AP72:AP100,"29"),"")</f>
        <v/>
      </c>
      <c r="AQ101" s="14" t="str">
        <f t="shared" si="3"/>
        <v/>
      </c>
      <c r="AR101" s="21" t="str">
        <f>IF(AR85&lt;&gt;"",IF(C72=AR85,G74,IF(C74=AR85,G74,IF(C80=AR85,G82,IF(C82=AR85,G82,IF(C102=AR85,G104,IF(C104=AR85,G104,IF(C110=AR85,G112,IF(C112=AR85,G112,IF(C88=AR85,G90,IF(C90=AR85,G90,IF(C96=AR85,G98,IF(C98=AR85,G98,IF(C118=AR85,G120,IF(C120=AR85,G120,IF(C126=AR85,G128,IF(C128=AR85,G128,IF(AK72=AR85,AI74,IF(AK74=AR85,AI74,IF(AK80=AR85,AI82,IF(AK82=AR85,AI82,IF(AK102=AR85,AI104,IF(AK104=AR85,AI104,IF(AK110=AR85,AI112,IF(AK112=AR85,AI112,IF(AK88=AR85,AI90,IF(AK90=AR85,AI90,IF(AK96=AR85,AI98,IF(AK98=AR85,AI98,IF(AK118=AR85,AI120,IF(AK120=AR85,AI120,IF(AK126=AR85,AI128,IF(AK128=AR85,AI128)))))))))))))))))))))))))))))))),"")</f>
        <v/>
      </c>
      <c r="AS101" s="15" t="str">
        <f>IFERROR(IF(AR101="","",VLOOKUP(AR101,LISTAS!$F$5:$G$1004,2,0)),"0")</f>
        <v/>
      </c>
      <c r="AT101" s="15" t="str">
        <f t="shared" si="4"/>
        <v/>
      </c>
      <c r="AU101" s="15" t="str">
        <f t="shared" si="5"/>
        <v/>
      </c>
    </row>
    <row r="102" spans="2:47" ht="18" customHeight="1" thickBot="1" x14ac:dyDescent="0.3">
      <c r="B102" s="16">
        <v>5</v>
      </c>
      <c r="C102" s="169" t="str">
        <f>IF('09F GRP'!G5&gt;=3,'09F GRP'!J74,IF('09F GRP'!G5=2,"",IF('09F GRP'!G5=1,"","")))</f>
        <v>HELOISA NEGRÃO DE OLIVEIRA</v>
      </c>
      <c r="D102" s="234">
        <v>2</v>
      </c>
      <c r="E102" s="51">
        <f>IF(D102&lt;&gt;"",D102,"")</f>
        <v>2</v>
      </c>
      <c r="F102" s="51" t="str">
        <f>IF(D102&lt;&gt;"",IF(C102="","",C102),"")</f>
        <v>HELOISA NEGRÃO DE OLIVEIRA</v>
      </c>
      <c r="G102" s="176">
        <f>IF(E102&lt;&gt;"",IF(E104&lt;&gt;"",SMALL(E102:E104,1),""),"")</f>
        <v>0</v>
      </c>
      <c r="H102" s="11"/>
      <c r="I102" s="11"/>
      <c r="J102" s="11"/>
      <c r="K102" s="166"/>
      <c r="L102" s="11"/>
      <c r="M102" s="18"/>
      <c r="N102" s="8"/>
      <c r="O102" s="170" t="str">
        <f>IFERROR(IF(O101="","",VLOOKUP(O101,LISTAS!$F$5:$G$1004,2,0)),"0")</f>
        <v>EXTERNATO SANTO ANTONIO</v>
      </c>
      <c r="P102" s="235"/>
      <c r="Q102" s="60"/>
      <c r="R102" s="182"/>
      <c r="S102" s="8"/>
      <c r="T102" s="8"/>
      <c r="U102" s="8"/>
      <c r="V102" s="182"/>
      <c r="W102" s="8"/>
      <c r="X102" s="235"/>
      <c r="Y102" s="170" t="str">
        <f>IFERROR(IF(Y101="","",VLOOKUP(Y101,LISTAS!$F$5:$G$1004,2,0)),"0")</f>
        <v>COLÉGIO ENGENHEIRO SALVADOR ARENA</v>
      </c>
      <c r="Z102" s="65"/>
      <c r="AA102" s="8"/>
      <c r="AB102" s="11"/>
      <c r="AC102" s="182"/>
      <c r="AD102" s="8"/>
      <c r="AE102" s="8"/>
      <c r="AF102" s="78"/>
      <c r="AG102" s="181">
        <f>IF(AJ102&lt;&gt;"",AJ102,"")</f>
        <v>0</v>
      </c>
      <c r="AH102" s="78" t="str">
        <f>IF(AJ102&lt;&gt;"",IF(AK102="","",AK102),"")</f>
        <v/>
      </c>
      <c r="AI102" s="51">
        <f>IF(AG102&lt;&gt;"",IF(AG104&lt;&gt;"",SMALL(AG102:AG104,1),""),"")</f>
        <v>0</v>
      </c>
      <c r="AJ102" s="234">
        <v>0</v>
      </c>
      <c r="AK102" s="169" t="str">
        <f>IF('09F GRP'!G5&gt;=3,'09F GRP'!J100,IF('09F GRP'!G5=2,"",IF('09F GRP'!G5=1,"","")))</f>
        <v/>
      </c>
      <c r="AL102" s="11">
        <v>7</v>
      </c>
      <c r="AP102" s="13" t="str">
        <f>IF(AR102&lt;&gt;"",1+COUNTIF(AP72:AP101,"1")+COUNTIF(AP72:AP101,"2")+COUNTIF(AP72:AP101,"3")+COUNTIF(AP72:AP101,"4")+COUNTIF(AP72:AP101,"5")+COUNTIF(AP72:AP101,"6")+COUNTIF(AP72:AP101,"7")+COUNTIF(AP72:AP101,"8")+COUNTIF(AP72:AP101,"9")+COUNTIF(AP72:AP101,"10")+COUNTIF(AP72:AP101,"11")+COUNTIF(AP72:AP101,"12")+COUNTIF(AP72:AP101,"13")+COUNTIF(AP72:AP101,"14")+COUNTIF(AP72:AP101,"15")+COUNTIF(AP72:AP101,"16")+COUNTIF(AP72:AP101,"17")+COUNTIF(AP72:AP101,"18")+COUNTIF(AP72:AP101,"19")+COUNTIF(AP72:AP101,"20")+COUNTIF(AP72:AP101,"21")+COUNTIF(AP72:AP101,"22")+COUNTIF(AP72:AP101,"23")+COUNTIF(AP72:AP101,"24")+COUNTIF(AP72:AP101,"25")+COUNTIF(AP72:AP101,"26")+COUNTIF(AP72:AP101,"27")+COUNTIF(AP72:AP101,"28")+COUNTIF(AP72:AP101,"29")+COUNTIF(AP72:AP101,"30"),"")</f>
        <v/>
      </c>
      <c r="AQ102" s="14" t="str">
        <f t="shared" si="3"/>
        <v/>
      </c>
      <c r="AR102" s="21" t="str">
        <f>IF(AR86&lt;&gt;"",IF(C72=AR86,G74,IF(C74=AR86,G74,IF(C80=AR86,G82,IF(C82=AR86,G82,IF(C102=AR86,G104,IF(C104=AR86,G104,IF(C110=AR86,G112,IF(C112=AR86,G112,IF(C88=AR86,G90,IF(C90=AR86,G90,IF(C96=AR86,G98,IF(C98=AR86,G98,IF(C118=AR86,G120,IF(C120=AR86,G120,IF(C126=AR86,G128,IF(C128=AR86,G128,IF(AK72=AR86,AI74,IF(AK74=AR86,AI74,IF(AK80=AR86,AI82,IF(AK82=AR86,AI82,IF(AK102=AR86,AI104,IF(AK104=AR86,AI104,IF(AK110=AR86,AI112,IF(AK112=AR86,AI112,IF(AK88=AR86,AI90,IF(AK90=AR86,AI90,IF(AK96=AR86,AI98,IF(AK98=AR86,AI98,IF(AK118=AR86,AI120,IF(AK120=AR86,AI120,IF(AK126=AR86,AI128,IF(AK128=AR86,AI128)))))))))))))))))))))))))))))))),"")</f>
        <v/>
      </c>
      <c r="AS102" s="15" t="str">
        <f>IFERROR(IF(AR102="","",VLOOKUP(AR102,LISTAS!$F$5:$G$1004,2,0)),"0")</f>
        <v/>
      </c>
      <c r="AT102" s="15" t="str">
        <f t="shared" si="4"/>
        <v/>
      </c>
      <c r="AU102" s="15" t="str">
        <f t="shared" si="5"/>
        <v/>
      </c>
    </row>
    <row r="103" spans="2:47" ht="18" customHeight="1" thickBot="1" x14ac:dyDescent="0.3">
      <c r="B103" s="16"/>
      <c r="C103" s="170" t="str">
        <f>IFERROR(IF(C102="","",VLOOKUP(C102,LISTAS!$F$5:$G$1004,2,0)),"0")</f>
        <v>EXTERNATO SANTO ANTONIO</v>
      </c>
      <c r="D103" s="235"/>
      <c r="E103" s="51"/>
      <c r="F103" s="51"/>
      <c r="G103" s="176"/>
      <c r="H103" s="11"/>
      <c r="I103" s="11"/>
      <c r="J103" s="11"/>
      <c r="K103" s="166"/>
      <c r="L103" s="11"/>
      <c r="M103" s="18"/>
      <c r="N103" s="8"/>
      <c r="O103" s="182"/>
      <c r="P103" s="8"/>
      <c r="Q103" s="60"/>
      <c r="R103" s="182"/>
      <c r="S103" s="8"/>
      <c r="T103" s="8"/>
      <c r="U103" s="8"/>
      <c r="V103" s="182"/>
      <c r="W103" s="8"/>
      <c r="X103" s="62"/>
      <c r="Y103" s="182"/>
      <c r="Z103" s="65"/>
      <c r="AA103" s="8"/>
      <c r="AB103" s="11"/>
      <c r="AC103" s="182"/>
      <c r="AD103" s="8"/>
      <c r="AE103" s="8"/>
      <c r="AF103" s="78"/>
      <c r="AG103" s="181"/>
      <c r="AH103" s="78"/>
      <c r="AI103" s="51"/>
      <c r="AJ103" s="235"/>
      <c r="AK103" s="170" t="str">
        <f>IFERROR(IF(AK102="","",VLOOKUP(AK102,LISTAS!$F$5:$G$1004,2,0)),"0")</f>
        <v/>
      </c>
      <c r="AL103" s="11"/>
      <c r="AP103" s="13" t="str">
        <f>IF(AR103&lt;&gt;"",1+COUNTIF(AP72:AP102,"1")+COUNTIF(AP72:AP102,"2")+COUNTIF(AP72:AP102,"3")+COUNTIF(AP72:AP102,"4")+COUNTIF(AP72:AP102,"5")+COUNTIF(AP72:AP102,"6")+COUNTIF(AP72:AP102,"7")+COUNTIF(AP72:AP102,"8")+COUNTIF(AP72:AP102,"9")+COUNTIF(AP72:AP102,"10")+COUNTIF(AP72:AP102,"11")+COUNTIF(AP72:AP102,"12")+COUNTIF(AP72:AP102,"13")+COUNTIF(AP72:AP102,"14")+COUNTIF(AP72:AP102,"15")+COUNTIF(AP72:AP102,"16")+COUNTIF(AP72:AP102,"17")+COUNTIF(AP72:AP102,"18")+COUNTIF(AP72:AP102,"19")+COUNTIF(AP72:AP102,"20")+COUNTIF(AP72:AP102,"21")+COUNTIF(AP72:AP102,"22")+COUNTIF(AP72:AP102,"23")+COUNTIF(AP72:AP102,"24")+COUNTIF(AP72:AP102,"25")+COUNTIF(AP72:AP102,"26")+COUNTIF(AP72:AP102,"27")+COUNTIF(AP72:AP102,"28")+COUNTIF(AP72:AP102,"29")+COUNTIF(AP72:AP102,"30")+COUNTIF(AP72:AP102,"31"),"")</f>
        <v/>
      </c>
      <c r="AQ103" s="14" t="str">
        <f t="shared" si="3"/>
        <v/>
      </c>
      <c r="AR103" s="21" t="str">
        <f>IF(AR87&lt;&gt;"",IF(C72=AR87,G74,IF(C74=AR87,G74,IF(C80=AR87,G82,IF(C82=AR87,G82,IF(C102=AR87,G104,IF(C104=AR87,G104,IF(C110=AR87,G112,IF(C112=AR87,G112,IF(C88=AR87,G90,IF(C90=AR87,G90,IF(C96=AR87,G98,IF(C98=AR87,G98,IF(C118=AR87,G120,IF(C120=AR87,G120,IF(C126=AR87,G128,IF(C128=AR87,G128,IF(AK72=AR87,AI74,IF(AK74=AR87,AI74,IF(AK80=AR87,AI82,IF(AK82=AR87,AI82,IF(AK102=AR87,AI104,IF(AK104=AR87,AI104,IF(AK110=AR87,AI112,IF(AK112=AR87,AI112,IF(AK88=AR87,AI90,IF(AK90=AR87,AI90,IF(AK96=AR87,AI98,IF(AK98=AR87,AI98,IF(AK118=AR87,AI120,IF(AK120=AR87,AI120,IF(AK126=AR87,AI128,IF(AK128=AR87,AI128)))))))))))))))))))))))))))))))),"")</f>
        <v/>
      </c>
      <c r="AS103" s="15" t="str">
        <f>IFERROR(IF(AR103="","",VLOOKUP(AR103,LISTAS!$F$5:$G$1004,2,0)),"0")</f>
        <v/>
      </c>
      <c r="AT103" s="15" t="str">
        <f>IF(AP103="","",IF(AP103=1,180,IF(AP103=2,170,IF(AP103=3,150,IF(AP103=4,140,IF(AP103=5,135,IF(AP103=6,130,IF(AP103=7,120,IF(AP103=8,110,IF(AP103=9,105,IF(AP103=10,105,IF(AP103=11,105,IF(AP103=12,105,IF(AP103=13,105,IF(AP103=14,105,IF(AP103=15,105,IF(AP103=16,105,IF(AP103&gt;16,"",""))))))))))))))))))</f>
        <v/>
      </c>
      <c r="AU103" s="15" t="str">
        <f>IF(AP103="","",IF($AS$5="NÃO","",IF(AP103=1,180,IF(AP103=2,170,IF(AP103=3,150,IF(AP103=4,140,IF(AP103=5,135,IF(AP103=6,130,IF(AP103=7,120,IF(AP103=8,110,IF(AP103=9,105,IF(AP103=10,105,IF(AP103=11,105,IF(AP103=12,105,IF(AP103=13,105,IF(AP103=14,105,IF(AP103=15,105,IF(AP103=16,105,IF(AP103&gt;16,"","")))))))))))))))))))</f>
        <v/>
      </c>
    </row>
    <row r="104" spans="2:47" ht="18" customHeight="1" x14ac:dyDescent="0.25">
      <c r="B104" s="16">
        <v>28</v>
      </c>
      <c r="C104" s="169" t="str">
        <f>IF('09F GRP'!G5&gt;=3,'09F GRP'!J373,IF('09F GRP'!G5=2,"",IF('09F GRP'!G5=1,"","")))</f>
        <v/>
      </c>
      <c r="D104" s="234">
        <v>0</v>
      </c>
      <c r="E104" s="52">
        <f>IF(D104&lt;&gt;"",D104,"")</f>
        <v>0</v>
      </c>
      <c r="F104" s="51" t="str">
        <f>IF(D104&lt;&gt;"",IF(C104="","",C104),"")</f>
        <v/>
      </c>
      <c r="G104" s="176" t="str">
        <f>VLOOKUP(G102,E102:F104,2,0)</f>
        <v/>
      </c>
      <c r="H104" s="11"/>
      <c r="I104" s="51"/>
      <c r="J104" s="51"/>
      <c r="K104" s="176"/>
      <c r="L104" s="51"/>
      <c r="M104" s="54"/>
      <c r="N104" s="51">
        <f>IF(P99&lt;&gt;"",P99,"")</f>
        <v>0</v>
      </c>
      <c r="O104" s="176" t="str">
        <f>IF(P99&lt;&gt;"",O99,"")</f>
        <v>ANA JÚLIA RIBEIRO DE LIMA BARRETO SANTOS</v>
      </c>
      <c r="P104" s="51">
        <f>IF(N104&lt;&gt;"",IF(N106&lt;&gt;"",LARGE(N104:N106,1),""),"")</f>
        <v>1</v>
      </c>
      <c r="Q104" s="78"/>
      <c r="R104" s="181"/>
      <c r="S104" s="8"/>
      <c r="T104" s="8"/>
      <c r="U104" s="8"/>
      <c r="V104" s="182"/>
      <c r="W104" s="8"/>
      <c r="X104" s="62"/>
      <c r="Y104" s="182"/>
      <c r="Z104" s="65"/>
      <c r="AA104" s="8"/>
      <c r="AB104" s="11"/>
      <c r="AC104" s="182"/>
      <c r="AD104" s="8"/>
      <c r="AE104" s="8"/>
      <c r="AF104" s="78"/>
      <c r="AG104" s="181">
        <f>IF(AJ104&lt;&gt;"",AJ104,"")</f>
        <v>0</v>
      </c>
      <c r="AH104" s="78" t="str">
        <f>IF(AJ104&lt;&gt;"",IF(AK104="","",AK104),"")</f>
        <v/>
      </c>
      <c r="AI104" s="55" t="str">
        <f>VLOOKUP(AI102,AG102:AH104,2,0)</f>
        <v/>
      </c>
      <c r="AJ104" s="234">
        <v>0</v>
      </c>
      <c r="AK104" s="169" t="str">
        <f>IF('09F GRP'!G5&gt;=3,'09F GRP'!J347,IF('09F GRP'!G5=2,"",IF('09F GRP'!G5=1,"","")))</f>
        <v/>
      </c>
      <c r="AL104" s="11">
        <v>26</v>
      </c>
    </row>
    <row r="105" spans="2:47" ht="18" customHeight="1" thickBot="1" x14ac:dyDescent="0.3">
      <c r="B105" s="16"/>
      <c r="C105" s="170" t="str">
        <f>IFERROR(IF(C104="","",VLOOKUP(C104,LISTAS!$F$5:$G$1004,2,0)),"0")</f>
        <v/>
      </c>
      <c r="D105" s="235"/>
      <c r="E105" s="121"/>
      <c r="F105" s="11"/>
      <c r="G105" s="166"/>
      <c r="H105" s="11"/>
      <c r="I105" s="51"/>
      <c r="J105" s="51"/>
      <c r="K105" s="176"/>
      <c r="L105" s="51"/>
      <c r="M105" s="54"/>
      <c r="N105" s="51"/>
      <c r="O105" s="176"/>
      <c r="P105" s="51"/>
      <c r="Q105" s="78"/>
      <c r="R105" s="181"/>
      <c r="S105" s="8"/>
      <c r="T105" s="8"/>
      <c r="U105" s="8"/>
      <c r="V105" s="182"/>
      <c r="W105" s="8"/>
      <c r="X105" s="62"/>
      <c r="Y105" s="182"/>
      <c r="Z105" s="65"/>
      <c r="AA105" s="8"/>
      <c r="AB105" s="11"/>
      <c r="AC105" s="182"/>
      <c r="AD105" s="8"/>
      <c r="AE105" s="8"/>
      <c r="AF105" s="78"/>
      <c r="AG105" s="181"/>
      <c r="AH105" s="78"/>
      <c r="AI105" s="123"/>
      <c r="AJ105" s="235"/>
      <c r="AK105" s="170" t="str">
        <f>IFERROR(IF(AK104="","",VLOOKUP(AK104,LISTAS!$F$5:$G$1004,2,0)),"0")</f>
        <v/>
      </c>
      <c r="AL105" s="11"/>
    </row>
    <row r="106" spans="2:47" ht="18" customHeight="1" x14ac:dyDescent="0.25">
      <c r="B106" s="16"/>
      <c r="C106" s="166"/>
      <c r="D106" s="11"/>
      <c r="E106" s="11"/>
      <c r="F106" s="17"/>
      <c r="G106" s="169" t="str">
        <f>IF(D102&lt;&gt;"",IF(D104&lt;&gt;"",IF(D102=D104,"",IF(D102&gt;D104,C102,C104)),""),"")</f>
        <v>HELOISA NEGRÃO DE OLIVEIRA</v>
      </c>
      <c r="H106" s="234">
        <v>2</v>
      </c>
      <c r="I106" s="51">
        <f>IF(H106&lt;&gt;"",H106,"")</f>
        <v>2</v>
      </c>
      <c r="J106" s="51" t="str">
        <f>IF(H106&lt;&gt;"",IF(G106="","",G106),"")</f>
        <v>HELOISA NEGRÃO DE OLIVEIRA</v>
      </c>
      <c r="K106" s="176">
        <f>IF(I106&lt;&gt;"",IF(I108&lt;&gt;"",SMALL(I106:J108,1),""),"")</f>
        <v>0</v>
      </c>
      <c r="L106" s="51"/>
      <c r="M106" s="54"/>
      <c r="N106" s="51">
        <f>IF(P101&lt;&gt;"",P101,"")</f>
        <v>1</v>
      </c>
      <c r="O106" s="176" t="str">
        <f>IF(P101&lt;&gt;"",O101,"")</f>
        <v>HELOISA NEGRÃO DE OLIVEIRA</v>
      </c>
      <c r="P106" s="51" t="str">
        <f>VLOOKUP(P104,N104:O106,2,0)</f>
        <v>HELOISA NEGRÃO DE OLIVEIRA</v>
      </c>
      <c r="Q106" s="78"/>
      <c r="R106" s="181"/>
      <c r="S106" s="8"/>
      <c r="T106" s="8"/>
      <c r="U106" s="8"/>
      <c r="V106" s="182"/>
      <c r="W106" s="8"/>
      <c r="X106" s="62"/>
      <c r="Y106" s="182"/>
      <c r="Z106" s="65"/>
      <c r="AA106" s="8"/>
      <c r="AB106" s="11"/>
      <c r="AC106" s="182"/>
      <c r="AD106" s="8"/>
      <c r="AE106" s="67"/>
      <c r="AF106" s="234">
        <v>0</v>
      </c>
      <c r="AG106" s="169" t="str">
        <f>IF(AJ102&lt;&gt;"",IF(AJ104&lt;&gt;"",IF(AJ102=AJ104,"",IF(AJ102&gt;AJ104,AK102,AK104)),""),"")</f>
        <v/>
      </c>
      <c r="AH106" s="65"/>
      <c r="AI106" s="8"/>
      <c r="AJ106" s="11"/>
      <c r="AK106" s="166"/>
      <c r="AL106" s="11"/>
    </row>
    <row r="107" spans="2:47" ht="18" customHeight="1" thickBot="1" x14ac:dyDescent="0.3">
      <c r="B107" s="16"/>
      <c r="C107" s="166"/>
      <c r="D107" s="11"/>
      <c r="E107" s="11"/>
      <c r="F107" s="17"/>
      <c r="G107" s="170" t="str">
        <f>IFERROR(IF(G106="","",VLOOKUP(G106,LISTAS!$F$5:$G$1004,2,0)),"0")</f>
        <v>EXTERNATO SANTO ANTONIO</v>
      </c>
      <c r="H107" s="235"/>
      <c r="I107" s="51"/>
      <c r="J107" s="51"/>
      <c r="K107" s="176"/>
      <c r="L107" s="51"/>
      <c r="M107" s="54"/>
      <c r="N107" s="51"/>
      <c r="O107" s="176"/>
      <c r="P107" s="51"/>
      <c r="Q107" s="78"/>
      <c r="R107" s="181"/>
      <c r="S107" s="8"/>
      <c r="T107" s="8"/>
      <c r="U107" s="8"/>
      <c r="V107" s="182"/>
      <c r="W107" s="8"/>
      <c r="X107" s="62"/>
      <c r="Y107" s="182"/>
      <c r="Z107" s="65"/>
      <c r="AA107" s="8"/>
      <c r="AB107" s="11"/>
      <c r="AC107" s="182"/>
      <c r="AD107" s="8"/>
      <c r="AE107" s="67"/>
      <c r="AF107" s="235"/>
      <c r="AG107" s="170" t="str">
        <f>IFERROR(IF(AG106="","",VLOOKUP(AG106,LISTAS!$F$5:$G$1004,2,0)),"0")</f>
        <v/>
      </c>
      <c r="AH107" s="65"/>
      <c r="AI107" s="8"/>
      <c r="AJ107" s="11"/>
      <c r="AK107" s="166"/>
      <c r="AL107" s="11"/>
    </row>
    <row r="108" spans="2:47" ht="18" customHeight="1" x14ac:dyDescent="0.25">
      <c r="B108" s="16"/>
      <c r="C108" s="166"/>
      <c r="D108" s="11"/>
      <c r="E108" s="18"/>
      <c r="F108" s="19"/>
      <c r="G108" s="169" t="str">
        <f>IF(D110&lt;&gt;"",IF(D112&lt;&gt;"",IF(D110=D112,"",IF(D110&gt;D112,C110,C112)),""),"")</f>
        <v/>
      </c>
      <c r="H108" s="234">
        <v>0</v>
      </c>
      <c r="I108" s="52">
        <f>IF(H108&lt;&gt;"",H108,"")</f>
        <v>0</v>
      </c>
      <c r="J108" s="51" t="str">
        <f>IF(H108&lt;&gt;"",IF(G108="","",G108),"")</f>
        <v/>
      </c>
      <c r="K108" s="176" t="str">
        <f>VLOOKUP(K106,I106:J108,2,0)</f>
        <v/>
      </c>
      <c r="L108" s="51"/>
      <c r="M108" s="54"/>
      <c r="N108" s="51">
        <f>IF(P99&lt;&gt;"",P99,"")</f>
        <v>0</v>
      </c>
      <c r="O108" s="176" t="str">
        <f>IF(P99&lt;&gt;"",O99,"")</f>
        <v>ANA JÚLIA RIBEIRO DE LIMA BARRETO SANTOS</v>
      </c>
      <c r="P108" s="51">
        <f>IF(N108&lt;&gt;"",IF(N110&lt;&gt;"",SMALL(N108:N110,1),""),"")</f>
        <v>0</v>
      </c>
      <c r="Q108" s="78"/>
      <c r="R108" s="181"/>
      <c r="S108" s="8"/>
      <c r="T108" s="8"/>
      <c r="U108" s="8"/>
      <c r="V108" s="182"/>
      <c r="W108" s="8"/>
      <c r="X108" s="62"/>
      <c r="Y108" s="182"/>
      <c r="Z108" s="65"/>
      <c r="AA108" s="8"/>
      <c r="AB108" s="11"/>
      <c r="AC108" s="182"/>
      <c r="AD108" s="65"/>
      <c r="AE108" s="68"/>
      <c r="AF108" s="234">
        <v>0</v>
      </c>
      <c r="AG108" s="169" t="str">
        <f>IF(AJ110&lt;&gt;"",IF(AJ112&lt;&gt;"",IF(AJ110=AJ112,"",IF(AJ110&gt;AJ112,AK110,AK112)),""),"")</f>
        <v/>
      </c>
      <c r="AH108" s="66"/>
      <c r="AI108" s="8"/>
      <c r="AJ108" s="11"/>
      <c r="AK108" s="166"/>
      <c r="AL108" s="11"/>
    </row>
    <row r="109" spans="2:47" ht="18" customHeight="1" thickBot="1" x14ac:dyDescent="0.3">
      <c r="B109" s="16"/>
      <c r="C109" s="166"/>
      <c r="D109" s="11"/>
      <c r="E109" s="18"/>
      <c r="F109" s="11"/>
      <c r="G109" s="170" t="str">
        <f>IFERROR(IF(G108="","",VLOOKUP(G108,LISTAS!$F$5:$G$1004,2,0)),"0")</f>
        <v/>
      </c>
      <c r="H109" s="235"/>
      <c r="I109" s="54"/>
      <c r="J109" s="51"/>
      <c r="K109" s="176"/>
      <c r="L109" s="51"/>
      <c r="M109" s="54"/>
      <c r="N109" s="51"/>
      <c r="O109" s="176"/>
      <c r="P109" s="51"/>
      <c r="Q109" s="78"/>
      <c r="R109" s="181"/>
      <c r="S109" s="8"/>
      <c r="T109" s="8"/>
      <c r="U109" s="8"/>
      <c r="V109" s="182"/>
      <c r="W109" s="8"/>
      <c r="X109" s="62"/>
      <c r="Y109" s="182"/>
      <c r="Z109" s="8"/>
      <c r="AA109" s="69"/>
      <c r="AB109" s="11"/>
      <c r="AC109" s="182"/>
      <c r="AD109" s="65"/>
      <c r="AE109" s="8"/>
      <c r="AF109" s="235"/>
      <c r="AG109" s="170" t="str">
        <f>IFERROR(IF(AG108="","",VLOOKUP(AG108,LISTAS!$F$5:$G$1004,2,0)),"0")</f>
        <v/>
      </c>
      <c r="AH109" s="8"/>
      <c r="AI109" s="69"/>
      <c r="AJ109" s="11"/>
      <c r="AK109" s="166"/>
      <c r="AL109" s="11"/>
    </row>
    <row r="110" spans="2:47" ht="18" customHeight="1" x14ac:dyDescent="0.25">
      <c r="B110" s="16">
        <v>12</v>
      </c>
      <c r="C110" s="169" t="str">
        <f>IF('09F GRP'!G5&gt;=3,'09F GRP'!J165,IF('09F GRP'!G5=2,"",IF('09F GRP'!G5=1,"","")))</f>
        <v/>
      </c>
      <c r="D110" s="234">
        <v>0</v>
      </c>
      <c r="E110" s="56">
        <f>IF(D110&lt;&gt;"",D110,"")</f>
        <v>0</v>
      </c>
      <c r="F110" s="51" t="str">
        <f>IF(D110&lt;&gt;"",IF(C110="","",C110),"")</f>
        <v/>
      </c>
      <c r="G110" s="176">
        <f>IF(E110&lt;&gt;"",IF(E112&lt;&gt;"",SMALL(E110:E112,1),""),"")</f>
        <v>0</v>
      </c>
      <c r="H110" s="11"/>
      <c r="I110" s="54"/>
      <c r="J110" s="51"/>
      <c r="K110" s="176"/>
      <c r="L110" s="51"/>
      <c r="M110" s="54"/>
      <c r="N110" s="51">
        <f>IF(P101&lt;&gt;"",P101,"")</f>
        <v>1</v>
      </c>
      <c r="O110" s="176" t="str">
        <f>IF(P101&lt;&gt;"",O101,"")</f>
        <v>HELOISA NEGRÃO DE OLIVEIRA</v>
      </c>
      <c r="P110" s="51" t="str">
        <f>VLOOKUP(P108,N108:O110,2,0)</f>
        <v>ANA JÚLIA RIBEIRO DE LIMA BARRETO SANTOS</v>
      </c>
      <c r="Q110" s="78"/>
      <c r="R110" s="181"/>
      <c r="S110" s="8"/>
      <c r="T110" s="8"/>
      <c r="U110" s="8"/>
      <c r="V110" s="182"/>
      <c r="W110" s="8"/>
      <c r="X110" s="62"/>
      <c r="Y110" s="182"/>
      <c r="Z110" s="8"/>
      <c r="AA110" s="69"/>
      <c r="AB110" s="11"/>
      <c r="AC110" s="182"/>
      <c r="AD110" s="65"/>
      <c r="AE110" s="8"/>
      <c r="AF110" s="78"/>
      <c r="AG110" s="181">
        <f>IF(AJ110&lt;&gt;"",AJ110,"")</f>
        <v>0</v>
      </c>
      <c r="AH110" s="78" t="str">
        <f>IF(AJ110&lt;&gt;"",IF(AK110="","",AK110),"")</f>
        <v/>
      </c>
      <c r="AI110" s="53">
        <f>IF(AG110&lt;&gt;"",IF(AG112&lt;&gt;"",SMALL(AG110:AG112,1),""),"")</f>
        <v>0</v>
      </c>
      <c r="AJ110" s="234">
        <v>0</v>
      </c>
      <c r="AK110" s="169" t="str">
        <f>IF('09F GRP'!G5&gt;=3,'09F GRP'!J139,IF('09F GRP'!G5=2,"",IF('09F GRP'!G5=1,"","")))</f>
        <v/>
      </c>
      <c r="AL110" s="11">
        <v>10</v>
      </c>
    </row>
    <row r="111" spans="2:47" ht="18" customHeight="1" thickBot="1" x14ac:dyDescent="0.3">
      <c r="B111" s="16"/>
      <c r="C111" s="170" t="str">
        <f>IFERROR(IF(C110="","",VLOOKUP(C110,LISTAS!$F$5:$G$1004,2,0)),"0")</f>
        <v/>
      </c>
      <c r="D111" s="235"/>
      <c r="E111" s="57"/>
      <c r="F111" s="51"/>
      <c r="G111" s="176"/>
      <c r="H111" s="11"/>
      <c r="I111" s="54"/>
      <c r="J111" s="51"/>
      <c r="K111" s="176"/>
      <c r="L111" s="51"/>
      <c r="M111" s="54"/>
      <c r="N111" s="51"/>
      <c r="O111" s="176"/>
      <c r="P111" s="51"/>
      <c r="Q111" s="78"/>
      <c r="R111" s="181"/>
      <c r="S111" s="8"/>
      <c r="T111" s="8"/>
      <c r="U111" s="8"/>
      <c r="V111" s="182"/>
      <c r="W111" s="8"/>
      <c r="X111" s="62"/>
      <c r="Y111" s="182"/>
      <c r="Z111" s="8"/>
      <c r="AA111" s="69"/>
      <c r="AB111" s="11"/>
      <c r="AC111" s="182"/>
      <c r="AD111" s="65"/>
      <c r="AE111" s="8"/>
      <c r="AF111" s="78"/>
      <c r="AG111" s="181"/>
      <c r="AH111" s="78"/>
      <c r="AI111" s="124"/>
      <c r="AJ111" s="235"/>
      <c r="AK111" s="170" t="str">
        <f>IFERROR(IF(AK110="","",VLOOKUP(AK110,LISTAS!$F$5:$G$1004,2,0)),"0")</f>
        <v/>
      </c>
      <c r="AL111" s="11"/>
    </row>
    <row r="112" spans="2:47" ht="18" customHeight="1" x14ac:dyDescent="0.25">
      <c r="B112" s="16">
        <v>21</v>
      </c>
      <c r="C112" s="169" t="str">
        <f>IF('09F GRP'!G5&gt;=3,'09F GRP'!J282,IF('09F GRP'!G5=2,"",IF('09F GRP'!G5=1,"","")))</f>
        <v/>
      </c>
      <c r="D112" s="234">
        <v>0</v>
      </c>
      <c r="E112" s="57">
        <f>IF(D112&lt;&gt;"",D112,"")</f>
        <v>0</v>
      </c>
      <c r="F112" s="51" t="str">
        <f>IF(D112&lt;&gt;"",IF(C112="","",C112),"")</f>
        <v/>
      </c>
      <c r="G112" s="176" t="str">
        <f>VLOOKUP(G110,E110:F112,2,0)</f>
        <v/>
      </c>
      <c r="H112" s="11"/>
      <c r="I112" s="18"/>
      <c r="J112" s="11"/>
      <c r="K112" s="166"/>
      <c r="L112" s="11"/>
      <c r="M112" s="18"/>
      <c r="N112" s="11"/>
      <c r="O112" s="166"/>
      <c r="P112" s="11"/>
      <c r="Q112" s="8"/>
      <c r="R112" s="182"/>
      <c r="S112" s="8"/>
      <c r="T112" s="8"/>
      <c r="U112" s="8"/>
      <c r="V112" s="182"/>
      <c r="W112" s="8"/>
      <c r="X112" s="62"/>
      <c r="Y112" s="182"/>
      <c r="Z112" s="8"/>
      <c r="AA112" s="69"/>
      <c r="AB112" s="11"/>
      <c r="AC112" s="182"/>
      <c r="AD112" s="65"/>
      <c r="AE112" s="8"/>
      <c r="AF112" s="78"/>
      <c r="AG112" s="181">
        <f>IF(AJ112&lt;&gt;"",AJ112,"")</f>
        <v>0</v>
      </c>
      <c r="AH112" s="78" t="str">
        <f>IF(AJ112&lt;&gt;"",IF(AK112="","",AK112),"")</f>
        <v/>
      </c>
      <c r="AI112" s="125" t="str">
        <f>VLOOKUP(AI110,AG110:AH112,2,0)</f>
        <v/>
      </c>
      <c r="AJ112" s="234">
        <v>0</v>
      </c>
      <c r="AK112" s="169" t="str">
        <f>IF('09F GRP'!G5&gt;=3,'09F GRP'!J308,IF('09F GRP'!G5=2,"",IF('09F GRP'!G5=1,"","")))</f>
        <v/>
      </c>
      <c r="AL112" s="11">
        <v>23</v>
      </c>
    </row>
    <row r="113" spans="2:38" ht="18" customHeight="1" thickBot="1" x14ac:dyDescent="0.3">
      <c r="B113" s="16"/>
      <c r="C113" s="170" t="str">
        <f>IFERROR(IF(C112="","",VLOOKUP(C112,LISTAS!$F$5:$G$1004,2,0)),"0")</f>
        <v/>
      </c>
      <c r="D113" s="235"/>
      <c r="E113" s="51"/>
      <c r="F113" s="51"/>
      <c r="G113" s="176"/>
      <c r="H113" s="11"/>
      <c r="I113" s="18"/>
      <c r="J113" s="11"/>
      <c r="K113" s="166"/>
      <c r="L113" s="11"/>
      <c r="M113" s="18"/>
      <c r="N113" s="11"/>
      <c r="O113" s="166"/>
      <c r="P113" s="11"/>
      <c r="Q113" s="8"/>
      <c r="R113" s="182"/>
      <c r="S113" s="8"/>
      <c r="T113" s="8"/>
      <c r="U113" s="8"/>
      <c r="V113" s="182"/>
      <c r="W113" s="8"/>
      <c r="X113" s="62"/>
      <c r="Y113" s="182"/>
      <c r="Z113" s="8"/>
      <c r="AA113" s="69"/>
      <c r="AB113" s="11"/>
      <c r="AC113" s="182"/>
      <c r="AD113" s="65"/>
      <c r="AE113" s="8"/>
      <c r="AF113" s="78"/>
      <c r="AG113" s="181"/>
      <c r="AH113" s="78"/>
      <c r="AI113" s="51"/>
      <c r="AJ113" s="235"/>
      <c r="AK113" s="170" t="str">
        <f>IFERROR(IF(AK112="","",VLOOKUP(AK112,LISTAS!$F$5:$G$1004,2,0)),"0")</f>
        <v/>
      </c>
      <c r="AL113" s="11"/>
    </row>
    <row r="114" spans="2:38" ht="18" customHeight="1" x14ac:dyDescent="0.25">
      <c r="B114" s="16"/>
      <c r="C114" s="166"/>
      <c r="D114" s="11"/>
      <c r="E114" s="11"/>
      <c r="F114" s="11"/>
      <c r="G114" s="166"/>
      <c r="H114" s="11"/>
      <c r="I114" s="18"/>
      <c r="J114" s="11"/>
      <c r="K114" s="169" t="str">
        <f>IF(H106&lt;&gt;"",IF(H108&lt;&gt;"",IF(H106=H108,"",IF(H106&gt;H108,G106,G108)),""),"")</f>
        <v>HELOISA NEGRÃO DE OLIVEIRA</v>
      </c>
      <c r="L114" s="234">
        <v>1</v>
      </c>
      <c r="M114" s="56">
        <f>IF(L114&lt;&gt;"",L114,"")</f>
        <v>1</v>
      </c>
      <c r="N114" s="51" t="str">
        <f>IF(L114&lt;&gt;"",IF(K114="","",K114),"")</f>
        <v>HELOISA NEGRÃO DE OLIVEIRA</v>
      </c>
      <c r="O114" s="176">
        <f>IF(M114&lt;&gt;"",IF(M116&lt;&gt;"",SMALL(M114:N116,1),""),"")</f>
        <v>0</v>
      </c>
      <c r="P114" s="11"/>
      <c r="Q114" s="8"/>
      <c r="R114" s="182"/>
      <c r="S114" s="8"/>
      <c r="T114" s="8"/>
      <c r="U114" s="8"/>
      <c r="V114" s="182"/>
      <c r="W114" s="8"/>
      <c r="X114" s="62"/>
      <c r="Y114" s="182"/>
      <c r="Z114" s="8"/>
      <c r="AA114" s="70"/>
      <c r="AB114" s="234">
        <v>0</v>
      </c>
      <c r="AC114" s="169" t="str">
        <f>IF(AF106&lt;&gt;"",IF(AF108&lt;&gt;"",IF(AF106=AF108,"",IF(AF106&gt;AF108,AG106,AG108)),""),"")</f>
        <v/>
      </c>
      <c r="AD114" s="112"/>
      <c r="AE114" s="8"/>
      <c r="AF114" s="78"/>
      <c r="AG114" s="181"/>
      <c r="AH114" s="78"/>
      <c r="AI114" s="78"/>
      <c r="AJ114" s="11"/>
      <c r="AK114" s="166"/>
      <c r="AL114" s="11"/>
    </row>
    <row r="115" spans="2:38" ht="18" customHeight="1" thickBot="1" x14ac:dyDescent="0.3">
      <c r="B115" s="16"/>
      <c r="C115" s="166"/>
      <c r="D115" s="11"/>
      <c r="E115" s="11"/>
      <c r="F115" s="11"/>
      <c r="G115" s="166"/>
      <c r="H115" s="11"/>
      <c r="I115" s="18"/>
      <c r="J115" s="11"/>
      <c r="K115" s="170" t="str">
        <f>IFERROR(IF(K114="","",VLOOKUP(K114,LISTAS!$F$5:$G$1004,2,0)),"0")</f>
        <v>EXTERNATO SANTO ANTONIO</v>
      </c>
      <c r="L115" s="235"/>
      <c r="M115" s="57"/>
      <c r="N115" s="51"/>
      <c r="O115" s="176"/>
      <c r="P115" s="11"/>
      <c r="Q115" s="8"/>
      <c r="R115" s="182"/>
      <c r="S115" s="8"/>
      <c r="T115" s="8"/>
      <c r="U115" s="8"/>
      <c r="V115" s="182"/>
      <c r="W115" s="8"/>
      <c r="X115" s="62"/>
      <c r="Y115" s="182"/>
      <c r="Z115" s="8"/>
      <c r="AA115" s="8"/>
      <c r="AB115" s="235"/>
      <c r="AC115" s="170" t="str">
        <f>IFERROR(IF(AC114="","",VLOOKUP(AC114,LISTAS!$F$5:$G$1004,2,0)),"0")</f>
        <v/>
      </c>
      <c r="AD115" s="8"/>
      <c r="AE115" s="69"/>
      <c r="AF115" s="78"/>
      <c r="AG115" s="181"/>
      <c r="AH115" s="78"/>
      <c r="AI115" s="78"/>
      <c r="AJ115" s="11"/>
      <c r="AK115" s="166"/>
      <c r="AL115" s="11"/>
    </row>
    <row r="116" spans="2:38" ht="18" customHeight="1" x14ac:dyDescent="0.25">
      <c r="B116" s="16"/>
      <c r="C116" s="166"/>
      <c r="D116" s="11"/>
      <c r="E116" s="11"/>
      <c r="F116" s="11"/>
      <c r="G116" s="166"/>
      <c r="H116" s="11"/>
      <c r="I116" s="18"/>
      <c r="J116" s="19"/>
      <c r="K116" s="169" t="str">
        <f>IF(H122&lt;&gt;"",IF(H124&lt;&gt;"",IF(H122=H124,"",IF(H122&gt;H124,G122,G124)),""),"")</f>
        <v>SOPHIA MENDES DA SILVA</v>
      </c>
      <c r="L116" s="234">
        <v>0</v>
      </c>
      <c r="M116" s="57">
        <f>IF(L116&lt;&gt;"",L116,"")</f>
        <v>0</v>
      </c>
      <c r="N116" s="51" t="str">
        <f>IF(L116&lt;&gt;"",IF(K116="","",K116),"")</f>
        <v>SOPHIA MENDES DA SILVA</v>
      </c>
      <c r="O116" s="176" t="str">
        <f>VLOOKUP(O114,M114:N116,2,0)</f>
        <v>SOPHIA MENDES DA SILVA</v>
      </c>
      <c r="P116" s="11"/>
      <c r="Q116" s="8"/>
      <c r="R116" s="182"/>
      <c r="S116" s="8"/>
      <c r="T116" s="8"/>
      <c r="U116" s="8"/>
      <c r="V116" s="182"/>
      <c r="W116" s="8"/>
      <c r="X116" s="62"/>
      <c r="Y116" s="182"/>
      <c r="Z116" s="8"/>
      <c r="AA116" s="8"/>
      <c r="AB116" s="234">
        <v>2</v>
      </c>
      <c r="AC116" s="169" t="str">
        <f>IF(AF122&lt;&gt;"",IF(AF124&lt;&gt;"",IF(AF122=AF124,"",IF(AF122&gt;AF124,AG122,AG124)),""),"")</f>
        <v>MANUELLA PIRES DE FARIAS</v>
      </c>
      <c r="AD116" s="8"/>
      <c r="AE116" s="69"/>
      <c r="AF116" s="78"/>
      <c r="AG116" s="181"/>
      <c r="AH116" s="78"/>
      <c r="AI116" s="78"/>
      <c r="AJ116" s="11"/>
      <c r="AK116" s="166"/>
      <c r="AL116" s="11"/>
    </row>
    <row r="117" spans="2:38" ht="18" customHeight="1" thickBot="1" x14ac:dyDescent="0.3">
      <c r="B117" s="16"/>
      <c r="C117" s="166"/>
      <c r="D117" s="11"/>
      <c r="E117" s="11"/>
      <c r="F117" s="11"/>
      <c r="G117" s="166"/>
      <c r="H117" s="11"/>
      <c r="I117" s="18"/>
      <c r="J117" s="11"/>
      <c r="K117" s="170" t="str">
        <f>IFERROR(IF(K116="","",VLOOKUP(K116,LISTAS!$F$5:$G$1004,2,0)),"0")</f>
        <v>COLÉGIO ARBOS - UNIDADE SANTO ANDRÉ</v>
      </c>
      <c r="L117" s="235"/>
      <c r="M117" s="51"/>
      <c r="N117" s="51"/>
      <c r="O117" s="176"/>
      <c r="P117" s="11"/>
      <c r="Q117" s="8"/>
      <c r="R117" s="182"/>
      <c r="S117" s="8"/>
      <c r="T117" s="8"/>
      <c r="U117" s="8"/>
      <c r="V117" s="182"/>
      <c r="W117" s="8"/>
      <c r="X117" s="62"/>
      <c r="Y117" s="182"/>
      <c r="Z117" s="8"/>
      <c r="AA117" s="8"/>
      <c r="AB117" s="235"/>
      <c r="AC117" s="170" t="str">
        <f>IFERROR(IF(AC116="","",VLOOKUP(AC116,LISTAS!$F$5:$G$1004,2,0)),"0")</f>
        <v>COLÉGIO ENGENHEIRO SALVADOR ARENA</v>
      </c>
      <c r="AD117" s="8"/>
      <c r="AE117" s="69"/>
      <c r="AF117" s="78"/>
      <c r="AG117" s="181"/>
      <c r="AH117" s="78"/>
      <c r="AI117" s="78"/>
      <c r="AJ117" s="11"/>
      <c r="AK117" s="166"/>
      <c r="AL117" s="11"/>
    </row>
    <row r="118" spans="2:38" ht="18" customHeight="1" x14ac:dyDescent="0.25">
      <c r="B118" s="16">
        <v>20</v>
      </c>
      <c r="C118" s="169" t="str">
        <f>IF('09F GRP'!G5&gt;=3,'09F GRP'!J269,IF('09F GRP'!G5=2,"",IF('09F GRP'!G5=1,"","")))</f>
        <v/>
      </c>
      <c r="D118" s="234">
        <v>0</v>
      </c>
      <c r="E118" s="51">
        <f>IF(D118&lt;&gt;"",D118,"")</f>
        <v>0</v>
      </c>
      <c r="F118" s="51" t="str">
        <f>IF(D118&lt;&gt;"",IF(C118="","",C118),"")</f>
        <v/>
      </c>
      <c r="G118" s="176">
        <f>IF(E118&lt;&gt;"",IF(E120&lt;&gt;"",SMALL(E118:E120,1),""),"")</f>
        <v>0</v>
      </c>
      <c r="H118" s="51"/>
      <c r="I118" s="18"/>
      <c r="J118" s="11"/>
      <c r="K118" s="166"/>
      <c r="L118" s="11"/>
      <c r="M118" s="11"/>
      <c r="N118" s="11"/>
      <c r="O118" s="166"/>
      <c r="P118" s="11"/>
      <c r="Q118" s="8"/>
      <c r="R118" s="182"/>
      <c r="S118" s="8"/>
      <c r="T118" s="8"/>
      <c r="U118" s="8"/>
      <c r="V118" s="182"/>
      <c r="W118" s="8"/>
      <c r="X118" s="62"/>
      <c r="Y118" s="182"/>
      <c r="Z118" s="8"/>
      <c r="AA118" s="8"/>
      <c r="AB118" s="11"/>
      <c r="AC118" s="182"/>
      <c r="AD118" s="8"/>
      <c r="AE118" s="69"/>
      <c r="AF118" s="78"/>
      <c r="AG118" s="181">
        <f>IF(AJ118&lt;&gt;"",AJ118,"")</f>
        <v>0</v>
      </c>
      <c r="AH118" s="78" t="str">
        <f>IF(AJ118&lt;&gt;"",IF(AK118="","",AK118),"")</f>
        <v/>
      </c>
      <c r="AI118" s="51">
        <f>IF(AG118&lt;&gt;"",IF(AG120&lt;&gt;"",SMALL(AG118:AG120,1),""),"")</f>
        <v>0</v>
      </c>
      <c r="AJ118" s="234">
        <v>0</v>
      </c>
      <c r="AK118" s="169" t="str">
        <f>IF('09F GRP'!G5&gt;=3,'09F GRP'!J204,IF('09F GRP'!G5=2,"",IF('09F GRP'!G5=1,"","")))</f>
        <v/>
      </c>
      <c r="AL118" s="11">
        <v>15</v>
      </c>
    </row>
    <row r="119" spans="2:38" ht="18" customHeight="1" thickBot="1" x14ac:dyDescent="0.3">
      <c r="B119" s="16"/>
      <c r="C119" s="170" t="str">
        <f>IFERROR(IF(C118="","",VLOOKUP(C118,LISTAS!$F$5:$G$1004,2,0)),"0")</f>
        <v/>
      </c>
      <c r="D119" s="235"/>
      <c r="E119" s="51"/>
      <c r="F119" s="51"/>
      <c r="G119" s="176"/>
      <c r="H119" s="51"/>
      <c r="I119" s="18"/>
      <c r="J119" s="11"/>
      <c r="K119" s="166"/>
      <c r="L119" s="11"/>
      <c r="M119" s="11"/>
      <c r="N119" s="11"/>
      <c r="O119" s="166"/>
      <c r="P119" s="11"/>
      <c r="Q119" s="8"/>
      <c r="R119" s="182"/>
      <c r="S119" s="8"/>
      <c r="T119" s="8"/>
      <c r="U119" s="8"/>
      <c r="V119" s="182"/>
      <c r="W119" s="8"/>
      <c r="X119" s="62"/>
      <c r="Y119" s="182"/>
      <c r="Z119" s="8"/>
      <c r="AA119" s="8"/>
      <c r="AB119" s="11"/>
      <c r="AC119" s="182"/>
      <c r="AD119" s="8"/>
      <c r="AE119" s="69"/>
      <c r="AF119" s="78"/>
      <c r="AG119" s="181"/>
      <c r="AH119" s="78"/>
      <c r="AI119" s="51"/>
      <c r="AJ119" s="235"/>
      <c r="AK119" s="170" t="str">
        <f>IFERROR(IF(AK118="","",VLOOKUP(AK118,LISTAS!$F$5:$G$1004,2,0)),"0")</f>
        <v/>
      </c>
      <c r="AL119" s="11"/>
    </row>
    <row r="120" spans="2:38" ht="18" customHeight="1" x14ac:dyDescent="0.25">
      <c r="B120" s="16">
        <v>13</v>
      </c>
      <c r="C120" s="169" t="str">
        <f>IF('09F GRP'!G5&gt;=3,'09F GRP'!J178,IF('09F GRP'!G5=2,"",IF('09F GRP'!G5=1,"","")))</f>
        <v/>
      </c>
      <c r="D120" s="234">
        <v>0</v>
      </c>
      <c r="E120" s="52">
        <f>IF(D120&lt;&gt;"",D120,"")</f>
        <v>0</v>
      </c>
      <c r="F120" s="51" t="str">
        <f>IF(D120&lt;&gt;"",IF(C120="","",C120),"")</f>
        <v/>
      </c>
      <c r="G120" s="176" t="str">
        <f>VLOOKUP(G118,E118:F120,2,0)</f>
        <v/>
      </c>
      <c r="H120" s="51"/>
      <c r="I120" s="18"/>
      <c r="J120" s="11"/>
      <c r="K120" s="166"/>
      <c r="L120" s="11"/>
      <c r="M120" s="11"/>
      <c r="N120" s="11"/>
      <c r="O120" s="166"/>
      <c r="P120" s="11"/>
      <c r="Q120" s="8"/>
      <c r="R120" s="182"/>
      <c r="S120" s="8"/>
      <c r="T120" s="8"/>
      <c r="U120" s="8"/>
      <c r="V120" s="182"/>
      <c r="W120" s="8"/>
      <c r="X120" s="62"/>
      <c r="Y120" s="182"/>
      <c r="Z120" s="8"/>
      <c r="AA120" s="8"/>
      <c r="AB120" s="11"/>
      <c r="AC120" s="182"/>
      <c r="AD120" s="8"/>
      <c r="AE120" s="69"/>
      <c r="AF120" s="78"/>
      <c r="AG120" s="181">
        <f>IF(AJ120&lt;&gt;"",AJ120,"")</f>
        <v>0</v>
      </c>
      <c r="AH120" s="78" t="str">
        <f>IF(AJ120&lt;&gt;"",IF(AK120="","",AK120),"")</f>
        <v/>
      </c>
      <c r="AI120" s="55" t="str">
        <f>VLOOKUP(AI118,AG118:AH120,2,0)</f>
        <v/>
      </c>
      <c r="AJ120" s="234">
        <v>0</v>
      </c>
      <c r="AK120" s="169" t="str">
        <f>IF('09F GRP'!G5&gt;=3,'09F GRP'!J243,IF('09F GRP'!G5=2,"",IF('09F GRP'!G5=1,"","")))</f>
        <v/>
      </c>
      <c r="AL120" s="11">
        <v>18</v>
      </c>
    </row>
    <row r="121" spans="2:38" ht="18" customHeight="1" thickBot="1" x14ac:dyDescent="0.3">
      <c r="B121" s="16"/>
      <c r="C121" s="170" t="str">
        <f>IFERROR(IF(C120="","",VLOOKUP(C120,LISTAS!$F$5:$G$1004,2,0)),"0")</f>
        <v/>
      </c>
      <c r="D121" s="235"/>
      <c r="E121" s="128"/>
      <c r="F121" s="51"/>
      <c r="G121" s="176"/>
      <c r="H121" s="51"/>
      <c r="I121" s="18"/>
      <c r="J121" s="11"/>
      <c r="K121" s="166"/>
      <c r="L121" s="11"/>
      <c r="M121" s="11"/>
      <c r="N121" s="11"/>
      <c r="O121" s="166"/>
      <c r="P121" s="11"/>
      <c r="Q121" s="8"/>
      <c r="R121" s="182"/>
      <c r="S121" s="8"/>
      <c r="T121" s="8"/>
      <c r="U121" s="8"/>
      <c r="V121" s="182"/>
      <c r="W121" s="8"/>
      <c r="X121" s="62"/>
      <c r="Y121" s="182"/>
      <c r="Z121" s="8"/>
      <c r="AA121" s="8"/>
      <c r="AB121" s="11"/>
      <c r="AC121" s="182"/>
      <c r="AD121" s="8"/>
      <c r="AE121" s="69"/>
      <c r="AF121" s="78"/>
      <c r="AG121" s="181"/>
      <c r="AH121" s="126"/>
      <c r="AI121" s="51"/>
      <c r="AJ121" s="235"/>
      <c r="AK121" s="170" t="str">
        <f>IFERROR(IF(AK120="","",VLOOKUP(AK120,LISTAS!$F$5:$G$1004,2,0)),"0")</f>
        <v/>
      </c>
      <c r="AL121" s="11"/>
    </row>
    <row r="122" spans="2:38" ht="18" customHeight="1" x14ac:dyDescent="0.25">
      <c r="B122" s="16"/>
      <c r="C122" s="166"/>
      <c r="D122" s="11"/>
      <c r="E122" s="11"/>
      <c r="F122" s="17"/>
      <c r="G122" s="169" t="str">
        <f>IF(D118&lt;&gt;"",IF(D120&lt;&gt;"",IF(D118=D120,"",IF(D118&gt;D120,C118,C120)),""),"")</f>
        <v/>
      </c>
      <c r="H122" s="234">
        <v>0</v>
      </c>
      <c r="I122" s="56">
        <f>IF(H122&lt;&gt;"",H122,"")</f>
        <v>0</v>
      </c>
      <c r="J122" s="51" t="str">
        <f>IF(H122&lt;&gt;"",IF(G122="","",G122),"")</f>
        <v/>
      </c>
      <c r="K122" s="176">
        <f>IF(I122&lt;&gt;"",IF(I124&lt;&gt;"",SMALL(I122:J124,1),""),"")</f>
        <v>0</v>
      </c>
      <c r="L122" s="11"/>
      <c r="M122" s="11"/>
      <c r="N122" s="11"/>
      <c r="O122" s="166"/>
      <c r="P122" s="11"/>
      <c r="Q122" s="8"/>
      <c r="R122" s="182"/>
      <c r="S122" s="8"/>
      <c r="T122" s="8"/>
      <c r="U122" s="8"/>
      <c r="V122" s="182"/>
      <c r="W122" s="8"/>
      <c r="X122" s="62"/>
      <c r="Y122" s="182"/>
      <c r="Z122" s="8"/>
      <c r="AA122" s="8"/>
      <c r="AB122" s="11"/>
      <c r="AC122" s="182"/>
      <c r="AD122" s="8"/>
      <c r="AE122" s="69"/>
      <c r="AF122" s="234">
        <v>0</v>
      </c>
      <c r="AG122" s="169" t="str">
        <f>IF(AJ118&lt;&gt;"",IF(AJ120&lt;&gt;"",IF(AJ118=AJ120,"",IF(AJ118&gt;AJ120,AK118,AK120)),""),"")</f>
        <v/>
      </c>
      <c r="AH122" s="65"/>
      <c r="AI122" s="8"/>
      <c r="AJ122" s="11"/>
      <c r="AK122" s="166"/>
      <c r="AL122" s="11"/>
    </row>
    <row r="123" spans="2:38" ht="18" customHeight="1" thickBot="1" x14ac:dyDescent="0.3">
      <c r="B123" s="16"/>
      <c r="C123" s="166"/>
      <c r="D123" s="11"/>
      <c r="E123" s="11"/>
      <c r="F123" s="17"/>
      <c r="G123" s="170" t="str">
        <f>IFERROR(IF(G122="","",VLOOKUP(G122,LISTAS!$F$5:$G$1004,2,0)),"0")</f>
        <v/>
      </c>
      <c r="H123" s="235"/>
      <c r="I123" s="57"/>
      <c r="J123" s="51"/>
      <c r="K123" s="176"/>
      <c r="L123" s="11"/>
      <c r="M123" s="11"/>
      <c r="N123" s="11"/>
      <c r="O123" s="166"/>
      <c r="P123" s="11"/>
      <c r="Q123" s="8"/>
      <c r="R123" s="182"/>
      <c r="S123" s="8"/>
      <c r="T123" s="8"/>
      <c r="U123" s="8"/>
      <c r="V123" s="182"/>
      <c r="W123" s="8"/>
      <c r="X123" s="62"/>
      <c r="Y123" s="182"/>
      <c r="Z123" s="8"/>
      <c r="AA123" s="8"/>
      <c r="AB123" s="11"/>
      <c r="AC123" s="182"/>
      <c r="AD123" s="8"/>
      <c r="AE123" s="70"/>
      <c r="AF123" s="235"/>
      <c r="AG123" s="170" t="str">
        <f>IFERROR(IF(AG122="","",VLOOKUP(AG122,LISTAS!$F$5:$G$1004,2,0)),"0")</f>
        <v/>
      </c>
      <c r="AH123" s="65"/>
      <c r="AI123" s="8"/>
      <c r="AJ123" s="11"/>
      <c r="AK123" s="166"/>
      <c r="AL123" s="11"/>
    </row>
    <row r="124" spans="2:38" ht="18" customHeight="1" x14ac:dyDescent="0.25">
      <c r="B124" s="16"/>
      <c r="C124" s="166"/>
      <c r="D124" s="11"/>
      <c r="E124" s="18"/>
      <c r="F124" s="19"/>
      <c r="G124" s="169" t="str">
        <f>IF(D126&lt;&gt;"",IF(D128&lt;&gt;"",IF(D126=D128,"",IF(D126&gt;D128,C126,C128)),""),"")</f>
        <v>SOPHIA MENDES DA SILVA</v>
      </c>
      <c r="H124" s="234">
        <v>2</v>
      </c>
      <c r="I124" s="57">
        <f>IF(H124&lt;&gt;"",H124,"")</f>
        <v>2</v>
      </c>
      <c r="J124" s="51" t="str">
        <f>IF(H124&lt;&gt;"",IF(G124="","",G124),"")</f>
        <v>SOPHIA MENDES DA SILVA</v>
      </c>
      <c r="K124" s="176" t="str">
        <f>VLOOKUP(K122,I122:J124,2,0)</f>
        <v/>
      </c>
      <c r="L124" s="11"/>
      <c r="M124" s="11"/>
      <c r="N124" s="11"/>
      <c r="O124" s="166"/>
      <c r="P124" s="11"/>
      <c r="Q124" s="8"/>
      <c r="R124" s="182"/>
      <c r="S124" s="8"/>
      <c r="T124" s="8"/>
      <c r="U124" s="8"/>
      <c r="V124" s="182"/>
      <c r="W124" s="8"/>
      <c r="X124" s="62"/>
      <c r="Y124" s="182"/>
      <c r="Z124" s="8"/>
      <c r="AA124" s="8"/>
      <c r="AB124" s="11"/>
      <c r="AC124" s="182"/>
      <c r="AD124" s="8"/>
      <c r="AE124" s="64"/>
      <c r="AF124" s="234">
        <v>2</v>
      </c>
      <c r="AG124" s="169" t="str">
        <f>IF(AJ126&lt;&gt;"",IF(AJ128&lt;&gt;"",IF(AJ126=AJ128,"",IF(AJ126&gt;AJ128,AK126,AK128)),""),"")</f>
        <v>MANUELLA PIRES DE FARIAS</v>
      </c>
      <c r="AH124" s="66"/>
      <c r="AI124" s="8"/>
      <c r="AJ124" s="11"/>
      <c r="AK124" s="166"/>
      <c r="AL124" s="11"/>
    </row>
    <row r="125" spans="2:38" ht="18" customHeight="1" thickBot="1" x14ac:dyDescent="0.3">
      <c r="B125" s="16"/>
      <c r="C125" s="166"/>
      <c r="D125" s="11"/>
      <c r="E125" s="18"/>
      <c r="F125" s="11"/>
      <c r="G125" s="170" t="str">
        <f>IFERROR(IF(G124="","",VLOOKUP(G124,LISTAS!$F$5:$G$1004,2,0)),"0")</f>
        <v>COLÉGIO ARBOS - UNIDADE SANTO ANDRÉ</v>
      </c>
      <c r="H125" s="235"/>
      <c r="I125" s="51"/>
      <c r="J125" s="51"/>
      <c r="K125" s="176"/>
      <c r="L125" s="11"/>
      <c r="M125" s="11"/>
      <c r="N125" s="11"/>
      <c r="O125" s="166"/>
      <c r="P125" s="11"/>
      <c r="Q125" s="8"/>
      <c r="R125" s="182"/>
      <c r="S125" s="8"/>
      <c r="T125" s="8"/>
      <c r="U125" s="8"/>
      <c r="V125" s="182"/>
      <c r="W125" s="8"/>
      <c r="X125" s="62"/>
      <c r="Y125" s="182"/>
      <c r="Z125" s="8"/>
      <c r="AA125" s="8"/>
      <c r="AB125" s="11"/>
      <c r="AC125" s="182"/>
      <c r="AD125" s="8"/>
      <c r="AE125" s="8"/>
      <c r="AF125" s="235"/>
      <c r="AG125" s="170" t="str">
        <f>IFERROR(IF(AG124="","",VLOOKUP(AG124,LISTAS!$F$5:$G$1004,2,0)),"0")</f>
        <v>COLÉGIO ENGENHEIRO SALVADOR ARENA</v>
      </c>
      <c r="AH125" s="8"/>
      <c r="AI125" s="69"/>
      <c r="AJ125" s="11"/>
      <c r="AK125" s="166"/>
      <c r="AL125" s="11"/>
    </row>
    <row r="126" spans="2:38" ht="18" customHeight="1" x14ac:dyDescent="0.25">
      <c r="B126" s="16">
        <v>29</v>
      </c>
      <c r="C126" s="169" t="str">
        <f>IF('09F GRP'!G5&gt;=3,'09F GRP'!J386,IF('09F GRP'!G5=2,"",IF('09F GRP'!G5=1,"","")))</f>
        <v/>
      </c>
      <c r="D126" s="234">
        <v>0</v>
      </c>
      <c r="E126" s="56">
        <f>IF(D126&lt;&gt;"",D126,"")</f>
        <v>0</v>
      </c>
      <c r="F126" s="51" t="str">
        <f>IF(D126&lt;&gt;"",IF(C126="","",C126),"")</f>
        <v/>
      </c>
      <c r="G126" s="176">
        <f>IF(E126&lt;&gt;"",IF(E128&lt;&gt;"",SMALL(E126:E128,1),""),"")</f>
        <v>0</v>
      </c>
      <c r="H126" s="51"/>
      <c r="I126" s="11"/>
      <c r="J126" s="11"/>
      <c r="K126" s="166"/>
      <c r="L126" s="11"/>
      <c r="M126" s="11"/>
      <c r="N126" s="11"/>
      <c r="O126" s="166"/>
      <c r="P126" s="11"/>
      <c r="Q126" s="8"/>
      <c r="R126" s="182"/>
      <c r="S126" s="8"/>
      <c r="T126" s="8"/>
      <c r="U126" s="8"/>
      <c r="V126" s="182"/>
      <c r="W126" s="8"/>
      <c r="X126" s="62"/>
      <c r="Y126" s="182"/>
      <c r="Z126" s="8"/>
      <c r="AA126" s="8"/>
      <c r="AB126" s="11"/>
      <c r="AC126" s="182"/>
      <c r="AD126" s="8"/>
      <c r="AE126" s="8"/>
      <c r="AF126" s="8"/>
      <c r="AG126" s="181">
        <f>IF(AJ126&lt;&gt;"",AJ126,"")</f>
        <v>0</v>
      </c>
      <c r="AH126" s="78" t="str">
        <f>IF(AJ126&lt;&gt;"",IF(AK126="","",AK126),"")</f>
        <v/>
      </c>
      <c r="AI126" s="53">
        <f>IF(AG126&lt;&gt;"",IF(AG128&lt;&gt;"",SMALL(AG126:AG128,1),""),"")</f>
        <v>0</v>
      </c>
      <c r="AJ126" s="234">
        <v>0</v>
      </c>
      <c r="AK126" s="169" t="str">
        <f>IF('09F GRP'!G5&gt;=3,'09F GRP'!J412,IF('09F GRP'!G5=2,"",IF('09F GRP'!G5=1,"","")))</f>
        <v/>
      </c>
      <c r="AL126" s="11">
        <v>31</v>
      </c>
    </row>
    <row r="127" spans="2:38" ht="18" customHeight="1" thickBot="1" x14ac:dyDescent="0.3">
      <c r="B127" s="16"/>
      <c r="C127" s="170" t="str">
        <f>IFERROR(IF(C126="","",VLOOKUP(C126,LISTAS!$F$5:$G$1004,2,0)),"0")</f>
        <v/>
      </c>
      <c r="D127" s="235"/>
      <c r="E127" s="57"/>
      <c r="F127" s="51"/>
      <c r="G127" s="176"/>
      <c r="H127" s="51"/>
      <c r="I127" s="11"/>
      <c r="J127" s="11"/>
      <c r="K127" s="166"/>
      <c r="L127" s="11"/>
      <c r="M127" s="11"/>
      <c r="N127" s="11"/>
      <c r="O127" s="166"/>
      <c r="P127" s="11"/>
      <c r="Q127" s="8"/>
      <c r="R127" s="182"/>
      <c r="S127" s="8"/>
      <c r="T127" s="8"/>
      <c r="U127" s="8"/>
      <c r="V127" s="182"/>
      <c r="W127" s="8"/>
      <c r="X127" s="62"/>
      <c r="Y127" s="182"/>
      <c r="Z127" s="8"/>
      <c r="AA127" s="8"/>
      <c r="AB127" s="11"/>
      <c r="AC127" s="182"/>
      <c r="AD127" s="8"/>
      <c r="AE127" s="8"/>
      <c r="AF127" s="8"/>
      <c r="AG127" s="181"/>
      <c r="AH127" s="78"/>
      <c r="AI127" s="77"/>
      <c r="AJ127" s="235"/>
      <c r="AK127" s="170" t="str">
        <f>IFERROR(IF(AK126="","",VLOOKUP(AK126,LISTAS!$F$5:$G$1004,2,0)),"0")</f>
        <v/>
      </c>
      <c r="AL127" s="11"/>
    </row>
    <row r="128" spans="2:38" ht="18" customHeight="1" x14ac:dyDescent="0.25">
      <c r="B128" s="16">
        <v>4</v>
      </c>
      <c r="C128" s="169" t="str">
        <f>IF('09F GRP'!G5&gt;=3,'09F GRP'!J61,IF('09F GRP'!G5=2,IF('09F GRP'!H8=3,"",'09F GRP'!J33),IF('09F GRP'!G5=1,"","")))</f>
        <v>SOPHIA MENDES DA SILVA</v>
      </c>
      <c r="D128" s="234">
        <v>2</v>
      </c>
      <c r="E128" s="57">
        <f>IF(D128&lt;&gt;"",D128,"")</f>
        <v>2</v>
      </c>
      <c r="F128" s="51" t="str">
        <f>IF(D128&lt;&gt;"",IF(C128="","",C128),"")</f>
        <v>SOPHIA MENDES DA SILVA</v>
      </c>
      <c r="G128" s="176" t="str">
        <f>VLOOKUP(G126,E126:F128,2,0)</f>
        <v/>
      </c>
      <c r="H128" s="51"/>
      <c r="I128" s="11"/>
      <c r="J128" s="11"/>
      <c r="K128" s="166"/>
      <c r="L128" s="11"/>
      <c r="M128" s="11"/>
      <c r="N128" s="11"/>
      <c r="O128" s="166"/>
      <c r="P128" s="11"/>
      <c r="Q128" s="8"/>
      <c r="R128" s="182"/>
      <c r="S128" s="8"/>
      <c r="T128" s="8"/>
      <c r="U128" s="8"/>
      <c r="V128" s="182"/>
      <c r="W128" s="8"/>
      <c r="X128" s="62"/>
      <c r="Y128" s="182"/>
      <c r="Z128" s="8"/>
      <c r="AA128" s="8"/>
      <c r="AB128" s="11"/>
      <c r="AC128" s="182"/>
      <c r="AD128" s="8"/>
      <c r="AE128" s="8"/>
      <c r="AF128" s="8"/>
      <c r="AG128" s="181">
        <f>IF(AJ128&lt;&gt;"",AJ128,"")</f>
        <v>2</v>
      </c>
      <c r="AH128" s="78" t="str">
        <f>IF(AJ128&lt;&gt;"",IF(AK128="","",AK128),"")</f>
        <v>MANUELLA PIRES DE FARIAS</v>
      </c>
      <c r="AI128" s="76" t="str">
        <f>VLOOKUP(AI126,AG126:AH128,2,0)</f>
        <v/>
      </c>
      <c r="AJ128" s="234">
        <v>2</v>
      </c>
      <c r="AK128" s="169" t="str">
        <f>IF('09F GRP'!G5&gt;=3,'09F GRP'!J31,IF('09F GRP'!G5=2,IF('09F GRP'!H8=3,'09F GRP'!J31,'09F GRP'!J32),IF('09F GRP'!G5=1,"","")))</f>
        <v>MANUELLA PIRES DE FARIAS</v>
      </c>
      <c r="AL128" s="11">
        <v>2</v>
      </c>
    </row>
    <row r="129" spans="2:48" ht="18" customHeight="1" thickBot="1" x14ac:dyDescent="0.3">
      <c r="B129" s="16"/>
      <c r="C129" s="170" t="str">
        <f>IFERROR(IF(C128="","",VLOOKUP(C128,LISTAS!$F$5:$G$1004,2,0)),"0")</f>
        <v>COLÉGIO ARBOS - UNIDADE SANTO ANDRÉ</v>
      </c>
      <c r="D129" s="235"/>
      <c r="E129" s="51"/>
      <c r="F129" s="51"/>
      <c r="G129" s="176"/>
      <c r="H129" s="51"/>
      <c r="I129" s="11"/>
      <c r="J129" s="11"/>
      <c r="K129" s="166"/>
      <c r="L129" s="11"/>
      <c r="M129" s="11"/>
      <c r="N129" s="11"/>
      <c r="O129" s="166"/>
      <c r="P129" s="11"/>
      <c r="Q129" s="8"/>
      <c r="R129" s="182"/>
      <c r="S129" s="8"/>
      <c r="T129" s="8"/>
      <c r="U129" s="8"/>
      <c r="V129" s="182"/>
      <c r="W129" s="8"/>
      <c r="X129" s="62"/>
      <c r="Y129" s="182"/>
      <c r="Z129" s="8"/>
      <c r="AA129" s="8"/>
      <c r="AB129" s="11"/>
      <c r="AC129" s="182"/>
      <c r="AD129" s="8"/>
      <c r="AE129" s="8"/>
      <c r="AF129" s="8"/>
      <c r="AG129" s="181"/>
      <c r="AH129" s="78"/>
      <c r="AI129" s="51"/>
      <c r="AJ129" s="235"/>
      <c r="AK129" s="170" t="str">
        <f>IFERROR(IF(AK128="","",VLOOKUP(AK128,LISTAS!$F$5:$G$1004,2,0)),"0")</f>
        <v>COLÉGIO ENGENHEIRO SALVADOR ARENA</v>
      </c>
      <c r="AL129" s="11"/>
    </row>
    <row r="130" spans="2:48" ht="18" customHeight="1" x14ac:dyDescent="0.25">
      <c r="B130" s="16"/>
      <c r="C130" s="167"/>
      <c r="D130" s="71"/>
      <c r="E130" s="127"/>
      <c r="F130" s="127"/>
      <c r="G130" s="177"/>
      <c r="H130" s="127"/>
      <c r="I130" s="71"/>
      <c r="J130" s="71"/>
      <c r="K130" s="167"/>
      <c r="L130" s="71"/>
      <c r="M130" s="71"/>
      <c r="N130" s="71"/>
      <c r="O130" s="167"/>
      <c r="P130" s="71"/>
      <c r="Q130" s="8"/>
      <c r="R130" s="182"/>
      <c r="S130" s="8"/>
      <c r="T130" s="8"/>
      <c r="U130" s="8"/>
      <c r="V130" s="182"/>
      <c r="W130" s="8"/>
      <c r="X130" s="62"/>
      <c r="Y130" s="182"/>
      <c r="Z130" s="8"/>
      <c r="AA130" s="8"/>
      <c r="AB130" s="11"/>
      <c r="AC130" s="182"/>
      <c r="AD130" s="8"/>
      <c r="AE130" s="8"/>
      <c r="AF130" s="8"/>
      <c r="AG130" s="181"/>
      <c r="AH130" s="78"/>
      <c r="AI130" s="78"/>
      <c r="AJ130" s="71"/>
      <c r="AK130" s="167"/>
      <c r="AL130" s="11"/>
    </row>
    <row r="131" spans="2:48" ht="18" customHeight="1" x14ac:dyDescent="0.25">
      <c r="B131" s="11"/>
      <c r="C131" s="167"/>
      <c r="D131" s="71"/>
      <c r="E131" s="71"/>
      <c r="F131" s="71"/>
      <c r="G131" s="167"/>
      <c r="H131" s="71"/>
      <c r="I131" s="71"/>
      <c r="J131" s="71"/>
      <c r="K131" s="167"/>
      <c r="L131" s="71"/>
      <c r="M131" s="71"/>
      <c r="N131" s="71"/>
      <c r="O131" s="167"/>
      <c r="P131" s="71"/>
      <c r="Q131" s="8"/>
      <c r="R131" s="182"/>
      <c r="S131" s="8"/>
      <c r="T131" s="8"/>
      <c r="U131" s="8"/>
      <c r="V131" s="182"/>
      <c r="W131" s="8"/>
      <c r="X131" s="62"/>
      <c r="Y131" s="182"/>
      <c r="Z131" s="8"/>
      <c r="AA131" s="8"/>
      <c r="AB131" s="11"/>
      <c r="AC131" s="182"/>
      <c r="AD131" s="8"/>
      <c r="AE131" s="8"/>
      <c r="AF131" s="8"/>
      <c r="AG131" s="181"/>
      <c r="AH131" s="78"/>
      <c r="AI131" s="78"/>
      <c r="AJ131" s="71"/>
      <c r="AK131" s="167"/>
      <c r="AL131" s="11"/>
    </row>
    <row r="132" spans="2:48" ht="18" customHeight="1" x14ac:dyDescent="0.25">
      <c r="B132" s="22"/>
      <c r="C132" s="168"/>
      <c r="D132" s="22"/>
      <c r="E132" s="22"/>
      <c r="F132" s="22"/>
      <c r="G132" s="168"/>
      <c r="H132" s="22"/>
      <c r="I132" s="22"/>
      <c r="J132" s="22"/>
      <c r="K132" s="168"/>
      <c r="L132" s="22"/>
      <c r="M132" s="22"/>
      <c r="N132" s="22"/>
      <c r="O132" s="168"/>
      <c r="P132" s="22"/>
      <c r="W132" s="22"/>
      <c r="X132" s="22"/>
      <c r="Y132" s="168"/>
      <c r="Z132" s="22"/>
      <c r="AA132" s="22"/>
      <c r="AB132" s="22"/>
      <c r="AC132" s="168"/>
      <c r="AD132" s="22"/>
      <c r="AE132" s="22"/>
      <c r="AF132" s="22"/>
      <c r="AG132" s="168"/>
      <c r="AH132" s="22"/>
      <c r="AI132" s="22"/>
      <c r="AJ132" s="22"/>
      <c r="AK132" s="168"/>
    </row>
    <row r="133" spans="2:48" ht="18" customHeight="1" x14ac:dyDescent="0.25">
      <c r="B133" s="22"/>
      <c r="C133" s="168"/>
      <c r="D133" s="22"/>
      <c r="E133" s="22"/>
      <c r="F133" s="22"/>
      <c r="G133" s="168"/>
      <c r="H133" s="22"/>
      <c r="I133" s="22"/>
      <c r="J133" s="22"/>
      <c r="K133" s="168"/>
      <c r="L133" s="22"/>
      <c r="M133" s="22"/>
      <c r="N133" s="22"/>
      <c r="O133" s="168"/>
      <c r="P133" s="22"/>
      <c r="W133" s="22"/>
      <c r="X133" s="22"/>
      <c r="Y133" s="168"/>
      <c r="Z133" s="22"/>
      <c r="AA133" s="22"/>
      <c r="AB133" s="22"/>
      <c r="AC133" s="168"/>
      <c r="AD133" s="22"/>
      <c r="AE133" s="22"/>
      <c r="AF133" s="22"/>
      <c r="AG133" s="168"/>
      <c r="AH133" s="22"/>
      <c r="AI133" s="22"/>
      <c r="AJ133" s="22"/>
      <c r="AK133" s="168"/>
    </row>
    <row r="134" spans="2:48" ht="30" customHeight="1" x14ac:dyDescent="0.25">
      <c r="B134" s="251" t="s">
        <v>22</v>
      </c>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52"/>
      <c r="AE134" s="252"/>
      <c r="AF134" s="252"/>
      <c r="AG134" s="252"/>
      <c r="AH134" s="252"/>
      <c r="AI134" s="252"/>
      <c r="AJ134" s="252"/>
      <c r="AK134" s="252"/>
      <c r="AL134" s="252"/>
      <c r="AP134" s="241" t="s">
        <v>23</v>
      </c>
      <c r="AQ134" s="241"/>
      <c r="AR134" s="241"/>
      <c r="AS134" s="241"/>
      <c r="AT134" s="241"/>
      <c r="AU134" s="241"/>
    </row>
    <row r="135" spans="2:48" ht="18" customHeight="1" thickBot="1" x14ac:dyDescent="0.3">
      <c r="B135" s="73"/>
      <c r="C135" s="164"/>
      <c r="D135" s="61"/>
      <c r="E135" s="61"/>
      <c r="F135" s="61"/>
      <c r="G135" s="175"/>
      <c r="H135" s="61"/>
      <c r="I135" s="61"/>
      <c r="J135" s="61"/>
      <c r="K135" s="179"/>
      <c r="L135" s="61"/>
      <c r="M135" s="61"/>
      <c r="N135" s="61"/>
      <c r="O135" s="179"/>
      <c r="P135" s="61"/>
      <c r="Q135" s="61"/>
      <c r="R135" s="179"/>
      <c r="S135" s="61"/>
      <c r="T135" s="61"/>
      <c r="U135" s="61"/>
      <c r="V135" s="179"/>
      <c r="W135" s="61"/>
      <c r="X135" s="74"/>
      <c r="Y135" s="179"/>
      <c r="Z135" s="61"/>
      <c r="AA135" s="61"/>
      <c r="AB135" s="75"/>
      <c r="AC135" s="179"/>
      <c r="AD135" s="61"/>
      <c r="AE135" s="61"/>
      <c r="AF135" s="61"/>
      <c r="AG135" s="179"/>
      <c r="AH135" s="61"/>
      <c r="AI135" s="61"/>
      <c r="AJ135" s="61"/>
      <c r="AK135" s="179"/>
      <c r="AL135" s="61"/>
      <c r="AP135" s="228" t="s">
        <v>3</v>
      </c>
      <c r="AQ135" s="230"/>
      <c r="AR135" s="9" t="s">
        <v>15</v>
      </c>
      <c r="AS135" s="9" t="s">
        <v>0</v>
      </c>
      <c r="AT135" s="9" t="s">
        <v>16</v>
      </c>
      <c r="AU135" s="9" t="s">
        <v>17</v>
      </c>
    </row>
    <row r="136" spans="2:48" ht="18" customHeight="1" x14ac:dyDescent="0.25">
      <c r="B136" s="10">
        <v>1</v>
      </c>
      <c r="C136" s="171" t="str">
        <f>IF('09F GRP'!G5&gt;=3,'09F GRP'!J10,IF('09F GRP'!G5=2,IF('09F GRP'!H8=3,'09F GRP'!J10,""),IF('09F GRP'!G5=1,"","")))</f>
        <v>BYE</v>
      </c>
      <c r="D136" s="234">
        <v>0</v>
      </c>
      <c r="E136" s="51">
        <f>IF(D136&lt;&gt;"",D136,"")</f>
        <v>0</v>
      </c>
      <c r="F136" s="51" t="str">
        <f>IF(D136&lt;&gt;"",IF(C136="","",C136),"")</f>
        <v>BYE</v>
      </c>
      <c r="G136" s="176">
        <f>IF(E136&lt;&gt;"",IF(E138&lt;&gt;"",SMALL(E136:E138,1),""),"")</f>
        <v>0</v>
      </c>
      <c r="H136" s="11"/>
      <c r="I136" s="11"/>
      <c r="J136" s="11"/>
      <c r="K136" s="166"/>
      <c r="L136" s="11"/>
      <c r="M136" s="12"/>
      <c r="N136" s="12"/>
      <c r="O136" s="180"/>
      <c r="P136" s="12"/>
      <c r="Q136" s="8"/>
      <c r="R136" s="182"/>
      <c r="S136" s="8"/>
      <c r="T136" s="8"/>
      <c r="U136" s="8"/>
      <c r="V136" s="182"/>
      <c r="W136" s="8"/>
      <c r="X136" s="62"/>
      <c r="Y136" s="182"/>
      <c r="Z136" s="8"/>
      <c r="AA136" s="8"/>
      <c r="AB136" s="11"/>
      <c r="AC136" s="182"/>
      <c r="AD136" s="8"/>
      <c r="AE136" s="8"/>
      <c r="AF136" s="8"/>
      <c r="AG136" s="181">
        <f>IF(AJ136&lt;&gt;"",AJ136,"")</f>
        <v>0</v>
      </c>
      <c r="AH136" s="78" t="str">
        <f>IF(AJ136&lt;&gt;"",IF(AK136="","",AK136),"")</f>
        <v>BYE</v>
      </c>
      <c r="AI136" s="51">
        <f>IF(AG136&lt;&gt;"",IF(AG138&lt;&gt;"",SMALL(AG136:AG138,1),""),"")</f>
        <v>0</v>
      </c>
      <c r="AJ136" s="234">
        <v>0</v>
      </c>
      <c r="AK136" s="171" t="str">
        <f>IF('09F GRP'!G5&gt;=3,'09F GRP'!J49,IF('09F GRP'!G5=2,"",IF('09F GRP'!G5=1,"","")))</f>
        <v>BYE</v>
      </c>
      <c r="AL136" s="63">
        <v>3</v>
      </c>
      <c r="AP136" s="13">
        <f>IF(AR136&lt;&gt;"",1,"")</f>
        <v>1</v>
      </c>
      <c r="AQ136" s="14" t="str">
        <f>IF(AP136&lt;&gt;"","LUGAR","")</f>
        <v>LUGAR</v>
      </c>
      <c r="AR136" s="15" t="str">
        <f>IF(S164&lt;&gt;"",IF(U164&lt;&gt;"",IF(S164=U164,"",IF(S164&gt;U164,R164,V164)),""),"")</f>
        <v>PIETRA SALAZAR MASSUCATO</v>
      </c>
      <c r="AS136" s="15" t="str">
        <f>IFERROR(IF(AR136="","",VLOOKUP(AR136,LISTAS!$F$5:$G$1004,2,0)),"0")</f>
        <v>PEN LIFE</v>
      </c>
      <c r="AT136" s="15">
        <f>IF(AP136="","",IF(AP136=1,100,IF(AP136=2,80,IF(AP136=3,70,IF(AP136=4,50,IF(AP136=5,45,IF(AP136=6,40,IF(AP136=7,35,IF(AP136=8,30,IF(AP136=9,28,IF(AP136=10,28,IF(AP136=11,28,IF(AP136=12,28,IF(AP136=13,28,IF(AP136=14,28,IF(AP136=15,28,IF(AP136=16,28,IF(AP136&gt;16,"",""))))))))))))))))))</f>
        <v>100</v>
      </c>
      <c r="AU136" s="15">
        <f>IF(AP136="","",IF($AS$5="NÃO","",IF(AP136=1,100,IF(AP136=2,80,IF(AP136=3,70,IF(AP136=4,50,IF(AP136=5,45,IF(AP136=6,40,IF(AP136=7,35,IF(AP136=8,30,IF(AP136=9,28,IF(AP136=10,28,IF(AP136=11,28,IF(AP136=12,28,IF(AP136=13,28,IF(AP136=14,28,IF(AP136=15,28,IF(AP136=16,28,IF(AP136&gt;16,"","")))))))))))))))))))</f>
        <v>100</v>
      </c>
    </row>
    <row r="137" spans="2:48" ht="18" customHeight="1" thickBot="1" x14ac:dyDescent="0.3">
      <c r="B137" s="10"/>
      <c r="C137" s="172" t="str">
        <f>IFERROR(IF(C136="","",VLOOKUP(C136,LISTAS!$F$5:$G$1004,2,0)),"0")</f>
        <v>BYE</v>
      </c>
      <c r="D137" s="235"/>
      <c r="E137" s="51"/>
      <c r="F137" s="51"/>
      <c r="G137" s="176"/>
      <c r="H137" s="11"/>
      <c r="I137" s="11"/>
      <c r="J137" s="11"/>
      <c r="K137" s="166"/>
      <c r="L137" s="11"/>
      <c r="M137" s="12"/>
      <c r="N137" s="12"/>
      <c r="O137" s="180"/>
      <c r="P137" s="12"/>
      <c r="Q137" s="8"/>
      <c r="R137" s="182"/>
      <c r="S137" s="8"/>
      <c r="T137" s="8"/>
      <c r="U137" s="8"/>
      <c r="V137" s="182"/>
      <c r="W137" s="8"/>
      <c r="X137" s="62"/>
      <c r="Y137" s="182"/>
      <c r="Z137" s="8"/>
      <c r="AA137" s="8"/>
      <c r="AB137" s="11"/>
      <c r="AC137" s="182"/>
      <c r="AD137" s="8"/>
      <c r="AE137" s="8"/>
      <c r="AF137" s="8"/>
      <c r="AG137" s="181"/>
      <c r="AH137" s="78"/>
      <c r="AI137" s="51"/>
      <c r="AJ137" s="235"/>
      <c r="AK137" s="172" t="str">
        <f>IFERROR(IF(AK136="","",VLOOKUP(AK136,LISTAS!$F$5:$G$1004,2,0)),"0")</f>
        <v>BYE</v>
      </c>
      <c r="AL137" s="63"/>
      <c r="AP137" s="13" t="str">
        <f>IF(AR137&lt;&gt;"",1+COUNTIF(AP136,"1"),"")</f>
        <v/>
      </c>
      <c r="AQ137" s="14" t="str">
        <f t="shared" ref="AQ137:AQ167" si="6">IF(AP137&lt;&gt;"","LUGAR","")</f>
        <v/>
      </c>
      <c r="AR137" s="15" t="str">
        <f>IF(S164&lt;&gt;"",IF(U164&lt;&gt;"",IF(S164=U164,"",IF(S164&lt;U164,R164,V164)),""),"")</f>
        <v/>
      </c>
      <c r="AS137" s="15" t="str">
        <f>IFERROR(IF(AR137="","",VLOOKUP(AR137,LISTAS!$F$5:$G$1004,2,0)),"0")</f>
        <v/>
      </c>
      <c r="AT137" s="15" t="str">
        <f t="shared" ref="AT137:AT166" si="7">IF(AP137="","",IF(AP137=1,100,IF(AP137=2,80,IF(AP137=3,70,IF(AP137=4,50,IF(AP137=5,45,IF(AP137=6,40,IF(AP137=7,35,IF(AP137=8,30,IF(AP137=9,28,IF(AP137=10,28,IF(AP137=11,28,IF(AP137=12,28,IF(AP137=13,28,IF(AP137=14,28,IF(AP137=15,28,IF(AP137=16,28,IF(AP137&gt;16,"",""))))))))))))))))))</f>
        <v/>
      </c>
      <c r="AU137" s="15" t="str">
        <f t="shared" ref="AU137:AU166" si="8">IF(AP137="","",IF($AS$5="NÃO","",IF(AP137=1,100,IF(AP137=2,80,IF(AP137=3,70,IF(AP137=4,50,IF(AP137=5,45,IF(AP137=6,40,IF(AP137=7,35,IF(AP137=8,30,IF(AP137=9,28,IF(AP137=10,28,IF(AP137=11,28,IF(AP137=12,28,IF(AP137=13,28,IF(AP137=14,28,IF(AP137=15,28,IF(AP137=16,28,IF(AP137&gt;16,"","")))))))))))))))))))</f>
        <v/>
      </c>
    </row>
    <row r="138" spans="2:48" ht="18" customHeight="1" x14ac:dyDescent="0.25">
      <c r="B138" s="16">
        <v>32</v>
      </c>
      <c r="C138" s="171" t="str">
        <f>IF('09F GRP'!G5&gt;=3,'09F GRP'!J426,IF('09F GRP'!G5=2,"",IF('09F GRP'!G5=1,"","")))</f>
        <v/>
      </c>
      <c r="D138" s="234">
        <v>0</v>
      </c>
      <c r="E138" s="52">
        <f>IF(D138&lt;&gt;"",D138,"")</f>
        <v>0</v>
      </c>
      <c r="F138" s="51" t="str">
        <f>IF(D138&lt;&gt;"",IF(C138="","",C138),"")</f>
        <v/>
      </c>
      <c r="G138" s="176" t="str">
        <f>VLOOKUP(G136,E136:F138,2,0)</f>
        <v>BYE</v>
      </c>
      <c r="H138" s="11"/>
      <c r="I138" s="11"/>
      <c r="J138" s="11"/>
      <c r="K138" s="166"/>
      <c r="L138" s="11"/>
      <c r="M138" s="12"/>
      <c r="N138" s="12"/>
      <c r="O138" s="180"/>
      <c r="P138" s="12"/>
      <c r="Q138" s="8"/>
      <c r="R138" s="182"/>
      <c r="S138" s="8"/>
      <c r="T138" s="8"/>
      <c r="U138" s="8"/>
      <c r="V138" s="182"/>
      <c r="W138" s="8"/>
      <c r="X138" s="62"/>
      <c r="Y138" s="182"/>
      <c r="Z138" s="8"/>
      <c r="AA138" s="8"/>
      <c r="AB138" s="11"/>
      <c r="AC138" s="182"/>
      <c r="AD138" s="8"/>
      <c r="AE138" s="8"/>
      <c r="AF138" s="8"/>
      <c r="AG138" s="181">
        <f>IF(AJ138&lt;&gt;"",AJ138,"")</f>
        <v>0</v>
      </c>
      <c r="AH138" s="78" t="str">
        <f>IF(AJ138&lt;&gt;"",IF(AK138="","",AK138),"")</f>
        <v/>
      </c>
      <c r="AI138" s="55" t="str">
        <f>VLOOKUP(AI136,AG136:AH138,2,0)</f>
        <v>BYE</v>
      </c>
      <c r="AJ138" s="234">
        <v>0</v>
      </c>
      <c r="AK138" s="171" t="str">
        <f>IF('09F GRP'!G5&gt;=3,'09F GRP'!J400,IF('09F GRP'!G5=2,"",IF('09F GRP'!G5=1,"","")))</f>
        <v/>
      </c>
      <c r="AL138" s="11">
        <v>30</v>
      </c>
      <c r="AP138" s="13" t="str">
        <f>IF(AR138&lt;&gt;"",1+COUNTIF(AP136:AP137,"1")+COUNTIF(AP136:AP137,"2"),"")</f>
        <v/>
      </c>
      <c r="AQ138" s="14" t="str">
        <f t="shared" si="6"/>
        <v/>
      </c>
      <c r="AR138" s="21" t="str">
        <f>IF(AR136&lt;&gt;"",IF(O163=AR136,O165,IF(O165=AR136,O163,IF(Y163=AR136,Y165,IF(Y165=AR136,Y163)))),"")</f>
        <v/>
      </c>
      <c r="AS138" s="15" t="str">
        <f>IFERROR(IF(AR138="","",VLOOKUP(AR138,LISTAS!$F$5:$G$1004,2,0)),"0")</f>
        <v/>
      </c>
      <c r="AT138" s="15" t="str">
        <f t="shared" si="7"/>
        <v/>
      </c>
      <c r="AU138" s="15" t="str">
        <f t="shared" si="8"/>
        <v/>
      </c>
    </row>
    <row r="139" spans="2:48" ht="18" customHeight="1" thickBot="1" x14ac:dyDescent="0.3">
      <c r="B139" s="16"/>
      <c r="C139" s="172" t="str">
        <f>IFERROR(IF(C138="","",VLOOKUP(C138,LISTAS!$F$5:$G$1004,2,0)),"0")</f>
        <v/>
      </c>
      <c r="D139" s="235"/>
      <c r="E139" s="128"/>
      <c r="F139" s="51"/>
      <c r="G139" s="176"/>
      <c r="H139" s="11"/>
      <c r="I139" s="11"/>
      <c r="J139" s="11"/>
      <c r="K139" s="166"/>
      <c r="L139" s="11"/>
      <c r="M139" s="12"/>
      <c r="N139" s="12"/>
      <c r="O139" s="180"/>
      <c r="P139" s="12"/>
      <c r="Q139" s="8"/>
      <c r="R139" s="182"/>
      <c r="S139" s="8"/>
      <c r="T139" s="8"/>
      <c r="U139" s="8"/>
      <c r="V139" s="182"/>
      <c r="W139" s="8"/>
      <c r="X139" s="62"/>
      <c r="Y139" s="182"/>
      <c r="Z139" s="8"/>
      <c r="AA139" s="8"/>
      <c r="AB139" s="11"/>
      <c r="AC139" s="182"/>
      <c r="AD139" s="8"/>
      <c r="AE139" s="8"/>
      <c r="AF139" s="8"/>
      <c r="AG139" s="181"/>
      <c r="AH139" s="78"/>
      <c r="AI139" s="123"/>
      <c r="AJ139" s="235"/>
      <c r="AK139" s="172" t="str">
        <f>IFERROR(IF(AK138="","",VLOOKUP(AK138,LISTAS!$F$5:$G$1004,2,0)),"0")</f>
        <v/>
      </c>
      <c r="AL139" s="11"/>
      <c r="AP139" s="13" t="str">
        <f>IF(AR139&lt;&gt;"",1+COUNTIF(AP136:AP138,"1")+COUNTIF(AP136:AP138,"2")+COUNTIF(AP136:AP138,"3"),"")</f>
        <v/>
      </c>
      <c r="AQ139" s="14" t="str">
        <f t="shared" si="6"/>
        <v/>
      </c>
      <c r="AR139" s="21" t="str">
        <f>IF(AR137&lt;&gt;"",IF(O163=AR137,O165,IF(O165=AR137,O163,IF(Y163=AR137,Y165,IF(Y165=AR137,Y163)))),"")</f>
        <v/>
      </c>
      <c r="AS139" s="15" t="str">
        <f>IFERROR(IF(AR139="","",VLOOKUP(AR139,LISTAS!$F$5:$G$1004,2,0)),"0")</f>
        <v/>
      </c>
      <c r="AT139" s="15" t="str">
        <f t="shared" si="7"/>
        <v/>
      </c>
      <c r="AU139" s="15" t="str">
        <f t="shared" si="8"/>
        <v/>
      </c>
    </row>
    <row r="140" spans="2:48" ht="18" customHeight="1" x14ac:dyDescent="0.25">
      <c r="B140" s="16"/>
      <c r="C140" s="166"/>
      <c r="D140" s="11"/>
      <c r="E140" s="11"/>
      <c r="F140" s="17"/>
      <c r="G140" s="171" t="str">
        <f>IF(D136&lt;&gt;"",IF(D138&lt;&gt;"",IF(D136=D138,"",IF(D136&gt;D138,C136,C138)),""),"")</f>
        <v/>
      </c>
      <c r="H140" s="234">
        <v>0</v>
      </c>
      <c r="I140" s="51">
        <f>IF(H140&lt;&gt;"",H140,"")</f>
        <v>0</v>
      </c>
      <c r="J140" s="51" t="str">
        <f>IF(H140&lt;&gt;"",IF(G140="","",G140),"")</f>
        <v/>
      </c>
      <c r="K140" s="176">
        <f>IF(I140&lt;&gt;"",IF(I142&lt;&gt;"",SMALL(I140:J142,1),""),"")</f>
        <v>0</v>
      </c>
      <c r="L140" s="51"/>
      <c r="M140" s="11"/>
      <c r="N140" s="11"/>
      <c r="O140" s="166"/>
      <c r="P140" s="11"/>
      <c r="Q140" s="8"/>
      <c r="R140" s="182"/>
      <c r="S140" s="8"/>
      <c r="T140" s="8"/>
      <c r="U140" s="8"/>
      <c r="V140" s="182"/>
      <c r="W140" s="8"/>
      <c r="X140" s="62"/>
      <c r="Y140" s="182"/>
      <c r="Z140" s="8"/>
      <c r="AA140" s="8"/>
      <c r="AB140" s="11"/>
      <c r="AC140" s="182"/>
      <c r="AD140" s="8"/>
      <c r="AE140" s="67"/>
      <c r="AF140" s="234">
        <v>0</v>
      </c>
      <c r="AG140" s="171" t="str">
        <f>IF(AJ136&lt;&gt;"",IF(AJ138&lt;&gt;"",IF(AJ136=AJ138,"",IF(AJ136&gt;AJ138,AK136,AK138)),""),"")</f>
        <v/>
      </c>
      <c r="AH140" s="65"/>
      <c r="AI140" s="8"/>
      <c r="AJ140" s="11"/>
      <c r="AK140" s="166"/>
      <c r="AL140" s="11"/>
      <c r="AP140" s="13" t="str">
        <f>IF(AR140&lt;&gt;"",1+COUNTIF(AP136:AP139,"1")+COUNTIF(AP136:AP139,"2")+COUNTIF(AP136:AP139,"3")+COUNTIF(AP136:AP139,"4"),"")</f>
        <v/>
      </c>
      <c r="AQ140" s="14" t="str">
        <f t="shared" si="6"/>
        <v/>
      </c>
      <c r="AR140" s="21" t="str">
        <f>IF(AR136&lt;&gt;"",IF(K148=AR136,K150,IF(K150=AR136,K148,IF(K178=AR136,K180,IF(K180=AR136,K178,IF(AC148=AR136,AC150,IF(AC150=AR136,AC148,IF(AC178=AR136,AC180,IF(AC180=AR136,AC178)))))))),"")</f>
        <v/>
      </c>
      <c r="AS140" s="15" t="str">
        <f>IFERROR(IF(AR140="","",VLOOKUP(AR140,LISTAS!$F$5:$G$1004,2,0)),"0")</f>
        <v/>
      </c>
      <c r="AT140" s="15" t="str">
        <f t="shared" si="7"/>
        <v/>
      </c>
      <c r="AU140" s="15" t="str">
        <f t="shared" si="8"/>
        <v/>
      </c>
    </row>
    <row r="141" spans="2:48" ht="18" customHeight="1" thickBot="1" x14ac:dyDescent="0.3">
      <c r="B141" s="16"/>
      <c r="C141" s="166"/>
      <c r="D141" s="11"/>
      <c r="E141" s="11"/>
      <c r="F141" s="17"/>
      <c r="G141" s="172" t="str">
        <f>IFERROR(IF(G140="","",VLOOKUP(G140,LISTAS!$F$5:$G$1004,2,0)),"0")</f>
        <v/>
      </c>
      <c r="H141" s="235"/>
      <c r="I141" s="51"/>
      <c r="J141" s="51"/>
      <c r="K141" s="176"/>
      <c r="L141" s="51"/>
      <c r="M141" s="11"/>
      <c r="N141" s="11"/>
      <c r="O141" s="166"/>
      <c r="P141" s="11"/>
      <c r="Q141" s="8"/>
      <c r="R141" s="182"/>
      <c r="S141" s="8"/>
      <c r="T141" s="8"/>
      <c r="U141" s="8"/>
      <c r="V141" s="182"/>
      <c r="W141" s="8"/>
      <c r="X141" s="62"/>
      <c r="Y141" s="182"/>
      <c r="Z141" s="8"/>
      <c r="AA141" s="8"/>
      <c r="AB141" s="11"/>
      <c r="AC141" s="182"/>
      <c r="AD141" s="8"/>
      <c r="AE141" s="67"/>
      <c r="AF141" s="235"/>
      <c r="AG141" s="172" t="str">
        <f>IFERROR(IF(AG140="","",VLOOKUP(AG140,LISTAS!$F$5:$G$1004,2,0)),"0")</f>
        <v/>
      </c>
      <c r="AH141" s="65"/>
      <c r="AI141" s="8"/>
      <c r="AJ141" s="11"/>
      <c r="AK141" s="166"/>
      <c r="AL141" s="11"/>
      <c r="AP141" s="13" t="str">
        <f>IF(AR141&lt;&gt;"",1+COUNTIF(AP136:AP140,"1")+COUNTIF(AP136:AP140,"2")+COUNTIF(AP136:AP140,"3")+COUNTIF(AP136:AP140,"4")+COUNTIF(AP136:AP140,"5"),"")</f>
        <v/>
      </c>
      <c r="AQ141" s="14" t="str">
        <f t="shared" si="6"/>
        <v/>
      </c>
      <c r="AR141" s="21" t="str">
        <f>IF(AR137&lt;&gt;"",IF(K148=AR137,K150,IF(K150=AR137,K148,IF(K178=AR137,K180,IF(K180=AR137,K178,IF(AC148=AR137,AC150,IF(AC150=AR137,AC148,IF(AC178=AR137,AC180,IF(AC180=AR137,AC178)))))))),"")</f>
        <v/>
      </c>
      <c r="AS141" s="15" t="str">
        <f>IFERROR(IF(AR141="","",VLOOKUP(AR141,LISTAS!$F$5:$G$1004,2,0)),"0")</f>
        <v/>
      </c>
      <c r="AT141" s="15" t="str">
        <f t="shared" si="7"/>
        <v/>
      </c>
      <c r="AU141" s="15" t="str">
        <f t="shared" si="8"/>
        <v/>
      </c>
    </row>
    <row r="142" spans="2:48" ht="18" customHeight="1" x14ac:dyDescent="0.25">
      <c r="B142" s="16"/>
      <c r="C142" s="166"/>
      <c r="D142" s="11"/>
      <c r="E142" s="18"/>
      <c r="F142" s="19"/>
      <c r="G142" s="171" t="str">
        <f>IF(D144&lt;&gt;"",IF(D146&lt;&gt;"",IF(D144=D146,"",IF(D144&gt;D146,C144,C146)),""),"")</f>
        <v/>
      </c>
      <c r="H142" s="234">
        <v>0</v>
      </c>
      <c r="I142" s="52">
        <f>IF(H142&lt;&gt;"",H142,"")</f>
        <v>0</v>
      </c>
      <c r="J142" s="51" t="str">
        <f>IF(H142&lt;&gt;"",IF(G142="","",G142),"")</f>
        <v/>
      </c>
      <c r="K142" s="176" t="str">
        <f>VLOOKUP(K140,I140:J142,2,0)</f>
        <v/>
      </c>
      <c r="L142" s="51"/>
      <c r="M142" s="11"/>
      <c r="N142" s="11"/>
      <c r="O142" s="166"/>
      <c r="P142" s="11"/>
      <c r="Q142" s="8"/>
      <c r="R142" s="182"/>
      <c r="S142" s="8"/>
      <c r="T142" s="8"/>
      <c r="U142" s="8"/>
      <c r="V142" s="182"/>
      <c r="W142" s="8"/>
      <c r="X142" s="62"/>
      <c r="Y142" s="182"/>
      <c r="Z142" s="8"/>
      <c r="AA142" s="8"/>
      <c r="AB142" s="11"/>
      <c r="AC142" s="182"/>
      <c r="AD142" s="65"/>
      <c r="AE142" s="68"/>
      <c r="AF142" s="234">
        <v>0</v>
      </c>
      <c r="AG142" s="171" t="str">
        <f>IF(AJ144&lt;&gt;"",IF(AJ146&lt;&gt;"",IF(AJ144=AJ146,"",IF(AJ144&gt;AJ146,AK144,AK146)),""),"")</f>
        <v/>
      </c>
      <c r="AH142" s="66"/>
      <c r="AI142" s="8"/>
      <c r="AJ142" s="11"/>
      <c r="AK142" s="166"/>
      <c r="AL142" s="11"/>
      <c r="AN142" s="2"/>
      <c r="AO142" s="2"/>
      <c r="AP142" s="13" t="str">
        <f>IF(AR142&lt;&gt;"",1+COUNTIF(AP136:AP141,"1")+COUNTIF(AP136:AP141,"2")+COUNTIF(AP136:AP141,"3")+COUNTIF(AP136:AP141,"4")+COUNTIF(AP136:AP141,"5")+COUNTIF(AP136:AP141,"6"),"")</f>
        <v/>
      </c>
      <c r="AQ142" s="14" t="str">
        <f t="shared" si="6"/>
        <v/>
      </c>
      <c r="AR142" s="21" t="str">
        <f>IF(AR138&lt;&gt;"",IF(K148=AR138,K150,IF(K150=AR138,K148,IF(K178=AR138,K180,IF(K180=AR138,K178,IF(AC148=AR138,AC150,IF(AC150=AR138,AC148,IF(AC178=AR138,AC180,IF(AC180=AR138,AC178)))))))),"")</f>
        <v/>
      </c>
      <c r="AS142" s="15" t="str">
        <f>IFERROR(IF(AR142="","",VLOOKUP(AR142,LISTAS!$F$5:$G$1004,2,0)),"0")</f>
        <v/>
      </c>
      <c r="AT142" s="15" t="str">
        <f t="shared" si="7"/>
        <v/>
      </c>
      <c r="AU142" s="15" t="str">
        <f t="shared" si="8"/>
        <v/>
      </c>
      <c r="AV142" s="2"/>
    </row>
    <row r="143" spans="2:48" ht="18" customHeight="1" thickBot="1" x14ac:dyDescent="0.3">
      <c r="B143" s="16"/>
      <c r="C143" s="166"/>
      <c r="D143" s="11"/>
      <c r="E143" s="18"/>
      <c r="F143" s="11"/>
      <c r="G143" s="172" t="str">
        <f>IFERROR(IF(G142="","",VLOOKUP(G142,LISTAS!$F$5:$G$1004,2,0)),"0")</f>
        <v/>
      </c>
      <c r="H143" s="235"/>
      <c r="I143" s="54"/>
      <c r="J143" s="51"/>
      <c r="K143" s="176"/>
      <c r="L143" s="51"/>
      <c r="M143" s="11"/>
      <c r="N143" s="11"/>
      <c r="O143" s="166"/>
      <c r="P143" s="11"/>
      <c r="Q143" s="8"/>
      <c r="R143" s="182"/>
      <c r="S143" s="8"/>
      <c r="T143" s="8"/>
      <c r="U143" s="8"/>
      <c r="V143" s="182"/>
      <c r="W143" s="8"/>
      <c r="X143" s="62"/>
      <c r="Y143" s="182"/>
      <c r="Z143" s="8"/>
      <c r="AA143" s="8"/>
      <c r="AB143" s="11"/>
      <c r="AC143" s="182"/>
      <c r="AD143" s="65"/>
      <c r="AE143" s="8"/>
      <c r="AF143" s="235"/>
      <c r="AG143" s="172" t="str">
        <f>IFERROR(IF(AG142="","",VLOOKUP(AG142,LISTAS!$F$5:$G$1004,2,0)),"0")</f>
        <v/>
      </c>
      <c r="AH143" s="8"/>
      <c r="AI143" s="69"/>
      <c r="AJ143" s="11"/>
      <c r="AK143" s="166"/>
      <c r="AL143" s="11"/>
      <c r="AM143" s="2"/>
      <c r="AN143" s="2"/>
      <c r="AO143" s="2"/>
      <c r="AP143" s="13" t="str">
        <f>IF(AR143&lt;&gt;"",1+COUNTIF(AP136:AP142,"1")+COUNTIF(AP136:AP142,"2")+COUNTIF(AP136:AP142,"3")+COUNTIF(AP136:AP142,"4")+COUNTIF(AP136:AP142,"5")+COUNTIF(AP136:AP142,"6")+COUNTIF(AP136:AP142,"7"),"")</f>
        <v/>
      </c>
      <c r="AQ143" s="14" t="str">
        <f t="shared" si="6"/>
        <v/>
      </c>
      <c r="AR143" s="21" t="str">
        <f>IF(AR139&lt;&gt;"",IF(K148=AR139,K150,IF(K150=AR139,K148,IF(K178=AR139,K180,IF(K180=AR139,K178,IF(AC148=AR139,AC150,IF(AC150=AR139,AC148,IF(AC178=AR139,AC180,IF(AC180=AR139,AC178)))))))),"")</f>
        <v/>
      </c>
      <c r="AS143" s="15" t="str">
        <f>IFERROR(IF(AR143="","",VLOOKUP(AR143,LISTAS!$F$5:$G$1004,2,0)),"0")</f>
        <v/>
      </c>
      <c r="AT143" s="15" t="str">
        <f t="shared" si="7"/>
        <v/>
      </c>
      <c r="AU143" s="15" t="str">
        <f t="shared" si="8"/>
        <v/>
      </c>
      <c r="AV143" s="2"/>
    </row>
    <row r="144" spans="2:48" ht="18" customHeight="1" x14ac:dyDescent="0.25">
      <c r="B144" s="16">
        <v>17</v>
      </c>
      <c r="C144" s="171" t="str">
        <f>IF('09F GRP'!G5&gt;=3,'09F GRP'!J231,IF('09F GRP'!G5=2,"",IF('09F GRP'!G5=1,"","")))</f>
        <v/>
      </c>
      <c r="D144" s="234">
        <v>0</v>
      </c>
      <c r="E144" s="56">
        <f>IF(D144&lt;&gt;"",D144,"")</f>
        <v>0</v>
      </c>
      <c r="F144" s="51" t="str">
        <f>IF(D144&lt;&gt;"",IF(C144="","",C144),"")</f>
        <v/>
      </c>
      <c r="G144" s="176">
        <f>IF(E144&lt;&gt;"",IF(E146&lt;&gt;"",SMALL(E144:E146,1),""),"")</f>
        <v>0</v>
      </c>
      <c r="H144" s="51"/>
      <c r="I144" s="18"/>
      <c r="J144" s="11"/>
      <c r="K144" s="166"/>
      <c r="L144" s="11"/>
      <c r="M144" s="11"/>
      <c r="N144" s="11"/>
      <c r="O144" s="166"/>
      <c r="P144" s="11"/>
      <c r="Q144" s="8"/>
      <c r="R144" s="182"/>
      <c r="S144" s="8"/>
      <c r="T144" s="8"/>
      <c r="U144" s="8"/>
      <c r="V144" s="182"/>
      <c r="W144" s="8"/>
      <c r="X144" s="62"/>
      <c r="Y144" s="182"/>
      <c r="Z144" s="8"/>
      <c r="AA144" s="8"/>
      <c r="AB144" s="11"/>
      <c r="AC144" s="182"/>
      <c r="AD144" s="65"/>
      <c r="AE144" s="8"/>
      <c r="AF144" s="8"/>
      <c r="AG144" s="181">
        <f>IF(AJ144&lt;&gt;"",AJ144,"")</f>
        <v>0</v>
      </c>
      <c r="AH144" s="78" t="str">
        <f>IF(AJ144&lt;&gt;"",IF(AK144="","",AK144),"")</f>
        <v/>
      </c>
      <c r="AI144" s="53">
        <f>IF(AG144&lt;&gt;"",IF(AG146&lt;&gt;"",SMALL(AG144:AG146,1),""),"")</f>
        <v>0</v>
      </c>
      <c r="AJ144" s="234">
        <v>0</v>
      </c>
      <c r="AK144" s="171" t="str">
        <f>IF('09F GRP'!G5&gt;=3,'09F GRP'!J192,IF('09F GRP'!G5=2,"",IF('09F GRP'!G5=1,"","")))</f>
        <v/>
      </c>
      <c r="AL144" s="11">
        <v>14</v>
      </c>
      <c r="AM144" s="2"/>
      <c r="AP144" s="13" t="str">
        <f>IF(AR144&lt;&gt;"",1+COUNTIF(AP136:AP143,"1")+COUNTIF(AP136:AP143,"2")+COUNTIF(AP136:AP143,"3")+COUNTIF(AP136:AP143,"4")+COUNTIF(AP136:AP143,"5")+COUNTIF(AP136:AP143,"6")+COUNTIF(AP136:AP143,"7")+COUNTIF(AP136:AP143,"8"),"")</f>
        <v/>
      </c>
      <c r="AQ144" s="14" t="str">
        <f t="shared" si="6"/>
        <v/>
      </c>
      <c r="AR144" s="21" t="str">
        <f>IF(AR136&lt;&gt;"",IF(G140=AR136,G142,IF(G142=AR136,G140,IF(G156=AR136,G158,IF(G158=AR136,G156,IF(AG140=AR136,AG142,IF(AG142=AR136,AG140,IF(AG156=AR136,AG158,IF(AG158=AR136,AG156,IF(G170=AR136,G172,IF(G172=AR136,G170,IF(G186=AR136,G188,IF(G188=AR136,G186,IF(AG170=AR136,AG172,IF(AG172=AR136,AG170,IF(AG186=AR136,AG188,IF(AG188=AR136,AG186)))))))))))))))),"")</f>
        <v/>
      </c>
      <c r="AS144" s="15" t="str">
        <f>IFERROR(IF(AR144="","",VLOOKUP(AR144,LISTAS!$F$5:$G$1004,2,0)),"0")</f>
        <v/>
      </c>
      <c r="AT144" s="15" t="str">
        <f t="shared" si="7"/>
        <v/>
      </c>
      <c r="AU144" s="15" t="str">
        <f t="shared" si="8"/>
        <v/>
      </c>
    </row>
    <row r="145" spans="2:47" ht="18" customHeight="1" thickBot="1" x14ac:dyDescent="0.3">
      <c r="B145" s="16"/>
      <c r="C145" s="172" t="str">
        <f>IFERROR(IF(C144="","",VLOOKUP(C144,LISTAS!$F$5:$G$1004,2,0)),"0")</f>
        <v/>
      </c>
      <c r="D145" s="235"/>
      <c r="E145" s="57"/>
      <c r="F145" s="51"/>
      <c r="G145" s="176"/>
      <c r="H145" s="51"/>
      <c r="I145" s="18"/>
      <c r="J145" s="11"/>
      <c r="K145" s="166"/>
      <c r="L145" s="11"/>
      <c r="M145" s="11"/>
      <c r="N145" s="11"/>
      <c r="O145" s="166"/>
      <c r="P145" s="11"/>
      <c r="Q145" s="8"/>
      <c r="R145" s="182"/>
      <c r="S145" s="8"/>
      <c r="T145" s="8"/>
      <c r="U145" s="8"/>
      <c r="V145" s="182"/>
      <c r="W145" s="8"/>
      <c r="X145" s="62"/>
      <c r="Y145" s="182"/>
      <c r="Z145" s="8"/>
      <c r="AA145" s="8"/>
      <c r="AB145" s="11"/>
      <c r="AC145" s="182"/>
      <c r="AD145" s="65"/>
      <c r="AE145" s="8"/>
      <c r="AF145" s="8"/>
      <c r="AG145" s="181"/>
      <c r="AH145" s="78"/>
      <c r="AI145" s="124"/>
      <c r="AJ145" s="235"/>
      <c r="AK145" s="172" t="str">
        <f>IFERROR(IF(AK144="","",VLOOKUP(AK144,LISTAS!$F$5:$G$1004,2,0)),"0")</f>
        <v/>
      </c>
      <c r="AL145" s="11"/>
      <c r="AP145" s="13" t="str">
        <f>IF(AR145&lt;&gt;"",1+COUNTIF(AP136:AP144,"1")+COUNTIF(AP136:AP144,"2")+COUNTIF(AP136:AP144,"3")+COUNTIF(AP136:AP144,"4")+COUNTIF(AP136:AP144,"5")+COUNTIF(AP136:AP144,"6")+COUNTIF(AP136:AP144,"7")+COUNTIF(AP136:AP144,"8")+COUNTIF(AP136:AP144,"9"),"")</f>
        <v/>
      </c>
      <c r="AQ145" s="14" t="str">
        <f t="shared" si="6"/>
        <v/>
      </c>
      <c r="AR145" s="21" t="str">
        <f>IF(AR137&lt;&gt;"",IF(G140=AR137,G142,IF(G142=AR137,G140,IF(G156=AR137,G158,IF(G158=AR137,G156,IF(AG140=AR137,AG142,IF(AG142=AR137,AG140,IF(AG156=AR137,AG158,IF(AG158=AR137,AG156,IF(G170=AR137,G172,IF(G172=AR137,G170,IF(G186=AR137,G188,IF(G188=AR137,G186,IF(AG170=AR137,AG172,IF(AG172=AR137,AG170,IF(AG186=AR137,AG188,IF(AG188=AR137,AG186)))))))))))))))),"")</f>
        <v/>
      </c>
      <c r="AS145" s="15" t="str">
        <f>IFERROR(IF(AR145="","",VLOOKUP(AR145,LISTAS!$F$5:$G$1004,2,0)),"0")</f>
        <v/>
      </c>
      <c r="AT145" s="15" t="str">
        <f t="shared" si="7"/>
        <v/>
      </c>
      <c r="AU145" s="15" t="str">
        <f t="shared" si="8"/>
        <v/>
      </c>
    </row>
    <row r="146" spans="2:47" ht="18" customHeight="1" x14ac:dyDescent="0.25">
      <c r="B146" s="16">
        <v>16</v>
      </c>
      <c r="C146" s="171" t="str">
        <f>IF('09F GRP'!G5&gt;=3,'09F GRP'!J218,IF('09F GRP'!G5=2,"",IF('09F GRP'!G5=1,"","")))</f>
        <v/>
      </c>
      <c r="D146" s="234">
        <v>0</v>
      </c>
      <c r="E146" s="57">
        <f>IF(D146&lt;&gt;"",D146,"")</f>
        <v>0</v>
      </c>
      <c r="F146" s="51" t="str">
        <f>IF(D146&lt;&gt;"",IF(C146="","",C146),"")</f>
        <v/>
      </c>
      <c r="G146" s="176" t="str">
        <f>VLOOKUP(G144,E144:F146,2,0)</f>
        <v/>
      </c>
      <c r="H146" s="51"/>
      <c r="I146" s="18"/>
      <c r="J146" s="11"/>
      <c r="K146" s="166"/>
      <c r="L146" s="11"/>
      <c r="M146" s="11"/>
      <c r="N146" s="11"/>
      <c r="O146" s="166"/>
      <c r="P146" s="11"/>
      <c r="Q146" s="8"/>
      <c r="R146" s="182"/>
      <c r="S146" s="8"/>
      <c r="T146" s="8"/>
      <c r="U146" s="8"/>
      <c r="V146" s="182"/>
      <c r="W146" s="8"/>
      <c r="X146" s="62"/>
      <c r="Y146" s="182"/>
      <c r="Z146" s="8"/>
      <c r="AA146" s="8"/>
      <c r="AB146" s="11"/>
      <c r="AC146" s="182"/>
      <c r="AD146" s="65"/>
      <c r="AE146" s="8"/>
      <c r="AF146" s="8"/>
      <c r="AG146" s="181">
        <f>IF(AJ146&lt;&gt;"",AJ146,"")</f>
        <v>0</v>
      </c>
      <c r="AH146" s="78" t="str">
        <f>IF(AJ146&lt;&gt;"",IF(AK146="","",AK146),"")</f>
        <v/>
      </c>
      <c r="AI146" s="76" t="str">
        <f>VLOOKUP(AI144,AG144:AH146,2,0)</f>
        <v/>
      </c>
      <c r="AJ146" s="234">
        <v>0</v>
      </c>
      <c r="AK146" s="171" t="str">
        <f>IF('09F GRP'!G5&gt;=3,'09F GRP'!J257,IF('09F GRP'!G5=2,"",IF('09F GRP'!G5=1,"","")))</f>
        <v/>
      </c>
      <c r="AL146" s="11">
        <v>19</v>
      </c>
      <c r="AP146" s="13" t="str">
        <f>IF(AR146&lt;&gt;"",1+COUNTIF(AP136:AP145,"1")+COUNTIF(AP136:AP145,"2")+COUNTIF(AP136:AP145,"3")+COUNTIF(AP136:AP145,"4")+COUNTIF(AP136:AP145,"5")+COUNTIF(AP136:AP145,"6")+COUNTIF(AP136:AP145,"7")+COUNTIF(AP136:AP145,"8")+COUNTIF(AP136:AP145,"9")+COUNTIF(AP136:AP145,"10"),"")</f>
        <v/>
      </c>
      <c r="AQ146" s="14" t="str">
        <f t="shared" si="6"/>
        <v/>
      </c>
      <c r="AR146" s="21" t="str">
        <f>IF(AR138&lt;&gt;"",IF(G140=AR138,G142,IF(G142=AR138,G140,IF(G156=AR138,G158,IF(G158=AR138,G156,IF(AG140=AR138,AG142,IF(AG142=AR138,AG140,IF(AG156=AR138,AG158,IF(AG158=AR138,AG156,IF(G170=AR138,G172,IF(G172=AR138,G170,IF(G186=AR138,G188,IF(G188=AR138,G186,IF(AG170=AR138,AG172,IF(AG172=AR138,AG170,IF(AG186=AR138,AG188,IF(AG188=AR138,AG186)))))))))))))))),"")</f>
        <v/>
      </c>
      <c r="AS146" s="15" t="str">
        <f>IFERROR(IF(AR146="","",VLOOKUP(AR146,LISTAS!$F$5:$G$1004,2,0)),"0")</f>
        <v/>
      </c>
      <c r="AT146" s="15" t="str">
        <f t="shared" si="7"/>
        <v/>
      </c>
      <c r="AU146" s="15" t="str">
        <f t="shared" si="8"/>
        <v/>
      </c>
    </row>
    <row r="147" spans="2:47" ht="18" customHeight="1" thickBot="1" x14ac:dyDescent="0.3">
      <c r="B147" s="16"/>
      <c r="C147" s="172" t="str">
        <f>IFERROR(IF(C146="","",VLOOKUP(C146,LISTAS!$F$5:$G$1004,2,0)),"0")</f>
        <v/>
      </c>
      <c r="D147" s="235"/>
      <c r="E147" s="51"/>
      <c r="F147" s="51"/>
      <c r="G147" s="176"/>
      <c r="H147" s="51"/>
      <c r="I147" s="18"/>
      <c r="J147" s="11"/>
      <c r="K147" s="166"/>
      <c r="L147" s="11"/>
      <c r="M147" s="51"/>
      <c r="N147" s="51"/>
      <c r="O147" s="176"/>
      <c r="P147" s="11"/>
      <c r="Q147" s="8"/>
      <c r="R147" s="182"/>
      <c r="S147" s="8"/>
      <c r="T147" s="8"/>
      <c r="U147" s="8"/>
      <c r="V147" s="182"/>
      <c r="W147" s="8"/>
      <c r="X147" s="62"/>
      <c r="Y147" s="182"/>
      <c r="Z147" s="8"/>
      <c r="AA147" s="8"/>
      <c r="AB147" s="11"/>
      <c r="AC147" s="182"/>
      <c r="AD147" s="65"/>
      <c r="AE147" s="8"/>
      <c r="AF147" s="8"/>
      <c r="AG147" s="181"/>
      <c r="AH147" s="78"/>
      <c r="AI147" s="51"/>
      <c r="AJ147" s="235"/>
      <c r="AK147" s="172" t="str">
        <f>IFERROR(IF(AK146="","",VLOOKUP(AK146,LISTAS!$F$5:$G$1004,2,0)),"0")</f>
        <v/>
      </c>
      <c r="AL147" s="11"/>
      <c r="AP147" s="13" t="str">
        <f>IF(AR147&lt;&gt;"",1+COUNTIF(AP136:AP146,"1")+COUNTIF(AP136:AP146,"2")+COUNTIF(AP136:AP146,"3")+COUNTIF(AP136:AP146,"4")+COUNTIF(AP136:AP146,"5")+COUNTIF(AP136:AP146,"6")+COUNTIF(AP136:AP146,"7")+COUNTIF(AP136:AP146,"8")+COUNTIF(AP136:AP146,"9")+COUNTIF(AP136:AP146,"10")+COUNTIF(AP136:AP146,"11"),"")</f>
        <v/>
      </c>
      <c r="AQ147" s="14" t="str">
        <f t="shared" si="6"/>
        <v/>
      </c>
      <c r="AR147" s="21" t="str">
        <f>IF(AR139&lt;&gt;"",IF(G140=AR139,G142,IF(G142=AR139,G140,IF(G156=AR139,G158,IF(G158=AR139,G156,IF(AG140=AR139,AG142,IF(AG142=AR139,AG140,IF(AG156=AR139,AG158,IF(AG158=AR139,AG156,IF(G170=AR139,G172,IF(G172=AR139,G170,IF(G186=AR139,G188,IF(G188=AR139,G186,IF(AG170=AR139,AG172,IF(AG172=AR139,AG170,IF(AG186=AR139,AG188,IF(AG188=AR139,AG186)))))))))))))))),"")</f>
        <v/>
      </c>
      <c r="AS147" s="15" t="str">
        <f>IFERROR(IF(AR147="","",VLOOKUP(AR147,LISTAS!$F$5:$G$1004,2,0)),"0")</f>
        <v/>
      </c>
      <c r="AT147" s="15" t="str">
        <f t="shared" si="7"/>
        <v/>
      </c>
      <c r="AU147" s="15" t="str">
        <f t="shared" si="8"/>
        <v/>
      </c>
    </row>
    <row r="148" spans="2:47" ht="18" customHeight="1" x14ac:dyDescent="0.25">
      <c r="B148" s="16"/>
      <c r="C148" s="166"/>
      <c r="D148" s="11"/>
      <c r="E148" s="11"/>
      <c r="F148" s="11"/>
      <c r="G148" s="166"/>
      <c r="H148" s="11"/>
      <c r="I148" s="18"/>
      <c r="J148" s="11"/>
      <c r="K148" s="171" t="str">
        <f>IF(H140&lt;&gt;"",IF(H142&lt;&gt;"",IF(H140=H142,"",IF(H140&gt;H142,G140,G142)),""),"")</f>
        <v/>
      </c>
      <c r="L148" s="234">
        <v>0</v>
      </c>
      <c r="M148" s="51">
        <f>IF(L148&lt;&gt;"",L148,"")</f>
        <v>0</v>
      </c>
      <c r="N148" s="51" t="str">
        <f>IF(L148&lt;&gt;"",IF(K148="","",K148),"")</f>
        <v/>
      </c>
      <c r="O148" s="176">
        <f>IF(M148&lt;&gt;"",IF(M150&lt;&gt;"",SMALL(M148:N150,1),""),"")</f>
        <v>0</v>
      </c>
      <c r="P148" s="11"/>
      <c r="Q148" s="8"/>
      <c r="R148" s="238" t="s">
        <v>22</v>
      </c>
      <c r="S148" s="239"/>
      <c r="T148" s="239"/>
      <c r="U148" s="239"/>
      <c r="V148" s="239"/>
      <c r="W148" s="8"/>
      <c r="X148" s="62"/>
      <c r="Y148" s="182"/>
      <c r="Z148" s="8"/>
      <c r="AA148" s="8"/>
      <c r="AB148" s="234">
        <v>0</v>
      </c>
      <c r="AC148" s="171" t="str">
        <f>IF(AF140&lt;&gt;"",IF(AF142&lt;&gt;"",IF(AF140=AF142,"",IF(AF140&gt;AF142,AG140,AG142)),""),"")</f>
        <v/>
      </c>
      <c r="AD148" s="112"/>
      <c r="AE148" s="8"/>
      <c r="AF148" s="8"/>
      <c r="AG148" s="182"/>
      <c r="AH148" s="8"/>
      <c r="AI148" s="8"/>
      <c r="AJ148" s="11"/>
      <c r="AK148" s="166"/>
      <c r="AL148" s="11"/>
      <c r="AP148" s="13" t="str">
        <f>IF(AR148&lt;&gt;"",1+COUNTIF(AP136:AP147,"1")+COUNTIF(AP136:AP147,"2")+COUNTIF(AP136:AP147,"3")+COUNTIF(AP136:AP147,"4")+COUNTIF(AP136:AP147,"5")+COUNTIF(AP136:AP147,"6")+COUNTIF(AP136:AP147,"7")+COUNTIF(AP136:AP147,"8")+COUNTIF(AP136:AP147,"9")+COUNTIF(AP136:AP147,"10")+COUNTIF(AP136:AP147,"11")+COUNTIF(AP136:AP147,"12"),"")</f>
        <v/>
      </c>
      <c r="AQ148" s="14" t="str">
        <f t="shared" si="6"/>
        <v/>
      </c>
      <c r="AR148" s="21" t="str">
        <f>IF(AR140&lt;&gt;"",IF(G140=AR140,G142,IF(G142=AR140,G140,IF(G156=AR140,G158,IF(G158=AR140,G156,IF(AG140=AR140,AG142,IF(AG142=AR140,AG140,IF(AG156=AR140,AG158,IF(AG158=AR140,AG156,IF(G170=AR140,G172,IF(G172=AR140,G170,IF(G186=AR140,G188,IF(G188=AR140,G186,IF(AG170=AR140,AG172,IF(AG172=AR140,AG170,IF(AG186=AR140,AG188,IF(AG188=AR140,AG186)))))))))))))))),"")</f>
        <v/>
      </c>
      <c r="AS148" s="15" t="str">
        <f>IFERROR(IF(AR148="","",VLOOKUP(AR148,LISTAS!$F$5:$G$1004,2,0)),"0")</f>
        <v/>
      </c>
      <c r="AT148" s="15" t="str">
        <f t="shared" si="7"/>
        <v/>
      </c>
      <c r="AU148" s="15" t="str">
        <f t="shared" si="8"/>
        <v/>
      </c>
    </row>
    <row r="149" spans="2:47" ht="18" customHeight="1" thickBot="1" x14ac:dyDescent="0.3">
      <c r="B149" s="16"/>
      <c r="C149" s="166"/>
      <c r="D149" s="11"/>
      <c r="E149" s="11"/>
      <c r="F149" s="11"/>
      <c r="G149" s="166"/>
      <c r="H149" s="11"/>
      <c r="I149" s="18"/>
      <c r="J149" s="11"/>
      <c r="K149" s="172" t="str">
        <f>IFERROR(IF(K148="","",VLOOKUP(K148,LISTAS!$F$5:$G$1004,2,0)),"0")</f>
        <v/>
      </c>
      <c r="L149" s="235"/>
      <c r="M149" s="51"/>
      <c r="N149" s="51"/>
      <c r="O149" s="176"/>
      <c r="P149" s="11"/>
      <c r="Q149" s="8"/>
      <c r="R149" s="202"/>
      <c r="S149" s="202"/>
      <c r="T149" s="202" t="s">
        <v>19</v>
      </c>
      <c r="U149" s="202"/>
      <c r="V149" s="202"/>
      <c r="W149" s="8"/>
      <c r="X149" s="62"/>
      <c r="Y149" s="182"/>
      <c r="Z149" s="8"/>
      <c r="AA149" s="8"/>
      <c r="AB149" s="235"/>
      <c r="AC149" s="172" t="str">
        <f>IFERROR(IF(AC148="","",VLOOKUP(AC148,LISTAS!$F$5:$G$1004,2,0)),"0")</f>
        <v/>
      </c>
      <c r="AD149" s="8"/>
      <c r="AE149" s="69"/>
      <c r="AF149" s="8"/>
      <c r="AG149" s="182"/>
      <c r="AH149" s="8"/>
      <c r="AI149" s="8"/>
      <c r="AJ149" s="11"/>
      <c r="AK149" s="166"/>
      <c r="AL149" s="11"/>
      <c r="AP149" s="13" t="str">
        <f>IF(AR149&lt;&gt;"",1+COUNTIF(AP136:AP148,"1")+COUNTIF(AP136:AP148,"2")+COUNTIF(AP136:AP148,"3")+COUNTIF(AP136:AP148,"4")+COUNTIF(AP136:AP148,"5")+COUNTIF(AP136:AP148,"6")+COUNTIF(AP136:AP148,"7")+COUNTIF(AP136:AP148,"8")+COUNTIF(AP136:AP148,"9")+COUNTIF(AP136:AP148,"10")+COUNTIF(AP136:AP148,"11")+COUNTIF(AP136:AP148,"12")+COUNTIF(AP136:AP148,"13"),"")</f>
        <v/>
      </c>
      <c r="AQ149" s="14" t="str">
        <f t="shared" si="6"/>
        <v/>
      </c>
      <c r="AR149" s="21" t="str">
        <f>IF(AR141&lt;&gt;"",IF(G140=AR141,G142,IF(G142=AR141,G140,IF(G156=AR141,G158,IF(G158=AR141,G156,IF(AG140=AR141,AG142,IF(AG142=AR141,AG140,IF(AG156=AR141,AG158,IF(AG158=AR141,AG156,IF(G170=AR141,G172,IF(G172=AR141,G170,IF(G186=AR141,G188,IF(G188=AR141,G186,IF(AG170=AR141,AG172,IF(AG172=AR141,AG170,IF(AG186=AR141,AG188,IF(AG188=AR141,AG186)))))))))))))))),"")</f>
        <v/>
      </c>
      <c r="AS149" s="15" t="str">
        <f>IFERROR(IF(AR149="","",VLOOKUP(AR149,LISTAS!$F$5:$G$1004,2,0)),"0")</f>
        <v/>
      </c>
      <c r="AT149" s="15" t="str">
        <f t="shared" si="7"/>
        <v/>
      </c>
      <c r="AU149" s="15" t="str">
        <f t="shared" si="8"/>
        <v/>
      </c>
    </row>
    <row r="150" spans="2:47" ht="18" customHeight="1" x14ac:dyDescent="0.25">
      <c r="B150" s="16"/>
      <c r="C150" s="166"/>
      <c r="D150" s="11"/>
      <c r="E150" s="11"/>
      <c r="F150" s="11"/>
      <c r="G150" s="166"/>
      <c r="H150" s="11"/>
      <c r="I150" s="18"/>
      <c r="J150" s="19"/>
      <c r="K150" s="171" t="str">
        <f>IF(H156&lt;&gt;"",IF(H158&lt;&gt;"",IF(H156=H158,"",IF(H156&gt;H158,G156,G158)),""),"")</f>
        <v/>
      </c>
      <c r="L150" s="234">
        <v>0</v>
      </c>
      <c r="M150" s="52">
        <f>IF(L150&lt;&gt;"",L150,"")</f>
        <v>0</v>
      </c>
      <c r="N150" s="51" t="str">
        <f>IF(L150&lt;&gt;"",IF(K150="","",K150),"")</f>
        <v/>
      </c>
      <c r="O150" s="176" t="str">
        <f>VLOOKUP(O148,M148:N150,2,0)</f>
        <v/>
      </c>
      <c r="P150" s="11"/>
      <c r="Q150" s="8"/>
      <c r="R150" s="182"/>
      <c r="S150" s="8"/>
      <c r="T150" s="8"/>
      <c r="U150" s="8"/>
      <c r="V150" s="182"/>
      <c r="W150" s="8"/>
      <c r="X150" s="62"/>
      <c r="Y150" s="182"/>
      <c r="Z150" s="65"/>
      <c r="AA150" s="68"/>
      <c r="AB150" s="234">
        <v>0</v>
      </c>
      <c r="AC150" s="171" t="str">
        <f>IF(AF156&lt;&gt;"",IF(AF158&lt;&gt;"",IF(AF156=AF158,"",IF(AF156&gt;AF158,AG156,AG158)),""),"")</f>
        <v/>
      </c>
      <c r="AD150" s="8"/>
      <c r="AE150" s="69"/>
      <c r="AF150" s="8"/>
      <c r="AG150" s="182"/>
      <c r="AH150" s="8"/>
      <c r="AI150" s="8"/>
      <c r="AJ150" s="11"/>
      <c r="AK150" s="166"/>
      <c r="AL150" s="11"/>
      <c r="AP150" s="13" t="str">
        <f>IF(AR150&lt;&gt;"",1+COUNTIF(AP136:AP149,"1")+COUNTIF(AP136:AP149,"2")+COUNTIF(AP136:AP149,"3")+COUNTIF(AP136:AP149,"4")+COUNTIF(AP136:AP149,"5")+COUNTIF(AP136:AP149,"6")+COUNTIF(AP136:AP149,"7")+COUNTIF(AP136:AP149,"8")+COUNTIF(AP136:AP149,"9")+COUNTIF(AP136:AP149,"10")+COUNTIF(AP136:AP149,"11")+COUNTIF(AP136:AP149,"12")+COUNTIF(AP136:AP149,"13")+COUNTIF(AP136:AP149,"14"),"")</f>
        <v/>
      </c>
      <c r="AQ150" s="14" t="str">
        <f t="shared" si="6"/>
        <v/>
      </c>
      <c r="AR150" s="21" t="str">
        <f>IF(AR142&lt;&gt;"",IF(G140=AR142,G142,IF(G142=AR142,G140,IF(G156=AR142,G158,IF(G158=AR142,G156,IF(AG140=AR142,AG142,IF(AG142=AR142,AG140,IF(AG156=AR142,AG158,IF(AG158=AR142,AG156,IF(G170=AR142,G172,IF(G172=AR142,G170,IF(G186=AR142,G188,IF(G188=AR142,G186,IF(AG170=AR142,AG172,IF(AG172=AR142,AG170,IF(AG186=AR142,AG188,IF(AG188=AR142,AG186)))))))))))))))),"")</f>
        <v/>
      </c>
      <c r="AS150" s="15" t="str">
        <f>IFERROR(IF(AR150="","",VLOOKUP(AR150,LISTAS!$F$5:$G$1004,2,0)),"0")</f>
        <v/>
      </c>
      <c r="AT150" s="15" t="str">
        <f t="shared" si="7"/>
        <v/>
      </c>
      <c r="AU150" s="15" t="str">
        <f t="shared" si="8"/>
        <v/>
      </c>
    </row>
    <row r="151" spans="2:47" ht="18" customHeight="1" thickBot="1" x14ac:dyDescent="0.3">
      <c r="B151" s="16"/>
      <c r="C151" s="166"/>
      <c r="D151" s="11"/>
      <c r="E151" s="11"/>
      <c r="F151" s="11"/>
      <c r="G151" s="166"/>
      <c r="H151" s="11"/>
      <c r="I151" s="18"/>
      <c r="J151" s="11"/>
      <c r="K151" s="172" t="str">
        <f>IFERROR(IF(K150="","",VLOOKUP(K150,LISTAS!$F$5:$G$1004,2,0)),"0")</f>
        <v/>
      </c>
      <c r="L151" s="235"/>
      <c r="M151" s="54"/>
      <c r="N151" s="51"/>
      <c r="O151" s="176"/>
      <c r="P151" s="11"/>
      <c r="Q151" s="8"/>
      <c r="R151" s="182"/>
      <c r="S151" s="8"/>
      <c r="T151" s="8"/>
      <c r="U151" s="8"/>
      <c r="V151" s="182"/>
      <c r="W151" s="8"/>
      <c r="X151" s="62"/>
      <c r="Y151" s="182"/>
      <c r="Z151" s="65"/>
      <c r="AA151" s="8"/>
      <c r="AB151" s="235"/>
      <c r="AC151" s="172" t="str">
        <f>IFERROR(IF(AC150="","",VLOOKUP(AC150,LISTAS!$F$5:$G$1004,2,0)),"0")</f>
        <v/>
      </c>
      <c r="AD151" s="8"/>
      <c r="AE151" s="69"/>
      <c r="AF151" s="8"/>
      <c r="AG151" s="181"/>
      <c r="AH151" s="78"/>
      <c r="AI151" s="78"/>
      <c r="AJ151" s="11"/>
      <c r="AK151" s="166"/>
      <c r="AL151" s="11"/>
      <c r="AP151" s="13" t="str">
        <f>IF(AR151&lt;&gt;"",1+COUNTIF(AP136:AP150,"1")+COUNTIF(AP136:AP150,"2")+COUNTIF(AP136:AP150,"3")+COUNTIF(AP136:AP150,"4")+COUNTIF(AP136:AP150,"5")+COUNTIF(AP136:AP150,"6")+COUNTIF(AP136:AP150,"7")+COUNTIF(AP136:AP150,"8")+COUNTIF(AP136:AP150,"9")+COUNTIF(AP136:AP150,"10")+COUNTIF(AP136:AP150,"11")+COUNTIF(AP136:AP150,"12")+COUNTIF(AP136:AP150,"13")+COUNTIF(AP136:AP150,"14")+COUNTIF(AP136:AP150,"15"),"")</f>
        <v/>
      </c>
      <c r="AQ151" s="14" t="str">
        <f t="shared" si="6"/>
        <v/>
      </c>
      <c r="AR151" s="21" t="str">
        <f>IF(AR143&lt;&gt;"",IF(G140=AR143,G142,IF(G142=AR143,G140,IF(G156=AR143,G158,IF(G158=AR143,G156,IF(AG140=AR143,AG142,IF(AG142=AR143,AG140,IF(AG156=AR143,AG158,IF(AG158=AR143,AG156,IF(G170=AR143,G172,IF(G172=AR143,G170,IF(G186=AR143,G188,IF(G188=AR143,G186,IF(AG170=AR143,AG172,IF(AG172=AR143,AG170,IF(AG186=AR143,AG188,IF(AG188=AR143,AG186)))))))))))))))),"")</f>
        <v/>
      </c>
      <c r="AS151" s="15" t="str">
        <f>IFERROR(IF(AR151="","",VLOOKUP(AR151,LISTAS!$F$5:$G$1004,2,0)),"0")</f>
        <v/>
      </c>
      <c r="AT151" s="15" t="str">
        <f t="shared" si="7"/>
        <v/>
      </c>
      <c r="AU151" s="15" t="str">
        <f t="shared" si="8"/>
        <v/>
      </c>
    </row>
    <row r="152" spans="2:47" ht="18" customHeight="1" x14ac:dyDescent="0.25">
      <c r="B152" s="16">
        <v>9</v>
      </c>
      <c r="C152" s="171" t="str">
        <f>IF('09F GRP'!G5&gt;=3,'09F GRP'!J127,IF('09F GRP'!G5=2,"",IF('09F GRP'!G5=1,"","")))</f>
        <v/>
      </c>
      <c r="D152" s="234">
        <v>0</v>
      </c>
      <c r="E152" s="51">
        <f>IF(D152&lt;&gt;"",D152,"")</f>
        <v>0</v>
      </c>
      <c r="F152" s="51" t="str">
        <f>IF(D152&lt;&gt;"",IF(C152="","",C152),"")</f>
        <v/>
      </c>
      <c r="G152" s="176">
        <f>IF(E152&lt;&gt;"",IF(E154&lt;&gt;"",SMALL(E152:E154,1),""),"")</f>
        <v>0</v>
      </c>
      <c r="H152" s="51"/>
      <c r="I152" s="18"/>
      <c r="J152" s="11"/>
      <c r="K152" s="166"/>
      <c r="L152" s="11"/>
      <c r="M152" s="54"/>
      <c r="N152" s="51"/>
      <c r="O152" s="176"/>
      <c r="P152" s="11"/>
      <c r="Q152" s="8"/>
      <c r="R152" s="182"/>
      <c r="S152" s="8"/>
      <c r="T152" s="8"/>
      <c r="U152" s="8"/>
      <c r="V152" s="182"/>
      <c r="W152" s="8"/>
      <c r="X152" s="62"/>
      <c r="Y152" s="182"/>
      <c r="Z152" s="65"/>
      <c r="AA152" s="8"/>
      <c r="AB152" s="11"/>
      <c r="AC152" s="182"/>
      <c r="AD152" s="8"/>
      <c r="AE152" s="69"/>
      <c r="AF152" s="8"/>
      <c r="AG152" s="181">
        <f>IF(AJ152&lt;&gt;"",AJ152,"")</f>
        <v>0</v>
      </c>
      <c r="AH152" s="78" t="str">
        <f>IF(AJ152&lt;&gt;"",IF(AK152="","",AK152),"")</f>
        <v/>
      </c>
      <c r="AI152" s="51">
        <f>IF(AG152&lt;&gt;"",IF(AG154&lt;&gt;"",SMALL(AG152:AG154,1),""),"")</f>
        <v>0</v>
      </c>
      <c r="AJ152" s="234">
        <v>0</v>
      </c>
      <c r="AK152" s="171" t="str">
        <f>IF('09F GRP'!G5&gt;=3,'09F GRP'!J296,IF('09F GRP'!G5=2,"",IF('09F GRP'!G5=1,"","")))</f>
        <v/>
      </c>
      <c r="AL152" s="11">
        <v>22</v>
      </c>
      <c r="AP152" s="13" t="str">
        <f>IF(AR152&lt;&gt;"",1+COUNTIF(AP136:AP151,"1")+COUNTIF(AP136:AP151,"2")+COUNTIF(AP136:AP151,"3")+COUNTIF(AP136:AP151,"4")+COUNTIF(AP136:AP151,"5")+COUNTIF(AP136:AP151,"6")+COUNTIF(AP136:AP151,"7")+COUNTIF(AP136:AP151,"8")+COUNTIF(AP136:AP151,"9")+COUNTIF(AP136:AP151,"10")+COUNTIF(AP136:AP151,"11")+COUNTIF(AP136:AP151,"12")+COUNTIF(AP136:AP151,"13")+COUNTIF(AP136:AP151,"14")+COUNTIF(AP136:AP151,"15")+COUNTIF(AP136:AP151,"16"),"")</f>
        <v/>
      </c>
      <c r="AQ152" s="14" t="str">
        <f t="shared" si="6"/>
        <v/>
      </c>
      <c r="AR152" s="21" t="str">
        <f>IF(AR136&lt;&gt;"",IF(C136=AR136,G138,IF(C138=AR136,G138,IF(C144=AR136,G146,IF(C146=AR136,G146,IF(C166=AR136,G168,IF(C168=AR136,G168,IF(C174=AR136,G176,IF(C176=AR136,G176,IF(C152=AR136,G154,IF(C154=AR136,G154,IF(C160=AR136,G162,IF(C162=AR136,G162,IF(C182=AR136,G184,IF(C184=AR136,G184,IF(C190=AR136,G192,IF(C192=AR136,G192,IF(AK136=AR136,AI138,IF(AK138=AR136,AI138,IF(AK144=AR136,AI146,IF(AK146=AR136,AI146,IF(AK166=AR136,AI168,IF(AK168=AR136,AI168,IF(AK174=AR136,AI176,IF(AK176=AR136,AI176,IF(AK152=AR136,AI154,IF(AK154=AR136,AI154,IF(AK160=AR136,AI162,IF(AK162=AR136,AI162,IF(AK182=AR136,AI184,IF(AK184=AR136,AI184,IF(AK190=AR136,AI192,IF(AK192=AR136,AI192)))))))))))))))))))))))))))))))),"")</f>
        <v/>
      </c>
      <c r="AS152" s="15" t="str">
        <f>IFERROR(IF(AR152="","",VLOOKUP(AR152,LISTAS!$F$5:$G$1004,2,0)),"0")</f>
        <v/>
      </c>
      <c r="AT152" s="15" t="str">
        <f t="shared" si="7"/>
        <v/>
      </c>
      <c r="AU152" s="15" t="str">
        <f t="shared" si="8"/>
        <v/>
      </c>
    </row>
    <row r="153" spans="2:47" ht="18" customHeight="1" thickBot="1" x14ac:dyDescent="0.3">
      <c r="B153" s="16"/>
      <c r="C153" s="172" t="str">
        <f>IFERROR(IF(C152="","",VLOOKUP(C152,LISTAS!$F$5:$G$1004,2,0)),"0")</f>
        <v/>
      </c>
      <c r="D153" s="235"/>
      <c r="E153" s="51"/>
      <c r="F153" s="51"/>
      <c r="G153" s="176"/>
      <c r="H153" s="51"/>
      <c r="I153" s="18"/>
      <c r="J153" s="11"/>
      <c r="K153" s="166"/>
      <c r="L153" s="11"/>
      <c r="M153" s="18"/>
      <c r="N153" s="11"/>
      <c r="O153" s="166"/>
      <c r="P153" s="11"/>
      <c r="Q153" s="8"/>
      <c r="R153" s="182"/>
      <c r="S153" s="8"/>
      <c r="T153" s="8"/>
      <c r="U153" s="8"/>
      <c r="V153" s="182"/>
      <c r="W153" s="8"/>
      <c r="X153" s="62"/>
      <c r="Y153" s="182"/>
      <c r="Z153" s="65"/>
      <c r="AA153" s="8"/>
      <c r="AB153" s="11"/>
      <c r="AC153" s="182"/>
      <c r="AD153" s="8"/>
      <c r="AE153" s="69"/>
      <c r="AF153" s="8"/>
      <c r="AG153" s="181"/>
      <c r="AH153" s="78"/>
      <c r="AI153" s="51"/>
      <c r="AJ153" s="235"/>
      <c r="AK153" s="172" t="str">
        <f>IFERROR(IF(AK152="","",VLOOKUP(AK152,LISTAS!$F$5:$G$1004,2,0)),"0")</f>
        <v/>
      </c>
      <c r="AL153" s="11"/>
      <c r="AP153" s="13" t="str">
        <f>IF(AR153&lt;&gt;"",1+COUNTIF(AP136:AP152,"1")+COUNTIF(AP136:AP152,"2")+COUNTIF(AP136:AP152,"3")+COUNTIF(AP136:AP152,"4")+COUNTIF(AP136:AP152,"5")+COUNTIF(AP136:AP152,"6")+COUNTIF(AP136:AP152,"7")+COUNTIF(AP136:AP152,"8")+COUNTIF(AP136:AP152,"9")+COUNTIF(AP136:AP152,"10")+COUNTIF(AP136:AP152,"11")+COUNTIF(AP136:AP152,"12")+COUNTIF(AP136:AP152,"13")+COUNTIF(AP136:AP152,"14")+COUNTIF(AP136:AP152,"15")+COUNTIF(AP136:AP152,"16")+COUNTIF(AP136:AP152,"17"),"")</f>
        <v/>
      </c>
      <c r="AQ153" s="14" t="str">
        <f t="shared" si="6"/>
        <v/>
      </c>
      <c r="AR153" s="21" t="str">
        <f>IF(AR137&lt;&gt;"",IF(C136=AR137,G138,IF(C138=AR137,G138,IF(C144=AR137,G146,IF(C146=AR137,G146,IF(C166=AR137,G168,IF(C168=AR137,G168,IF(C174=AR137,G176,IF(C176=AR137,G176,IF(C152=AR137,G154,IF(C154=AR137,G154,IF(C160=AR137,G162,IF(C162=AR137,G162,IF(C182=AR137,G184,IF(C184=AR137,G184,IF(C190=AR137,G192,IF(C192=AR137,G192,IF(AK136=AR137,AI138,IF(AK138=AR137,AI138,IF(AK144=AR137,AI146,IF(AK146=AR137,AI146,IF(AK166=AR137,AI168,IF(AK168=AR137,AI168,IF(AK174=AR137,AI176,IF(AK176=AR137,AI176,IF(AK152=AR137,AI154,IF(AK154=AR137,AI154,IF(AK160=AR137,AI162,IF(AK162=AR137,AI162,IF(AK182=AR137,AI184,IF(AK184=AR137,AI184,IF(AK190=AR137,AI192,IF(AK192=AR137,AI192)))))))))))))))))))))))))))))))),"")</f>
        <v/>
      </c>
      <c r="AS153" s="15" t="str">
        <f>IFERROR(IF(AR153="","",VLOOKUP(AR153,LISTAS!$F$5:$G$1004,2,0)),"0")</f>
        <v/>
      </c>
      <c r="AT153" s="15" t="str">
        <f t="shared" si="7"/>
        <v/>
      </c>
      <c r="AU153" s="15" t="str">
        <f t="shared" si="8"/>
        <v/>
      </c>
    </row>
    <row r="154" spans="2:47" ht="18" customHeight="1" x14ac:dyDescent="0.25">
      <c r="B154" s="16">
        <v>24</v>
      </c>
      <c r="C154" s="171" t="str">
        <f>IF('09F GRP'!G5&gt;=3,'09F GRP'!J322,IF('09F GRP'!G5=2,"",IF('09F GRP'!G5=1,"","")))</f>
        <v/>
      </c>
      <c r="D154" s="234">
        <v>0</v>
      </c>
      <c r="E154" s="52">
        <f>IF(D154&lt;&gt;"",D154,"")</f>
        <v>0</v>
      </c>
      <c r="F154" s="51" t="str">
        <f>IF(D154&lt;&gt;"",IF(C154="","",C154),"")</f>
        <v/>
      </c>
      <c r="G154" s="176" t="str">
        <f>VLOOKUP(G152,E152:F154,2,0)</f>
        <v/>
      </c>
      <c r="H154" s="51"/>
      <c r="I154" s="18"/>
      <c r="J154" s="11"/>
      <c r="K154" s="166"/>
      <c r="L154" s="11"/>
      <c r="M154" s="18"/>
      <c r="N154" s="11"/>
      <c r="O154" s="166"/>
      <c r="P154" s="11"/>
      <c r="Q154" s="8"/>
      <c r="R154" s="182"/>
      <c r="S154" s="8"/>
      <c r="T154" s="8"/>
      <c r="U154" s="8"/>
      <c r="V154" s="182"/>
      <c r="W154" s="8"/>
      <c r="X154" s="62"/>
      <c r="Y154" s="182"/>
      <c r="Z154" s="65"/>
      <c r="AA154" s="8"/>
      <c r="AB154" s="11"/>
      <c r="AC154" s="182"/>
      <c r="AD154" s="8"/>
      <c r="AE154" s="69"/>
      <c r="AF154" s="8"/>
      <c r="AG154" s="181">
        <f>IF(AJ154&lt;&gt;"",AJ154,"")</f>
        <v>0</v>
      </c>
      <c r="AH154" s="78" t="str">
        <f>IF(AJ154&lt;&gt;"",IF(AK154="","",AK154),"")</f>
        <v/>
      </c>
      <c r="AI154" s="55" t="str">
        <f>VLOOKUP(AI152,AG152:AH154,2,0)</f>
        <v/>
      </c>
      <c r="AJ154" s="234">
        <v>0</v>
      </c>
      <c r="AK154" s="171" t="str">
        <f>IF('09F GRP'!G5&gt;=3,'09F GRP'!J153,IF('09F GRP'!G5=2,"",IF('09F GRP'!G5=1,"","")))</f>
        <v/>
      </c>
      <c r="AL154" s="11">
        <v>11</v>
      </c>
      <c r="AP154" s="13" t="str">
        <f>IF(AR154&lt;&gt;"",1+COUNTIF(AP136:AP153,"1")+COUNTIF(AP136:AP153,"2")+COUNTIF(AP136:AP153,"3")+COUNTIF(AP136:AP153,"4")+COUNTIF(AP136:AP153,"5")+COUNTIF(AP136:AP153,"6")+COUNTIF(AP136:AP153,"7")+COUNTIF(AP136:AP153,"8")+COUNTIF(AP136:AP153,"9")+COUNTIF(AP136:AP153,"10")+COUNTIF(AP136:AP153,"11")+COUNTIF(AP136:AP153,"12")+COUNTIF(AP136:AP153,"13")+COUNTIF(AP136:AP153,"14")+COUNTIF(AP136:AP153,"15")+COUNTIF(AP136:AP153,"16")+COUNTIF(AP136:AP153,"17")+COUNTIF(AP136:AP153,"18"),"")</f>
        <v/>
      </c>
      <c r="AQ154" s="14" t="str">
        <f t="shared" si="6"/>
        <v/>
      </c>
      <c r="AR154" s="21" t="str">
        <f>IF(AR138&lt;&gt;"",IF(C136=AR138,G138,IF(C138=AR138,G138,IF(C144=AR138,G146,IF(C146=AR138,G146,IF(C166=AR138,G168,IF(C168=AR138,G168,IF(C174=AR138,G176,IF(C176=AR138,G176,IF(C152=AR138,G154,IF(C154=AR138,G154,IF(C160=AR138,G162,IF(C162=AR138,G162,IF(C182=AR138,G184,IF(C184=AR138,G184,IF(C190=AR138,G192,IF(C192=AR138,G192,IF(AK136=AR138,AI138,IF(AK138=AR138,AI138,IF(AK144=AR138,AI146,IF(AK146=AR138,AI146,IF(AK166=AR138,AI168,IF(AK168=AR138,AI168,IF(AK174=AR138,AI176,IF(AK176=AR138,AI176,IF(AK152=AR138,AI154,IF(AK154=AR138,AI154,IF(AK160=AR138,AI162,IF(AK162=AR138,AI162,IF(AK182=AR138,AI184,IF(AK184=AR138,AI184,IF(AK190=AR138,AI192,IF(AK192=AR138,AI192)))))))))))))))))))))))))))))))),"")</f>
        <v/>
      </c>
      <c r="AS154" s="15" t="str">
        <f>IFERROR(IF(AR154="","",VLOOKUP(AR154,LISTAS!$F$5:$G$1004,2,0)),"0")</f>
        <v/>
      </c>
      <c r="AT154" s="15" t="str">
        <f t="shared" si="7"/>
        <v/>
      </c>
      <c r="AU154" s="15" t="str">
        <f t="shared" si="8"/>
        <v/>
      </c>
    </row>
    <row r="155" spans="2:47" ht="18" customHeight="1" thickBot="1" x14ac:dyDescent="0.3">
      <c r="B155" s="16"/>
      <c r="C155" s="172" t="str">
        <f>IFERROR(IF(C154="","",VLOOKUP(C154,LISTAS!$F$5:$G$1004,2,0)),"0")</f>
        <v/>
      </c>
      <c r="D155" s="235"/>
      <c r="E155" s="128"/>
      <c r="F155" s="51"/>
      <c r="G155" s="176"/>
      <c r="H155" s="51"/>
      <c r="I155" s="54"/>
      <c r="J155" s="51"/>
      <c r="K155" s="176"/>
      <c r="L155" s="51"/>
      <c r="M155" s="54"/>
      <c r="N155" s="11"/>
      <c r="O155" s="166"/>
      <c r="P155" s="11"/>
      <c r="Q155" s="8"/>
      <c r="R155" s="182"/>
      <c r="S155" s="8"/>
      <c r="T155" s="8"/>
      <c r="U155" s="8"/>
      <c r="V155" s="182"/>
      <c r="W155" s="8"/>
      <c r="X155" s="62"/>
      <c r="Y155" s="182"/>
      <c r="Z155" s="65"/>
      <c r="AA155" s="8"/>
      <c r="AB155" s="11"/>
      <c r="AC155" s="182"/>
      <c r="AD155" s="8"/>
      <c r="AE155" s="69"/>
      <c r="AF155" s="8"/>
      <c r="AG155" s="181"/>
      <c r="AH155" s="78"/>
      <c r="AI155" s="123"/>
      <c r="AJ155" s="235"/>
      <c r="AK155" s="172" t="str">
        <f>IFERROR(IF(AK154="","",VLOOKUP(AK154,LISTAS!$F$5:$G$1004,2,0)),"0")</f>
        <v/>
      </c>
      <c r="AL155" s="11"/>
      <c r="AP155" s="13" t="str">
        <f>IF(AR155&lt;&gt;"",1+COUNTIF(AP136:AP154,"1")+COUNTIF(AP136:AP154,"2")+COUNTIF(AP136:AP154,"3")+COUNTIF(AP136:AP154,"4")+COUNTIF(AP136:AP154,"5")+COUNTIF(AP136:AP154,"6")+COUNTIF(AP136:AP154,"7")+COUNTIF(AP136:AP154,"8")+COUNTIF(AP136:AP154,"9")+COUNTIF(AP136:AP154,"10")+COUNTIF(AP136:AP154,"11")+COUNTIF(AP136:AP154,"12")+COUNTIF(AP136:AP154,"13")+COUNTIF(AP136:AP154,"14")+COUNTIF(AP136:AP154,"15")+COUNTIF(AP136:AP154,"16")+COUNTIF(AP136:AP154,"17")+COUNTIF(AP136:AP154,"18")+COUNTIF(AP136:AP154,"19"),"")</f>
        <v/>
      </c>
      <c r="AQ155" s="14" t="str">
        <f t="shared" si="6"/>
        <v/>
      </c>
      <c r="AR155" s="21" t="str">
        <f>IF(AR139&lt;&gt;"",IF(C136=AR139,G138,IF(C138=AR139,G138,IF(C144=AR139,G146,IF(C146=AR139,G146,IF(C166=AR139,G168,IF(C168=AR139,G168,IF(C174=AR139,G176,IF(C176=AR139,G176,IF(C152=AR139,G154,IF(C154=AR139,G154,IF(C160=AR139,G162,IF(C162=AR139,G162,IF(C182=AR139,G184,IF(C184=AR139,G184,IF(C190=AR139,G192,IF(C192=AR139,G192,IF(AK136=AR139,AI138,IF(AK138=AR139,AI138,IF(AK144=AR139,AI146,IF(AK146=AR139,AI146,IF(AK166=AR139,AI168,IF(AK168=AR139,AI168,IF(AK174=AR139,AI176,IF(AK176=AR139,AI176,IF(AK152=AR139,AI154,IF(AK154=AR139,AI154,IF(AK160=AR139,AI162,IF(AK162=AR139,AI162,IF(AK182=AR139,AI184,IF(AK184=AR139,AI184,IF(AK190=AR139,AI192,IF(AK192=AR139,AI192)))))))))))))))))))))))))))))))),"")</f>
        <v/>
      </c>
      <c r="AS155" s="15" t="str">
        <f>IFERROR(IF(AR155="","",VLOOKUP(AR155,LISTAS!$F$5:$G$1004,2,0)),"0")</f>
        <v/>
      </c>
      <c r="AT155" s="15" t="str">
        <f t="shared" si="7"/>
        <v/>
      </c>
      <c r="AU155" s="15" t="str">
        <f t="shared" si="8"/>
        <v/>
      </c>
    </row>
    <row r="156" spans="2:47" ht="18" customHeight="1" x14ac:dyDescent="0.25">
      <c r="B156" s="16"/>
      <c r="C156" s="166"/>
      <c r="D156" s="11"/>
      <c r="E156" s="11"/>
      <c r="F156" s="17"/>
      <c r="G156" s="171" t="str">
        <f>IF(D152&lt;&gt;"",IF(D154&lt;&gt;"",IF(D152=D154,"",IF(D152&gt;D154,C152,C154)),""),"")</f>
        <v/>
      </c>
      <c r="H156" s="234">
        <v>0</v>
      </c>
      <c r="I156" s="56">
        <f>IF(H156&lt;&gt;"",H156,"")</f>
        <v>0</v>
      </c>
      <c r="J156" s="51" t="str">
        <f>IF(H156&lt;&gt;"",IF(G156="","",G156),"")</f>
        <v/>
      </c>
      <c r="K156" s="176">
        <f>IF(I156&lt;&gt;"",IF(I158&lt;&gt;"",SMALL(I156:J158,1),""),"")</f>
        <v>0</v>
      </c>
      <c r="L156" s="51"/>
      <c r="M156" s="54"/>
      <c r="N156" s="11"/>
      <c r="O156" s="166"/>
      <c r="P156" s="11"/>
      <c r="Q156" s="8"/>
      <c r="R156" s="182"/>
      <c r="S156" s="8"/>
      <c r="T156" s="8"/>
      <c r="U156" s="8"/>
      <c r="V156" s="182"/>
      <c r="W156" s="8"/>
      <c r="X156" s="62"/>
      <c r="Y156" s="182"/>
      <c r="Z156" s="65"/>
      <c r="AA156" s="8"/>
      <c r="AB156" s="11"/>
      <c r="AC156" s="182"/>
      <c r="AD156" s="8"/>
      <c r="AE156" s="17"/>
      <c r="AF156" s="234">
        <v>0</v>
      </c>
      <c r="AG156" s="171" t="str">
        <f>IF(AJ152&lt;&gt;"",IF(AJ154&lt;&gt;"",IF(AJ152=AJ154,"",IF(AJ152&gt;AJ154,AK152,AK154)),""),"")</f>
        <v/>
      </c>
      <c r="AH156" s="65"/>
      <c r="AI156" s="8"/>
      <c r="AJ156" s="11"/>
      <c r="AK156" s="166"/>
      <c r="AL156" s="11"/>
      <c r="AP156" s="13" t="str">
        <f>IF(AR156&lt;&gt;"",1+COUNTIF(AP136:AP155,"1")+COUNTIF(AP136:AP155,"2")+COUNTIF(AP136:AP155,"3")+COUNTIF(AP136:AP155,"4")+COUNTIF(AP136:AP155,"5")+COUNTIF(AP136:AP155,"6")+COUNTIF(AP136:AP155,"7")+COUNTIF(AP136:AP155,"8")+COUNTIF(AP136:AP155,"9")+COUNTIF(AP136:AP155,"10")+COUNTIF(AP136:AP155,"11")+COUNTIF(AP136:AP155,"12")+COUNTIF(AP136:AP155,"13")+COUNTIF(AP136:AP155,"14")+COUNTIF(AP136:AP155,"15")+COUNTIF(AP136:AP155,"16")+COUNTIF(AP136:AP155,"17")+COUNTIF(AP136:AP155,"18")+COUNTIF(AP136:AP155,"19")+COUNTIF(AP136:AP155,"20"),"")</f>
        <v/>
      </c>
      <c r="AQ156" s="14" t="str">
        <f t="shared" si="6"/>
        <v/>
      </c>
      <c r="AR156" s="21" t="str">
        <f>IF(AR140&lt;&gt;"",IF(C136=AR140,G138,IF(C138=AR140,G138,IF(C144=AR140,G146,IF(C146=AR140,G146,IF(C166=AR140,G168,IF(C168=AR140,G168,IF(C174=AR140,G176,IF(C176=AR140,G176,IF(C152=AR140,G154,IF(C154=AR140,G154,IF(C160=AR140,G162,IF(C162=AR140,G162,IF(C182=AR140,G184,IF(C184=AR140,G184,IF(C190=AR140,G192,IF(C192=AR140,G192,IF(AK136=AR140,AI138,IF(AK138=AR140,AI138,IF(AK144=AR140,AI146,IF(AK146=AR140,AI146,IF(AK166=AR140,AI168,IF(AK168=AR140,AI168,IF(AK174=AR140,AI176,IF(AK176=AR140,AI176,IF(AK152=AR140,AI154,IF(AK154=AR140,AI154,IF(AK160=AR140,AI162,IF(AK162=AR140,AI162,IF(AK182=AR140,AI184,IF(AK184=AR140,AI184,IF(AK190=AR140,AI192,IF(AK192=AR140,AI192)))))))))))))))))))))))))))))))),"")</f>
        <v/>
      </c>
      <c r="AS156" s="15" t="str">
        <f>IFERROR(IF(AR156="","",VLOOKUP(AR156,LISTAS!$F$5:$G$1004,2,0)),"0")</f>
        <v/>
      </c>
      <c r="AT156" s="15" t="str">
        <f t="shared" si="7"/>
        <v/>
      </c>
      <c r="AU156" s="15" t="str">
        <f t="shared" si="8"/>
        <v/>
      </c>
    </row>
    <row r="157" spans="2:47" ht="18" customHeight="1" thickBot="1" x14ac:dyDescent="0.3">
      <c r="B157" s="16"/>
      <c r="C157" s="166"/>
      <c r="D157" s="11"/>
      <c r="E157" s="11"/>
      <c r="F157" s="17"/>
      <c r="G157" s="172" t="str">
        <f>IFERROR(IF(G156="","",VLOOKUP(G156,LISTAS!$F$5:$G$1004,2,0)),"0")</f>
        <v/>
      </c>
      <c r="H157" s="235"/>
      <c r="I157" s="57"/>
      <c r="J157" s="51"/>
      <c r="K157" s="176"/>
      <c r="L157" s="51"/>
      <c r="M157" s="54"/>
      <c r="N157" s="11"/>
      <c r="O157" s="166"/>
      <c r="P157" s="11"/>
      <c r="Q157" s="8"/>
      <c r="R157" s="182"/>
      <c r="S157" s="8"/>
      <c r="T157" s="8"/>
      <c r="U157" s="8"/>
      <c r="V157" s="182"/>
      <c r="W157" s="8"/>
      <c r="X157" s="62"/>
      <c r="Y157" s="182"/>
      <c r="Z157" s="65"/>
      <c r="AA157" s="8"/>
      <c r="AB157" s="11"/>
      <c r="AC157" s="182"/>
      <c r="AD157" s="8"/>
      <c r="AE157" s="122"/>
      <c r="AF157" s="235"/>
      <c r="AG157" s="172" t="str">
        <f>IFERROR(IF(AG156="","",VLOOKUP(AG156,LISTAS!$F$5:$G$1004,2,0)),"0")</f>
        <v/>
      </c>
      <c r="AH157" s="65"/>
      <c r="AI157" s="8"/>
      <c r="AJ157" s="11"/>
      <c r="AK157" s="166"/>
      <c r="AL157" s="11"/>
      <c r="AP157" s="13" t="str">
        <f>IF(AR157&lt;&gt;"",1+COUNTIF(AP136:AP156,"1")+COUNTIF(AP136:AP156,"2")+COUNTIF(AP136:AP156,"3")+COUNTIF(AP136:AP156,"4")+COUNTIF(AP136:AP156,"5")+COUNTIF(AP136:AP156,"6")+COUNTIF(AP136:AP156,"7")+COUNTIF(AP136:AP156,"8")+COUNTIF(AP136:AP156,"9")+COUNTIF(AP136:AP156,"10")+COUNTIF(AP136:AP156,"11")+COUNTIF(AP136:AP156,"12")+COUNTIF(AP136:AP156,"13")+COUNTIF(AP136:AP156,"14")+COUNTIF(AP136:AP156,"15")+COUNTIF(AP136:AP156,"16")+COUNTIF(AP136:AP156,"17")+COUNTIF(AP136:AP156,"18")+COUNTIF(AP136:AP156,"19")+COUNTIF(AP136:AP156,"20")+COUNTIF(AP136:AP156,"21"),"")</f>
        <v/>
      </c>
      <c r="AQ157" s="14" t="str">
        <f t="shared" si="6"/>
        <v/>
      </c>
      <c r="AR157" s="21" t="str">
        <f>IF(AR141&lt;&gt;"",IF(C136=AR141,G138,IF(C138=AR141,G138,IF(C144=AR141,G146,IF(C146=AR141,G146,IF(C166=AR141,G168,IF(C168=AR141,G168,IF(C174=AR141,G176,IF(C176=AR141,G176,IF(C152=AR141,G154,IF(C154=AR141,G154,IF(C160=AR141,G162,IF(C162=AR141,G162,IF(C182=AR141,G184,IF(C184=AR141,G184,IF(C190=AR141,G192,IF(C192=AR141,G192,IF(AK136=AR141,AI138,IF(AK138=AR141,AI138,IF(AK144=AR141,AI146,IF(AK146=AR141,AI146,IF(AK166=AR141,AI168,IF(AK168=AR141,AI168,IF(AK174=AR141,AI176,IF(AK176=AR141,AI176,IF(AK152=AR141,AI154,IF(AK154=AR141,AI154,IF(AK160=AR141,AI162,IF(AK162=AR141,AI162,IF(AK182=AR141,AI184,IF(AK184=AR141,AI184,IF(AK190=AR141,AI192,IF(AK192=AR141,AI192)))))))))))))))))))))))))))))))),"")</f>
        <v/>
      </c>
      <c r="AS157" s="15" t="str">
        <f>IFERROR(IF(AR157="","",VLOOKUP(AR157,LISTAS!$F$5:$G$1004,2,0)),"0")</f>
        <v/>
      </c>
      <c r="AT157" s="15" t="str">
        <f t="shared" si="7"/>
        <v/>
      </c>
      <c r="AU157" s="15" t="str">
        <f t="shared" si="8"/>
        <v/>
      </c>
    </row>
    <row r="158" spans="2:47" ht="18" customHeight="1" x14ac:dyDescent="0.25">
      <c r="B158" s="16"/>
      <c r="C158" s="166"/>
      <c r="D158" s="11"/>
      <c r="E158" s="18"/>
      <c r="F158" s="19"/>
      <c r="G158" s="171" t="str">
        <f>IF(D160&lt;&gt;"",IF(D162&lt;&gt;"",IF(D160=D162,"",IF(D160&gt;D162,C160,C162)),""),"")</f>
        <v/>
      </c>
      <c r="H158" s="234">
        <v>0</v>
      </c>
      <c r="I158" s="57">
        <f>IF(H158&lt;&gt;"",H158,"")</f>
        <v>0</v>
      </c>
      <c r="J158" s="51" t="str">
        <f>IF(H158&lt;&gt;"",IF(G158="","",G158),"")</f>
        <v/>
      </c>
      <c r="K158" s="176" t="str">
        <f>VLOOKUP(K156,I156:J158,2,0)</f>
        <v/>
      </c>
      <c r="L158" s="51"/>
      <c r="M158" s="54"/>
      <c r="N158" s="11"/>
      <c r="O158" s="166"/>
      <c r="P158" s="11"/>
      <c r="Q158" s="8"/>
      <c r="R158" s="182"/>
      <c r="S158" s="8"/>
      <c r="T158" s="8"/>
      <c r="U158" s="8"/>
      <c r="V158" s="182"/>
      <c r="W158" s="8"/>
      <c r="X158" s="62"/>
      <c r="Y158" s="182"/>
      <c r="Z158" s="65"/>
      <c r="AA158" s="8"/>
      <c r="AB158" s="11"/>
      <c r="AC158" s="182"/>
      <c r="AD158" s="8"/>
      <c r="AE158" s="64"/>
      <c r="AF158" s="234">
        <v>0</v>
      </c>
      <c r="AG158" s="171" t="str">
        <f>IF(AJ160&lt;&gt;"",IF(AJ162&lt;&gt;"",IF(AJ160=AJ162,"",IF(AJ160&gt;AJ162,AK160,AK162)),""),"")</f>
        <v/>
      </c>
      <c r="AH158" s="66"/>
      <c r="AI158" s="8"/>
      <c r="AJ158" s="11"/>
      <c r="AK158" s="166"/>
      <c r="AL158" s="11"/>
      <c r="AP158" s="13" t="str">
        <f>IF(AR158&lt;&gt;"",1+COUNTIF(AP136:AP157,"1")+COUNTIF(AP136:AP157,"2")+COUNTIF(AP136:AP157,"3")+COUNTIF(AP136:AP157,"4")+COUNTIF(AP136:AP157,"5")+COUNTIF(AP136:AP157,"6")+COUNTIF(AP136:AP157,"7")+COUNTIF(AP136:AP157,"8")+COUNTIF(AP136:AP157,"9")+COUNTIF(AP136:AP157,"10")+COUNTIF(AP136:AP157,"11")+COUNTIF(AP136:AP157,"12")+COUNTIF(AP136:AP157,"13")+COUNTIF(AP136:AP157,"14")+COUNTIF(AP136:AP157,"15")+COUNTIF(AP136:AP157,"16")+COUNTIF(AP136:AP157,"17")+COUNTIF(AP136:AP157,"18")+COUNTIF(AP136:AP157,"19")+COUNTIF(AP136:AP157,"20")+COUNTIF(AP136:AP157,"21")+COUNTIF(AP136:AP157,"22"),"")</f>
        <v/>
      </c>
      <c r="AQ158" s="14" t="str">
        <f t="shared" si="6"/>
        <v/>
      </c>
      <c r="AR158" s="21" t="str">
        <f>IF(AR142&lt;&gt;"",IF(C136=AR142,G138,IF(C138=AR142,G138,IF(C144=AR142,G146,IF(C146=AR142,G146,IF(C166=AR142,G168,IF(C168=AR142,G168,IF(C174=AR142,G176,IF(C176=AR142,G176,IF(C152=AR142,G154,IF(C154=AR142,G154,IF(C160=AR142,G162,IF(C162=AR142,G162,IF(C182=AR142,G184,IF(C184=AR142,G184,IF(C190=AR142,G192,IF(C192=AR142,G192,IF(AK136=AR142,AI138,IF(AK138=AR142,AI138,IF(AK144=AR142,AI146,IF(AK146=AR142,AI146,IF(AK166=AR142,AI168,IF(AK168=AR142,AI168,IF(AK174=AR142,AI176,IF(AK176=AR142,AI176,IF(AK152=AR142,AI154,IF(AK154=AR142,AI154,IF(AK160=AR142,AI162,IF(AK162=AR142,AI162,IF(AK182=AR142,AI184,IF(AK184=AR142,AI184,IF(AK190=AR142,AI192,IF(AK192=AR142,AI192)))))))))))))))))))))))))))))))),"")</f>
        <v/>
      </c>
      <c r="AS158" s="15" t="str">
        <f>IFERROR(IF(AR158="","",VLOOKUP(AR158,LISTAS!$F$5:$G$1004,2,0)),"0")</f>
        <v/>
      </c>
      <c r="AT158" s="15" t="str">
        <f t="shared" si="7"/>
        <v/>
      </c>
      <c r="AU158" s="15" t="str">
        <f t="shared" si="8"/>
        <v/>
      </c>
    </row>
    <row r="159" spans="2:47" ht="18" customHeight="1" thickBot="1" x14ac:dyDescent="0.3">
      <c r="B159" s="16"/>
      <c r="C159" s="166"/>
      <c r="D159" s="11"/>
      <c r="E159" s="18"/>
      <c r="F159" s="11"/>
      <c r="G159" s="172" t="str">
        <f>IFERROR(IF(G158="","",VLOOKUP(G158,LISTAS!$F$5:$G$1004,2,0)),"0")</f>
        <v/>
      </c>
      <c r="H159" s="235"/>
      <c r="I159" s="51"/>
      <c r="J159" s="51"/>
      <c r="K159" s="176"/>
      <c r="L159" s="51"/>
      <c r="M159" s="54"/>
      <c r="N159" s="11"/>
      <c r="O159" s="166"/>
      <c r="P159" s="11"/>
      <c r="Q159" s="8"/>
      <c r="R159" s="182"/>
      <c r="S159" s="8"/>
      <c r="T159" s="8"/>
      <c r="U159" s="8"/>
      <c r="V159" s="182"/>
      <c r="W159" s="8"/>
      <c r="X159" s="62"/>
      <c r="Y159" s="182"/>
      <c r="Z159" s="65"/>
      <c r="AA159" s="8"/>
      <c r="AB159" s="11"/>
      <c r="AC159" s="182"/>
      <c r="AD159" s="8"/>
      <c r="AE159" s="8"/>
      <c r="AF159" s="235"/>
      <c r="AG159" s="172" t="str">
        <f>IFERROR(IF(AG158="","",VLOOKUP(AG158,LISTAS!$F$5:$G$1004,2,0)),"0")</f>
        <v/>
      </c>
      <c r="AH159" s="8"/>
      <c r="AI159" s="69"/>
      <c r="AJ159" s="11"/>
      <c r="AK159" s="166"/>
      <c r="AL159" s="11"/>
      <c r="AP159" s="13" t="str">
        <f>IF(AR159&lt;&gt;"",1+COUNTIF(AP136:AP158,"1")+COUNTIF(AP136:AP158,"2")+COUNTIF(AP136:AP158,"3")+COUNTIF(AP136:AP158,"4")+COUNTIF(AP136:AP158,"5")+COUNTIF(AP136:AP158,"6")+COUNTIF(AP136:AP158,"7")+COUNTIF(AP136:AP158,"8")+COUNTIF(AP136:AP158,"9")+COUNTIF(AP136:AP158,"10")+COUNTIF(AP136:AP158,"11")+COUNTIF(AP136:AP158,"12")+COUNTIF(AP136:AP158,"13")+COUNTIF(AP136:AP158,"14")+COUNTIF(AP136:AP158,"15")+COUNTIF(AP136:AP158,"16")+COUNTIF(AP136:AP158,"17")+COUNTIF(AP136:AP158,"18")+COUNTIF(AP136:AP158,"19")+COUNTIF(AP136:AP158,"20")+COUNTIF(AP136:AP158,"21")+COUNTIF(AP136:AP158,"22")+COUNTIF(AP136:AP158,"23"),"")</f>
        <v/>
      </c>
      <c r="AQ159" s="14" t="str">
        <f t="shared" si="6"/>
        <v/>
      </c>
      <c r="AR159" s="21" t="str">
        <f>IF(AR143&lt;&gt;"",IF(C136=AR143,G138,IF(C138=AR143,G138,IF(C144=AR143,G146,IF(C146=AR143,G146,IF(C166=AR143,G168,IF(C168=AR143,G168,IF(C174=AR143,G176,IF(C176=AR143,G176,IF(C152=AR143,G154,IF(C154=AR143,G154,IF(C160=AR143,G162,IF(C162=AR143,G162,IF(C182=AR143,G184,IF(C184=AR143,G184,IF(C190=AR143,G192,IF(C192=AR143,G192,IF(AK136=AR143,AI138,IF(AK138=AR143,AI138,IF(AK144=AR143,AI146,IF(AK146=AR143,AI146,IF(AK166=AR143,AI168,IF(AK168=AR143,AI168,IF(AK174=AR143,AI176,IF(AK176=AR143,AI176,IF(AK152=AR143,AI154,IF(AK154=AR143,AI154,IF(AK160=AR143,AI162,IF(AK162=AR143,AI162,IF(AK182=AR143,AI184,IF(AK184=AR143,AI184,IF(AK190=AR143,AI192,IF(AK192=AR143,AI192)))))))))))))))))))))))))))))))),"")</f>
        <v/>
      </c>
      <c r="AS159" s="15" t="str">
        <f>IFERROR(IF(AR159="","",VLOOKUP(AR159,LISTAS!$F$5:$G$1004,2,0)),"0")</f>
        <v/>
      </c>
      <c r="AT159" s="15" t="str">
        <f t="shared" si="7"/>
        <v/>
      </c>
      <c r="AU159" s="15" t="str">
        <f t="shared" si="8"/>
        <v/>
      </c>
    </row>
    <row r="160" spans="2:47" ht="18" customHeight="1" x14ac:dyDescent="0.25">
      <c r="B160" s="16">
        <v>25</v>
      </c>
      <c r="C160" s="171" t="str">
        <f>IF('09F GRP'!G5&gt;=3,'09F GRP'!J335,IF('09F GRP'!G5=2,"",IF('09F GRP'!G5=1,"","")))</f>
        <v/>
      </c>
      <c r="D160" s="234">
        <v>0</v>
      </c>
      <c r="E160" s="56">
        <f>IF(D160&lt;&gt;"",D160,"")</f>
        <v>0</v>
      </c>
      <c r="F160" s="51" t="str">
        <f>IF(D160&lt;&gt;"",IF(C160="","",C160),"")</f>
        <v/>
      </c>
      <c r="G160" s="176">
        <f>IF(E160&lt;&gt;"",IF(E162&lt;&gt;"",SMALL(E160:E162,1),""),"")</f>
        <v>0</v>
      </c>
      <c r="H160" s="51"/>
      <c r="I160" s="51"/>
      <c r="J160" s="51"/>
      <c r="K160" s="176"/>
      <c r="L160" s="51"/>
      <c r="M160" s="54"/>
      <c r="N160" s="11"/>
      <c r="O160" s="166"/>
      <c r="P160" s="11"/>
      <c r="Q160" s="8"/>
      <c r="R160" s="182"/>
      <c r="S160" s="8"/>
      <c r="T160" s="8"/>
      <c r="U160" s="8"/>
      <c r="V160" s="182"/>
      <c r="W160" s="8"/>
      <c r="X160" s="62"/>
      <c r="Y160" s="182"/>
      <c r="Z160" s="65"/>
      <c r="AA160" s="8"/>
      <c r="AB160" s="11"/>
      <c r="AC160" s="182"/>
      <c r="AD160" s="8"/>
      <c r="AE160" s="8"/>
      <c r="AF160" s="8"/>
      <c r="AG160" s="181">
        <f>IF(AJ160&lt;&gt;"",AJ160,"")</f>
        <v>0</v>
      </c>
      <c r="AH160" s="78" t="str">
        <f>IF(AJ160&lt;&gt;"",IF(AK160="","",AK160),"")</f>
        <v/>
      </c>
      <c r="AI160" s="53">
        <f>IF(AG160&lt;&gt;"",IF(AG162&lt;&gt;"",SMALL(AG160:AG162,1),""),"")</f>
        <v>0</v>
      </c>
      <c r="AJ160" s="234">
        <v>0</v>
      </c>
      <c r="AK160" s="171" t="str">
        <f>IF('09F GRP'!G5&gt;=3,'09F GRP'!J361,IF('09F GRP'!G5=2,"",IF('09F GRP'!G5=1,"","")))</f>
        <v/>
      </c>
      <c r="AL160" s="11">
        <v>27</v>
      </c>
      <c r="AP160" s="13" t="str">
        <f>IF(AR160&lt;&gt;"",1+COUNTIF(AP136:AP159,"1")+COUNTIF(AP136:AP159,"2")+COUNTIF(AP136:AP159,"3")+COUNTIF(AP136:AP159,"4")+COUNTIF(AP136:AP159,"5")+COUNTIF(AP136:AP159,"6")+COUNTIF(AP136:AP159,"7")+COUNTIF(AP136:AP159,"8")+COUNTIF(AP136:AP159,"9")+COUNTIF(AP136:AP159,"10")+COUNTIF(AP136:AP159,"11")+COUNTIF(AP136:AP159,"12")+COUNTIF(AP136:AP159,"13")+COUNTIF(AP136:AP159,"14")+COUNTIF(AP136:AP159,"15")+COUNTIF(AP136:AP159,"16")+COUNTIF(AP136:AP159,"17")+COUNTIF(AP136:AP159,"18")+COUNTIF(AP136:AP159,"19")+COUNTIF(AP136:AP159,"20")+COUNTIF(AP136:AP159,"21")+COUNTIF(AP136:AP159,"22")+COUNTIF(AP136:AP159,"23")+COUNTIF(AP136:AP159,"24"),"")</f>
        <v/>
      </c>
      <c r="AQ160" s="14" t="str">
        <f t="shared" si="6"/>
        <v/>
      </c>
      <c r="AR160" s="21" t="str">
        <f>IF(AR144&lt;&gt;"",IF(C136=AR144,G138,IF(C138=AR144,G138,IF(C144=AR144,G146,IF(C146=AR144,G146,IF(C166=AR144,G168,IF(C168=AR144,G168,IF(C174=AR144,G176,IF(C176=AR144,G176,IF(C152=AR144,G154,IF(C154=AR144,G154,IF(C160=AR144,G162,IF(C162=AR144,G162,IF(C182=AR144,G184,IF(C184=AR144,G184,IF(C190=AR144,G192,IF(C192=AR144,G192,IF(AK136=AR144,AI138,IF(AK138=AR144,AI138,IF(AK144=AR144,AI146,IF(AK146=AR144,AI146,IF(AK166=AR144,AI168,IF(AK168=AR144,AI168,IF(AK174=AR144,AI176,IF(AK176=AR144,AI176,IF(AK152=AR144,AI154,IF(AK154=AR144,AI154,IF(AK160=AR144,AI162,IF(AK162=AR144,AI162,IF(AK182=AR144,AI184,IF(AK184=AR144,AI184,IF(AK190=AR144,AI192,IF(AK192=AR144,AI192)))))))))))))))))))))))))))))))),"")</f>
        <v/>
      </c>
      <c r="AS160" s="15" t="str">
        <f>IFERROR(IF(AR160="","",VLOOKUP(AR160,LISTAS!$F$5:$G$1004,2,0)),"0")</f>
        <v/>
      </c>
      <c r="AT160" s="15" t="str">
        <f t="shared" si="7"/>
        <v/>
      </c>
      <c r="AU160" s="15" t="str">
        <f t="shared" si="8"/>
        <v/>
      </c>
    </row>
    <row r="161" spans="2:47" ht="18" customHeight="1" thickBot="1" x14ac:dyDescent="0.3">
      <c r="B161" s="16"/>
      <c r="C161" s="172" t="str">
        <f>IFERROR(IF(C160="","",VLOOKUP(C160,LISTAS!$F$5:$G$1004,2,0)),"0")</f>
        <v/>
      </c>
      <c r="D161" s="235"/>
      <c r="E161" s="57"/>
      <c r="F161" s="51"/>
      <c r="G161" s="176"/>
      <c r="H161" s="51"/>
      <c r="I161" s="11"/>
      <c r="J161" s="11"/>
      <c r="K161" s="166"/>
      <c r="L161" s="11"/>
      <c r="M161" s="18"/>
      <c r="N161" s="11"/>
      <c r="O161" s="166"/>
      <c r="P161" s="11"/>
      <c r="Q161" s="8"/>
      <c r="R161" s="182"/>
      <c r="S161" s="8"/>
      <c r="T161" s="8"/>
      <c r="U161" s="8"/>
      <c r="V161" s="182"/>
      <c r="W161" s="8"/>
      <c r="X161" s="62"/>
      <c r="Y161" s="182"/>
      <c r="Z161" s="65"/>
      <c r="AA161" s="8"/>
      <c r="AB161" s="11"/>
      <c r="AC161" s="182"/>
      <c r="AD161" s="8"/>
      <c r="AE161" s="8"/>
      <c r="AF161" s="8"/>
      <c r="AG161" s="181"/>
      <c r="AH161" s="78"/>
      <c r="AI161" s="124"/>
      <c r="AJ161" s="235"/>
      <c r="AK161" s="172" t="str">
        <f>IFERROR(IF(AK160="","",VLOOKUP(AK160,LISTAS!$F$5:$G$1004,2,0)),"0")</f>
        <v/>
      </c>
      <c r="AL161" s="11"/>
      <c r="AP161" s="13" t="str">
        <f>IF(AR161&lt;&gt;"",1+COUNTIF(AP136:AP160,"1")+COUNTIF(AP136:AP160,"2")+COUNTIF(AP136:AP160,"3")+COUNTIF(AP136:AP160,"4")+COUNTIF(AP136:AP160,"5")+COUNTIF(AP136:AP160,"6")+COUNTIF(AP136:AP160,"7")+COUNTIF(AP136:AP160,"8")+COUNTIF(AP136:AP160,"9")+COUNTIF(AP136:AP160,"10")+COUNTIF(AP136:AP160,"11")+COUNTIF(AP136:AP160,"12")+COUNTIF(AP136:AP160,"13")+COUNTIF(AP136:AP160,"14")+COUNTIF(AP136:AP160,"15")+COUNTIF(AP136:AP160,"16")+COUNTIF(AP136:AP160,"17")+COUNTIF(AP136:AP160,"18")+COUNTIF(AP136:AP160,"19")+COUNTIF(AP136:AP160,"20")+COUNTIF(AP136:AP160,"21")+COUNTIF(AP136:AP160,"22")+COUNTIF(AP136:AP160,"23")+COUNTIF(AP136:AP160,"24")+COUNTIF(AP136:AP160,"25"),"")</f>
        <v/>
      </c>
      <c r="AQ161" s="14" t="str">
        <f t="shared" si="6"/>
        <v/>
      </c>
      <c r="AR161" s="21" t="str">
        <f>IF(AR145&lt;&gt;"",IF(C136=AR145,G138,IF(C138=AR145,G138,IF(C144=AR145,G146,IF(C146=AR145,G146,IF(C166=AR145,G168,IF(C168=AR145,G168,IF(C174=AR145,G176,IF(C176=AR145,G176,IF(C152=AR145,G154,IF(C154=AR145,G154,IF(C160=AR145,G162,IF(C162=AR145,G162,IF(C182=AR145,G184,IF(C184=AR145,G184,IF(C190=AR145,G192,IF(C192=AR145,G192,IF(AK136=AR145,AI138,IF(AK138=AR145,AI138,IF(AK144=AR145,AI146,IF(AK146=AR145,AI146,IF(AK166=AR145,AI168,IF(AK168=AR145,AI168,IF(AK174=AR145,AI176,IF(AK176=AR145,AI176,IF(AK152=AR145,AI154,IF(AK154=AR145,AI154,IF(AK160=AR145,AI162,IF(AK162=AR145,AI162,IF(AK182=AR145,AI184,IF(AK184=AR145,AI184,IF(AK190=AR145,AI192,IF(AK192=AR145,AI192)))))))))))))))))))))))))))))))),"")</f>
        <v/>
      </c>
      <c r="AS161" s="15" t="str">
        <f>IFERROR(IF(AR161="","",VLOOKUP(AR161,LISTAS!$F$5:$G$1004,2,0)),"0")</f>
        <v/>
      </c>
      <c r="AT161" s="15" t="str">
        <f t="shared" si="7"/>
        <v/>
      </c>
      <c r="AU161" s="15" t="str">
        <f t="shared" si="8"/>
        <v/>
      </c>
    </row>
    <row r="162" spans="2:47" ht="18" customHeight="1" thickBot="1" x14ac:dyDescent="0.3">
      <c r="B162" s="16">
        <v>8</v>
      </c>
      <c r="C162" s="171" t="str">
        <f>IF('09F GRP'!G5&gt;=3,'09F GRP'!J114,IF('09F GRP'!G5=2,"",IF('09F GRP'!G5=1,"","")))</f>
        <v/>
      </c>
      <c r="D162" s="234">
        <v>0</v>
      </c>
      <c r="E162" s="57">
        <f>IF(D162&lt;&gt;"",D162,"")</f>
        <v>0</v>
      </c>
      <c r="F162" s="51" t="str">
        <f>IF(D162&lt;&gt;"",IF(C162="","",C162),"")</f>
        <v/>
      </c>
      <c r="G162" s="176" t="str">
        <f>VLOOKUP(G160,E160:F162,2,0)</f>
        <v/>
      </c>
      <c r="H162" s="51"/>
      <c r="I162" s="11"/>
      <c r="J162" s="11"/>
      <c r="K162" s="166"/>
      <c r="L162" s="11"/>
      <c r="M162" s="18"/>
      <c r="N162" s="11"/>
      <c r="O162" s="166"/>
      <c r="P162" s="11"/>
      <c r="Q162" s="8"/>
      <c r="R162" s="236" t="s">
        <v>37</v>
      </c>
      <c r="S162" s="236"/>
      <c r="T162" s="236"/>
      <c r="U162" s="236"/>
      <c r="V162" s="236"/>
      <c r="W162" s="8"/>
      <c r="X162" s="62"/>
      <c r="Y162" s="182"/>
      <c r="Z162" s="65"/>
      <c r="AA162" s="8"/>
      <c r="AB162" s="11"/>
      <c r="AC162" s="182"/>
      <c r="AD162" s="8"/>
      <c r="AE162" s="8"/>
      <c r="AF162" s="8"/>
      <c r="AG162" s="181">
        <f>IF(AJ162&lt;&gt;"",AJ162,"")</f>
        <v>0</v>
      </c>
      <c r="AH162" s="78" t="str">
        <f>IF(AJ162&lt;&gt;"",IF(AK162="","",AK162),"")</f>
        <v/>
      </c>
      <c r="AI162" s="125" t="str">
        <f>VLOOKUP(AI160,AG160:AH162,2,0)</f>
        <v/>
      </c>
      <c r="AJ162" s="234">
        <v>0</v>
      </c>
      <c r="AK162" s="171" t="str">
        <f>IF('09F GRP'!G5&gt;=3,'09F GRP'!J88,IF('09F GRP'!G5=2,"",IF('09F GRP'!G5=1,"","")))</f>
        <v/>
      </c>
      <c r="AL162" s="11">
        <v>6</v>
      </c>
      <c r="AP162" s="13" t="str">
        <f>IF(AR162&lt;&gt;"",1+COUNTIF(AP136:AP161,"1")+COUNTIF(AP136:AP161,"2")+COUNTIF(AP136:AP161,"3")+COUNTIF(AP136:AP161,"4")+COUNTIF(AP136:AP161,"5")+COUNTIF(AP136:AP161,"6")+COUNTIF(AP136:AP161,"7")+COUNTIF(AP136:AP161,"8")+COUNTIF(AP136:AP161,"9")+COUNTIF(AP136:AP161,"10")+COUNTIF(AP136:AP161,"11")+COUNTIF(AP136:AP161,"12")+COUNTIF(AP136:AP161,"13")+COUNTIF(AP136:AP161,"14")+COUNTIF(AP136:AP161,"15")+COUNTIF(AP136:AP161,"16")+COUNTIF(AP136:AP161,"17")+COUNTIF(AP136:AP161,"18")+COUNTIF(AP136:AP161,"19")+COUNTIF(AP136:AP161,"20")+COUNTIF(AP136:AP161,"21")+COUNTIF(AP136:AP161,"22")+COUNTIF(AP136:AP161,"23")+COUNTIF(AP136:AP161,"24")+COUNTIF(AP136:AP161,"25")+COUNTIF(AP136:AP161,"26"),"")</f>
        <v/>
      </c>
      <c r="AQ162" s="14" t="str">
        <f t="shared" si="6"/>
        <v/>
      </c>
      <c r="AR162" s="21" t="str">
        <f>IF(AR146&lt;&gt;"",IF(C136=AR146,G138,IF(C138=AR146,G138,IF(C144=AR146,G146,IF(C146=AR146,G146,IF(C166=AR146,G168,IF(C168=AR146,G168,IF(C174=AR146,G176,IF(C176=AR146,G176,IF(C152=AR146,G154,IF(C154=AR146,G154,IF(C160=AR146,G162,IF(C162=AR146,G162,IF(C182=AR146,G184,IF(C184=AR146,G184,IF(C190=AR146,G192,IF(C192=AR146,G192,IF(AK136=AR146,AI138,IF(AK138=AR146,AI138,IF(AK144=AR146,AI146,IF(AK146=AR146,AI146,IF(AK166=AR146,AI168,IF(AK168=AR146,AI168,IF(AK174=AR146,AI176,IF(AK176=AR146,AI176,IF(AK152=AR146,AI154,IF(AK154=AR146,AI154,IF(AK160=AR146,AI162,IF(AK162=AR146,AI162,IF(AK182=AR146,AI184,IF(AK184=AR146,AI184,IF(AK190=AR146,AI192,IF(AK192=AR146,AI192)))))))))))))))))))))))))))))))),"")</f>
        <v/>
      </c>
      <c r="AS162" s="15" t="str">
        <f>IFERROR(IF(AR162="","",VLOOKUP(AR162,LISTAS!$F$5:$G$1004,2,0)),"0")</f>
        <v/>
      </c>
      <c r="AT162" s="15" t="str">
        <f t="shared" si="7"/>
        <v/>
      </c>
      <c r="AU162" s="15" t="str">
        <f t="shared" si="8"/>
        <v/>
      </c>
    </row>
    <row r="163" spans="2:47" ht="18" customHeight="1" thickBot="1" x14ac:dyDescent="0.3">
      <c r="B163" s="16"/>
      <c r="C163" s="172" t="str">
        <f>IFERROR(IF(C162="","",VLOOKUP(C162,LISTAS!$F$5:$G$1004,2,0)),"0")</f>
        <v/>
      </c>
      <c r="D163" s="235"/>
      <c r="E163" s="51"/>
      <c r="F163" s="51"/>
      <c r="G163" s="176"/>
      <c r="H163" s="51"/>
      <c r="I163" s="11"/>
      <c r="J163" s="11"/>
      <c r="K163" s="166"/>
      <c r="L163" s="11"/>
      <c r="M163" s="18"/>
      <c r="N163" s="11"/>
      <c r="O163" s="171" t="str">
        <f>IF(L148&lt;&gt;"",IF(L150&lt;&gt;"",IF(L148=L150,"",IF(L148&gt;L150,K148,K150)),""),"")</f>
        <v/>
      </c>
      <c r="P163" s="234">
        <v>0</v>
      </c>
      <c r="Q163" s="8"/>
      <c r="R163" s="167"/>
      <c r="S163" s="71"/>
      <c r="T163" s="71"/>
      <c r="U163" s="71"/>
      <c r="V163" s="167"/>
      <c r="W163" s="8"/>
      <c r="X163" s="234">
        <v>0</v>
      </c>
      <c r="Y163" s="171" t="str">
        <f>IF(AB148&lt;&gt;"",IF(AB150&lt;&gt;"",IF(AB148=AB150,"",IF(AB148&gt;AB150,AC148,AC150)),""),"")</f>
        <v/>
      </c>
      <c r="Z163" s="65"/>
      <c r="AA163" s="8"/>
      <c r="AB163" s="11"/>
      <c r="AC163" s="182"/>
      <c r="AD163" s="8"/>
      <c r="AE163" s="8"/>
      <c r="AF163" s="8"/>
      <c r="AG163" s="181"/>
      <c r="AH163" s="78"/>
      <c r="AI163" s="51"/>
      <c r="AJ163" s="235"/>
      <c r="AK163" s="172" t="str">
        <f>IFERROR(IF(AK162="","",VLOOKUP(AK162,LISTAS!$F$5:$G$1004,2,0)),"0")</f>
        <v/>
      </c>
      <c r="AL163" s="11"/>
      <c r="AP163" s="13" t="str">
        <f>IF(AR163&lt;&gt;"",1+COUNTIF(AP136:AP162,"1")+COUNTIF(AP136:AP162,"2")+COUNTIF(AP136:AP162,"3")+COUNTIF(AP136:AP162,"4")+COUNTIF(AP136:AP162,"5")+COUNTIF(AP136:AP162,"6")+COUNTIF(AP136:AP162,"7")+COUNTIF(AP136:AP162,"8")+COUNTIF(AP136:AP162,"9")+COUNTIF(AP136:AP162,"10")+COUNTIF(AP136:AP162,"11")+COUNTIF(AP136:AP162,"12")+COUNTIF(AP136:AP162,"13")+COUNTIF(AP136:AP162,"14")+COUNTIF(AP136:AP162,"15")+COUNTIF(AP136:AP162,"16")+COUNTIF(AP136:AP162,"17")+COUNTIF(AP136:AP162,"18")+COUNTIF(AP136:AP162,"19")+COUNTIF(AP136:AP162,"20")+COUNTIF(AP136:AP162,"21")+COUNTIF(AP136:AP162,"22")+COUNTIF(AP136:AP162,"23")+COUNTIF(AP136:AP162,"24")+COUNTIF(AP136:AP162,"25")+COUNTIF(AP136:AP162,"26")+COUNTIF(AP136:AP162,"27"),"")</f>
        <v/>
      </c>
      <c r="AQ163" s="14" t="str">
        <f t="shared" si="6"/>
        <v/>
      </c>
      <c r="AR163" s="21" t="str">
        <f>IF(AR147&lt;&gt;"",IF(C136=AR147,G138,IF(C138=AR147,G138,IF(C144=AR147,G146,IF(C146=AR147,G146,IF(C166=AR147,G168,IF(C168=AR147,G168,IF(C174=AR147,G176,IF(C176=AR147,G176,IF(C152=AR147,G154,IF(C154=AR147,G154,IF(C160=AR147,G162,IF(C162=AR147,G162,IF(C182=AR147,G184,IF(C184=AR147,G184,IF(C190=AR147,G192,IF(C192=AR147,G192,IF(AK136=AR147,AI138,IF(AK138=AR147,AI138,IF(AK144=AR147,AI146,IF(AK146=AR147,AI146,IF(AK166=AR147,AI168,IF(AK168=AR147,AI168,IF(AK174=AR147,AI176,IF(AK176=AR147,AI176,IF(AK152=AR147,AI154,IF(AK154=AR147,AI154,IF(AK160=AR147,AI162,IF(AK162=AR147,AI162,IF(AK182=AR147,AI184,IF(AK184=AR147,AI184,IF(AK190=AR147,AI192,IF(AK192=AR147,AI192)))))))))))))))))))))))))))))))),"")</f>
        <v/>
      </c>
      <c r="AS163" s="15" t="str">
        <f>IFERROR(IF(AR163="","",VLOOKUP(AR163,LISTAS!$F$5:$G$1004,2,0)),"0")</f>
        <v/>
      </c>
      <c r="AT163" s="15" t="str">
        <f t="shared" si="7"/>
        <v/>
      </c>
      <c r="AU163" s="15" t="str">
        <f t="shared" si="8"/>
        <v/>
      </c>
    </row>
    <row r="164" spans="2:47" ht="18" customHeight="1" thickBot="1" x14ac:dyDescent="0.3">
      <c r="B164" s="16"/>
      <c r="C164" s="166"/>
      <c r="D164" s="11"/>
      <c r="E164" s="11"/>
      <c r="F164" s="11"/>
      <c r="G164" s="166"/>
      <c r="H164" s="11"/>
      <c r="I164" s="11"/>
      <c r="J164" s="11"/>
      <c r="K164" s="166"/>
      <c r="L164" s="11"/>
      <c r="M164" s="18"/>
      <c r="N164" s="11"/>
      <c r="O164" s="172" t="str">
        <f>IFERROR(IF(O163="","",VLOOKUP(O163,LISTAS!$F$5:$G$1004,2,0)),"0")</f>
        <v/>
      </c>
      <c r="P164" s="235"/>
      <c r="Q164" s="8"/>
      <c r="R164" s="171" t="str">
        <f>IF(P163&lt;&gt;"",IF(P165&lt;&gt;"",IF(P163=P165,"",IF(P163&gt;P165,O163,O165)),""),"")</f>
        <v>PIETRA SALAZAR MASSUCATO</v>
      </c>
      <c r="S164" s="234">
        <v>1</v>
      </c>
      <c r="T164" s="237" t="s">
        <v>38</v>
      </c>
      <c r="U164" s="234">
        <v>0</v>
      </c>
      <c r="V164" s="171" t="str">
        <f>IF(X163&lt;&gt;"",IF(X165&lt;&gt;"",IF(X163=X165,"",IF(X163&gt;X165,Y163,Y165)),""),"")</f>
        <v/>
      </c>
      <c r="W164" s="112"/>
      <c r="X164" s="235"/>
      <c r="Y164" s="172" t="str">
        <f>IFERROR(IF(Y163="","",VLOOKUP(Y163,LISTAS!$F$5:$G$1004,2,0)),"0")</f>
        <v/>
      </c>
      <c r="Z164" s="112"/>
      <c r="AA164" s="8"/>
      <c r="AB164" s="11"/>
      <c r="AC164" s="182"/>
      <c r="AD164" s="8"/>
      <c r="AE164" s="8"/>
      <c r="AF164" s="8"/>
      <c r="AG164" s="182"/>
      <c r="AH164" s="8"/>
      <c r="AI164" s="8"/>
      <c r="AJ164" s="11"/>
      <c r="AK164" s="166"/>
      <c r="AL164" s="11"/>
      <c r="AP164" s="13" t="str">
        <f>IF(AR164&lt;&gt;"",1+COUNTIF(AP136:AP163,"1")+COUNTIF(AP136:AP163,"2")+COUNTIF(AP136:AP163,"3")+COUNTIF(AP136:AP163,"4")+COUNTIF(AP136:AP163,"5")+COUNTIF(AP136:AP163,"6")+COUNTIF(AP136:AP163,"7")+COUNTIF(AP136:AP163,"8")+COUNTIF(AP136:AP163,"9")+COUNTIF(AP136:AP163,"10")+COUNTIF(AP136:AP163,"11")+COUNTIF(AP136:AP163,"12")+COUNTIF(AP136:AP163,"13")+COUNTIF(AP136:AP163,"14")+COUNTIF(AP136:AP163,"15")+COUNTIF(AP136:AP163,"16")+COUNTIF(AP136:AP163,"17")+COUNTIF(AP136:AP163,"18")+COUNTIF(AP136:AP163,"19")+COUNTIF(AP136:AP163,"20")+COUNTIF(AP136:AP163,"21")+COUNTIF(AP136:AP163,"22")+COUNTIF(AP136:AP163,"23")+COUNTIF(AP136:AP163,"24")+COUNTIF(AP136:AP163,"25")+COUNTIF(AP136:AP163,"26")+COUNTIF(AP136:AP163,"27")+COUNTIF(AP136:AP163,"28"),"")</f>
        <v/>
      </c>
      <c r="AQ164" s="14" t="str">
        <f t="shared" si="6"/>
        <v/>
      </c>
      <c r="AR164" s="21" t="str">
        <f>IF(AR148&lt;&gt;"",IF(C136=AR148,G138,IF(C138=AR148,G138,IF(C144=AR148,G146,IF(C146=AR148,G146,IF(C166=AR148,G168,IF(C168=AR148,G168,IF(C174=AR148,G176,IF(C176=AR148,G176,IF(C152=AR148,G154,IF(C154=AR148,G154,IF(C160=AR148,G162,IF(C162=AR148,G162,IF(C182=AR148,G184,IF(C184=AR148,G184,IF(C190=AR148,G192,IF(C192=AR148,G192,IF(AK136=AR148,AI138,IF(AK138=AR148,AI138,IF(AK144=AR148,AI146,IF(AK146=AR148,AI146,IF(AK166=AR148,AI168,IF(AK168=AR148,AI168,IF(AK174=AR148,AI176,IF(AK176=AR148,AI176,IF(AK152=AR148,AI154,IF(AK154=AR148,AI154,IF(AK160=AR148,AI162,IF(AK162=AR148,AI162,IF(AK182=AR148,AI184,IF(AK184=AR148,AI184,IF(AK190=AR148,AI192,IF(AK192=AR148,AI192)))))))))))))))))))))))))))))))),"")</f>
        <v/>
      </c>
      <c r="AS164" s="15" t="str">
        <f>IFERROR(IF(AR164="","",VLOOKUP(AR164,LISTAS!$F$5:$G$1004,2,0)),"0")</f>
        <v/>
      </c>
      <c r="AT164" s="15" t="str">
        <f t="shared" si="7"/>
        <v/>
      </c>
      <c r="AU164" s="15" t="str">
        <f t="shared" si="8"/>
        <v/>
      </c>
    </row>
    <row r="165" spans="2:47" ht="18" customHeight="1" thickBot="1" x14ac:dyDescent="0.3">
      <c r="B165" s="16"/>
      <c r="C165" s="166"/>
      <c r="D165" s="11"/>
      <c r="E165" s="11"/>
      <c r="F165" s="11"/>
      <c r="G165" s="166"/>
      <c r="H165" s="11"/>
      <c r="I165" s="11"/>
      <c r="J165" s="11"/>
      <c r="K165" s="166"/>
      <c r="L165" s="11"/>
      <c r="M165" s="18"/>
      <c r="N165" s="19"/>
      <c r="O165" s="171" t="str">
        <f>IF(L178&lt;&gt;"",IF(L180&lt;&gt;"",IF(L178=L180,"",IF(L178&gt;L180,K178,K180)),""),"")</f>
        <v>PIETRA SALAZAR MASSUCATO</v>
      </c>
      <c r="P165" s="234">
        <v>1</v>
      </c>
      <c r="Q165" s="72"/>
      <c r="R165" s="172" t="str">
        <f>IFERROR(IF(R164="","",VLOOKUP(R164,LISTAS!$F$5:$G$1004,2,0)),"0")</f>
        <v>PEN LIFE</v>
      </c>
      <c r="S165" s="235"/>
      <c r="T165" s="237"/>
      <c r="U165" s="235"/>
      <c r="V165" s="172" t="str">
        <f>IFERROR(IF(V164="","",VLOOKUP(V164,LISTAS!$F$5:$G$1004,2,0)),"0")</f>
        <v/>
      </c>
      <c r="W165" s="66"/>
      <c r="X165" s="234">
        <v>0</v>
      </c>
      <c r="Y165" s="171" t="str">
        <f>IF(AB178&lt;&gt;"",IF(AB180&lt;&gt;"",IF(AB178=AB180,"",IF(AB178&gt;AB180,AC178,AC180)),""),"")</f>
        <v/>
      </c>
      <c r="Z165" s="66"/>
      <c r="AA165" s="8"/>
      <c r="AB165" s="11"/>
      <c r="AC165" s="182"/>
      <c r="AD165" s="8"/>
      <c r="AE165" s="8"/>
      <c r="AF165" s="8"/>
      <c r="AG165" s="182"/>
      <c r="AH165" s="8"/>
      <c r="AI165" s="8"/>
      <c r="AJ165" s="11"/>
      <c r="AK165" s="166"/>
      <c r="AL165" s="11"/>
      <c r="AP165" s="13" t="str">
        <f>IF(AR165&lt;&gt;"",1+COUNTIF(AP136:AP164,"1")+COUNTIF(AP136:AP164,"2")+COUNTIF(AP136:AP164,"3")+COUNTIF(AP136:AP164,"4")+COUNTIF(AP136:AP164,"5")+COUNTIF(AP136:AP164,"6")+COUNTIF(AP136:AP164,"7")+COUNTIF(AP136:AP164,"8")+COUNTIF(AP136:AP164,"9")+COUNTIF(AP136:AP164,"10")+COUNTIF(AP136:AP164,"11")+COUNTIF(AP136:AP164,"12")+COUNTIF(AP136:AP164,"13")+COUNTIF(AP136:AP164,"14")+COUNTIF(AP136:AP164,"15")+COUNTIF(AP136:AP164,"16")+COUNTIF(AP136:AP164,"17")+COUNTIF(AP136:AP164,"18")+COUNTIF(AP136:AP164,"19")+COUNTIF(AP136:AP164,"20")+COUNTIF(AP136:AP164,"21")+COUNTIF(AP136:AP164,"22")+COUNTIF(AP136:AP164,"23")+COUNTIF(AP136:AP164,"24")+COUNTIF(AP136:AP164,"25")+COUNTIF(AP136:AP164,"26")+COUNTIF(AP136:AP164,"27")+COUNTIF(AP136:AP164,"28")+COUNTIF(AP136:AP164,"29"),"")</f>
        <v/>
      </c>
      <c r="AQ165" s="14" t="str">
        <f t="shared" si="6"/>
        <v/>
      </c>
      <c r="AR165" s="21" t="str">
        <f>IF(AR149&lt;&gt;"",IF(C136=AR149,G138,IF(C138=AR149,G138,IF(C144=AR149,G146,IF(C146=AR149,G146,IF(C166=AR149,G168,IF(C168=AR149,G168,IF(C174=AR149,G176,IF(C176=AR149,G176,IF(C152=AR149,G154,IF(C154=AR149,G154,IF(C160=AR149,G162,IF(C162=AR149,G162,IF(C182=AR149,G184,IF(C184=AR149,G184,IF(C190=AR149,G192,IF(C192=AR149,G192,IF(AK136=AR149,AI138,IF(AK138=AR149,AI138,IF(AK144=AR149,AI146,IF(AK146=AR149,AI146,IF(AK166=AR149,AI168,IF(AK168=AR149,AI168,IF(AK174=AR149,AI176,IF(AK176=AR149,AI176,IF(AK152=AR149,AI154,IF(AK154=AR149,AI154,IF(AK160=AR149,AI162,IF(AK162=AR149,AI162,IF(AK182=AR149,AI184,IF(AK184=AR149,AI184,IF(AK190=AR149,AI192,IF(AK192=AR149,AI192)))))))))))))))))))))))))))))))),"")</f>
        <v/>
      </c>
      <c r="AS165" s="15" t="str">
        <f>IFERROR(IF(AR165="","",VLOOKUP(AR165,LISTAS!$F$5:$G$1004,2,0)),"0")</f>
        <v/>
      </c>
      <c r="AT165" s="15" t="str">
        <f t="shared" si="7"/>
        <v/>
      </c>
      <c r="AU165" s="15" t="str">
        <f t="shared" si="8"/>
        <v/>
      </c>
    </row>
    <row r="166" spans="2:47" ht="18" customHeight="1" thickBot="1" x14ac:dyDescent="0.3">
      <c r="B166" s="16">
        <v>5</v>
      </c>
      <c r="C166" s="171" t="str">
        <f>IF('09F GRP'!G5&gt;=3,'09F GRP'!J75,IF('09F GRP'!G5=2,"",IF('09F GRP'!G5=1,"","")))</f>
        <v>PIETRA SALAZAR MASSUCATO</v>
      </c>
      <c r="D166" s="234">
        <v>2</v>
      </c>
      <c r="E166" s="51">
        <f>IF(D166&lt;&gt;"",D166,"")</f>
        <v>2</v>
      </c>
      <c r="F166" s="51" t="str">
        <f>IF(D166&lt;&gt;"",IF(C166="","",C166),"")</f>
        <v>PIETRA SALAZAR MASSUCATO</v>
      </c>
      <c r="G166" s="176">
        <f>IF(E166&lt;&gt;"",IF(E168&lt;&gt;"",SMALL(E166:E168,1),""),"")</f>
        <v>0</v>
      </c>
      <c r="H166" s="51"/>
      <c r="I166" s="51"/>
      <c r="J166" s="11"/>
      <c r="K166" s="166"/>
      <c r="L166" s="11"/>
      <c r="M166" s="18"/>
      <c r="N166" s="8"/>
      <c r="O166" s="172" t="str">
        <f>IFERROR(IF(O165="","",VLOOKUP(O165,LISTAS!$F$5:$G$1004,2,0)),"0")</f>
        <v>PEN LIFE</v>
      </c>
      <c r="P166" s="235"/>
      <c r="Q166" s="60"/>
      <c r="R166" s="182"/>
      <c r="S166" s="8"/>
      <c r="T166" s="8"/>
      <c r="U166" s="8"/>
      <c r="V166" s="182"/>
      <c r="W166" s="8"/>
      <c r="X166" s="235"/>
      <c r="Y166" s="172" t="str">
        <f>IFERROR(IF(Y165="","",VLOOKUP(Y165,LISTAS!$F$5:$G$1004,2,0)),"0")</f>
        <v/>
      </c>
      <c r="Z166" s="65"/>
      <c r="AA166" s="8"/>
      <c r="AB166" s="11"/>
      <c r="AC166" s="182"/>
      <c r="AD166" s="8"/>
      <c r="AE166" s="8"/>
      <c r="AF166" s="8"/>
      <c r="AG166" s="181">
        <f>IF(AJ166&lt;&gt;"",AJ166,"")</f>
        <v>0</v>
      </c>
      <c r="AH166" s="78" t="str">
        <f>IF(AJ166&lt;&gt;"",IF(AK166="","",AK166),"")</f>
        <v/>
      </c>
      <c r="AI166" s="51">
        <f>IF(AG166&lt;&gt;"",IF(AG168&lt;&gt;"",SMALL(AG166:AG168,1),""),"")</f>
        <v>0</v>
      </c>
      <c r="AJ166" s="234">
        <v>0</v>
      </c>
      <c r="AK166" s="171" t="str">
        <f>IF('09F GRP'!G5&gt;=3,'09F GRP'!J101,IF('09F GRP'!G5=2,"",IF('09F GRP'!G5=1,"","")))</f>
        <v/>
      </c>
      <c r="AL166" s="11">
        <v>7</v>
      </c>
      <c r="AP166" s="13" t="str">
        <f>IF(AR166&lt;&gt;"",1+COUNTIF(AP136:AP165,"1")+COUNTIF(AP136:AP165,"2")+COUNTIF(AP136:AP165,"3")+COUNTIF(AP136:AP165,"4")+COUNTIF(AP136:AP165,"5")+COUNTIF(AP136:AP165,"6")+COUNTIF(AP136:AP165,"7")+COUNTIF(AP136:AP165,"8")+COUNTIF(AP136:AP165,"9")+COUNTIF(AP136:AP165,"10")+COUNTIF(AP136:AP165,"11")+COUNTIF(AP136:AP165,"12")+COUNTIF(AP136:AP165,"13")+COUNTIF(AP136:AP165,"14")+COUNTIF(AP136:AP165,"15")+COUNTIF(AP136:AP165,"16")+COUNTIF(AP136:AP165,"17")+COUNTIF(AP136:AP165,"18")+COUNTIF(AP136:AP165,"19")+COUNTIF(AP136:AP165,"20")+COUNTIF(AP136:AP165,"21")+COUNTIF(AP136:AP165,"22")+COUNTIF(AP136:AP165,"23")+COUNTIF(AP136:AP165,"24")+COUNTIF(AP136:AP165,"25")+COUNTIF(AP136:AP165,"26")+COUNTIF(AP136:AP165,"27")+COUNTIF(AP136:AP165,"28")+COUNTIF(AP136:AP165,"29")+COUNTIF(AP136:AP165,"30"),"")</f>
        <v/>
      </c>
      <c r="AQ166" s="14" t="str">
        <f t="shared" si="6"/>
        <v/>
      </c>
      <c r="AR166" s="21" t="str">
        <f>IF(AR150&lt;&gt;"",IF(C136=AR150,G138,IF(C138=AR150,G138,IF(C144=AR150,G146,IF(C146=AR150,G146,IF(C166=AR150,G168,IF(C168=AR150,G168,IF(C174=AR150,G176,IF(C176=AR150,G176,IF(C152=AR150,G154,IF(C154=AR150,G154,IF(C160=AR150,G162,IF(C162=AR150,G162,IF(C182=AR150,G184,IF(C184=AR150,G184,IF(C190=AR150,G192,IF(C192=AR150,G192,IF(AK136=AR150,AI138,IF(AK138=AR150,AI138,IF(AK144=AR150,AI146,IF(AK146=AR150,AI146,IF(AK166=AR150,AI168,IF(AK168=AR150,AI168,IF(AK174=AR150,AI176,IF(AK176=AR150,AI176,IF(AK152=AR150,AI154,IF(AK154=AR150,AI154,IF(AK160=AR150,AI162,IF(AK162=AR150,AI162,IF(AK182=AR150,AI184,IF(AK184=AR150,AI184,IF(AK190=AR150,AI192,IF(AK192=AR150,AI192)))))))))))))))))))))))))))))))),"")</f>
        <v/>
      </c>
      <c r="AS166" s="15" t="str">
        <f>IFERROR(IF(AR166="","",VLOOKUP(AR166,LISTAS!$F$5:$G$1004,2,0)),"0")</f>
        <v/>
      </c>
      <c r="AT166" s="15" t="str">
        <f t="shared" si="7"/>
        <v/>
      </c>
      <c r="AU166" s="15" t="str">
        <f t="shared" si="8"/>
        <v/>
      </c>
    </row>
    <row r="167" spans="2:47" ht="18" customHeight="1" thickBot="1" x14ac:dyDescent="0.3">
      <c r="B167" s="16"/>
      <c r="C167" s="172" t="str">
        <f>IFERROR(IF(C166="","",VLOOKUP(C166,LISTAS!$F$5:$G$1004,2,0)),"0")</f>
        <v>PEN LIFE</v>
      </c>
      <c r="D167" s="235"/>
      <c r="E167" s="51"/>
      <c r="F167" s="51"/>
      <c r="G167" s="176"/>
      <c r="H167" s="51"/>
      <c r="I167" s="51"/>
      <c r="J167" s="51"/>
      <c r="K167" s="176"/>
      <c r="L167" s="51"/>
      <c r="M167" s="54"/>
      <c r="N167" s="78"/>
      <c r="O167" s="181"/>
      <c r="P167" s="78"/>
      <c r="Q167" s="78"/>
      <c r="R167" s="182"/>
      <c r="S167" s="8"/>
      <c r="T167" s="8"/>
      <c r="U167" s="8"/>
      <c r="V167" s="182"/>
      <c r="W167" s="8"/>
      <c r="X167" s="62"/>
      <c r="Y167" s="182"/>
      <c r="Z167" s="65"/>
      <c r="AA167" s="8"/>
      <c r="AB167" s="11"/>
      <c r="AC167" s="182"/>
      <c r="AD167" s="8"/>
      <c r="AE167" s="8"/>
      <c r="AF167" s="8"/>
      <c r="AG167" s="181"/>
      <c r="AH167" s="78"/>
      <c r="AI167" s="51"/>
      <c r="AJ167" s="235"/>
      <c r="AK167" s="172" t="str">
        <f>IFERROR(IF(AK166="","",VLOOKUP(AK166,LISTAS!$F$5:$G$1004,2,0)),"0")</f>
        <v/>
      </c>
      <c r="AL167" s="11"/>
      <c r="AP167" s="13" t="str">
        <f>IF(AR167&lt;&gt;"",1+COUNTIF(AP136:AP166,"1")+COUNTIF(AP136:AP166,"2")+COUNTIF(AP136:AP166,"3")+COUNTIF(AP136:AP166,"4")+COUNTIF(AP136:AP166,"5")+COUNTIF(AP136:AP166,"6")+COUNTIF(AP136:AP166,"7")+COUNTIF(AP136:AP166,"8")+COUNTIF(AP136:AP166,"9")+COUNTIF(AP136:AP166,"10")+COUNTIF(AP136:AP166,"11")+COUNTIF(AP136:AP166,"12")+COUNTIF(AP136:AP166,"13")+COUNTIF(AP136:AP166,"14")+COUNTIF(AP136:AP166,"15")+COUNTIF(AP136:AP166,"16")+COUNTIF(AP136:AP166,"17")+COUNTIF(AP136:AP166,"18")+COUNTIF(AP136:AP166,"19")+COUNTIF(AP136:AP166,"20")+COUNTIF(AP136:AP166,"21")+COUNTIF(AP136:AP166,"22")+COUNTIF(AP136:AP166,"23")+COUNTIF(AP136:AP166,"24")+COUNTIF(AP136:AP166,"25")+COUNTIF(AP136:AP166,"26")+COUNTIF(AP136:AP166,"27")+COUNTIF(AP136:AP166,"28")+COUNTIF(AP136:AP166,"29")+COUNTIF(AP136:AP166,"30")+COUNTIF(AP136:AP166,"31"),"")</f>
        <v/>
      </c>
      <c r="AQ167" s="14" t="str">
        <f t="shared" si="6"/>
        <v/>
      </c>
      <c r="AR167" s="21" t="str">
        <f>IF(AR151&lt;&gt;"",IF(C136=AR151,G138,IF(C138=AR151,G138,IF(C144=AR151,G146,IF(C146=AR151,G146,IF(C166=AR151,G168,IF(C168=AR151,G168,IF(C174=AR151,G176,IF(C176=AR151,G176,IF(C152=AR151,G154,IF(C154=AR151,G154,IF(C160=AR151,G162,IF(C162=AR151,G162,IF(C182=AR151,G184,IF(C184=AR151,G184,IF(C190=AR151,G192,IF(C192=AR151,G192,IF(AK136=AR151,AI138,IF(AK138=AR151,AI138,IF(AK144=AR151,AI146,IF(AK146=AR151,AI146,IF(AK166=AR151,AI168,IF(AK168=AR151,AI168,IF(AK174=AR151,AI176,IF(AK176=AR151,AI176,IF(AK152=AR151,AI154,IF(AK154=AR151,AI154,IF(AK160=AR151,AI162,IF(AK162=AR151,AI162,IF(AK182=AR151,AI184,IF(AK184=AR151,AI184,IF(AK190=AR151,AI192,IF(AK192=AR151,AI192)))))))))))))))))))))))))))))))),"")</f>
        <v/>
      </c>
      <c r="AS167" s="15" t="str">
        <f>IFERROR(IF(AR167="","",VLOOKUP(AR167,LISTAS!$F$5:$G$1004,2,0)),"0")</f>
        <v/>
      </c>
      <c r="AT167" s="15" t="str">
        <f>IF(AP167="","",IF(AP167=1,100,IF(AP167=2,80,IF(AP167=3,70,IF(AP167=4,50,IF(AP167=5,45,IF(AP167=6,40,IF(AP167=7,35,IF(AP167=8,30,IF(AP167=9,28,IF(AP167=10,28,IF(AP167=11,28,IF(AP167=12,28,IF(AP167=13,28,IF(AP167=14,28,IF(AP167=15,28,IF(AP167=16,28,IF(AP167&gt;16,"",""))))))))))))))))))</f>
        <v/>
      </c>
      <c r="AU167" s="15" t="str">
        <f>IF(AP167="","",IF($AS$5="NÃO","",IF(AP167=1,100,IF(AP167=2,80,IF(AP167=3,70,IF(AP167=4,50,IF(AP167=5,45,IF(AP167=6,40,IF(AP167=7,35,IF(AP167=8,30,IF(AP167=9,28,IF(AP167=10,28,IF(AP167=11,28,IF(AP167=12,28,IF(AP167=13,28,IF(AP167=14,28,IF(AP167=15,28,IF(AP167=16,28,IF(AP167&gt;16,"","")))))))))))))))))))</f>
        <v/>
      </c>
    </row>
    <row r="168" spans="2:47" ht="18" customHeight="1" x14ac:dyDescent="0.25">
      <c r="B168" s="16">
        <v>28</v>
      </c>
      <c r="C168" s="171" t="str">
        <f>IF('09F GRP'!G5&gt;=3,'09F GRP'!J374,IF('09F GRP'!G5=2,"",IF('09F GRP'!G5=1,"","")))</f>
        <v/>
      </c>
      <c r="D168" s="234">
        <v>0</v>
      </c>
      <c r="E168" s="52">
        <f>IF(D168&lt;&gt;"",D168,"")</f>
        <v>0</v>
      </c>
      <c r="F168" s="51" t="str">
        <f>IF(D168&lt;&gt;"",IF(C168="","",C168),"")</f>
        <v/>
      </c>
      <c r="G168" s="176" t="str">
        <f>VLOOKUP(G166,E166:F168,2,0)</f>
        <v/>
      </c>
      <c r="H168" s="51"/>
      <c r="I168" s="51"/>
      <c r="J168" s="51"/>
      <c r="K168" s="176"/>
      <c r="L168" s="51"/>
      <c r="M168" s="54"/>
      <c r="N168" s="51">
        <f>IF(P163&lt;&gt;"",P163,"")</f>
        <v>0</v>
      </c>
      <c r="O168" s="176" t="str">
        <f>IF(P163&lt;&gt;"",O163,"")</f>
        <v/>
      </c>
      <c r="P168" s="51">
        <f>IF(N168&lt;&gt;"",IF(N170&lt;&gt;"",LARGE(N168:N170,1),""),"")</f>
        <v>1</v>
      </c>
      <c r="Q168" s="78"/>
      <c r="R168" s="182"/>
      <c r="S168" s="8"/>
      <c r="T168" s="8"/>
      <c r="U168" s="8"/>
      <c r="V168" s="182"/>
      <c r="W168" s="8"/>
      <c r="X168" s="62"/>
      <c r="Y168" s="182"/>
      <c r="Z168" s="65"/>
      <c r="AA168" s="8"/>
      <c r="AB168" s="11"/>
      <c r="AC168" s="182"/>
      <c r="AD168" s="8"/>
      <c r="AE168" s="8"/>
      <c r="AF168" s="8"/>
      <c r="AG168" s="181">
        <f>IF(AJ168&lt;&gt;"",AJ168,"")</f>
        <v>0</v>
      </c>
      <c r="AH168" s="78" t="str">
        <f>IF(AJ168&lt;&gt;"",IF(AK168="","",AK168),"")</f>
        <v/>
      </c>
      <c r="AI168" s="55" t="str">
        <f>VLOOKUP(AI166,AG166:AH168,2,0)</f>
        <v/>
      </c>
      <c r="AJ168" s="234">
        <v>0</v>
      </c>
      <c r="AK168" s="171" t="str">
        <f>IF('09F GRP'!G5&gt;=3,'09F GRP'!J348,IF('09F GRP'!G5=2,"",IF('09F GRP'!G5=1,"","")))</f>
        <v/>
      </c>
      <c r="AL168" s="11">
        <v>26</v>
      </c>
    </row>
    <row r="169" spans="2:47" ht="18" customHeight="1" thickBot="1" x14ac:dyDescent="0.3">
      <c r="B169" s="16"/>
      <c r="C169" s="172" t="str">
        <f>IFERROR(IF(C168="","",VLOOKUP(C168,LISTAS!$F$5:$G$1004,2,0)),"0")</f>
        <v/>
      </c>
      <c r="D169" s="235"/>
      <c r="E169" s="128"/>
      <c r="F169" s="51"/>
      <c r="G169" s="176"/>
      <c r="H169" s="51"/>
      <c r="I169" s="51"/>
      <c r="J169" s="51"/>
      <c r="K169" s="176"/>
      <c r="L169" s="51"/>
      <c r="M169" s="54"/>
      <c r="N169" s="51"/>
      <c r="O169" s="176"/>
      <c r="P169" s="51"/>
      <c r="Q169" s="78"/>
      <c r="R169" s="182"/>
      <c r="S169" s="8"/>
      <c r="T169" s="8"/>
      <c r="U169" s="8"/>
      <c r="V169" s="182"/>
      <c r="W169" s="8"/>
      <c r="X169" s="62"/>
      <c r="Y169" s="182"/>
      <c r="Z169" s="65"/>
      <c r="AA169" s="8"/>
      <c r="AB169" s="11"/>
      <c r="AC169" s="182"/>
      <c r="AD169" s="8"/>
      <c r="AE169" s="8"/>
      <c r="AF169" s="8"/>
      <c r="AG169" s="181"/>
      <c r="AH169" s="78"/>
      <c r="AI169" s="123"/>
      <c r="AJ169" s="235"/>
      <c r="AK169" s="172" t="str">
        <f>IFERROR(IF(AK168="","",VLOOKUP(AK168,LISTAS!$F$5:$G$1004,2,0)),"0")</f>
        <v/>
      </c>
      <c r="AL169" s="11"/>
    </row>
    <row r="170" spans="2:47" ht="18" customHeight="1" x14ac:dyDescent="0.25">
      <c r="B170" s="16"/>
      <c r="C170" s="166"/>
      <c r="D170" s="11"/>
      <c r="E170" s="11"/>
      <c r="F170" s="17"/>
      <c r="G170" s="171" t="str">
        <f>IF(D166&lt;&gt;"",IF(D168&lt;&gt;"",IF(D166=D168,"",IF(D166&gt;D168,C166,C168)),""),"")</f>
        <v>PIETRA SALAZAR MASSUCATO</v>
      </c>
      <c r="H170" s="234">
        <v>2</v>
      </c>
      <c r="I170" s="51">
        <f>IF(H170&lt;&gt;"",H170,"")</f>
        <v>2</v>
      </c>
      <c r="J170" s="51" t="str">
        <f>IF(H170&lt;&gt;"",IF(G170="","",G170),"")</f>
        <v>PIETRA SALAZAR MASSUCATO</v>
      </c>
      <c r="K170" s="176">
        <f>IF(I170&lt;&gt;"",IF(I172&lt;&gt;"",SMALL(I170:J172,1),""),"")</f>
        <v>0</v>
      </c>
      <c r="L170" s="51"/>
      <c r="M170" s="54"/>
      <c r="N170" s="51">
        <f>IF(P165&lt;&gt;"",P165,"")</f>
        <v>1</v>
      </c>
      <c r="O170" s="176" t="str">
        <f>IF(P165&lt;&gt;"",O165,"")</f>
        <v>PIETRA SALAZAR MASSUCATO</v>
      </c>
      <c r="P170" s="51" t="str">
        <f>VLOOKUP(P168,N168:O170,2,0)</f>
        <v>PIETRA SALAZAR MASSUCATO</v>
      </c>
      <c r="Q170" s="78"/>
      <c r="R170" s="182"/>
      <c r="S170" s="8"/>
      <c r="T170" s="8"/>
      <c r="U170" s="8"/>
      <c r="V170" s="182"/>
      <c r="W170" s="8"/>
      <c r="X170" s="62"/>
      <c r="Y170" s="182"/>
      <c r="Z170" s="65"/>
      <c r="AA170" s="8"/>
      <c r="AB170" s="11"/>
      <c r="AC170" s="182"/>
      <c r="AD170" s="8"/>
      <c r="AE170" s="67"/>
      <c r="AF170" s="234">
        <v>0</v>
      </c>
      <c r="AG170" s="171" t="str">
        <f>IF(AJ166&lt;&gt;"",IF(AJ168&lt;&gt;"",IF(AJ166=AJ168,"",IF(AJ166&gt;AJ168,AK166,AK168)),""),"")</f>
        <v/>
      </c>
      <c r="AH170" s="65"/>
      <c r="AI170" s="8"/>
      <c r="AJ170" s="11"/>
      <c r="AK170" s="166"/>
      <c r="AL170" s="11"/>
      <c r="AP170" s="2"/>
      <c r="AQ170" s="2"/>
      <c r="AR170" s="2"/>
      <c r="AS170" s="2"/>
      <c r="AT170" s="2"/>
      <c r="AU170" s="2"/>
    </row>
    <row r="171" spans="2:47" ht="18" customHeight="1" thickBot="1" x14ac:dyDescent="0.3">
      <c r="B171" s="16"/>
      <c r="C171" s="166"/>
      <c r="D171" s="11"/>
      <c r="E171" s="11"/>
      <c r="F171" s="17"/>
      <c r="G171" s="172" t="str">
        <f>IFERROR(IF(G170="","",VLOOKUP(G170,LISTAS!$F$5:$G$1004,2,0)),"0")</f>
        <v>PEN LIFE</v>
      </c>
      <c r="H171" s="235"/>
      <c r="I171" s="51"/>
      <c r="J171" s="51"/>
      <c r="K171" s="176"/>
      <c r="L171" s="51"/>
      <c r="M171" s="54"/>
      <c r="N171" s="51"/>
      <c r="O171" s="176"/>
      <c r="P171" s="51"/>
      <c r="Q171" s="78"/>
      <c r="R171" s="182"/>
      <c r="S171" s="8"/>
      <c r="T171" s="8"/>
      <c r="U171" s="8"/>
      <c r="V171" s="182"/>
      <c r="W171" s="8"/>
      <c r="X171" s="62"/>
      <c r="Y171" s="182"/>
      <c r="Z171" s="65"/>
      <c r="AA171" s="8"/>
      <c r="AB171" s="11"/>
      <c r="AC171" s="182"/>
      <c r="AD171" s="8"/>
      <c r="AE171" s="67"/>
      <c r="AF171" s="235"/>
      <c r="AG171" s="172" t="str">
        <f>IFERROR(IF(AG170="","",VLOOKUP(AG170,LISTAS!$F$5:$G$1004,2,0)),"0")</f>
        <v/>
      </c>
      <c r="AH171" s="65"/>
      <c r="AI171" s="8"/>
      <c r="AJ171" s="11"/>
      <c r="AK171" s="166"/>
      <c r="AL171" s="11"/>
      <c r="AP171" s="2"/>
      <c r="AQ171" s="2"/>
      <c r="AR171" s="2"/>
      <c r="AS171" s="2"/>
      <c r="AT171" s="2"/>
      <c r="AU171" s="2"/>
    </row>
    <row r="172" spans="2:47" ht="18" customHeight="1" x14ac:dyDescent="0.25">
      <c r="B172" s="16"/>
      <c r="C172" s="166"/>
      <c r="D172" s="11"/>
      <c r="E172" s="18"/>
      <c r="F172" s="19"/>
      <c r="G172" s="171" t="str">
        <f>IF(D174&lt;&gt;"",IF(D176&lt;&gt;"",IF(D174=D176,"",IF(D174&gt;D176,C174,C176)),""),"")</f>
        <v/>
      </c>
      <c r="H172" s="234">
        <v>0</v>
      </c>
      <c r="I172" s="52">
        <f>IF(H172&lt;&gt;"",H172,"")</f>
        <v>0</v>
      </c>
      <c r="J172" s="51" t="str">
        <f>IF(H172&lt;&gt;"",IF(G172="","",G172),"")</f>
        <v/>
      </c>
      <c r="K172" s="176" t="str">
        <f>VLOOKUP(K170,I170:J172,2,0)</f>
        <v/>
      </c>
      <c r="L172" s="51"/>
      <c r="M172" s="54"/>
      <c r="N172" s="51">
        <f>IF(P163&lt;&gt;"",P163,"")</f>
        <v>0</v>
      </c>
      <c r="O172" s="176" t="str">
        <f>IF(P163&lt;&gt;"",O163,"")</f>
        <v/>
      </c>
      <c r="P172" s="51">
        <f>IF(N172&lt;&gt;"",IF(N174&lt;&gt;"",SMALL(N172:N174,1),""),"")</f>
        <v>0</v>
      </c>
      <c r="Q172" s="78"/>
      <c r="R172" s="182"/>
      <c r="S172" s="8"/>
      <c r="T172" s="8"/>
      <c r="U172" s="8"/>
      <c r="V172" s="182"/>
      <c r="W172" s="8"/>
      <c r="X172" s="62"/>
      <c r="Y172" s="182"/>
      <c r="Z172" s="65"/>
      <c r="AA172" s="8"/>
      <c r="AB172" s="11"/>
      <c r="AC172" s="182"/>
      <c r="AD172" s="65"/>
      <c r="AE172" s="68"/>
      <c r="AF172" s="234">
        <v>0</v>
      </c>
      <c r="AG172" s="171" t="str">
        <f>IF(AJ174&lt;&gt;"",IF(AJ176&lt;&gt;"",IF(AJ174=AJ176,"",IF(AJ174&gt;AJ176,AK174,AK176)),""),"")</f>
        <v/>
      </c>
      <c r="AH172" s="66"/>
      <c r="AI172" s="8"/>
      <c r="AJ172" s="11"/>
      <c r="AK172" s="166"/>
      <c r="AL172" s="11"/>
    </row>
    <row r="173" spans="2:47" ht="18" customHeight="1" thickBot="1" x14ac:dyDescent="0.3">
      <c r="B173" s="16"/>
      <c r="C173" s="166"/>
      <c r="D173" s="11"/>
      <c r="E173" s="18"/>
      <c r="F173" s="11"/>
      <c r="G173" s="172" t="str">
        <f>IFERROR(IF(G172="","",VLOOKUP(G172,LISTAS!$F$5:$G$1004,2,0)),"0")</f>
        <v/>
      </c>
      <c r="H173" s="235"/>
      <c r="I173" s="54"/>
      <c r="J173" s="51"/>
      <c r="K173" s="176"/>
      <c r="L173" s="51"/>
      <c r="M173" s="54"/>
      <c r="N173" s="51"/>
      <c r="O173" s="176"/>
      <c r="P173" s="51"/>
      <c r="Q173" s="78"/>
      <c r="R173" s="182"/>
      <c r="S173" s="8"/>
      <c r="T173" s="8"/>
      <c r="U173" s="8"/>
      <c r="V173" s="182"/>
      <c r="W173" s="8"/>
      <c r="X173" s="62"/>
      <c r="Y173" s="182"/>
      <c r="Z173" s="8"/>
      <c r="AA173" s="69"/>
      <c r="AB173" s="11"/>
      <c r="AC173" s="182"/>
      <c r="AD173" s="65"/>
      <c r="AE173" s="8"/>
      <c r="AF173" s="235"/>
      <c r="AG173" s="172" t="str">
        <f>IFERROR(IF(AG172="","",VLOOKUP(AG172,LISTAS!$F$5:$G$1004,2,0)),"0")</f>
        <v/>
      </c>
      <c r="AH173" s="8"/>
      <c r="AI173" s="69"/>
      <c r="AJ173" s="11"/>
      <c r="AK173" s="166"/>
      <c r="AL173" s="11"/>
    </row>
    <row r="174" spans="2:47" ht="18" customHeight="1" x14ac:dyDescent="0.25">
      <c r="B174" s="16">
        <v>12</v>
      </c>
      <c r="C174" s="171" t="str">
        <f>IF('09F GRP'!G5&gt;=3,'09F GRP'!J166,IF('09F GRP'!G5=2,"",IF('09F GRP'!G5=1,"","")))</f>
        <v/>
      </c>
      <c r="D174" s="234">
        <v>0</v>
      </c>
      <c r="E174" s="56">
        <f>IF(D174&lt;&gt;"",D174,"")</f>
        <v>0</v>
      </c>
      <c r="F174" s="51" t="str">
        <f>IF(D174&lt;&gt;"",IF(C174="","",C174),"")</f>
        <v/>
      </c>
      <c r="G174" s="176">
        <f>IF(E174&lt;&gt;"",IF(E176&lt;&gt;"",SMALL(E174:E176,1),""),"")</f>
        <v>0</v>
      </c>
      <c r="H174" s="51"/>
      <c r="I174" s="54"/>
      <c r="J174" s="51"/>
      <c r="K174" s="176"/>
      <c r="L174" s="51"/>
      <c r="M174" s="54"/>
      <c r="N174" s="51">
        <f>IF(P165&lt;&gt;"",P165,"")</f>
        <v>1</v>
      </c>
      <c r="O174" s="176" t="str">
        <f>IF(P165&lt;&gt;"",O165,"")</f>
        <v>PIETRA SALAZAR MASSUCATO</v>
      </c>
      <c r="P174" s="51" t="str">
        <f>VLOOKUP(P172,N172:O174,2,0)</f>
        <v/>
      </c>
      <c r="Q174" s="78"/>
      <c r="R174" s="182"/>
      <c r="S174" s="8"/>
      <c r="T174" s="8"/>
      <c r="U174" s="8"/>
      <c r="V174" s="182"/>
      <c r="W174" s="8"/>
      <c r="X174" s="62"/>
      <c r="Y174" s="182"/>
      <c r="Z174" s="8"/>
      <c r="AA174" s="69"/>
      <c r="AB174" s="11"/>
      <c r="AC174" s="182"/>
      <c r="AD174" s="65"/>
      <c r="AE174" s="8"/>
      <c r="AF174" s="8"/>
      <c r="AG174" s="181">
        <f>IF(AJ174&lt;&gt;"",AJ174,"")</f>
        <v>0</v>
      </c>
      <c r="AH174" s="78" t="str">
        <f>IF(AJ174&lt;&gt;"",IF(AK174="","",AK174),"")</f>
        <v/>
      </c>
      <c r="AI174" s="53">
        <f>IF(AG174&lt;&gt;"",IF(AG176&lt;&gt;"",SMALL(AG174:AG176,1),""),"")</f>
        <v>0</v>
      </c>
      <c r="AJ174" s="234">
        <v>0</v>
      </c>
      <c r="AK174" s="171" t="str">
        <f>IF('09F GRP'!G5&gt;=3,'09F GRP'!J140,IF('09F GRP'!G5=2,"",IF('09F GRP'!G5=1,"","")))</f>
        <v/>
      </c>
      <c r="AL174" s="11">
        <v>10</v>
      </c>
    </row>
    <row r="175" spans="2:47" ht="18" customHeight="1" thickBot="1" x14ac:dyDescent="0.3">
      <c r="B175" s="16"/>
      <c r="C175" s="172" t="str">
        <f>IFERROR(IF(C174="","",VLOOKUP(C174,LISTAS!$F$5:$G$1004,2,0)),"0")</f>
        <v/>
      </c>
      <c r="D175" s="235"/>
      <c r="E175" s="57"/>
      <c r="F175" s="51"/>
      <c r="G175" s="176"/>
      <c r="H175" s="51"/>
      <c r="I175" s="54"/>
      <c r="J175" s="51"/>
      <c r="K175" s="176"/>
      <c r="L175" s="51"/>
      <c r="M175" s="54"/>
      <c r="N175" s="51"/>
      <c r="O175" s="176"/>
      <c r="P175" s="51"/>
      <c r="Q175" s="78"/>
      <c r="R175" s="182"/>
      <c r="S175" s="8"/>
      <c r="T175" s="8"/>
      <c r="U175" s="8"/>
      <c r="V175" s="182"/>
      <c r="W175" s="8"/>
      <c r="X175" s="62"/>
      <c r="Y175" s="182"/>
      <c r="Z175" s="8"/>
      <c r="AA175" s="69"/>
      <c r="AB175" s="11"/>
      <c r="AC175" s="182"/>
      <c r="AD175" s="65"/>
      <c r="AE175" s="8"/>
      <c r="AF175" s="8"/>
      <c r="AG175" s="181"/>
      <c r="AH175" s="78"/>
      <c r="AI175" s="124"/>
      <c r="AJ175" s="235"/>
      <c r="AK175" s="172" t="str">
        <f>IFERROR(IF(AK174="","",VLOOKUP(AK174,LISTAS!$F$5:$G$1004,2,0)),"0")</f>
        <v/>
      </c>
      <c r="AL175" s="11"/>
    </row>
    <row r="176" spans="2:47" ht="18" customHeight="1" x14ac:dyDescent="0.25">
      <c r="B176" s="16">
        <v>21</v>
      </c>
      <c r="C176" s="171" t="str">
        <f>IF('09F GRP'!G5&gt;=3,'09F GRP'!J283,IF('09F GRP'!G5=2,"",IF('09F GRP'!G5=1,"","")))</f>
        <v/>
      </c>
      <c r="D176" s="234">
        <v>0</v>
      </c>
      <c r="E176" s="57">
        <f>IF(D176&lt;&gt;"",D176,"")</f>
        <v>0</v>
      </c>
      <c r="F176" s="51" t="str">
        <f>IF(D176&lt;&gt;"",IF(C176="","",C176),"")</f>
        <v/>
      </c>
      <c r="G176" s="176" t="str">
        <f>VLOOKUP(G174,E174:F176,2,0)</f>
        <v/>
      </c>
      <c r="H176" s="51"/>
      <c r="I176" s="54"/>
      <c r="J176" s="51"/>
      <c r="K176" s="176"/>
      <c r="L176" s="51"/>
      <c r="M176" s="54"/>
      <c r="N176" s="51"/>
      <c r="O176" s="176"/>
      <c r="P176" s="51"/>
      <c r="Q176" s="78"/>
      <c r="R176" s="182"/>
      <c r="S176" s="8"/>
      <c r="T176" s="8"/>
      <c r="U176" s="8"/>
      <c r="V176" s="182"/>
      <c r="W176" s="8"/>
      <c r="X176" s="62"/>
      <c r="Y176" s="182"/>
      <c r="Z176" s="8"/>
      <c r="AA176" s="69"/>
      <c r="AB176" s="11"/>
      <c r="AC176" s="182"/>
      <c r="AD176" s="65"/>
      <c r="AE176" s="8"/>
      <c r="AF176" s="8"/>
      <c r="AG176" s="181">
        <f>IF(AJ176&lt;&gt;"",AJ176,"")</f>
        <v>0</v>
      </c>
      <c r="AH176" s="78" t="str">
        <f>IF(AJ176&lt;&gt;"",IF(AK176="","",AK176),"")</f>
        <v/>
      </c>
      <c r="AI176" s="125" t="str">
        <f>VLOOKUP(AI174,AG174:AH176,2,0)</f>
        <v/>
      </c>
      <c r="AJ176" s="234">
        <v>0</v>
      </c>
      <c r="AK176" s="171" t="str">
        <f>IF('09F GRP'!G5&gt;=3,'09F GRP'!J309,IF('09F GRP'!G5=2,"",IF('09F GRP'!G5=1,"","")))</f>
        <v/>
      </c>
      <c r="AL176" s="11">
        <v>23</v>
      </c>
    </row>
    <row r="177" spans="2:38" ht="18" customHeight="1" thickBot="1" x14ac:dyDescent="0.3">
      <c r="B177" s="16"/>
      <c r="C177" s="172" t="str">
        <f>IFERROR(IF(C176="","",VLOOKUP(C176,LISTAS!$F$5:$G$1004,2,0)),"0")</f>
        <v/>
      </c>
      <c r="D177" s="235"/>
      <c r="E177" s="51"/>
      <c r="F177" s="51"/>
      <c r="G177" s="176"/>
      <c r="H177" s="51"/>
      <c r="I177" s="54"/>
      <c r="J177" s="51"/>
      <c r="K177" s="176"/>
      <c r="L177" s="51"/>
      <c r="M177" s="54"/>
      <c r="N177" s="51"/>
      <c r="O177" s="176"/>
      <c r="P177" s="51"/>
      <c r="Q177" s="78"/>
      <c r="R177" s="182"/>
      <c r="S177" s="8"/>
      <c r="T177" s="8"/>
      <c r="U177" s="8"/>
      <c r="V177" s="182"/>
      <c r="W177" s="8"/>
      <c r="X177" s="62"/>
      <c r="Y177" s="182"/>
      <c r="Z177" s="8"/>
      <c r="AA177" s="69"/>
      <c r="AB177" s="11"/>
      <c r="AC177" s="182"/>
      <c r="AD177" s="65"/>
      <c r="AE177" s="8"/>
      <c r="AF177" s="8"/>
      <c r="AG177" s="181"/>
      <c r="AH177" s="78"/>
      <c r="AI177" s="51"/>
      <c r="AJ177" s="235"/>
      <c r="AK177" s="172" t="str">
        <f>IFERROR(IF(AK176="","",VLOOKUP(AK176,LISTAS!$F$5:$G$1004,2,0)),"0")</f>
        <v/>
      </c>
      <c r="AL177" s="11"/>
    </row>
    <row r="178" spans="2:38" ht="18" customHeight="1" x14ac:dyDescent="0.25">
      <c r="B178" s="16"/>
      <c r="C178" s="166"/>
      <c r="D178" s="11"/>
      <c r="E178" s="11"/>
      <c r="F178" s="11"/>
      <c r="G178" s="166"/>
      <c r="H178" s="11"/>
      <c r="I178" s="18"/>
      <c r="J178" s="11"/>
      <c r="K178" s="171" t="str">
        <f>IF(H170&lt;&gt;"",IF(H172&lt;&gt;"",IF(H170=H172,"",IF(H170&gt;H172,G170,G172)),""),"")</f>
        <v>PIETRA SALAZAR MASSUCATO</v>
      </c>
      <c r="L178" s="234">
        <v>2</v>
      </c>
      <c r="M178" s="56">
        <f>IF(L178&lt;&gt;"",L178,"")</f>
        <v>2</v>
      </c>
      <c r="N178" s="51" t="str">
        <f>IF(L178&lt;&gt;"",IF(K178="","",K178),"")</f>
        <v>PIETRA SALAZAR MASSUCATO</v>
      </c>
      <c r="O178" s="176">
        <f>IF(M178&lt;&gt;"",IF(M180&lt;&gt;"",SMALL(M178:N180,1),""),"")</f>
        <v>0</v>
      </c>
      <c r="P178" s="11"/>
      <c r="Q178" s="8"/>
      <c r="R178" s="182"/>
      <c r="S178" s="8"/>
      <c r="T178" s="8"/>
      <c r="U178" s="8"/>
      <c r="V178" s="182"/>
      <c r="W178" s="8"/>
      <c r="X178" s="62"/>
      <c r="Y178" s="182"/>
      <c r="Z178" s="8"/>
      <c r="AA178" s="70"/>
      <c r="AB178" s="234">
        <v>0</v>
      </c>
      <c r="AC178" s="171" t="str">
        <f>IF(AF170&lt;&gt;"",IF(AF172&lt;&gt;"",IF(AF170=AF172,"",IF(AF170&gt;AF172,AG170,AG172)),""),"")</f>
        <v/>
      </c>
      <c r="AD178" s="112"/>
      <c r="AE178" s="8"/>
      <c r="AF178" s="8"/>
      <c r="AG178" s="181"/>
      <c r="AH178" s="78"/>
      <c r="AI178" s="78"/>
      <c r="AJ178" s="11"/>
      <c r="AK178" s="166"/>
      <c r="AL178" s="11"/>
    </row>
    <row r="179" spans="2:38" ht="18" customHeight="1" thickBot="1" x14ac:dyDescent="0.3">
      <c r="B179" s="16"/>
      <c r="C179" s="166"/>
      <c r="D179" s="11"/>
      <c r="E179" s="11"/>
      <c r="F179" s="11"/>
      <c r="G179" s="166"/>
      <c r="H179" s="11"/>
      <c r="I179" s="18"/>
      <c r="J179" s="11"/>
      <c r="K179" s="172" t="str">
        <f>IFERROR(IF(K178="","",VLOOKUP(K178,LISTAS!$F$5:$G$1004,2,0)),"0")</f>
        <v>PEN LIFE</v>
      </c>
      <c r="L179" s="235"/>
      <c r="M179" s="57"/>
      <c r="N179" s="51"/>
      <c r="O179" s="176"/>
      <c r="P179" s="11"/>
      <c r="Q179" s="8"/>
      <c r="R179" s="182"/>
      <c r="S179" s="8"/>
      <c r="T179" s="8"/>
      <c r="U179" s="8"/>
      <c r="V179" s="182"/>
      <c r="W179" s="8"/>
      <c r="X179" s="62"/>
      <c r="Y179" s="182"/>
      <c r="Z179" s="8"/>
      <c r="AA179" s="8"/>
      <c r="AB179" s="235"/>
      <c r="AC179" s="172" t="str">
        <f>IFERROR(IF(AC178="","",VLOOKUP(AC178,LISTAS!$F$5:$G$1004,2,0)),"0")</f>
        <v/>
      </c>
      <c r="AD179" s="8"/>
      <c r="AE179" s="69"/>
      <c r="AF179" s="8"/>
      <c r="AG179" s="182"/>
      <c r="AH179" s="8"/>
      <c r="AI179" s="8"/>
      <c r="AJ179" s="11"/>
      <c r="AK179" s="166"/>
      <c r="AL179" s="11"/>
    </row>
    <row r="180" spans="2:38" ht="18" customHeight="1" x14ac:dyDescent="0.25">
      <c r="B180" s="16"/>
      <c r="C180" s="166"/>
      <c r="D180" s="11"/>
      <c r="E180" s="11"/>
      <c r="F180" s="11"/>
      <c r="G180" s="166"/>
      <c r="H180" s="11"/>
      <c r="I180" s="18"/>
      <c r="J180" s="19"/>
      <c r="K180" s="171" t="str">
        <f>IF(H186&lt;&gt;"",IF(H188&lt;&gt;"",IF(H186=H188,"",IF(H186&gt;H188,G186,G188)),""),"")</f>
        <v/>
      </c>
      <c r="L180" s="234">
        <v>0</v>
      </c>
      <c r="M180" s="57">
        <f>IF(L180&lt;&gt;"",L180,"")</f>
        <v>0</v>
      </c>
      <c r="N180" s="51" t="str">
        <f>IF(L180&lt;&gt;"",IF(K180="","",K180),"")</f>
        <v/>
      </c>
      <c r="O180" s="176" t="str">
        <f>VLOOKUP(O178,M178:N180,2,0)</f>
        <v/>
      </c>
      <c r="P180" s="11"/>
      <c r="Q180" s="8"/>
      <c r="R180" s="182"/>
      <c r="S180" s="8"/>
      <c r="T180" s="8"/>
      <c r="U180" s="8"/>
      <c r="V180" s="182"/>
      <c r="W180" s="8"/>
      <c r="X180" s="62"/>
      <c r="Y180" s="182"/>
      <c r="Z180" s="8"/>
      <c r="AA180" s="8"/>
      <c r="AB180" s="234">
        <v>0</v>
      </c>
      <c r="AC180" s="171" t="str">
        <f>IF(AF186&lt;&gt;"",IF(AF188&lt;&gt;"",IF(AF186=AF188,"",IF(AF186&gt;AF188,AG186,AG188)),""),"")</f>
        <v/>
      </c>
      <c r="AD180" s="8"/>
      <c r="AE180" s="69"/>
      <c r="AF180" s="8"/>
      <c r="AG180" s="182"/>
      <c r="AH180" s="8"/>
      <c r="AI180" s="8"/>
      <c r="AJ180" s="11"/>
      <c r="AK180" s="166"/>
      <c r="AL180" s="11"/>
    </row>
    <row r="181" spans="2:38" ht="18" customHeight="1" thickBot="1" x14ac:dyDescent="0.3">
      <c r="B181" s="16"/>
      <c r="C181" s="166"/>
      <c r="D181" s="11"/>
      <c r="E181" s="11"/>
      <c r="F181" s="11"/>
      <c r="G181" s="166"/>
      <c r="H181" s="11"/>
      <c r="I181" s="18"/>
      <c r="J181" s="11"/>
      <c r="K181" s="172" t="str">
        <f>IFERROR(IF(K180="","",VLOOKUP(K180,LISTAS!$F$5:$G$1004,2,0)),"0")</f>
        <v/>
      </c>
      <c r="L181" s="235"/>
      <c r="M181" s="51"/>
      <c r="N181" s="51"/>
      <c r="O181" s="176"/>
      <c r="P181" s="11"/>
      <c r="Q181" s="8"/>
      <c r="R181" s="182"/>
      <c r="S181" s="8"/>
      <c r="T181" s="8"/>
      <c r="U181" s="8"/>
      <c r="V181" s="182"/>
      <c r="W181" s="8"/>
      <c r="X181" s="62"/>
      <c r="Y181" s="182"/>
      <c r="Z181" s="8"/>
      <c r="AA181" s="8"/>
      <c r="AB181" s="235"/>
      <c r="AC181" s="172" t="str">
        <f>IFERROR(IF(AC180="","",VLOOKUP(AC180,LISTAS!$F$5:$G$1004,2,0)),"0")</f>
        <v/>
      </c>
      <c r="AD181" s="8"/>
      <c r="AE181" s="69"/>
      <c r="AF181" s="8"/>
      <c r="AG181" s="182"/>
      <c r="AH181" s="8"/>
      <c r="AI181" s="8"/>
      <c r="AJ181" s="11"/>
      <c r="AK181" s="166"/>
      <c r="AL181" s="11"/>
    </row>
    <row r="182" spans="2:38" ht="18" customHeight="1" x14ac:dyDescent="0.25">
      <c r="B182" s="16">
        <v>20</v>
      </c>
      <c r="C182" s="171" t="str">
        <f>IF('09F GRP'!G5&gt;=3,'09F GRP'!J270,IF('09F GRP'!G5=2,"",IF('09F GRP'!G5=1,"","")))</f>
        <v/>
      </c>
      <c r="D182" s="234">
        <v>0</v>
      </c>
      <c r="E182" s="51">
        <f>IF(D182&lt;&gt;"",D182,"")</f>
        <v>0</v>
      </c>
      <c r="F182" s="51" t="str">
        <f>IF(D182&lt;&gt;"",IF(C182="","",C182),"")</f>
        <v/>
      </c>
      <c r="G182" s="176">
        <f>IF(E182&lt;&gt;"",IF(E184&lt;&gt;"",SMALL(E182:E184,1),""),"")</f>
        <v>0</v>
      </c>
      <c r="H182" s="51"/>
      <c r="I182" s="18"/>
      <c r="J182" s="11"/>
      <c r="K182" s="166"/>
      <c r="L182" s="11"/>
      <c r="M182" s="11"/>
      <c r="N182" s="11"/>
      <c r="O182" s="166"/>
      <c r="P182" s="11"/>
      <c r="Q182" s="8"/>
      <c r="R182" s="182"/>
      <c r="S182" s="8"/>
      <c r="T182" s="8"/>
      <c r="U182" s="8"/>
      <c r="V182" s="182"/>
      <c r="W182" s="8"/>
      <c r="X182" s="62"/>
      <c r="Y182" s="182"/>
      <c r="Z182" s="8"/>
      <c r="AA182" s="8"/>
      <c r="AB182" s="11"/>
      <c r="AC182" s="182"/>
      <c r="AD182" s="8"/>
      <c r="AE182" s="69"/>
      <c r="AF182" s="8"/>
      <c r="AG182" s="181">
        <f>IF(AJ182&lt;&gt;"",AJ182,"")</f>
        <v>0</v>
      </c>
      <c r="AH182" s="78" t="str">
        <f>IF(AJ182&lt;&gt;"",IF(AK182="","",AK182),"")</f>
        <v/>
      </c>
      <c r="AI182" s="51">
        <f>IF(AG182&lt;&gt;"",IF(AG184&lt;&gt;"",SMALL(AG182:AG184,1),""),"")</f>
        <v>0</v>
      </c>
      <c r="AJ182" s="234">
        <v>0</v>
      </c>
      <c r="AK182" s="171" t="str">
        <f>IF('09F GRP'!G5&gt;=3,'09F GRP'!J205,IF('09F GRP'!G5=2,"",IF('09F GRP'!G5=1,"","")))</f>
        <v/>
      </c>
      <c r="AL182" s="11">
        <v>15</v>
      </c>
    </row>
    <row r="183" spans="2:38" ht="18" customHeight="1" thickBot="1" x14ac:dyDescent="0.3">
      <c r="B183" s="16"/>
      <c r="C183" s="172" t="str">
        <f>IFERROR(IF(C182="","",VLOOKUP(C182,LISTAS!$F$5:$G$1004,2,0)),"0")</f>
        <v/>
      </c>
      <c r="D183" s="235"/>
      <c r="E183" s="51"/>
      <c r="F183" s="51"/>
      <c r="G183" s="176"/>
      <c r="H183" s="51"/>
      <c r="I183" s="18"/>
      <c r="J183" s="11"/>
      <c r="K183" s="166"/>
      <c r="L183" s="11"/>
      <c r="M183" s="11"/>
      <c r="N183" s="11"/>
      <c r="O183" s="166"/>
      <c r="P183" s="11"/>
      <c r="Q183" s="8"/>
      <c r="R183" s="182"/>
      <c r="S183" s="8"/>
      <c r="T183" s="8"/>
      <c r="U183" s="8"/>
      <c r="V183" s="182"/>
      <c r="W183" s="8"/>
      <c r="X183" s="62"/>
      <c r="Y183" s="182"/>
      <c r="Z183" s="8"/>
      <c r="AA183" s="8"/>
      <c r="AB183" s="11"/>
      <c r="AC183" s="182"/>
      <c r="AD183" s="8"/>
      <c r="AE183" s="69"/>
      <c r="AF183" s="8"/>
      <c r="AG183" s="181"/>
      <c r="AH183" s="78"/>
      <c r="AI183" s="51"/>
      <c r="AJ183" s="235"/>
      <c r="AK183" s="172" t="str">
        <f>IFERROR(IF(AK182="","",VLOOKUP(AK182,LISTAS!$F$5:$G$1004,2,0)),"0")</f>
        <v/>
      </c>
      <c r="AL183" s="11"/>
    </row>
    <row r="184" spans="2:38" ht="18" customHeight="1" x14ac:dyDescent="0.25">
      <c r="B184" s="16">
        <v>13</v>
      </c>
      <c r="C184" s="171" t="str">
        <f>IF('09F GRP'!G5&gt;=3,'09F GRP'!J179,IF('09F GRP'!G5=2,"",IF('09F GRP'!G5=1,"","")))</f>
        <v/>
      </c>
      <c r="D184" s="234">
        <v>0</v>
      </c>
      <c r="E184" s="52">
        <f>IF(D184&lt;&gt;"",D184,"")</f>
        <v>0</v>
      </c>
      <c r="F184" s="51" t="str">
        <f>IF(D184&lt;&gt;"",IF(C184="","",C184),"")</f>
        <v/>
      </c>
      <c r="G184" s="176" t="str">
        <f>VLOOKUP(G182,E182:F184,2,0)</f>
        <v/>
      </c>
      <c r="H184" s="51"/>
      <c r="I184" s="18"/>
      <c r="J184" s="11"/>
      <c r="K184" s="166"/>
      <c r="L184" s="11"/>
      <c r="M184" s="11"/>
      <c r="N184" s="11"/>
      <c r="O184" s="166"/>
      <c r="P184" s="11"/>
      <c r="Q184" s="8"/>
      <c r="R184" s="182"/>
      <c r="S184" s="8"/>
      <c r="T184" s="8"/>
      <c r="U184" s="8"/>
      <c r="V184" s="182"/>
      <c r="W184" s="8"/>
      <c r="X184" s="62"/>
      <c r="Y184" s="182"/>
      <c r="Z184" s="8"/>
      <c r="AA184" s="8"/>
      <c r="AB184" s="11"/>
      <c r="AC184" s="182"/>
      <c r="AD184" s="8"/>
      <c r="AE184" s="69"/>
      <c r="AF184" s="8"/>
      <c r="AG184" s="181">
        <f>IF(AJ184&lt;&gt;"",AJ184,"")</f>
        <v>0</v>
      </c>
      <c r="AH184" s="78" t="str">
        <f>IF(AJ184&lt;&gt;"",IF(AK184="","",AK184),"")</f>
        <v/>
      </c>
      <c r="AI184" s="55" t="str">
        <f>VLOOKUP(AI182,AG182:AH184,2,0)</f>
        <v/>
      </c>
      <c r="AJ184" s="234">
        <v>0</v>
      </c>
      <c r="AK184" s="171" t="str">
        <f>IF('09F GRP'!G5&gt;=3,'09F GRP'!J244,IF('09F GRP'!G5=2,"",IF('09F GRP'!G5=1,"","")))</f>
        <v/>
      </c>
      <c r="AL184" s="11">
        <v>18</v>
      </c>
    </row>
    <row r="185" spans="2:38" ht="18" customHeight="1" thickBot="1" x14ac:dyDescent="0.3">
      <c r="B185" s="16"/>
      <c r="C185" s="172" t="str">
        <f>IFERROR(IF(C184="","",VLOOKUP(C184,LISTAS!$F$5:$G$1004,2,0)),"0")</f>
        <v/>
      </c>
      <c r="D185" s="235"/>
      <c r="E185" s="121"/>
      <c r="F185" s="11"/>
      <c r="G185" s="166"/>
      <c r="H185" s="11"/>
      <c r="I185" s="18"/>
      <c r="J185" s="11"/>
      <c r="K185" s="166"/>
      <c r="L185" s="11"/>
      <c r="M185" s="11"/>
      <c r="N185" s="11"/>
      <c r="O185" s="166"/>
      <c r="P185" s="11"/>
      <c r="Q185" s="8"/>
      <c r="R185" s="182"/>
      <c r="S185" s="8"/>
      <c r="T185" s="8"/>
      <c r="U185" s="8"/>
      <c r="V185" s="182"/>
      <c r="W185" s="8"/>
      <c r="X185" s="62"/>
      <c r="Y185" s="182"/>
      <c r="Z185" s="8"/>
      <c r="AA185" s="8"/>
      <c r="AB185" s="11"/>
      <c r="AC185" s="182"/>
      <c r="AD185" s="8"/>
      <c r="AE185" s="69"/>
      <c r="AF185" s="8"/>
      <c r="AG185" s="181"/>
      <c r="AH185" s="126"/>
      <c r="AI185" s="51"/>
      <c r="AJ185" s="235"/>
      <c r="AK185" s="172" t="str">
        <f>IFERROR(IF(AK184="","",VLOOKUP(AK184,LISTAS!$F$5:$G$1004,2,0)),"0")</f>
        <v/>
      </c>
      <c r="AL185" s="11"/>
    </row>
    <row r="186" spans="2:38" ht="18" customHeight="1" x14ac:dyDescent="0.25">
      <c r="B186" s="16"/>
      <c r="C186" s="166"/>
      <c r="D186" s="11"/>
      <c r="E186" s="11"/>
      <c r="F186" s="17"/>
      <c r="G186" s="171" t="str">
        <f>IF(D182&lt;&gt;"",IF(D184&lt;&gt;"",IF(D182=D184,"",IF(D182&gt;D184,C182,C184)),""),"")</f>
        <v/>
      </c>
      <c r="H186" s="234">
        <v>0</v>
      </c>
      <c r="I186" s="56">
        <f>IF(H186&lt;&gt;"",H186,"")</f>
        <v>0</v>
      </c>
      <c r="J186" s="51" t="str">
        <f>IF(H186&lt;&gt;"",IF(G186="","",G186),"")</f>
        <v/>
      </c>
      <c r="K186" s="176">
        <f>IF(I186&lt;&gt;"",IF(I188&lt;&gt;"",SMALL(I186:J188,1),""),"")</f>
        <v>0</v>
      </c>
      <c r="L186" s="11"/>
      <c r="M186" s="11"/>
      <c r="N186" s="11"/>
      <c r="O186" s="166"/>
      <c r="P186" s="11"/>
      <c r="Q186" s="8"/>
      <c r="R186" s="182"/>
      <c r="S186" s="8"/>
      <c r="T186" s="8"/>
      <c r="U186" s="8"/>
      <c r="V186" s="182"/>
      <c r="W186" s="8"/>
      <c r="X186" s="62"/>
      <c r="Y186" s="182"/>
      <c r="Z186" s="8"/>
      <c r="AA186" s="8"/>
      <c r="AB186" s="11"/>
      <c r="AC186" s="182"/>
      <c r="AD186" s="8"/>
      <c r="AE186" s="69"/>
      <c r="AF186" s="234">
        <v>0</v>
      </c>
      <c r="AG186" s="171" t="str">
        <f>IF(AJ182&lt;&gt;"",IF(AJ184&lt;&gt;"",IF(AJ182=AJ184,"",IF(AJ182&gt;AJ184,AK182,AK184)),""),"")</f>
        <v/>
      </c>
      <c r="AH186" s="65"/>
      <c r="AI186" s="8"/>
      <c r="AJ186" s="11"/>
      <c r="AK186" s="166"/>
      <c r="AL186" s="11"/>
    </row>
    <row r="187" spans="2:38" ht="18" customHeight="1" thickBot="1" x14ac:dyDescent="0.3">
      <c r="B187" s="16"/>
      <c r="C187" s="166"/>
      <c r="D187" s="11"/>
      <c r="E187" s="11"/>
      <c r="F187" s="17"/>
      <c r="G187" s="172" t="str">
        <f>IFERROR(IF(G186="","",VLOOKUP(G186,LISTAS!$F$5:$G$1004,2,0)),"0")</f>
        <v/>
      </c>
      <c r="H187" s="235"/>
      <c r="I187" s="57"/>
      <c r="J187" s="51"/>
      <c r="K187" s="176"/>
      <c r="L187" s="11"/>
      <c r="M187" s="11"/>
      <c r="N187" s="11"/>
      <c r="O187" s="166"/>
      <c r="P187" s="11"/>
      <c r="Q187" s="8"/>
      <c r="R187" s="182"/>
      <c r="S187" s="8"/>
      <c r="T187" s="8"/>
      <c r="U187" s="8"/>
      <c r="V187" s="182"/>
      <c r="W187" s="8"/>
      <c r="X187" s="62"/>
      <c r="Y187" s="182"/>
      <c r="Z187" s="8"/>
      <c r="AA187" s="8"/>
      <c r="AB187" s="11"/>
      <c r="AC187" s="182"/>
      <c r="AD187" s="8"/>
      <c r="AE187" s="70"/>
      <c r="AF187" s="235"/>
      <c r="AG187" s="172" t="str">
        <f>IFERROR(IF(AG186="","",VLOOKUP(AG186,LISTAS!$F$5:$G$1004,2,0)),"0")</f>
        <v/>
      </c>
      <c r="AH187" s="65"/>
      <c r="AI187" s="8"/>
      <c r="AJ187" s="11"/>
      <c r="AK187" s="166"/>
      <c r="AL187" s="11"/>
    </row>
    <row r="188" spans="2:38" ht="18" customHeight="1" x14ac:dyDescent="0.25">
      <c r="B188" s="16"/>
      <c r="C188" s="166"/>
      <c r="D188" s="11"/>
      <c r="E188" s="18"/>
      <c r="F188" s="19"/>
      <c r="G188" s="171" t="str">
        <f>IF(D190&lt;&gt;"",IF(D192&lt;&gt;"",IF(D190=D192,"",IF(D190&gt;D192,C190,C192)),""),"")</f>
        <v/>
      </c>
      <c r="H188" s="234">
        <v>0</v>
      </c>
      <c r="I188" s="57">
        <f>IF(H188&lt;&gt;"",H188,"")</f>
        <v>0</v>
      </c>
      <c r="J188" s="51" t="str">
        <f>IF(H188&lt;&gt;"",IF(G188="","",G188),"")</f>
        <v/>
      </c>
      <c r="K188" s="176" t="str">
        <f>VLOOKUP(K186,I186:J188,2,0)</f>
        <v/>
      </c>
      <c r="L188" s="11"/>
      <c r="M188" s="11"/>
      <c r="N188" s="11"/>
      <c r="O188" s="166"/>
      <c r="P188" s="11"/>
      <c r="Q188" s="8"/>
      <c r="R188" s="182"/>
      <c r="S188" s="8"/>
      <c r="T188" s="8"/>
      <c r="U188" s="8"/>
      <c r="V188" s="182"/>
      <c r="W188" s="8"/>
      <c r="X188" s="62"/>
      <c r="Y188" s="182"/>
      <c r="Z188" s="8"/>
      <c r="AA188" s="8"/>
      <c r="AB188" s="11"/>
      <c r="AC188" s="182"/>
      <c r="AD188" s="8"/>
      <c r="AE188" s="64"/>
      <c r="AF188" s="234">
        <v>0</v>
      </c>
      <c r="AG188" s="171" t="str">
        <f>IF(AJ190&lt;&gt;"",IF(AJ192&lt;&gt;"",IF(AJ190=AJ192,"",IF(AJ190&gt;AJ192,AK190,AK192)),""),"")</f>
        <v/>
      </c>
      <c r="AH188" s="66"/>
      <c r="AI188" s="8"/>
      <c r="AJ188" s="11"/>
      <c r="AK188" s="166"/>
      <c r="AL188" s="11"/>
    </row>
    <row r="189" spans="2:38" ht="18" customHeight="1" thickBot="1" x14ac:dyDescent="0.3">
      <c r="B189" s="16"/>
      <c r="C189" s="166"/>
      <c r="D189" s="11"/>
      <c r="E189" s="18"/>
      <c r="F189" s="11"/>
      <c r="G189" s="172" t="str">
        <f>IFERROR(IF(G188="","",VLOOKUP(G188,LISTAS!$F$5:$G$1004,2,0)),"0")</f>
        <v/>
      </c>
      <c r="H189" s="235"/>
      <c r="I189" s="51"/>
      <c r="J189" s="51"/>
      <c r="K189" s="176"/>
      <c r="L189" s="11"/>
      <c r="M189" s="11"/>
      <c r="N189" s="11"/>
      <c r="O189" s="166"/>
      <c r="P189" s="11"/>
      <c r="Q189" s="8"/>
      <c r="R189" s="182"/>
      <c r="S189" s="8"/>
      <c r="T189" s="8"/>
      <c r="U189" s="8"/>
      <c r="V189" s="182"/>
      <c r="W189" s="8"/>
      <c r="X189" s="62"/>
      <c r="Y189" s="182"/>
      <c r="Z189" s="8"/>
      <c r="AA189" s="8"/>
      <c r="AB189" s="11"/>
      <c r="AC189" s="182"/>
      <c r="AD189" s="8"/>
      <c r="AE189" s="8"/>
      <c r="AF189" s="235"/>
      <c r="AG189" s="172" t="str">
        <f>IFERROR(IF(AG188="","",VLOOKUP(AG188,LISTAS!$F$5:$G$1004,2,0)),"0")</f>
        <v/>
      </c>
      <c r="AH189" s="8"/>
      <c r="AI189" s="69"/>
      <c r="AJ189" s="11"/>
      <c r="AK189" s="166"/>
      <c r="AL189" s="11"/>
    </row>
    <row r="190" spans="2:38" ht="18" customHeight="1" x14ac:dyDescent="0.25">
      <c r="B190" s="16">
        <v>29</v>
      </c>
      <c r="C190" s="171" t="str">
        <f>IF('09F GRP'!G5&gt;=3,'09F GRP'!J387,IF('09F GRP'!G5=2,"",IF('09F GRP'!G5=1,"","")))</f>
        <v/>
      </c>
      <c r="D190" s="234">
        <v>0</v>
      </c>
      <c r="E190" s="56">
        <f>IF(D190&lt;&gt;"",D190,"")</f>
        <v>0</v>
      </c>
      <c r="F190" s="51" t="str">
        <f>IF(D190&lt;&gt;"",IF(C190="","",C190),"")</f>
        <v/>
      </c>
      <c r="G190" s="176">
        <f>IF(E190&lt;&gt;"",IF(E192&lt;&gt;"",SMALL(E190:E192,1),""),"")</f>
        <v>0</v>
      </c>
      <c r="H190" s="51"/>
      <c r="I190" s="11"/>
      <c r="J190" s="11"/>
      <c r="K190" s="166"/>
      <c r="L190" s="11"/>
      <c r="M190" s="11"/>
      <c r="N190" s="11"/>
      <c r="O190" s="166"/>
      <c r="P190" s="11"/>
      <c r="Q190" s="8"/>
      <c r="R190" s="182"/>
      <c r="S190" s="8"/>
      <c r="T190" s="8"/>
      <c r="U190" s="8"/>
      <c r="V190" s="182"/>
      <c r="W190" s="8"/>
      <c r="X190" s="62"/>
      <c r="Y190" s="182"/>
      <c r="Z190" s="8"/>
      <c r="AA190" s="8"/>
      <c r="AB190" s="11"/>
      <c r="AC190" s="182"/>
      <c r="AD190" s="8"/>
      <c r="AE190" s="8"/>
      <c r="AF190" s="8"/>
      <c r="AG190" s="181">
        <f>IF(AJ190&lt;&gt;"",AJ190,"")</f>
        <v>0</v>
      </c>
      <c r="AH190" s="78" t="str">
        <f>IF(AJ190&lt;&gt;"",IF(AK190="","",AK190),"")</f>
        <v/>
      </c>
      <c r="AI190" s="53">
        <f>IF(AG190&lt;&gt;"",IF(AG192&lt;&gt;"",SMALL(AG190:AG192,1),""),"")</f>
        <v>0</v>
      </c>
      <c r="AJ190" s="234">
        <v>0</v>
      </c>
      <c r="AK190" s="171" t="str">
        <f>IF('09F GRP'!G5&gt;=3,'09F GRP'!J413,IF('09F GRP'!G5=2,"",IF('09F GRP'!G5=1,"","")))</f>
        <v/>
      </c>
      <c r="AL190" s="11">
        <v>31</v>
      </c>
    </row>
    <row r="191" spans="2:38" ht="18" customHeight="1" thickBot="1" x14ac:dyDescent="0.3">
      <c r="B191" s="16"/>
      <c r="C191" s="172" t="str">
        <f>IFERROR(IF(C190="","",VLOOKUP(C190,LISTAS!$F$5:$G$1004,2,0)),"0")</f>
        <v/>
      </c>
      <c r="D191" s="235"/>
      <c r="E191" s="57"/>
      <c r="F191" s="51"/>
      <c r="G191" s="176"/>
      <c r="H191" s="51"/>
      <c r="I191" s="11"/>
      <c r="J191" s="11"/>
      <c r="K191" s="166"/>
      <c r="L191" s="11"/>
      <c r="M191" s="11"/>
      <c r="N191" s="11"/>
      <c r="O191" s="166"/>
      <c r="P191" s="11"/>
      <c r="Q191" s="8"/>
      <c r="R191" s="182"/>
      <c r="S191" s="8"/>
      <c r="T191" s="8"/>
      <c r="U191" s="8"/>
      <c r="V191" s="182"/>
      <c r="W191" s="8"/>
      <c r="X191" s="62"/>
      <c r="Y191" s="182"/>
      <c r="Z191" s="8"/>
      <c r="AA191" s="8"/>
      <c r="AB191" s="11"/>
      <c r="AC191" s="182"/>
      <c r="AD191" s="8"/>
      <c r="AE191" s="8"/>
      <c r="AF191" s="8"/>
      <c r="AG191" s="181"/>
      <c r="AH191" s="78"/>
      <c r="AI191" s="77"/>
      <c r="AJ191" s="235"/>
      <c r="AK191" s="172" t="str">
        <f>IFERROR(IF(AK190="","",VLOOKUP(AK190,LISTAS!$F$5:$G$1004,2,0)),"0")</f>
        <v/>
      </c>
      <c r="AL191" s="11"/>
    </row>
    <row r="192" spans="2:38" x14ac:dyDescent="0.25">
      <c r="B192" s="16">
        <v>4</v>
      </c>
      <c r="C192" s="171" t="str">
        <f>IF('09F GRP'!G5&gt;=3,'09F GRP'!J62,IF('09F GRP'!G5=2,"",IF('09F GRP'!G5=1,"","")))</f>
        <v>BYE</v>
      </c>
      <c r="D192" s="234">
        <v>0</v>
      </c>
      <c r="E192" s="57">
        <f>IF(D192&lt;&gt;"",D192,"")</f>
        <v>0</v>
      </c>
      <c r="F192" s="51" t="str">
        <f>IF(D192&lt;&gt;"",IF(C192="","",C192),"")</f>
        <v>BYE</v>
      </c>
      <c r="G192" s="176" t="str">
        <f>VLOOKUP(G190,E190:F192,2,0)</f>
        <v/>
      </c>
      <c r="H192" s="51"/>
      <c r="I192" s="11"/>
      <c r="J192" s="11"/>
      <c r="K192" s="166"/>
      <c r="L192" s="11"/>
      <c r="M192" s="11"/>
      <c r="N192" s="11"/>
      <c r="O192" s="166"/>
      <c r="P192" s="11"/>
      <c r="Q192" s="8"/>
      <c r="R192" s="182"/>
      <c r="S192" s="8"/>
      <c r="T192" s="8"/>
      <c r="U192" s="8"/>
      <c r="V192" s="182"/>
      <c r="W192" s="8"/>
      <c r="X192" s="62"/>
      <c r="Y192" s="182"/>
      <c r="Z192" s="8"/>
      <c r="AA192" s="8"/>
      <c r="AB192" s="11"/>
      <c r="AC192" s="182"/>
      <c r="AD192" s="8"/>
      <c r="AE192" s="8"/>
      <c r="AF192" s="8"/>
      <c r="AG192" s="181">
        <f>IF(AJ192&lt;&gt;"",AJ192,"")</f>
        <v>0</v>
      </c>
      <c r="AH192" s="78" t="str">
        <f>IF(AJ192&lt;&gt;"",IF(AK192="","",AK192),"")</f>
        <v>BYE</v>
      </c>
      <c r="AI192" s="76" t="str">
        <f>VLOOKUP(AI190,AG190:AH192,2,0)</f>
        <v/>
      </c>
      <c r="AJ192" s="234">
        <v>0</v>
      </c>
      <c r="AK192" s="171" t="str">
        <f>IF('09F GRP'!G5&gt;=3,'09F GRP'!J32,IF('09F GRP'!G5=2,IF('09F GRP'!H8=3,'09F GRP'!J32,""),IF('09F GRP'!G5=1,"","")))</f>
        <v>BYE</v>
      </c>
      <c r="AL192" s="11">
        <v>2</v>
      </c>
    </row>
    <row r="193" spans="2:38" ht="17.25" thickBot="1" x14ac:dyDescent="0.3">
      <c r="B193" s="16"/>
      <c r="C193" s="172" t="str">
        <f>IFERROR(IF(C192="","",VLOOKUP(C192,LISTAS!$F$5:$G$1004,2,0)),"0")</f>
        <v>BYE</v>
      </c>
      <c r="D193" s="235"/>
      <c r="E193" s="51"/>
      <c r="F193" s="51"/>
      <c r="G193" s="176"/>
      <c r="H193" s="51"/>
      <c r="I193" s="11"/>
      <c r="J193" s="11"/>
      <c r="K193" s="166"/>
      <c r="L193" s="11"/>
      <c r="M193" s="11"/>
      <c r="N193" s="11"/>
      <c r="O193" s="166"/>
      <c r="P193" s="11"/>
      <c r="Q193" s="8"/>
      <c r="R193" s="182"/>
      <c r="S193" s="8"/>
      <c r="T193" s="8"/>
      <c r="U193" s="8"/>
      <c r="V193" s="182"/>
      <c r="W193" s="8"/>
      <c r="X193" s="62"/>
      <c r="Y193" s="182"/>
      <c r="Z193" s="8"/>
      <c r="AA193" s="8"/>
      <c r="AB193" s="11"/>
      <c r="AC193" s="182"/>
      <c r="AD193" s="8"/>
      <c r="AE193" s="8"/>
      <c r="AF193" s="8"/>
      <c r="AG193" s="181"/>
      <c r="AH193" s="78"/>
      <c r="AI193" s="51"/>
      <c r="AJ193" s="235"/>
      <c r="AK193" s="172" t="str">
        <f>IFERROR(IF(AK192="","",VLOOKUP(AK192,LISTAS!$F$5:$G$1004,2,0)),"0")</f>
        <v>BYE</v>
      </c>
      <c r="AL193" s="11"/>
    </row>
    <row r="194" spans="2:38" x14ac:dyDescent="0.25">
      <c r="B194" s="16"/>
      <c r="C194" s="167"/>
      <c r="D194" s="71"/>
      <c r="E194" s="127"/>
      <c r="F194" s="127"/>
      <c r="G194" s="177"/>
      <c r="H194" s="127"/>
      <c r="I194" s="71"/>
      <c r="J194" s="71"/>
      <c r="K194" s="167"/>
      <c r="L194" s="71"/>
      <c r="M194" s="71"/>
      <c r="N194" s="71"/>
      <c r="O194" s="167"/>
      <c r="P194" s="71"/>
      <c r="Q194" s="8"/>
      <c r="R194" s="182"/>
      <c r="S194" s="8"/>
      <c r="T194" s="8"/>
      <c r="U194" s="8"/>
      <c r="V194" s="182"/>
      <c r="W194" s="8"/>
      <c r="X194" s="62"/>
      <c r="Y194" s="182"/>
      <c r="Z194" s="8"/>
      <c r="AA194" s="8"/>
      <c r="AB194" s="11"/>
      <c r="AC194" s="182"/>
      <c r="AD194" s="8"/>
      <c r="AE194" s="8"/>
      <c r="AF194" s="8"/>
      <c r="AG194" s="182"/>
      <c r="AH194" s="8"/>
      <c r="AI194" s="8"/>
      <c r="AJ194" s="71"/>
      <c r="AK194" s="167"/>
      <c r="AL194" s="11"/>
    </row>
    <row r="195" spans="2:38" x14ac:dyDescent="0.25">
      <c r="B195" s="11"/>
      <c r="C195" s="167"/>
      <c r="D195" s="71"/>
      <c r="E195" s="71"/>
      <c r="F195" s="71"/>
      <c r="G195" s="167"/>
      <c r="H195" s="71"/>
      <c r="I195" s="71"/>
      <c r="J195" s="71"/>
      <c r="K195" s="167"/>
      <c r="L195" s="71"/>
      <c r="M195" s="71"/>
      <c r="N195" s="71"/>
      <c r="O195" s="167"/>
      <c r="P195" s="71"/>
      <c r="Q195" s="8"/>
      <c r="R195" s="182"/>
      <c r="S195" s="8"/>
      <c r="T195" s="8"/>
      <c r="U195" s="8"/>
      <c r="V195" s="182"/>
      <c r="W195" s="8"/>
      <c r="X195" s="62"/>
      <c r="Y195" s="182"/>
      <c r="Z195" s="8"/>
      <c r="AA195" s="8"/>
      <c r="AB195" s="11"/>
      <c r="AC195" s="182"/>
      <c r="AD195" s="8"/>
      <c r="AE195" s="8"/>
      <c r="AF195" s="8"/>
      <c r="AG195" s="182"/>
      <c r="AH195" s="8"/>
      <c r="AI195" s="8"/>
      <c r="AJ195" s="71"/>
      <c r="AK195" s="167"/>
      <c r="AL195" s="11"/>
    </row>
    <row r="196" spans="2:38" x14ac:dyDescent="0.25">
      <c r="B196" s="2"/>
      <c r="D196" s="2"/>
      <c r="E196" s="2"/>
      <c r="F196" s="2"/>
      <c r="G196" s="163"/>
      <c r="H196" s="2"/>
      <c r="I196" s="2"/>
      <c r="J196" s="2"/>
      <c r="K196" s="163"/>
      <c r="L196" s="2"/>
      <c r="M196" s="2"/>
      <c r="N196" s="2"/>
      <c r="O196" s="163"/>
      <c r="P196" s="2"/>
      <c r="W196" s="2"/>
      <c r="Y196" s="163"/>
      <c r="Z196" s="2"/>
      <c r="AA196" s="2"/>
      <c r="AB196" s="2"/>
      <c r="AC196" s="163"/>
      <c r="AD196" s="2"/>
      <c r="AE196" s="2"/>
      <c r="AF196" s="2"/>
      <c r="AG196" s="163"/>
      <c r="AH196" s="2"/>
      <c r="AI196" s="2"/>
      <c r="AJ196" s="2"/>
      <c r="AK196" s="163"/>
    </row>
    <row r="197" spans="2:38" x14ac:dyDescent="0.25">
      <c r="B197" s="2"/>
      <c r="D197" s="2"/>
      <c r="E197" s="2"/>
      <c r="F197" s="2"/>
      <c r="G197" s="163"/>
      <c r="H197" s="2"/>
      <c r="I197" s="2"/>
      <c r="J197" s="2"/>
      <c r="K197" s="163"/>
      <c r="L197" s="2"/>
      <c r="M197" s="2"/>
      <c r="N197" s="2"/>
      <c r="O197" s="163"/>
      <c r="P197" s="2"/>
      <c r="W197" s="2"/>
      <c r="Y197" s="163"/>
      <c r="Z197" s="2"/>
      <c r="AA197" s="2"/>
      <c r="AB197" s="2"/>
      <c r="AC197" s="163"/>
      <c r="AD197" s="2"/>
      <c r="AE197" s="2"/>
      <c r="AF197" s="2"/>
      <c r="AG197" s="163"/>
      <c r="AH197" s="2"/>
      <c r="AI197" s="2"/>
      <c r="AJ197" s="2"/>
      <c r="AK197" s="163"/>
    </row>
    <row r="198" spans="2:38" x14ac:dyDescent="0.25">
      <c r="B198" s="2"/>
      <c r="D198" s="2"/>
      <c r="E198" s="2"/>
      <c r="F198" s="2"/>
      <c r="G198" s="163"/>
      <c r="H198" s="2"/>
      <c r="I198" s="2"/>
      <c r="J198" s="2"/>
      <c r="K198" s="163"/>
      <c r="L198" s="2"/>
      <c r="M198" s="2"/>
      <c r="N198" s="2"/>
      <c r="O198" s="163"/>
      <c r="P198" s="2"/>
      <c r="W198" s="2"/>
      <c r="Y198" s="163"/>
      <c r="Z198" s="2"/>
      <c r="AA198" s="2"/>
      <c r="AB198" s="2"/>
      <c r="AC198" s="163"/>
      <c r="AD198" s="2"/>
      <c r="AE198" s="2"/>
      <c r="AF198" s="2"/>
      <c r="AG198" s="163"/>
      <c r="AH198" s="2"/>
      <c r="AI198" s="2"/>
      <c r="AJ198" s="2"/>
      <c r="AK198" s="163"/>
    </row>
    <row r="199" spans="2:38" x14ac:dyDescent="0.25">
      <c r="B199" s="2"/>
      <c r="D199" s="2"/>
      <c r="E199" s="2"/>
      <c r="F199" s="2"/>
      <c r="G199" s="163"/>
      <c r="H199" s="2"/>
      <c r="I199" s="2"/>
      <c r="J199" s="2"/>
      <c r="K199" s="163"/>
      <c r="L199" s="2"/>
      <c r="M199" s="2"/>
      <c r="N199" s="2"/>
      <c r="O199" s="163"/>
      <c r="P199" s="2"/>
      <c r="W199" s="2"/>
      <c r="Y199" s="163"/>
      <c r="Z199" s="2"/>
      <c r="AA199" s="2"/>
      <c r="AB199" s="2"/>
      <c r="AC199" s="163"/>
      <c r="AD199" s="2"/>
      <c r="AE199" s="2"/>
      <c r="AF199" s="2"/>
      <c r="AG199" s="163"/>
      <c r="AH199" s="2"/>
      <c r="AI199" s="2"/>
      <c r="AJ199" s="2"/>
      <c r="AK199" s="163"/>
    </row>
    <row r="200" spans="2:38" x14ac:dyDescent="0.25">
      <c r="B200" s="2"/>
      <c r="D200" s="2"/>
      <c r="E200" s="2"/>
      <c r="F200" s="2"/>
      <c r="G200" s="163"/>
      <c r="H200" s="2"/>
      <c r="I200" s="2"/>
      <c r="J200" s="2"/>
      <c r="K200" s="163"/>
      <c r="L200" s="2"/>
      <c r="M200" s="2"/>
      <c r="N200" s="2"/>
      <c r="O200" s="163"/>
      <c r="P200" s="2"/>
      <c r="W200" s="2"/>
      <c r="Y200" s="163"/>
      <c r="Z200" s="2"/>
      <c r="AA200" s="2"/>
      <c r="AB200" s="2"/>
      <c r="AC200" s="163"/>
      <c r="AD200" s="2"/>
      <c r="AE200" s="2"/>
      <c r="AF200" s="2"/>
      <c r="AG200" s="163"/>
      <c r="AH200" s="2"/>
      <c r="AI200" s="2"/>
      <c r="AJ200" s="2"/>
      <c r="AK200" s="163"/>
    </row>
  </sheetData>
  <mergeCells count="207">
    <mergeCell ref="AP2:AU3"/>
    <mergeCell ref="B5:D5"/>
    <mergeCell ref="AP5:AQ5"/>
    <mergeCell ref="AP6:AU6"/>
    <mergeCell ref="B2:AL4"/>
    <mergeCell ref="B6:AL6"/>
    <mergeCell ref="B70:AL70"/>
    <mergeCell ref="B134:AL134"/>
    <mergeCell ref="U36:U37"/>
    <mergeCell ref="T36:T37"/>
    <mergeCell ref="H44:H45"/>
    <mergeCell ref="D38:D39"/>
    <mergeCell ref="D40:D41"/>
    <mergeCell ref="D46:D47"/>
    <mergeCell ref="D48:D49"/>
    <mergeCell ref="AB20:AB21"/>
    <mergeCell ref="AB22:AB23"/>
    <mergeCell ref="AB50:AB51"/>
    <mergeCell ref="AB52:AB53"/>
    <mergeCell ref="AF58:AF59"/>
    <mergeCell ref="L50:L51"/>
    <mergeCell ref="L52:L53"/>
    <mergeCell ref="P35:P36"/>
    <mergeCell ref="P37:P38"/>
    <mergeCell ref="AP135:AQ135"/>
    <mergeCell ref="AP7:AQ7"/>
    <mergeCell ref="AP70:AU70"/>
    <mergeCell ref="AP71:AQ71"/>
    <mergeCell ref="AP134:AU134"/>
    <mergeCell ref="H28:H29"/>
    <mergeCell ref="H30:H31"/>
    <mergeCell ref="H42:H43"/>
    <mergeCell ref="D8:D9"/>
    <mergeCell ref="D10:D11"/>
    <mergeCell ref="H12:H13"/>
    <mergeCell ref="H14:H15"/>
    <mergeCell ref="D34:D35"/>
    <mergeCell ref="D32:D33"/>
    <mergeCell ref="D24:D25"/>
    <mergeCell ref="D26:D27"/>
    <mergeCell ref="D16:D17"/>
    <mergeCell ref="D18:D19"/>
    <mergeCell ref="D54:D55"/>
    <mergeCell ref="D56:D57"/>
    <mergeCell ref="D62:D63"/>
    <mergeCell ref="D64:D65"/>
    <mergeCell ref="H58:H59"/>
    <mergeCell ref="H60:H61"/>
    <mergeCell ref="S36:S37"/>
    <mergeCell ref="L20:L21"/>
    <mergeCell ref="L22:L23"/>
    <mergeCell ref="R34:V34"/>
    <mergeCell ref="X35:X36"/>
    <mergeCell ref="X37:X38"/>
    <mergeCell ref="AJ8:AJ9"/>
    <mergeCell ref="AJ10:AJ11"/>
    <mergeCell ref="AJ16:AJ17"/>
    <mergeCell ref="AJ18:AJ19"/>
    <mergeCell ref="AJ24:AJ25"/>
    <mergeCell ref="AF60:AF61"/>
    <mergeCell ref="AF42:AF43"/>
    <mergeCell ref="AF30:AF31"/>
    <mergeCell ref="AF28:AF29"/>
    <mergeCell ref="AF12:AF13"/>
    <mergeCell ref="AF14:AF15"/>
    <mergeCell ref="AJ64:AJ65"/>
    <mergeCell ref="AF44:AF45"/>
    <mergeCell ref="AJ46:AJ47"/>
    <mergeCell ref="AJ48:AJ49"/>
    <mergeCell ref="AJ54:AJ55"/>
    <mergeCell ref="AJ56:AJ57"/>
    <mergeCell ref="AJ62:AJ63"/>
    <mergeCell ref="AJ26:AJ27"/>
    <mergeCell ref="AJ32:AJ33"/>
    <mergeCell ref="AJ34:AJ35"/>
    <mergeCell ref="AJ38:AJ39"/>
    <mergeCell ref="AJ40:AJ41"/>
    <mergeCell ref="AJ80:AJ81"/>
    <mergeCell ref="D82:D83"/>
    <mergeCell ref="AJ82:AJ83"/>
    <mergeCell ref="L84:L85"/>
    <mergeCell ref="AB84:AB85"/>
    <mergeCell ref="H76:H77"/>
    <mergeCell ref="AF76:AF77"/>
    <mergeCell ref="H78:H79"/>
    <mergeCell ref="AF78:AF79"/>
    <mergeCell ref="D80:D81"/>
    <mergeCell ref="R84:V84"/>
    <mergeCell ref="H92:H93"/>
    <mergeCell ref="AF92:AF93"/>
    <mergeCell ref="H94:H95"/>
    <mergeCell ref="AF94:AF95"/>
    <mergeCell ref="D96:D97"/>
    <mergeCell ref="L86:L87"/>
    <mergeCell ref="AB86:AB87"/>
    <mergeCell ref="D88:D89"/>
    <mergeCell ref="AJ88:AJ89"/>
    <mergeCell ref="D90:D91"/>
    <mergeCell ref="AJ90:AJ91"/>
    <mergeCell ref="D104:D105"/>
    <mergeCell ref="AJ104:AJ105"/>
    <mergeCell ref="H106:H107"/>
    <mergeCell ref="AF106:AF107"/>
    <mergeCell ref="H108:H109"/>
    <mergeCell ref="AF108:AF109"/>
    <mergeCell ref="AJ96:AJ97"/>
    <mergeCell ref="D98:D99"/>
    <mergeCell ref="R98:V98"/>
    <mergeCell ref="AJ98:AJ99"/>
    <mergeCell ref="P99:P100"/>
    <mergeCell ref="X99:X100"/>
    <mergeCell ref="S100:S101"/>
    <mergeCell ref="T100:T101"/>
    <mergeCell ref="U100:U101"/>
    <mergeCell ref="P101:P102"/>
    <mergeCell ref="X101:X102"/>
    <mergeCell ref="D102:D103"/>
    <mergeCell ref="AJ102:AJ103"/>
    <mergeCell ref="AJ126:AJ127"/>
    <mergeCell ref="D128:D129"/>
    <mergeCell ref="AJ128:AJ129"/>
    <mergeCell ref="D72:D73"/>
    <mergeCell ref="AJ72:AJ73"/>
    <mergeCell ref="D74:D75"/>
    <mergeCell ref="AJ74:AJ75"/>
    <mergeCell ref="H122:H123"/>
    <mergeCell ref="AF122:AF123"/>
    <mergeCell ref="H124:H125"/>
    <mergeCell ref="AF124:AF125"/>
    <mergeCell ref="D126:D127"/>
    <mergeCell ref="L116:L117"/>
    <mergeCell ref="AB116:AB117"/>
    <mergeCell ref="D118:D119"/>
    <mergeCell ref="AJ118:AJ119"/>
    <mergeCell ref="D120:D121"/>
    <mergeCell ref="AJ120:AJ121"/>
    <mergeCell ref="D110:D111"/>
    <mergeCell ref="AJ110:AJ111"/>
    <mergeCell ref="D112:D113"/>
    <mergeCell ref="AJ112:AJ113"/>
    <mergeCell ref="L114:L115"/>
    <mergeCell ref="AB114:AB115"/>
    <mergeCell ref="H142:H143"/>
    <mergeCell ref="AF142:AF143"/>
    <mergeCell ref="D144:D145"/>
    <mergeCell ref="AJ144:AJ145"/>
    <mergeCell ref="D146:D147"/>
    <mergeCell ref="AJ146:AJ147"/>
    <mergeCell ref="D136:D137"/>
    <mergeCell ref="AJ136:AJ137"/>
    <mergeCell ref="D138:D139"/>
    <mergeCell ref="AJ138:AJ139"/>
    <mergeCell ref="H140:H141"/>
    <mergeCell ref="AF140:AF141"/>
    <mergeCell ref="AJ152:AJ153"/>
    <mergeCell ref="D154:D155"/>
    <mergeCell ref="AJ154:AJ155"/>
    <mergeCell ref="H156:H157"/>
    <mergeCell ref="AF156:AF157"/>
    <mergeCell ref="L148:L149"/>
    <mergeCell ref="AB148:AB149"/>
    <mergeCell ref="L150:L151"/>
    <mergeCell ref="AB150:AB151"/>
    <mergeCell ref="D152:D153"/>
    <mergeCell ref="R148:V148"/>
    <mergeCell ref="H158:H159"/>
    <mergeCell ref="AF158:AF159"/>
    <mergeCell ref="D160:D161"/>
    <mergeCell ref="AJ160:AJ161"/>
    <mergeCell ref="D162:D163"/>
    <mergeCell ref="R162:V162"/>
    <mergeCell ref="AJ162:AJ163"/>
    <mergeCell ref="P163:P164"/>
    <mergeCell ref="X163:X164"/>
    <mergeCell ref="S164:S165"/>
    <mergeCell ref="T164:T165"/>
    <mergeCell ref="U164:U165"/>
    <mergeCell ref="P165:P166"/>
    <mergeCell ref="X165:X166"/>
    <mergeCell ref="D166:D167"/>
    <mergeCell ref="AJ166:AJ167"/>
    <mergeCell ref="D174:D175"/>
    <mergeCell ref="AJ174:AJ175"/>
    <mergeCell ref="D176:D177"/>
    <mergeCell ref="AJ176:AJ177"/>
    <mergeCell ref="L178:L179"/>
    <mergeCell ref="AB178:AB179"/>
    <mergeCell ref="D168:D169"/>
    <mergeCell ref="AJ168:AJ169"/>
    <mergeCell ref="H170:H171"/>
    <mergeCell ref="AF170:AF171"/>
    <mergeCell ref="H172:H173"/>
    <mergeCell ref="AF172:AF173"/>
    <mergeCell ref="AJ190:AJ191"/>
    <mergeCell ref="D192:D193"/>
    <mergeCell ref="AJ192:AJ193"/>
    <mergeCell ref="H186:H187"/>
    <mergeCell ref="AF186:AF187"/>
    <mergeCell ref="H188:H189"/>
    <mergeCell ref="AF188:AF189"/>
    <mergeCell ref="D190:D191"/>
    <mergeCell ref="L180:L181"/>
    <mergeCell ref="AB180:AB181"/>
    <mergeCell ref="D182:D183"/>
    <mergeCell ref="AJ182:AJ183"/>
    <mergeCell ref="D184:D185"/>
    <mergeCell ref="AJ184:AJ185"/>
  </mergeCells>
  <printOptions horizontalCentered="1"/>
  <pageMargins left="0.23622047244094491" right="0.23622047244094491" top="0.74803149606299213" bottom="0.74803149606299213" header="0.31496062992125984" footer="0.31496062992125984"/>
  <pageSetup paperSize="9" scale="14" orientation="landscape" verticalDpi="300"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100-000000000000}">
          <x14:formula1>
            <xm:f>LISTAS!$D$5:$D$6</xm:f>
          </x14:formula1>
          <xm:sqref>AS5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18">
    <tabColor theme="4" tint="0.39997558519241921"/>
    <pageSetUpPr fitToPage="1"/>
  </sheetPr>
  <dimension ref="B1:AW200"/>
  <sheetViews>
    <sheetView showGridLines="0" topLeftCell="AG3" zoomScale="62" zoomScaleNormal="85" workbookViewId="0">
      <selection activeCell="D164" sqref="D164"/>
    </sheetView>
  </sheetViews>
  <sheetFormatPr defaultColWidth="25.28515625" defaultRowHeight="16.5" x14ac:dyDescent="0.25"/>
  <cols>
    <col min="1" max="1" width="1.140625" style="1" customWidth="1"/>
    <col min="2" max="2" width="4.5703125" style="1" customWidth="1"/>
    <col min="3" max="3" width="30.28515625" style="163" customWidth="1"/>
    <col min="4" max="4" width="5" style="1" customWidth="1"/>
    <col min="5" max="6" width="3.7109375" style="1" customWidth="1"/>
    <col min="7" max="7" width="18.7109375" style="173" customWidth="1"/>
    <col min="8" max="8" width="5" style="1" customWidth="1"/>
    <col min="9" max="9" width="3.7109375" style="1" customWidth="1"/>
    <col min="10" max="10" width="3.85546875" style="1" customWidth="1"/>
    <col min="11" max="11" width="18.7109375" style="173" customWidth="1"/>
    <col min="12" max="12" width="5" style="1" customWidth="1"/>
    <col min="13" max="14" width="3.7109375" style="1" customWidth="1"/>
    <col min="15" max="15" width="18.7109375" style="173" customWidth="1"/>
    <col min="16" max="16" width="5" style="1" customWidth="1"/>
    <col min="17" max="17" width="6.28515625" style="23" customWidth="1"/>
    <col min="18" max="18" width="18.7109375" style="183" customWidth="1"/>
    <col min="19" max="21" width="3.7109375" style="23" customWidth="1"/>
    <col min="22" max="22" width="18.5703125" style="183" customWidth="1"/>
    <col min="23" max="23" width="6.28515625" style="1" customWidth="1"/>
    <col min="24" max="24" width="5" style="2" customWidth="1"/>
    <col min="25" max="25" width="18.7109375" style="173" customWidth="1"/>
    <col min="26" max="27" width="3.7109375" style="1" customWidth="1"/>
    <col min="28" max="28" width="5" style="1" customWidth="1"/>
    <col min="29" max="29" width="18.85546875" style="173" customWidth="1"/>
    <col min="30" max="31" width="3.7109375" style="1" customWidth="1"/>
    <col min="32" max="32" width="5" style="1" customWidth="1"/>
    <col min="33" max="33" width="18.85546875" style="173" customWidth="1"/>
    <col min="34" max="34" width="3.7109375" style="1" customWidth="1"/>
    <col min="35" max="35" width="3.5703125" style="1" customWidth="1"/>
    <col min="36" max="36" width="5" style="1" customWidth="1"/>
    <col min="37" max="37" width="39.85546875" style="173" customWidth="1"/>
    <col min="38" max="38" width="4.85546875" style="23" customWidth="1"/>
    <col min="39" max="41" width="1.42578125" style="20" customWidth="1"/>
    <col min="42" max="42" width="9.7109375" style="1" customWidth="1"/>
    <col min="43" max="43" width="15.5703125" style="1" customWidth="1"/>
    <col min="44" max="44" width="57.28515625" style="1" customWidth="1"/>
    <col min="45" max="45" width="57.28515625" style="1" bestFit="1" customWidth="1"/>
    <col min="46" max="16384" width="25.28515625" style="1"/>
  </cols>
  <sheetData>
    <row r="1" spans="2:49" ht="6" customHeight="1" x14ac:dyDescent="0.25"/>
    <row r="2" spans="2:49" s="3" customFormat="1" ht="60.75" customHeight="1" x14ac:dyDescent="0.25">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5"/>
      <c r="AN2" s="25"/>
      <c r="AO2" s="25"/>
      <c r="AP2" s="233"/>
      <c r="AQ2" s="233"/>
      <c r="AR2" s="233"/>
      <c r="AS2" s="233"/>
      <c r="AT2" s="233"/>
      <c r="AU2" s="233"/>
    </row>
    <row r="3" spans="2:49" s="3" customFormat="1" ht="60.75" customHeight="1" x14ac:dyDescent="0.25">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5"/>
      <c r="AN3" s="25"/>
      <c r="AO3" s="25"/>
      <c r="AP3" s="233"/>
      <c r="AQ3" s="233"/>
      <c r="AR3" s="233"/>
      <c r="AS3" s="233"/>
      <c r="AT3" s="233"/>
      <c r="AU3" s="233"/>
      <c r="AV3" s="1"/>
      <c r="AW3" s="1"/>
    </row>
    <row r="4" spans="2:49" s="3" customFormat="1" ht="13.5" customHeight="1" x14ac:dyDescent="0.25">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5"/>
      <c r="AN4" s="25"/>
      <c r="AO4" s="25"/>
      <c r="AP4" s="4"/>
      <c r="AQ4" s="4"/>
      <c r="AR4" s="4"/>
      <c r="AS4" s="4"/>
      <c r="AT4" s="4"/>
      <c r="AU4" s="4"/>
    </row>
    <row r="5" spans="2:49" s="3" customFormat="1" ht="30" customHeight="1" x14ac:dyDescent="0.25">
      <c r="B5" s="274" t="s">
        <v>34</v>
      </c>
      <c r="C5" s="275"/>
      <c r="D5" s="275"/>
      <c r="E5" s="40"/>
      <c r="G5" s="174"/>
      <c r="H5" s="4"/>
      <c r="K5" s="178"/>
      <c r="O5" s="178"/>
      <c r="Q5" s="24"/>
      <c r="R5" s="184"/>
      <c r="S5" s="24"/>
      <c r="T5" s="24"/>
      <c r="U5" s="24"/>
      <c r="V5" s="184"/>
      <c r="W5" s="24"/>
      <c r="X5" s="24"/>
      <c r="Y5" s="184"/>
      <c r="Z5" s="5"/>
      <c r="AB5" s="4"/>
      <c r="AC5" s="174"/>
      <c r="AG5" s="178"/>
      <c r="AK5" s="178"/>
      <c r="AL5" s="24"/>
      <c r="AM5" s="25"/>
      <c r="AN5" s="25"/>
      <c r="AO5" s="25"/>
      <c r="AP5" s="274" t="s">
        <v>34</v>
      </c>
      <c r="AQ5" s="276"/>
      <c r="AR5" s="6" t="s">
        <v>13</v>
      </c>
      <c r="AS5" s="7" t="s">
        <v>14</v>
      </c>
      <c r="AT5" s="4"/>
      <c r="AU5" s="4"/>
    </row>
    <row r="6" spans="2:49" ht="30" customHeight="1" x14ac:dyDescent="0.25">
      <c r="B6" s="247" t="s">
        <v>21</v>
      </c>
      <c r="C6" s="248"/>
      <c r="D6" s="248"/>
      <c r="E6" s="248"/>
      <c r="F6" s="248"/>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P6" s="246" t="s">
        <v>21</v>
      </c>
      <c r="AQ6" s="246"/>
      <c r="AR6" s="246"/>
      <c r="AS6" s="246"/>
      <c r="AT6" s="246"/>
      <c r="AU6" s="246"/>
    </row>
    <row r="7" spans="2:49" ht="28.5" customHeight="1" thickBot="1" x14ac:dyDescent="0.3">
      <c r="B7" s="135"/>
      <c r="C7" s="187"/>
      <c r="D7" s="27"/>
      <c r="E7" s="27"/>
      <c r="F7" s="27"/>
      <c r="G7" s="191"/>
      <c r="H7" s="27"/>
      <c r="I7" s="27"/>
      <c r="J7" s="27"/>
      <c r="K7" s="195"/>
      <c r="L7" s="27"/>
      <c r="M7" s="27"/>
      <c r="N7" s="27"/>
      <c r="O7" s="195"/>
      <c r="P7" s="27"/>
      <c r="Q7" s="27"/>
      <c r="R7" s="195"/>
      <c r="S7" s="27"/>
      <c r="T7" s="27"/>
      <c r="U7" s="27"/>
      <c r="V7" s="195"/>
      <c r="W7" s="27"/>
      <c r="X7" s="26"/>
      <c r="Y7" s="195"/>
      <c r="Z7" s="27"/>
      <c r="AA7" s="27"/>
      <c r="AB7" s="92"/>
      <c r="AC7" s="195"/>
      <c r="AD7" s="150"/>
      <c r="AE7" s="150"/>
      <c r="AF7" s="150"/>
      <c r="AG7" s="200"/>
      <c r="AH7" s="150"/>
      <c r="AI7" s="150"/>
      <c r="AJ7" s="27"/>
      <c r="AK7" s="195"/>
      <c r="AL7" s="27"/>
      <c r="AP7" s="258" t="s">
        <v>3</v>
      </c>
      <c r="AQ7" s="260"/>
      <c r="AR7" s="132" t="s">
        <v>15</v>
      </c>
      <c r="AS7" s="132" t="s">
        <v>0</v>
      </c>
      <c r="AT7" s="132" t="s">
        <v>16</v>
      </c>
      <c r="AU7" s="132" t="s">
        <v>17</v>
      </c>
    </row>
    <row r="8" spans="2:49" ht="18" customHeight="1" x14ac:dyDescent="0.25">
      <c r="B8" s="136">
        <v>1</v>
      </c>
      <c r="C8" s="162" t="str">
        <f>IF('17M GRP'!G5&gt;=3,'17M GRP'!J8,IF('17M GRP'!G5=2,'17M GRP'!J8,IF('17M GRP'!G5=1,'17M GRP'!J8,"")))</f>
        <v>EDUARDO HIDEYOSHI</v>
      </c>
      <c r="D8" s="266">
        <v>1</v>
      </c>
      <c r="E8" s="101">
        <f>IF(D8&lt;&gt;"",D8,"")</f>
        <v>1</v>
      </c>
      <c r="F8" s="101" t="str">
        <f>IF(D8&lt;&gt;"",IF(C8="","",C8),"")</f>
        <v>EDUARDO HIDEYOSHI</v>
      </c>
      <c r="G8" s="190">
        <f>IF(E8&lt;&gt;"",IF(E10&lt;&gt;"",SMALL(E8:E10,1),""),"")</f>
        <v>0</v>
      </c>
      <c r="H8" s="101"/>
      <c r="I8" s="101"/>
      <c r="J8" s="101"/>
      <c r="K8" s="190"/>
      <c r="L8" s="101"/>
      <c r="M8" s="151"/>
      <c r="N8" s="30"/>
      <c r="O8" s="196"/>
      <c r="P8" s="30"/>
      <c r="Q8" s="37"/>
      <c r="R8" s="198"/>
      <c r="S8" s="37"/>
      <c r="T8" s="37"/>
      <c r="U8" s="37"/>
      <c r="V8" s="198"/>
      <c r="W8" s="37"/>
      <c r="X8" s="86"/>
      <c r="Y8" s="198"/>
      <c r="Z8" s="37"/>
      <c r="AA8" s="37"/>
      <c r="AB8" s="29"/>
      <c r="AC8" s="198"/>
      <c r="AD8" s="100"/>
      <c r="AE8" s="100"/>
      <c r="AF8" s="100"/>
      <c r="AG8" s="197">
        <f>IF(AJ8&lt;&gt;"",AJ8,"")</f>
        <v>1</v>
      </c>
      <c r="AH8" s="100" t="str">
        <f>IF(AJ8&lt;&gt;"",IF(AK8="","",AK8),"")</f>
        <v>FELIPE HIDEKI MIAZAKI</v>
      </c>
      <c r="AI8" s="101">
        <f>IF(AG8&lt;&gt;"",IF(AG10&lt;&gt;"",SMALL(AG8:AG10,1),""),"")</f>
        <v>0</v>
      </c>
      <c r="AJ8" s="266">
        <v>1</v>
      </c>
      <c r="AK8" s="162" t="str">
        <f>IF('17M GRP'!G5&gt;=3,'17M GRP'!J47,IF('17M GRP'!G5=2,IF('17M GRP'!H8=3,"",'17M GRP'!J9),IF('17M GRP'!G5=1,'17M GRP'!J10,"")))</f>
        <v>FELIPE HIDEKI MIAZAKI</v>
      </c>
      <c r="AL8" s="99">
        <v>3</v>
      </c>
      <c r="AP8" s="31">
        <f>IF(AR8&lt;&gt;"",1,"")</f>
        <v>1</v>
      </c>
      <c r="AQ8" s="32" t="str">
        <f>IF(AP8&lt;&gt;"","LUGAR","")</f>
        <v>LUGAR</v>
      </c>
      <c r="AR8" s="33" t="str">
        <f>IF(S36&lt;&gt;"",IF(U36&lt;&gt;"",IF(S36=U36,"",IF(S36&gt;U36,R36,V36)),""),"")</f>
        <v>FELIPE HIDEKI MIAZAKI</v>
      </c>
      <c r="AS8" s="33" t="str">
        <f>IFERROR(IF(AR8="","",VLOOKUP(AR8,LISTAS!$F$5:$G$1004,2,0)),"0")</f>
        <v>LICEU JARDIM</v>
      </c>
      <c r="AT8" s="33">
        <f t="shared" ref="AT8:AT38" si="0">IF(AP8="","",IF(AP8=1,400,IF(AP8=2,340,IF(AP8=3,300,IF(AP8=4,280,IF(AP8=5,270,IF(AP8=6,260,IF(AP8=7,250,IF(AP8=8,240,IF(AP8=9,200,IF(AP8=10,200,IF(AP8=11,200,IF(AP8=12,200,IF(AP8=13,200,IF(AP8=14,200,IF(AP8=15,200,IF(AP8=16,200,IF(AP8&gt;16,"",""))))))))))))))))))</f>
        <v>400</v>
      </c>
      <c r="AU8" s="33">
        <f>IF(AP8="","",IF($AS$5="NÃO","",IF(AP8=1,400,IF(AP8=2,340,IF(AP8=3,300,IF(AP8=4,280,IF(AP8=5,270,IF(AP8=6,260,IF(AP8=7,250,IF(AP8=8,240,IF(AP8=9,200,IF(AP8=10,200,IF(AP8=11,200,IF(AP8=12,200,IF(AP8=13,200,IF(AP8=14,200,IF(AP8=15,200,IF(AP8=16,200,IF(AP8&gt;16,"","")))))))))))))))))))</f>
        <v>400</v>
      </c>
    </row>
    <row r="9" spans="2:49" ht="18" customHeight="1" thickBot="1" x14ac:dyDescent="0.3">
      <c r="B9" s="136"/>
      <c r="C9" s="165" t="str">
        <f>IFERROR(IF(C8="","",VLOOKUP(C8,LISTAS!$F$5:$G$1004,2,0)),"0")</f>
        <v>COLEGIO PETROPOLIS</v>
      </c>
      <c r="D9" s="267"/>
      <c r="E9" s="101"/>
      <c r="F9" s="101"/>
      <c r="G9" s="190"/>
      <c r="H9" s="101"/>
      <c r="I9" s="101"/>
      <c r="J9" s="101"/>
      <c r="K9" s="190"/>
      <c r="L9" s="101"/>
      <c r="M9" s="151"/>
      <c r="N9" s="30"/>
      <c r="O9" s="196"/>
      <c r="P9" s="30"/>
      <c r="Q9" s="37"/>
      <c r="R9" s="198"/>
      <c r="S9" s="37"/>
      <c r="T9" s="37"/>
      <c r="U9" s="37"/>
      <c r="V9" s="198"/>
      <c r="W9" s="37"/>
      <c r="X9" s="86"/>
      <c r="Y9" s="198"/>
      <c r="Z9" s="37"/>
      <c r="AA9" s="37"/>
      <c r="AB9" s="29"/>
      <c r="AC9" s="198"/>
      <c r="AD9" s="100"/>
      <c r="AE9" s="100"/>
      <c r="AF9" s="100"/>
      <c r="AG9" s="197"/>
      <c r="AH9" s="100"/>
      <c r="AI9" s="101"/>
      <c r="AJ9" s="267"/>
      <c r="AK9" s="165" t="str">
        <f>IFERROR(IF(AK8="","",VLOOKUP(AK8,LISTAS!$F$5:$G$1004,2,0)),"0")</f>
        <v>LICEU JARDIM</v>
      </c>
      <c r="AL9" s="99"/>
      <c r="AP9" s="31">
        <f>IF(AR9&lt;&gt;"",1+COUNTIF(AP8,"1"),"")</f>
        <v>2</v>
      </c>
      <c r="AQ9" s="32" t="str">
        <f t="shared" ref="AQ9:AQ39" si="1">IF(AP9&lt;&gt;"","LUGAR","")</f>
        <v>LUGAR</v>
      </c>
      <c r="AR9" s="33" t="str">
        <f>IF(S36&lt;&gt;"",IF(U36&lt;&gt;"",IF(S36=U36,"",IF(S36&lt;U36,R36,V36)),""),"")</f>
        <v>GUSTAVO KENJI ETO</v>
      </c>
      <c r="AS9" s="33" t="str">
        <f>IFERROR(IF(AR9="","",VLOOKUP(AR9,LISTAS!$F$5:$G$1004,2,0)),"0")</f>
        <v>COLÉGIO ENGENHEIRO SALVADOR ARENA</v>
      </c>
      <c r="AT9" s="33">
        <f t="shared" si="0"/>
        <v>340</v>
      </c>
      <c r="AU9" s="33">
        <f t="shared" ref="AU9:AU38" si="2">IF(AP9="","",IF($AS$5="NÃO","",IF(AP9=1,400,IF(AP9=2,340,IF(AP9=3,300,IF(AP9=4,280,IF(AP9=5,270,IF(AP9=6,260,IF(AP9=7,250,IF(AP9=8,240,IF(AP9=9,200,IF(AP9=10,200,IF(AP9=11,200,IF(AP9=12,200,IF(AP9=13,200,IF(AP9=14,200,IF(AP9=15,200,IF(AP9=16,200,IF(AP9&gt;16,"","")))))))))))))))))))</f>
        <v>340</v>
      </c>
    </row>
    <row r="10" spans="2:49" ht="18" customHeight="1" x14ac:dyDescent="0.25">
      <c r="B10" s="133">
        <v>32</v>
      </c>
      <c r="C10" s="162" t="str">
        <f>IF('17M GRP'!G5&gt;=3,'17M GRP'!J424,IF('17M GRP'!G5=2,"",IF('17M GRP'!G5=1,"","")))</f>
        <v/>
      </c>
      <c r="D10" s="266">
        <v>0</v>
      </c>
      <c r="E10" s="107">
        <f>IF(D10&lt;&gt;"",D10,"")</f>
        <v>0</v>
      </c>
      <c r="F10" s="101" t="str">
        <f>IF(D10&lt;&gt;"",IF(C10="","",C10),"")</f>
        <v/>
      </c>
      <c r="G10" s="190" t="str">
        <f>VLOOKUP(G8,E8:F10,2,0)</f>
        <v/>
      </c>
      <c r="H10" s="101"/>
      <c r="I10" s="101"/>
      <c r="J10" s="101"/>
      <c r="K10" s="190"/>
      <c r="L10" s="101"/>
      <c r="M10" s="151"/>
      <c r="N10" s="30"/>
      <c r="O10" s="196"/>
      <c r="P10" s="30"/>
      <c r="Q10" s="37"/>
      <c r="R10" s="198"/>
      <c r="S10" s="37"/>
      <c r="T10" s="37"/>
      <c r="U10" s="37"/>
      <c r="V10" s="198"/>
      <c r="W10" s="37"/>
      <c r="X10" s="86"/>
      <c r="Y10" s="198"/>
      <c r="Z10" s="37"/>
      <c r="AA10" s="37"/>
      <c r="AB10" s="29"/>
      <c r="AC10" s="198"/>
      <c r="AD10" s="100"/>
      <c r="AE10" s="100"/>
      <c r="AF10" s="100"/>
      <c r="AG10" s="197">
        <f>IF(AJ10&lt;&gt;"",AJ10,"")</f>
        <v>0</v>
      </c>
      <c r="AH10" s="100" t="str">
        <f>IF(AJ10&lt;&gt;"",IF(AK10="","",AK10),"")</f>
        <v/>
      </c>
      <c r="AI10" s="102" t="str">
        <f>VLOOKUP(AI8,AG8:AH10,2,0)</f>
        <v/>
      </c>
      <c r="AJ10" s="266">
        <v>0</v>
      </c>
      <c r="AK10" s="162" t="str">
        <f>IF('17M GRP'!G5&gt;=3,'17M GRP'!J398,IF('17M GRP'!G5=2,"",IF('17M GRP'!G5=1,"","")))</f>
        <v/>
      </c>
      <c r="AL10" s="29">
        <v>30</v>
      </c>
      <c r="AP10" s="31">
        <f>IF(AR10&lt;&gt;"",1+COUNTIF(AP8:AP9,"1")+COUNTIF(AP8:AP9,"2"),"")</f>
        <v>3</v>
      </c>
      <c r="AQ10" s="32" t="str">
        <f t="shared" si="1"/>
        <v>LUGAR</v>
      </c>
      <c r="AR10" s="111" t="str">
        <f>IF(AR8&lt;&gt;"",IF(O35=AR8,O37,IF(O37=AR8,O35,IF(Y35=AR8,Y37,IF(Y37=AR8,Y35)))),"")</f>
        <v>GABRIEL CUSTÓDIO FERNANDEZ</v>
      </c>
      <c r="AS10" s="33" t="str">
        <f>IFERROR(IF(AR10="","",VLOOKUP(AR10,LISTAS!$F$5:$G$1004,2,0)),"0")</f>
        <v>COLÉGIO ARBOS SÃO CAETANO DO SUL</v>
      </c>
      <c r="AT10" s="33">
        <f t="shared" si="0"/>
        <v>300</v>
      </c>
      <c r="AU10" s="33">
        <f t="shared" si="2"/>
        <v>300</v>
      </c>
    </row>
    <row r="11" spans="2:49" ht="18" customHeight="1" thickBot="1" x14ac:dyDescent="0.3">
      <c r="B11" s="133"/>
      <c r="C11" s="165" t="str">
        <f>IFERROR(IF(C10="","",VLOOKUP(C10,LISTAS!$F$5:$G$1004,2,0)),"0")</f>
        <v/>
      </c>
      <c r="D11" s="267"/>
      <c r="E11" s="148"/>
      <c r="F11" s="101"/>
      <c r="G11" s="190"/>
      <c r="H11" s="101"/>
      <c r="I11" s="101"/>
      <c r="J11" s="101"/>
      <c r="K11" s="190"/>
      <c r="L11" s="101"/>
      <c r="M11" s="151"/>
      <c r="N11" s="30"/>
      <c r="O11" s="196"/>
      <c r="P11" s="30"/>
      <c r="Q11" s="37"/>
      <c r="R11" s="198"/>
      <c r="S11" s="37"/>
      <c r="T11" s="37"/>
      <c r="U11" s="37"/>
      <c r="V11" s="198"/>
      <c r="W11" s="37"/>
      <c r="X11" s="86"/>
      <c r="Y11" s="198"/>
      <c r="Z11" s="37"/>
      <c r="AA11" s="37"/>
      <c r="AB11" s="29"/>
      <c r="AC11" s="198"/>
      <c r="AD11" s="100"/>
      <c r="AE11" s="100"/>
      <c r="AF11" s="100"/>
      <c r="AG11" s="197"/>
      <c r="AH11" s="100"/>
      <c r="AI11" s="142"/>
      <c r="AJ11" s="267"/>
      <c r="AK11" s="165" t="str">
        <f>IFERROR(IF(AK10="","",VLOOKUP(AK10,LISTAS!$F$5:$G$1004,2,0)),"0")</f>
        <v/>
      </c>
      <c r="AL11" s="29"/>
      <c r="AP11" s="31">
        <f>IF(AR11&lt;&gt;"",1+COUNTIF(AP8:AP10,"1")+COUNTIF(AP8:AP10,"2")+COUNTIF(AP8:AP10,"3"),"")</f>
        <v>4</v>
      </c>
      <c r="AQ11" s="32" t="str">
        <f t="shared" si="1"/>
        <v>LUGAR</v>
      </c>
      <c r="AR11" s="111" t="str">
        <f>IF(AR9&lt;&gt;"",IF(O35=AR9,O37,IF(O37=AR9,O35,IF(Y35=AR9,Y37,IF(Y37=AR9,Y35)))),"")</f>
        <v>LUIS FELIPE DE SOUSA FERREIRA</v>
      </c>
      <c r="AS11" s="33" t="str">
        <f>IFERROR(IF(AR11="","",VLOOKUP(AR11,LISTAS!$F$5:$G$1004,2,0)),"0")</f>
        <v>E.E. 20 DE AGOSTO</v>
      </c>
      <c r="AT11" s="33">
        <f t="shared" si="0"/>
        <v>280</v>
      </c>
      <c r="AU11" s="33">
        <f t="shared" si="2"/>
        <v>280</v>
      </c>
    </row>
    <row r="12" spans="2:49" ht="18" customHeight="1" x14ac:dyDescent="0.25">
      <c r="B12" s="133"/>
      <c r="C12" s="188"/>
      <c r="D12" s="29"/>
      <c r="E12" s="29"/>
      <c r="F12" s="34"/>
      <c r="G12" s="162" t="str">
        <f>IF(D8&lt;&gt;"",IF(D10&lt;&gt;"",IF(D8=D10,"",IF(D8&gt;D10,C8,C10)),""),"")</f>
        <v>EDUARDO HIDEYOSHI</v>
      </c>
      <c r="H12" s="266">
        <v>1</v>
      </c>
      <c r="I12" s="101">
        <f>IF(H12&lt;&gt;"",H12,"")</f>
        <v>1</v>
      </c>
      <c r="J12" s="101" t="str">
        <f>IF(H12&lt;&gt;"",IF(G12="","",G12),"")</f>
        <v>EDUARDO HIDEYOSHI</v>
      </c>
      <c r="K12" s="190">
        <f>IF(I12&lt;&gt;"",IF(I14&lt;&gt;"",SMALL(I12:J14,1),""),"")</f>
        <v>0</v>
      </c>
      <c r="L12" s="101"/>
      <c r="M12" s="101"/>
      <c r="N12" s="101"/>
      <c r="O12" s="190"/>
      <c r="P12" s="29"/>
      <c r="Q12" s="37"/>
      <c r="R12" s="198"/>
      <c r="S12" s="37"/>
      <c r="T12" s="37"/>
      <c r="U12" s="37"/>
      <c r="V12" s="198"/>
      <c r="W12" s="37"/>
      <c r="X12" s="86"/>
      <c r="Y12" s="198"/>
      <c r="Z12" s="37"/>
      <c r="AA12" s="37"/>
      <c r="AB12" s="29"/>
      <c r="AC12" s="198"/>
      <c r="AD12" s="37"/>
      <c r="AE12" s="95"/>
      <c r="AF12" s="266">
        <v>1</v>
      </c>
      <c r="AG12" s="162" t="str">
        <f>IF(AJ8&lt;&gt;"",IF(AJ10&lt;&gt;"",IF(AJ8=AJ10,"",IF(AJ8&gt;AJ10,AK8,AK10)),""),"")</f>
        <v>FELIPE HIDEKI MIAZAKI</v>
      </c>
      <c r="AH12" s="94"/>
      <c r="AI12" s="37"/>
      <c r="AJ12" s="29"/>
      <c r="AK12" s="188"/>
      <c r="AL12" s="29"/>
      <c r="AP12" s="31">
        <f>IF(AR12&lt;&gt;"",1+COUNTIF(AP8:AP11,"1")+COUNTIF(AP8:AP11,"2")+COUNTIF(AP8:AP11,"3")+COUNTIF(AP8:AP11,"4"),"")</f>
        <v>5</v>
      </c>
      <c r="AQ12" s="32" t="str">
        <f t="shared" si="1"/>
        <v>LUGAR</v>
      </c>
      <c r="AR12" s="111" t="str">
        <f>IF(AR8&lt;&gt;"",IF(K20=AR8,K22,IF(K22=AR8,K20,IF(K50=AR8,K52,IF(K52=AR8,K50,IF(AC20=AR8,AC22,IF(AC22=AR8,AC20,IF(AC50=AR8,AC52,IF(AC52=AR8,AC50)))))))),"")</f>
        <v>MIGUEL ARIETE VITORINO DIAS RAPOSO SOARES</v>
      </c>
      <c r="AS12" s="33" t="str">
        <f>IFERROR(IF(AR12="","",VLOOKUP(AR12,LISTAS!$F$5:$G$1004,2,0)),"0")</f>
        <v>COLÉGIO ARBOS - UNIDADE SANTO ANDRÉ</v>
      </c>
      <c r="AT12" s="33">
        <f t="shared" si="0"/>
        <v>270</v>
      </c>
      <c r="AU12" s="33">
        <f t="shared" si="2"/>
        <v>270</v>
      </c>
    </row>
    <row r="13" spans="2:49" ht="18" customHeight="1" thickBot="1" x14ac:dyDescent="0.3">
      <c r="B13" s="133"/>
      <c r="C13" s="188"/>
      <c r="D13" s="29"/>
      <c r="E13" s="29"/>
      <c r="F13" s="34"/>
      <c r="G13" s="165" t="str">
        <f>IFERROR(IF(G12="","",VLOOKUP(G12,LISTAS!$F$5:$G$1004,2,0)),"0")</f>
        <v>COLEGIO PETROPOLIS</v>
      </c>
      <c r="H13" s="267"/>
      <c r="I13" s="101"/>
      <c r="J13" s="101"/>
      <c r="K13" s="190"/>
      <c r="L13" s="101"/>
      <c r="M13" s="101"/>
      <c r="N13" s="101"/>
      <c r="O13" s="190"/>
      <c r="P13" s="29"/>
      <c r="Q13" s="37"/>
      <c r="R13" s="198"/>
      <c r="S13" s="37"/>
      <c r="T13" s="37"/>
      <c r="U13" s="37"/>
      <c r="V13" s="198"/>
      <c r="W13" s="37"/>
      <c r="X13" s="86"/>
      <c r="Y13" s="198"/>
      <c r="Z13" s="37"/>
      <c r="AA13" s="37"/>
      <c r="AB13" s="29"/>
      <c r="AC13" s="198"/>
      <c r="AD13" s="37"/>
      <c r="AE13" s="95"/>
      <c r="AF13" s="267"/>
      <c r="AG13" s="165" t="str">
        <f>IFERROR(IF(AG12="","",VLOOKUP(AG12,LISTAS!$F$5:$G$1004,2,0)),"0")</f>
        <v>LICEU JARDIM</v>
      </c>
      <c r="AH13" s="94"/>
      <c r="AI13" s="37"/>
      <c r="AJ13" s="29"/>
      <c r="AK13" s="188"/>
      <c r="AL13" s="29"/>
      <c r="AP13" s="31">
        <f>IF(AR13&lt;&gt;"",1+COUNTIF(AP8:AP12,"1")+COUNTIF(AP8:AP12,"2")+COUNTIF(AP8:AP12,"3")+COUNTIF(AP8:AP12,"4")+COUNTIF(AP8:AP12,"5"),"")</f>
        <v>6</v>
      </c>
      <c r="AQ13" s="32" t="str">
        <f t="shared" si="1"/>
        <v>LUGAR</v>
      </c>
      <c r="AR13" s="111" t="str">
        <f>IF(AR9&lt;&gt;"",IF(K20=AR9,K22,IF(K22=AR9,K20,IF(K50=AR9,K52,IF(K52=AR9,K50,IF(AC20=AR9,AC22,IF(AC22=AR9,AC20,IF(AC50=AR9,AC52,IF(AC52=AR9,AC50)))))))),"")</f>
        <v>LUCCA MAGALHÃES E SILVA</v>
      </c>
      <c r="AS13" s="33" t="str">
        <f>IFERROR(IF(AR13="","",VLOOKUP(AR13,LISTAS!$F$5:$G$1004,2,0)),"0")</f>
        <v>COLÉGIO ARBOS SÃO CAETANO DO SUL</v>
      </c>
      <c r="AT13" s="33">
        <f t="shared" si="0"/>
        <v>260</v>
      </c>
      <c r="AU13" s="33">
        <f t="shared" si="2"/>
        <v>260</v>
      </c>
    </row>
    <row r="14" spans="2:49" ht="18" customHeight="1" x14ac:dyDescent="0.25">
      <c r="B14" s="133"/>
      <c r="C14" s="188"/>
      <c r="D14" s="29"/>
      <c r="E14" s="35"/>
      <c r="F14" s="36"/>
      <c r="G14" s="162" t="str">
        <f>IF(D16&lt;&gt;"",IF(D18&lt;&gt;"",IF(D16=D18,"",IF(D16&gt;D18,C16,C18)),""),"")</f>
        <v/>
      </c>
      <c r="H14" s="266">
        <v>0</v>
      </c>
      <c r="I14" s="107">
        <f>IF(H14&lt;&gt;"",H14,"")</f>
        <v>0</v>
      </c>
      <c r="J14" s="101" t="str">
        <f>IF(H14&lt;&gt;"",IF(G14="","",G14),"")</f>
        <v/>
      </c>
      <c r="K14" s="190" t="str">
        <f>VLOOKUP(K12,I12:J14,2,0)</f>
        <v/>
      </c>
      <c r="L14" s="101"/>
      <c r="M14" s="101"/>
      <c r="N14" s="101"/>
      <c r="O14" s="190"/>
      <c r="P14" s="29"/>
      <c r="Q14" s="37"/>
      <c r="R14" s="198"/>
      <c r="S14" s="37"/>
      <c r="T14" s="37"/>
      <c r="U14" s="37"/>
      <c r="V14" s="198"/>
      <c r="W14" s="37"/>
      <c r="X14" s="86"/>
      <c r="Y14" s="198"/>
      <c r="Z14" s="37"/>
      <c r="AA14" s="37"/>
      <c r="AB14" s="29"/>
      <c r="AC14" s="198"/>
      <c r="AD14" s="94"/>
      <c r="AE14" s="96"/>
      <c r="AF14" s="266">
        <v>0</v>
      </c>
      <c r="AG14" s="162" t="str">
        <f>IF(AJ16&lt;&gt;"",IF(AJ18&lt;&gt;"",IF(AJ16=AJ18,"",IF(AJ16&gt;AJ18,AK16,AK18)),""),"")</f>
        <v>IAN JUSTI</v>
      </c>
      <c r="AH14" s="98"/>
      <c r="AI14" s="37"/>
      <c r="AJ14" s="29"/>
      <c r="AK14" s="188"/>
      <c r="AL14" s="29"/>
      <c r="AP14" s="31">
        <f>IF(AR14&lt;&gt;"",1+COUNTIF(AP8:AP13,"1")+COUNTIF(AP8:AP13,"2")+COUNTIF(AP8:AP13,"3")+COUNTIF(AP8:AP13,"4")+COUNTIF(AP8:AP13,"5")+COUNTIF(AP8:AP13,"6"),"")</f>
        <v>7</v>
      </c>
      <c r="AQ14" s="32" t="str">
        <f t="shared" si="1"/>
        <v>LUGAR</v>
      </c>
      <c r="AR14" s="111" t="str">
        <f>IF(AR10&lt;&gt;"",IF(K20=AR10,K22,IF(K22=AR10,K20,IF(K50=AR10,K52,IF(K52=AR10,K50,IF(AC20=AR10,AC22,IF(AC22=AR10,AC20,IF(AC50=AR10,AC52,IF(AC52=AR10,AC50)))))))),"")</f>
        <v>ENZO VERTICCHIO DI LULLO</v>
      </c>
      <c r="AS14" s="33" t="str">
        <f>IFERROR(IF(AR14="","",VLOOKUP(AR14,LISTAS!$F$5:$G$1004,2,0)),"0")</f>
        <v>COLÉGIO ARBOS SÃO CAETANO DO SUL</v>
      </c>
      <c r="AT14" s="33">
        <f t="shared" si="0"/>
        <v>250</v>
      </c>
      <c r="AU14" s="33">
        <f t="shared" si="2"/>
        <v>250</v>
      </c>
    </row>
    <row r="15" spans="2:49" ht="18" customHeight="1" thickBot="1" x14ac:dyDescent="0.3">
      <c r="B15" s="133"/>
      <c r="C15" s="188"/>
      <c r="D15" s="29"/>
      <c r="E15" s="35"/>
      <c r="F15" s="29"/>
      <c r="G15" s="165" t="str">
        <f>IFERROR(IF(G14="","",VLOOKUP(G14,LISTAS!$F$5:$G$1004,2,0)),"0")</f>
        <v/>
      </c>
      <c r="H15" s="267"/>
      <c r="I15" s="138"/>
      <c r="J15" s="101"/>
      <c r="K15" s="190"/>
      <c r="L15" s="101"/>
      <c r="M15" s="101"/>
      <c r="N15" s="101"/>
      <c r="O15" s="190"/>
      <c r="P15" s="29"/>
      <c r="Q15" s="37"/>
      <c r="R15" s="198"/>
      <c r="S15" s="37"/>
      <c r="T15" s="37"/>
      <c r="U15" s="37"/>
      <c r="V15" s="198"/>
      <c r="W15" s="37"/>
      <c r="X15" s="86"/>
      <c r="Y15" s="198"/>
      <c r="Z15" s="37"/>
      <c r="AA15" s="37"/>
      <c r="AB15" s="29"/>
      <c r="AC15" s="198"/>
      <c r="AD15" s="94"/>
      <c r="AE15" s="37"/>
      <c r="AF15" s="267"/>
      <c r="AG15" s="165" t="str">
        <f>IFERROR(IF(AG14="","",VLOOKUP(AG14,LISTAS!$F$5:$G$1004,2,0)),"0")</f>
        <v>COLÉGIO ENGENHEIRO SALVADOR ARENA</v>
      </c>
      <c r="AH15" s="37"/>
      <c r="AI15" s="89"/>
      <c r="AJ15" s="29"/>
      <c r="AK15" s="188"/>
      <c r="AL15" s="29"/>
      <c r="AP15" s="31">
        <f>IF(AR15&lt;&gt;"",1+COUNTIF(AP8:AP14,"1")+COUNTIF(AP8:AP14,"2")+COUNTIF(AP8:AP14,"3")+COUNTIF(AP8:AP14,"4")+COUNTIF(AP8:AP14,"5")+COUNTIF(AP8:AP14,"6")+COUNTIF(AP8:AP14,"7"),"")</f>
        <v>8</v>
      </c>
      <c r="AQ15" s="32" t="str">
        <f t="shared" si="1"/>
        <v>LUGAR</v>
      </c>
      <c r="AR15" s="111" t="str">
        <f>IF(AR11&lt;&gt;"",IF(K20=AR11,K22,IF(K22=AR11,K20,IF(K50=AR11,K52,IF(K52=AR11,K50,IF(AC20=AR11,AC22,IF(AC22=AR11,AC20,IF(AC50=AR11,AC52,IF(AC52=AR11,AC50)))))))),"")</f>
        <v>EDUARDO HIDEYOSHI</v>
      </c>
      <c r="AS15" s="33" t="str">
        <f>IFERROR(IF(AR15="","",VLOOKUP(AR15,LISTAS!$F$5:$G$1004,2,0)),"0")</f>
        <v>COLEGIO PETROPOLIS</v>
      </c>
      <c r="AT15" s="33">
        <f t="shared" si="0"/>
        <v>240</v>
      </c>
      <c r="AU15" s="33">
        <f t="shared" si="2"/>
        <v>240</v>
      </c>
    </row>
    <row r="16" spans="2:49" ht="18" customHeight="1" x14ac:dyDescent="0.25">
      <c r="B16" s="133">
        <v>17</v>
      </c>
      <c r="C16" s="162" t="str">
        <f>IF('17M GRP'!G5&gt;=3,'17M GRP'!J229,IF('17M GRP'!G5=2,"",IF('17M GRP'!G5=1,"","")))</f>
        <v/>
      </c>
      <c r="D16" s="266">
        <v>0</v>
      </c>
      <c r="E16" s="148">
        <f>IF(D16&lt;&gt;"",D16,"")</f>
        <v>0</v>
      </c>
      <c r="F16" s="101" t="str">
        <f>IF(D16&lt;&gt;"",IF(C16="","",C16),"")</f>
        <v/>
      </c>
      <c r="G16" s="190">
        <f>IF(E16&lt;&gt;"",IF(E18&lt;&gt;"",SMALL(E16:E18,1),""),"")</f>
        <v>0</v>
      </c>
      <c r="H16" s="101"/>
      <c r="I16" s="138"/>
      <c r="J16" s="101"/>
      <c r="K16" s="190"/>
      <c r="L16" s="101"/>
      <c r="M16" s="101"/>
      <c r="N16" s="101"/>
      <c r="O16" s="190"/>
      <c r="P16" s="29"/>
      <c r="Q16" s="37"/>
      <c r="R16" s="198"/>
      <c r="S16" s="37"/>
      <c r="T16" s="37"/>
      <c r="U16" s="37"/>
      <c r="V16" s="198"/>
      <c r="W16" s="37"/>
      <c r="X16" s="86"/>
      <c r="Y16" s="198"/>
      <c r="Z16" s="37"/>
      <c r="AA16" s="37"/>
      <c r="AB16" s="29"/>
      <c r="AC16" s="198"/>
      <c r="AD16" s="94"/>
      <c r="AE16" s="100"/>
      <c r="AF16" s="100"/>
      <c r="AG16" s="197">
        <f>IF(AJ16&lt;&gt;"",AJ16,"")</f>
        <v>1</v>
      </c>
      <c r="AH16" s="100" t="str">
        <f>IF(AJ16&lt;&gt;"",IF(AK16="","",AK16),"")</f>
        <v>IAN JUSTI</v>
      </c>
      <c r="AI16" s="137">
        <f>IF(AG16&lt;&gt;"",IF(AG18&lt;&gt;"",SMALL(AG16:AG18,1),""),"")</f>
        <v>0</v>
      </c>
      <c r="AJ16" s="266">
        <v>1</v>
      </c>
      <c r="AK16" s="162" t="str">
        <f>IF('17M GRP'!G5&gt;=3,'17M GRP'!J190,IF('17M GRP'!G5=2,"",IF('17M GRP'!G5=1,"","")))</f>
        <v>IAN JUSTI</v>
      </c>
      <c r="AL16" s="29">
        <v>14</v>
      </c>
      <c r="AP16" s="31">
        <f>IF(AR16&lt;&gt;"",1+COUNTIF(AP8:AP15,"1")+COUNTIF(AP8:AP15,"2")+COUNTIF(AP8:AP15,"3")+COUNTIF(AP8:AP15,"4")+COUNTIF(AP8:AP15,"5")+COUNTIF(AP8:AP15,"6")+COUNTIF(AP8:AP15,"7")+COUNTIF(AP8:AP15,"8"),"")</f>
        <v>9</v>
      </c>
      <c r="AQ16" s="32" t="str">
        <f t="shared" si="1"/>
        <v>LUGAR</v>
      </c>
      <c r="AR16" s="111" t="str">
        <f>IF(AR8&lt;&gt;"",IF(G12=AR8,G14,IF(G14=AR8,G12,IF(G28=AR8,G30,IF(G30=AR8,G28,IF(AG12=AR8,AG14,IF(AG14=AR8,AG12,IF(AG28=AR8,AG30,IF(AG30=AR8,AG28,IF(G42=AR8,G44,IF(G44=AR8,G42,IF(G58=AR8,G60,IF(G60=AR8,G58,IF(AG42=AR8,AG44,IF(AG44=AR8,AG42,IF(AG58=AR8,AG60,IF(AG60=AR8,AG58)))))))))))))))),"")</f>
        <v>IAN JUSTI</v>
      </c>
      <c r="AS16" s="33" t="str">
        <f>IFERROR(IF(AR16="","",VLOOKUP(AR16,LISTAS!$F$5:$G$1004,2,0)),"0")</f>
        <v>COLÉGIO ENGENHEIRO SALVADOR ARENA</v>
      </c>
      <c r="AT16" s="33">
        <f t="shared" si="0"/>
        <v>200</v>
      </c>
      <c r="AU16" s="33">
        <f t="shared" si="2"/>
        <v>200</v>
      </c>
    </row>
    <row r="17" spans="2:47" ht="18" customHeight="1" thickBot="1" x14ac:dyDescent="0.3">
      <c r="B17" s="133"/>
      <c r="C17" s="165" t="str">
        <f>IFERROR(IF(C16="","",VLOOKUP(C16,LISTAS!$F$5:$G$1004,2,0)),"0")</f>
        <v/>
      </c>
      <c r="D17" s="267"/>
      <c r="E17" s="105"/>
      <c r="F17" s="101"/>
      <c r="G17" s="190"/>
      <c r="H17" s="101"/>
      <c r="I17" s="138"/>
      <c r="J17" s="101"/>
      <c r="K17" s="190"/>
      <c r="L17" s="101"/>
      <c r="M17" s="101"/>
      <c r="N17" s="101"/>
      <c r="O17" s="190"/>
      <c r="P17" s="29"/>
      <c r="Q17" s="37"/>
      <c r="R17" s="198"/>
      <c r="S17" s="37"/>
      <c r="T17" s="37"/>
      <c r="U17" s="37"/>
      <c r="V17" s="198"/>
      <c r="W17" s="37"/>
      <c r="X17" s="86"/>
      <c r="Y17" s="198"/>
      <c r="Z17" s="37"/>
      <c r="AA17" s="37"/>
      <c r="AB17" s="29"/>
      <c r="AC17" s="198"/>
      <c r="AD17" s="94"/>
      <c r="AE17" s="100"/>
      <c r="AF17" s="100"/>
      <c r="AG17" s="197"/>
      <c r="AH17" s="100"/>
      <c r="AI17" s="143"/>
      <c r="AJ17" s="267"/>
      <c r="AK17" s="165" t="str">
        <f>IFERROR(IF(AK16="","",VLOOKUP(AK16,LISTAS!$F$5:$G$1004,2,0)),"0")</f>
        <v>COLÉGIO ENGENHEIRO SALVADOR ARENA</v>
      </c>
      <c r="AL17" s="29"/>
      <c r="AP17" s="31">
        <f>IF(AR17&lt;&gt;"",1+COUNTIF(AP8:AP16,"1")+COUNTIF(AP8:AP16,"2")+COUNTIF(AP8:AP16,"3")+COUNTIF(AP8:AP16,"4")+COUNTIF(AP8:AP16,"5")+COUNTIF(AP8:AP16,"6")+COUNTIF(AP8:AP16,"7")+COUNTIF(AP8:AP16,"8")+COUNTIF(AP8:AP16,"9"),"")</f>
        <v>10</v>
      </c>
      <c r="AQ17" s="32" t="str">
        <f t="shared" si="1"/>
        <v>LUGAR</v>
      </c>
      <c r="AR17" s="111" t="str">
        <f>IF(AR9&lt;&gt;"",IF(G12=AR9,G14,IF(G14=AR9,G12,IF(G28=AR9,G30,IF(G30=AR9,G28,IF(AG12=AR9,AG14,IF(AG14=AR9,AG12,IF(AG28=AR9,AG30,IF(AG30=AR9,AG28,IF(G42=AR9,G44,IF(G44=AR9,G42,IF(G58=AR9,G60,IF(G60=AR9,G58,IF(AG42=AR9,AG44,IF(AG44=AR9,AG42,IF(AG58=AR9,AG60,IF(AG60=AR9,AG58)))))))))))))))),"")</f>
        <v>GUSTAVO IAN SANCHEZ GONÇALVES</v>
      </c>
      <c r="AS17" s="33" t="str">
        <f>IFERROR(IF(AR17="","",VLOOKUP(AR17,LISTAS!$F$5:$G$1004,2,0)),"0")</f>
        <v>COLÉGIO ARBOS SÃO CAETANO DO SUL</v>
      </c>
      <c r="AT17" s="33">
        <f t="shared" si="0"/>
        <v>200</v>
      </c>
      <c r="AU17" s="33">
        <f t="shared" si="2"/>
        <v>200</v>
      </c>
    </row>
    <row r="18" spans="2:47" ht="18" customHeight="1" x14ac:dyDescent="0.25">
      <c r="B18" s="133">
        <v>16</v>
      </c>
      <c r="C18" s="162" t="str">
        <f>IF('17M GRP'!G5&gt;=3,'17M GRP'!J216,IF('17M GRP'!G5=2,"",IF('17M GRP'!G5=1,"","")))</f>
        <v/>
      </c>
      <c r="D18" s="266">
        <v>0</v>
      </c>
      <c r="E18" s="106">
        <f>IF(D18&lt;&gt;"",D18,"")</f>
        <v>0</v>
      </c>
      <c r="F18" s="101" t="str">
        <f>IF(D18&lt;&gt;"",IF(C18="","",C18),"")</f>
        <v/>
      </c>
      <c r="G18" s="190" t="str">
        <f>VLOOKUP(G16,E16:F18,2,0)</f>
        <v/>
      </c>
      <c r="H18" s="101"/>
      <c r="I18" s="138"/>
      <c r="J18" s="101"/>
      <c r="K18" s="190"/>
      <c r="L18" s="101"/>
      <c r="M18" s="101"/>
      <c r="N18" s="101"/>
      <c r="O18" s="190"/>
      <c r="P18" s="29"/>
      <c r="Q18" s="37"/>
      <c r="R18" s="198"/>
      <c r="S18" s="37"/>
      <c r="T18" s="37"/>
      <c r="U18" s="37"/>
      <c r="V18" s="198"/>
      <c r="W18" s="37"/>
      <c r="X18" s="86"/>
      <c r="Y18" s="198"/>
      <c r="Z18" s="37"/>
      <c r="AA18" s="37"/>
      <c r="AB18" s="29"/>
      <c r="AC18" s="198"/>
      <c r="AD18" s="94"/>
      <c r="AE18" s="100"/>
      <c r="AF18" s="100"/>
      <c r="AG18" s="197">
        <f>IF(AJ18&lt;&gt;"",AJ18,"")</f>
        <v>0</v>
      </c>
      <c r="AH18" s="100" t="str">
        <f>IF(AJ18&lt;&gt;"",IF(AK18="","",AK18),"")</f>
        <v/>
      </c>
      <c r="AI18" s="104" t="str">
        <f>VLOOKUP(AI16,AG16:AH18,2,0)</f>
        <v/>
      </c>
      <c r="AJ18" s="266">
        <v>0</v>
      </c>
      <c r="AK18" s="162" t="str">
        <f>IF('17M GRP'!G5&gt;=3,'17M GRP'!J255,IF('17M GRP'!G5=2,"",IF('17M GRP'!G5=1,"","")))</f>
        <v/>
      </c>
      <c r="AL18" s="29">
        <v>19</v>
      </c>
      <c r="AP18" s="31">
        <f>IF(AR18&lt;&gt;"",1+COUNTIF(AP8:AP17,"1")+COUNTIF(AP8:AP17,"2")+COUNTIF(AP8:AP17,"3")+COUNTIF(AP8:AP17,"4")+COUNTIF(AP8:AP17,"5")+COUNTIF(AP8:AP17,"6")+COUNTIF(AP8:AP17,"7")+COUNTIF(AP8:AP17,"8")+COUNTIF(AP8:AP17,"9")+COUNTIF(AP8:AP17,"10"),"")</f>
        <v>11</v>
      </c>
      <c r="AQ18" s="32" t="str">
        <f t="shared" si="1"/>
        <v>LUGAR</v>
      </c>
      <c r="AR18" s="111" t="str">
        <f>IF(AR10&lt;&gt;"",IF(G12=AR10,G14,IF(G14=AR10,G12,IF(G28=AR10,G30,IF(G30=AR10,G28,IF(AG12=AR10,AG14,IF(AG14=AR10,AG12,IF(AG28=AR10,AG30,IF(AG30=AR10,AG28,IF(G42=AR10,G44,IF(G44=AR10,G42,IF(G58=AR10,G60,IF(G60=AR10,G58,IF(AG42=AR10,AG44,IF(AG44=AR10,AG42,IF(AG58=AR10,AG60,IF(AG60=AR10,AG58)))))))))))))))),"")</f>
        <v>LUCAS SATOSHI SASAKI</v>
      </c>
      <c r="AS18" s="33" t="str">
        <f>IFERROR(IF(AR18="","",VLOOKUP(AR18,LISTAS!$F$5:$G$1004,2,0)),"0")</f>
        <v>COLÉGIO ARBOS - UNIDADE SANTO ANDRÉ</v>
      </c>
      <c r="AT18" s="33">
        <f t="shared" si="0"/>
        <v>200</v>
      </c>
      <c r="AU18" s="33">
        <f t="shared" si="2"/>
        <v>200</v>
      </c>
    </row>
    <row r="19" spans="2:47" ht="18" customHeight="1" thickBot="1" x14ac:dyDescent="0.3">
      <c r="B19" s="133"/>
      <c r="C19" s="165" t="str">
        <f>IFERROR(IF(C18="","",VLOOKUP(C18,LISTAS!$F$5:$G$1004,2,0)),"0")</f>
        <v/>
      </c>
      <c r="D19" s="267"/>
      <c r="E19" s="101"/>
      <c r="F19" s="101"/>
      <c r="G19" s="190"/>
      <c r="H19" s="101"/>
      <c r="I19" s="138"/>
      <c r="J19" s="101"/>
      <c r="K19" s="190"/>
      <c r="L19" s="101"/>
      <c r="M19" s="101"/>
      <c r="N19" s="101"/>
      <c r="O19" s="190"/>
      <c r="P19" s="29"/>
      <c r="Q19" s="37"/>
      <c r="R19" s="198"/>
      <c r="S19" s="37"/>
      <c r="T19" s="37"/>
      <c r="U19" s="37"/>
      <c r="V19" s="198"/>
      <c r="W19" s="37"/>
      <c r="X19" s="86"/>
      <c r="Y19" s="198"/>
      <c r="Z19" s="37"/>
      <c r="AA19" s="37"/>
      <c r="AB19" s="29"/>
      <c r="AC19" s="198"/>
      <c r="AD19" s="94"/>
      <c r="AE19" s="100"/>
      <c r="AF19" s="100"/>
      <c r="AG19" s="197"/>
      <c r="AH19" s="100"/>
      <c r="AI19" s="101"/>
      <c r="AJ19" s="267"/>
      <c r="AK19" s="165" t="str">
        <f>IFERROR(IF(AK18="","",VLOOKUP(AK18,LISTAS!$F$5:$G$1004,2,0)),"0")</f>
        <v/>
      </c>
      <c r="AL19" s="29"/>
      <c r="AP19" s="31">
        <f>IF(AR19&lt;&gt;"",1+COUNTIF(AP8:AP18,"1")+COUNTIF(AP8:AP18,"2")+COUNTIF(AP8:AP18,"3")+COUNTIF(AP8:AP18,"4")+COUNTIF(AP8:AP18,"5")+COUNTIF(AP8:AP18,"6")+COUNTIF(AP8:AP18,"7")+COUNTIF(AP8:AP18,"8")+COUNTIF(AP8:AP18,"9")+COUNTIF(AP8:AP18,"10")+COUNTIF(AP8:AP18,"11"),"")</f>
        <v>12</v>
      </c>
      <c r="AQ19" s="32" t="str">
        <f t="shared" si="1"/>
        <v>LUGAR</v>
      </c>
      <c r="AR19" s="111" t="str">
        <f>IF(AR11&lt;&gt;"",IF(G12=AR11,G14,IF(G14=AR11,G12,IF(G28=AR11,G30,IF(G30=AR11,G28,IF(AG12=AR11,AG14,IF(AG14=AR11,AG12,IF(AG28=AR11,AG30,IF(AG30=AR11,AG28,IF(G42=AR11,G44,IF(G44=AR11,G42,IF(G58=AR11,G60,IF(G60=AR11,G58,IF(AG42=AR11,AG44,IF(AG44=AR11,AG42,IF(AG58=AR11,AG60,IF(AG60=AR11,AG58)))))))))))))))),"")</f>
        <v>NATAN SCHMIDT FRANGETTI</v>
      </c>
      <c r="AS19" s="33" t="str">
        <f>IFERROR(IF(AR19="","",VLOOKUP(AR19,LISTAS!$F$5:$G$1004,2,0)),"0")</f>
        <v>COLÉGIO SINGULAR SÃO CAETANO</v>
      </c>
      <c r="AT19" s="33">
        <f t="shared" si="0"/>
        <v>200</v>
      </c>
      <c r="AU19" s="33">
        <f t="shared" si="2"/>
        <v>200</v>
      </c>
    </row>
    <row r="20" spans="2:47" ht="18" customHeight="1" x14ac:dyDescent="0.25">
      <c r="B20" s="133"/>
      <c r="C20" s="188"/>
      <c r="D20" s="29"/>
      <c r="E20" s="87"/>
      <c r="F20" s="87"/>
      <c r="G20" s="192"/>
      <c r="H20" s="29"/>
      <c r="I20" s="35"/>
      <c r="J20" s="29"/>
      <c r="K20" s="162" t="str">
        <f>IF(H12&lt;&gt;"",IF(H14&lt;&gt;"",IF(H12=H14,"",IF(H12&gt;H14,G12,G14)),""),"")</f>
        <v>EDUARDO HIDEYOSHI</v>
      </c>
      <c r="L20" s="266">
        <v>0</v>
      </c>
      <c r="M20" s="101">
        <f>IF(L20&lt;&gt;"",L20,"")</f>
        <v>0</v>
      </c>
      <c r="N20" s="101" t="str">
        <f>IF(L20&lt;&gt;"",IF(K20="","",K20),"")</f>
        <v>EDUARDO HIDEYOSHI</v>
      </c>
      <c r="O20" s="190">
        <f>IF(M20&lt;&gt;"",IF(M22&lt;&gt;"",SMALL(M20:N22,1),""),"")</f>
        <v>0</v>
      </c>
      <c r="P20" s="101"/>
      <c r="Q20" s="100"/>
      <c r="R20" s="272" t="s">
        <v>90</v>
      </c>
      <c r="S20" s="273"/>
      <c r="T20" s="273"/>
      <c r="U20" s="273"/>
      <c r="V20" s="273"/>
      <c r="W20" s="37"/>
      <c r="X20" s="86"/>
      <c r="Y20" s="198"/>
      <c r="Z20" s="37"/>
      <c r="AA20" s="37"/>
      <c r="AB20" s="266">
        <v>1</v>
      </c>
      <c r="AC20" s="162" t="str">
        <f>IF(AF12&lt;&gt;"",IF(AF14&lt;&gt;"",IF(AF12=AF14,"",IF(AF12&gt;AF14,AG12,AG14)),""),"")</f>
        <v>FELIPE HIDEKI MIAZAKI</v>
      </c>
      <c r="AD20" s="141"/>
      <c r="AE20" s="100"/>
      <c r="AF20" s="100"/>
      <c r="AG20" s="197"/>
      <c r="AH20" s="100"/>
      <c r="AI20" s="100"/>
      <c r="AJ20" s="29"/>
      <c r="AK20" s="188"/>
      <c r="AL20" s="29"/>
      <c r="AM20" s="23"/>
      <c r="AN20" s="23"/>
      <c r="AO20" s="23"/>
      <c r="AP20" s="31">
        <f>IF(AR20&lt;&gt;"",1+COUNTIF(AP8:AP19,"1")+COUNTIF(AP8:AP19,"2")+COUNTIF(AP8:AP19,"3")+COUNTIF(AP8:AP19,"4")+COUNTIF(AP8:AP19,"5")+COUNTIF(AP8:AP19,"6")+COUNTIF(AP8:AP19,"7")+COUNTIF(AP8:AP19,"8")+COUNTIF(AP8:AP19,"9")+COUNTIF(AP8:AP19,"10")+COUNTIF(AP8:AP19,"11")+COUNTIF(AP8:AP19,"12"),"")</f>
        <v>13</v>
      </c>
      <c r="AQ20" s="32" t="str">
        <f t="shared" si="1"/>
        <v>LUGAR</v>
      </c>
      <c r="AR20" s="111" t="str">
        <f>IF(AR12&lt;&gt;"",IF(G12=AR12,G14,IF(G14=AR12,G12,IF(G28=AR12,G30,IF(G30=AR12,G28,IF(AG12=AR12,AG14,IF(AG14=AR12,AG12,IF(AG28=AR12,AG30,IF(AG30=AR12,AG28,IF(G42=AR12,G44,IF(G44=AR12,G42,IF(G58=AR12,G60,IF(G60=AR12,G58,IF(AG42=AR12,AG44,IF(AG44=AR12,AG42,IF(AG58=AR12,AG60,IF(AG60=AR12,AG58)))))))))))))))),"")</f>
        <v>MARCOS GENARI DE CARVALHO</v>
      </c>
      <c r="AS20" s="33" t="str">
        <f>IFERROR(IF(AR20="","",VLOOKUP(AR20,LISTAS!$F$5:$G$1004,2,0)),"0")</f>
        <v>ESCOLA PRÓ CONHECER</v>
      </c>
      <c r="AT20" s="33">
        <f t="shared" si="0"/>
        <v>200</v>
      </c>
      <c r="AU20" s="33">
        <f t="shared" si="2"/>
        <v>200</v>
      </c>
    </row>
    <row r="21" spans="2:47" ht="18" customHeight="1" thickBot="1" x14ac:dyDescent="0.3">
      <c r="B21" s="133"/>
      <c r="C21" s="188"/>
      <c r="D21" s="29"/>
      <c r="E21" s="29"/>
      <c r="F21" s="29"/>
      <c r="G21" s="188"/>
      <c r="H21" s="29"/>
      <c r="I21" s="35"/>
      <c r="J21" s="29"/>
      <c r="K21" s="165" t="str">
        <f>IFERROR(IF(K20="","",VLOOKUP(K20,LISTAS!$F$5:$G$1004,2,0)),"0")</f>
        <v>COLEGIO PETROPOLIS</v>
      </c>
      <c r="L21" s="267"/>
      <c r="M21" s="101"/>
      <c r="N21" s="101"/>
      <c r="O21" s="190"/>
      <c r="P21" s="101"/>
      <c r="Q21" s="100"/>
      <c r="R21" s="272" t="s">
        <v>34</v>
      </c>
      <c r="S21" s="273"/>
      <c r="T21" s="273"/>
      <c r="U21" s="273"/>
      <c r="V21" s="273"/>
      <c r="W21" s="37"/>
      <c r="X21" s="86"/>
      <c r="Y21" s="198"/>
      <c r="Z21" s="37"/>
      <c r="AA21" s="37"/>
      <c r="AB21" s="267"/>
      <c r="AC21" s="165" t="str">
        <f>IFERROR(IF(AC20="","",VLOOKUP(AC20,LISTAS!$F$5:$G$1004,2,0)),"0")</f>
        <v>LICEU JARDIM</v>
      </c>
      <c r="AD21" s="37"/>
      <c r="AE21" s="144"/>
      <c r="AF21" s="100"/>
      <c r="AG21" s="197"/>
      <c r="AH21" s="100"/>
      <c r="AI21" s="100"/>
      <c r="AJ21" s="29"/>
      <c r="AK21" s="188"/>
      <c r="AL21" s="29"/>
      <c r="AM21" s="23"/>
      <c r="AN21" s="23"/>
      <c r="AO21" s="23"/>
      <c r="AP21" s="31">
        <f>IF(AR21&lt;&gt;"",1+COUNTIF(AP8:AP20,"1")+COUNTIF(AP8:AP20,"2")+COUNTIF(AP8:AP20,"3")+COUNTIF(AP8:AP20,"4")+COUNTIF(AP8:AP20,"5")+COUNTIF(AP8:AP20,"6")+COUNTIF(AP8:AP20,"7")+COUNTIF(AP8:AP20,"8")+COUNTIF(AP8:AP20,"9")+COUNTIF(AP8:AP20,"10")+COUNTIF(AP8:AP20,"11")+COUNTIF(AP8:AP20,"12")+COUNTIF(AP8:AP20,"13"),"")</f>
        <v>14</v>
      </c>
      <c r="AQ21" s="32" t="str">
        <f t="shared" si="1"/>
        <v>LUGAR</v>
      </c>
      <c r="AR21" s="111" t="str">
        <f>IF(AR13&lt;&gt;"",IF(G12=AR13,G14,IF(G14=AR13,G12,IF(G28=AR13,G30,IF(G30=AR13,G28,IF(AG12=AR13,AG14,IF(AG14=AR13,AG12,IF(AG28=AR13,AG30,IF(AG30=AR13,AG28,IF(G42=AR13,G44,IF(G44=AR13,G42,IF(G58=AR13,G60,IF(G60=AR13,G58,IF(AG42=AR13,AG44,IF(AG44=AR13,AG42,IF(AG58=AR13,AG60,IF(AG60=AR13,AG58)))))))))))))))),"")</f>
        <v>FREDERICO DE OLIVEIRA LIMA SHIRAI</v>
      </c>
      <c r="AS21" s="33" t="str">
        <f>IFERROR(IF(AR21="","",VLOOKUP(AR21,LISTAS!$F$5:$G$1004,2,0)),"0")</f>
        <v>COLÉGIO ENGENHEIRO SALVADOR ARENA</v>
      </c>
      <c r="AT21" s="33">
        <f t="shared" si="0"/>
        <v>200</v>
      </c>
      <c r="AU21" s="33">
        <f t="shared" si="2"/>
        <v>200</v>
      </c>
    </row>
    <row r="22" spans="2:47" ht="18" customHeight="1" x14ac:dyDescent="0.25">
      <c r="B22" s="133"/>
      <c r="C22" s="188"/>
      <c r="D22" s="29"/>
      <c r="E22" s="29"/>
      <c r="F22" s="29"/>
      <c r="G22" s="188"/>
      <c r="H22" s="29"/>
      <c r="I22" s="35"/>
      <c r="J22" s="36"/>
      <c r="K22" s="162" t="str">
        <f>IF(H28&lt;&gt;"",IF(H30&lt;&gt;"",IF(H28=H30,"",IF(H28&gt;H30,G28,G30)),""),"")</f>
        <v>LUIS FELIPE DE SOUSA FERREIRA</v>
      </c>
      <c r="L22" s="266">
        <v>1</v>
      </c>
      <c r="M22" s="107">
        <f>IF(L22&lt;&gt;"",L22,"")</f>
        <v>1</v>
      </c>
      <c r="N22" s="101" t="str">
        <f>IF(L22&lt;&gt;"",IF(K22="","",K22),"")</f>
        <v>LUIS FELIPE DE SOUSA FERREIRA</v>
      </c>
      <c r="O22" s="190" t="str">
        <f>VLOOKUP(O20,M20:N22,2,0)</f>
        <v>EDUARDO HIDEYOSHI</v>
      </c>
      <c r="P22" s="101"/>
      <c r="Q22" s="100"/>
      <c r="R22" s="198"/>
      <c r="S22" s="37"/>
      <c r="T22" s="37"/>
      <c r="U22" s="37"/>
      <c r="V22" s="198"/>
      <c r="W22" s="37"/>
      <c r="X22" s="86"/>
      <c r="Y22" s="198"/>
      <c r="Z22" s="94"/>
      <c r="AA22" s="96"/>
      <c r="AB22" s="266">
        <v>0</v>
      </c>
      <c r="AC22" s="162" t="str">
        <f>IF(AF28&lt;&gt;"",IF(AF30&lt;&gt;"",IF(AF28=AF30,"",IF(AF28&gt;AF30,AG28,AG30)),""),"")</f>
        <v>MIGUEL ARIETE VITORINO DIAS RAPOSO SOARES</v>
      </c>
      <c r="AD22" s="37"/>
      <c r="AE22" s="144"/>
      <c r="AF22" s="100"/>
      <c r="AG22" s="197"/>
      <c r="AH22" s="100"/>
      <c r="AI22" s="100"/>
      <c r="AJ22" s="29"/>
      <c r="AK22" s="188"/>
      <c r="AL22" s="29"/>
      <c r="AP22" s="31" t="str">
        <f>IF(AR22&lt;&gt;"",1+COUNTIF(AP8:AP21,"1")+COUNTIF(AP8:AP21,"2")+COUNTIF(AP8:AP21,"3")+COUNTIF(AP8:AP21,"4")+COUNTIF(AP8:AP21,"5")+COUNTIF(AP8:AP21,"6")+COUNTIF(AP8:AP21,"7")+COUNTIF(AP8:AP21,"8")+COUNTIF(AP8:AP21,"9")+COUNTIF(AP8:AP21,"10")+COUNTIF(AP8:AP21,"11")+COUNTIF(AP8:AP21,"12")+COUNTIF(AP8:AP21,"13")+COUNTIF(AP8:AP21,"14"),"")</f>
        <v/>
      </c>
      <c r="AQ22" s="32" t="str">
        <f t="shared" si="1"/>
        <v/>
      </c>
      <c r="AR22" s="111" t="str">
        <f>IF(AR14&lt;&gt;"",IF(G12=AR14,G14,IF(G14=AR14,G12,IF(G28=AR14,G30,IF(G30=AR14,G28,IF(AG12=AR14,AG14,IF(AG14=AR14,AG12,IF(AG28=AR14,AG30,IF(AG30=AR14,AG28,IF(G42=AR14,G44,IF(G44=AR14,G42,IF(G58=AR14,G60,IF(G60=AR14,G58,IF(AG42=AR14,AG44,IF(AG44=AR14,AG42,IF(AG58=AR14,AG60,IF(AG60=AR14,AG58)))))))))))))))),"")</f>
        <v/>
      </c>
      <c r="AS22" s="33" t="str">
        <f>IFERROR(IF(AR22="","",VLOOKUP(AR22,LISTAS!$F$5:$G$1004,2,0)),"0")</f>
        <v/>
      </c>
      <c r="AT22" s="33" t="str">
        <f t="shared" si="0"/>
        <v/>
      </c>
      <c r="AU22" s="33" t="str">
        <f t="shared" si="2"/>
        <v/>
      </c>
    </row>
    <row r="23" spans="2:47" ht="18" customHeight="1" thickBot="1" x14ac:dyDescent="0.3">
      <c r="B23" s="133"/>
      <c r="C23" s="188"/>
      <c r="D23" s="29"/>
      <c r="E23" s="29"/>
      <c r="F23" s="29"/>
      <c r="G23" s="188"/>
      <c r="H23" s="29"/>
      <c r="I23" s="35"/>
      <c r="J23" s="29"/>
      <c r="K23" s="165" t="str">
        <f>IFERROR(IF(K22="","",VLOOKUP(K22,LISTAS!$F$5:$G$1004,2,0)),"0")</f>
        <v>E.E. 20 DE AGOSTO</v>
      </c>
      <c r="L23" s="267"/>
      <c r="M23" s="138"/>
      <c r="N23" s="101"/>
      <c r="O23" s="190"/>
      <c r="P23" s="101"/>
      <c r="Q23" s="100"/>
      <c r="R23" s="198"/>
      <c r="S23" s="37"/>
      <c r="T23" s="37"/>
      <c r="U23" s="37"/>
      <c r="V23" s="198"/>
      <c r="W23" s="37"/>
      <c r="X23" s="86"/>
      <c r="Y23" s="198"/>
      <c r="Z23" s="94"/>
      <c r="AA23" s="37"/>
      <c r="AB23" s="267"/>
      <c r="AC23" s="165" t="str">
        <f>IFERROR(IF(AC22="","",VLOOKUP(AC22,LISTAS!$F$5:$G$1004,2,0)),"0")</f>
        <v>COLÉGIO ARBOS - UNIDADE SANTO ANDRÉ</v>
      </c>
      <c r="AD23" s="37"/>
      <c r="AE23" s="144"/>
      <c r="AF23" s="100"/>
      <c r="AG23" s="197"/>
      <c r="AH23" s="100"/>
      <c r="AI23" s="100"/>
      <c r="AJ23" s="29"/>
      <c r="AK23" s="188"/>
      <c r="AL23" s="29"/>
      <c r="AP23" s="31" t="str">
        <f>IF(AR23&lt;&gt;"",1+COUNTIF(AP8:AP22,"1")+COUNTIF(AP8:AP22,"2")+COUNTIF(AP8:AP22,"3")+COUNTIF(AP8:AP22,"4")+COUNTIF(AP8:AP22,"5")+COUNTIF(AP8:AP22,"6")+COUNTIF(AP8:AP22,"7")+COUNTIF(AP8:AP22,"8")+COUNTIF(AP8:AP22,"9")+COUNTIF(AP8:AP22,"10")+COUNTIF(AP8:AP22,"11")+COUNTIF(AP8:AP22,"12")+COUNTIF(AP8:AP22,"13")+COUNTIF(AP8:AP22,"14")+COUNTIF(AP8:AP22,"15"),"")</f>
        <v/>
      </c>
      <c r="AQ23" s="32" t="str">
        <f t="shared" si="1"/>
        <v/>
      </c>
      <c r="AR23" s="111" t="str">
        <f>IF(AR15&lt;&gt;"",IF(G12=AR15,G14,IF(G14=AR15,G12,IF(G28=AR15,G30,IF(G30=AR15,G28,IF(AG12=AR15,AG14,IF(AG14=AR15,AG12,IF(AG28=AR15,AG30,IF(AG30=AR15,AG28,IF(G42=AR15,G44,IF(G44=AR15,G42,IF(G58=AR15,G60,IF(G60=AR15,G58,IF(AG42=AR15,AG44,IF(AG44=AR15,AG42,IF(AG58=AR15,AG60,IF(AG60=AR15,AG58)))))))))))))))),"")</f>
        <v/>
      </c>
      <c r="AS23" s="33" t="str">
        <f>IFERROR(IF(AR23="","",VLOOKUP(AR23,LISTAS!$F$5:$G$1004,2,0)),"0")</f>
        <v/>
      </c>
      <c r="AT23" s="33" t="str">
        <f t="shared" si="0"/>
        <v/>
      </c>
      <c r="AU23" s="33" t="str">
        <f t="shared" si="2"/>
        <v/>
      </c>
    </row>
    <row r="24" spans="2:47" ht="18" customHeight="1" x14ac:dyDescent="0.25">
      <c r="B24" s="133">
        <v>9</v>
      </c>
      <c r="C24" s="162" t="str">
        <f>IF('17M GRP'!G5&gt;=3,'17M GRP'!J125,IF('17M GRP'!G5=2,"",IF('17M GRP'!G5=1,"","")))</f>
        <v>NATAN SCHMIDT FRANGETTI</v>
      </c>
      <c r="D24" s="266">
        <v>1</v>
      </c>
      <c r="E24" s="101">
        <f>IF(D24&lt;&gt;"",D24,"")</f>
        <v>1</v>
      </c>
      <c r="F24" s="101" t="str">
        <f>IF(D24&lt;&gt;"",IF(C24="","",C24),"")</f>
        <v>NATAN SCHMIDT FRANGETTI</v>
      </c>
      <c r="G24" s="190">
        <f>IF(E24&lt;&gt;"",IF(E26&lt;&gt;"",SMALL(E24:E26,1),""),"")</f>
        <v>0</v>
      </c>
      <c r="H24" s="101"/>
      <c r="I24" s="138"/>
      <c r="J24" s="101"/>
      <c r="K24" s="190"/>
      <c r="L24" s="101"/>
      <c r="M24" s="138"/>
      <c r="N24" s="101"/>
      <c r="O24" s="190"/>
      <c r="P24" s="101"/>
      <c r="Q24" s="100"/>
      <c r="R24" s="198"/>
      <c r="S24" s="37"/>
      <c r="T24" s="37"/>
      <c r="U24" s="37"/>
      <c r="V24" s="198"/>
      <c r="W24" s="37"/>
      <c r="X24" s="86"/>
      <c r="Y24" s="198"/>
      <c r="Z24" s="94"/>
      <c r="AA24" s="37"/>
      <c r="AB24" s="29"/>
      <c r="AC24" s="198"/>
      <c r="AD24" s="37"/>
      <c r="AE24" s="144"/>
      <c r="AF24" s="100"/>
      <c r="AG24" s="197">
        <f>IF(AJ24&lt;&gt;"",AJ24,"")</f>
        <v>0</v>
      </c>
      <c r="AH24" s="100" t="str">
        <f>IF(AJ24&lt;&gt;"",IF(AK24="","",AK24),"")</f>
        <v/>
      </c>
      <c r="AI24" s="101">
        <f>IF(AG24&lt;&gt;"",IF(AG26&lt;&gt;"",SMALL(AG24:AG26,1),""),"")</f>
        <v>0</v>
      </c>
      <c r="AJ24" s="266">
        <v>0</v>
      </c>
      <c r="AK24" s="162" t="str">
        <f>IF('17M GRP'!G5&gt;=3,'17M GRP'!J294,IF('17M GRP'!G5=2,"",IF('17M GRP'!G5=1,"","")))</f>
        <v/>
      </c>
      <c r="AL24" s="29">
        <v>22</v>
      </c>
      <c r="AP24" s="31" t="str">
        <f>IF(AR24&lt;&gt;"",1+COUNTIF(AP8:AP23,"1")+COUNTIF(AP8:AP23,"2")+COUNTIF(AP8:AP23,"3")+COUNTIF(AP8:AP23,"4")+COUNTIF(AP8:AP23,"5")+COUNTIF(AP8:AP23,"6")+COUNTIF(AP8:AP23,"7")+COUNTIF(AP8:AP23,"8")+COUNTIF(AP8:AP23,"9")+COUNTIF(AP8:AP23,"10")+COUNTIF(AP8:AP23,"11")+COUNTIF(AP8:AP23,"12")+COUNTIF(AP8:AP23,"13")+COUNTIF(AP8:AP23,"14")+COUNTIF(AP8:AP23,"15")+COUNTIF(AP8:AP23,"16"),"")</f>
        <v/>
      </c>
      <c r="AQ24" s="32" t="str">
        <f t="shared" si="1"/>
        <v/>
      </c>
      <c r="AR24" s="111" t="str">
        <f>IF(AR8&lt;&gt;"",IF(C8=AR8,G10,IF(C10=AR8,G10,IF(C16=AR8,G18,IF(C18=AR8,G18,IF(C38=AR8,G40,IF(C40=AR8,G40,IF(C46=AR8,G48,IF(C48=AR8,G48,IF(C24=AR8,G26,IF(C26=AR8,G26,IF(C32=AR8,G34,IF(C34=AR8,G34,IF(C54=AR8,G56,IF(C56=AR8,G56,IF(C62=AR8,G64,IF(C64=AR8,G64,IF(AK8=AR8,AI10,IF(AK10=AR8,AI10,IF(AK16=AR8,AI18,IF(AK18=AR8,AI18,IF(AK38=AR8,AI40,IF(AK40=AR8,AI40,IF(AK46=AR8,AI48,IF(AK48=AR8,AI48,IF(AK24=AR8,AI26,IF(AK26=AR8,AI26,IF(AK32=AR8,AI34,IF(AK34=AR8,AI34,IF(AK54=AR8,AI56,IF(AK56=AR8,AI56,IF(AK62=AR8,AI64,IF(AK64=AR8,AI64)))))))))))))))))))))))))))))))),"")</f>
        <v/>
      </c>
      <c r="AS24" s="33" t="str">
        <f>IFERROR(IF(AR24="","",VLOOKUP(AR24,LISTAS!$F$5:$G$1004,2,0)),"0")</f>
        <v/>
      </c>
      <c r="AT24" s="33" t="str">
        <f t="shared" si="0"/>
        <v/>
      </c>
      <c r="AU24" s="33" t="str">
        <f t="shared" si="2"/>
        <v/>
      </c>
    </row>
    <row r="25" spans="2:47" ht="18" customHeight="1" thickBot="1" x14ac:dyDescent="0.3">
      <c r="B25" s="133"/>
      <c r="C25" s="165" t="str">
        <f>IFERROR(IF(C24="","",VLOOKUP(C24,LISTAS!$F$5:$G$1004,2,0)),"0")</f>
        <v>COLÉGIO SINGULAR SÃO CAETANO</v>
      </c>
      <c r="D25" s="267"/>
      <c r="E25" s="101"/>
      <c r="F25" s="101"/>
      <c r="G25" s="190"/>
      <c r="H25" s="101"/>
      <c r="I25" s="138"/>
      <c r="J25" s="101"/>
      <c r="K25" s="190"/>
      <c r="L25" s="101"/>
      <c r="M25" s="138"/>
      <c r="N25" s="101"/>
      <c r="O25" s="190"/>
      <c r="P25" s="101"/>
      <c r="Q25" s="100"/>
      <c r="R25" s="198"/>
      <c r="S25" s="37"/>
      <c r="T25" s="37"/>
      <c r="U25" s="37"/>
      <c r="V25" s="198"/>
      <c r="W25" s="37"/>
      <c r="X25" s="86"/>
      <c r="Y25" s="198"/>
      <c r="Z25" s="94"/>
      <c r="AA25" s="37"/>
      <c r="AB25" s="29"/>
      <c r="AC25" s="198"/>
      <c r="AD25" s="37"/>
      <c r="AE25" s="144"/>
      <c r="AF25" s="100"/>
      <c r="AG25" s="197"/>
      <c r="AH25" s="100"/>
      <c r="AI25" s="101"/>
      <c r="AJ25" s="267"/>
      <c r="AK25" s="165" t="str">
        <f>IFERROR(IF(AK24="","",VLOOKUP(AK24,LISTAS!$F$5:$G$1004,2,0)),"0")</f>
        <v/>
      </c>
      <c r="AL25" s="29"/>
      <c r="AP25" s="31" t="str">
        <f>IF(AR25&lt;&gt;"",1+COUNTIF(AP8:AP24,"1")+COUNTIF(AP8:AP24,"2")+COUNTIF(AP8:AP24,"3")+COUNTIF(AP8:AP24,"4")+COUNTIF(AP8:AP24,"5")+COUNTIF(AP8:AP24,"6")+COUNTIF(AP8:AP24,"7")+COUNTIF(AP8:AP24,"8")+COUNTIF(AP8:AP24,"9")+COUNTIF(AP8:AP24,"10")+COUNTIF(AP8:AP24,"11")+COUNTIF(AP8:AP24,"12")+COUNTIF(AP8:AP24,"13")+COUNTIF(AP8:AP24,"14")+COUNTIF(AP8:AP24,"15")+COUNTIF(AP8:AP24,"16")+COUNTIF(AP8:AP24,"17"),"")</f>
        <v/>
      </c>
      <c r="AQ25" s="32" t="str">
        <f t="shared" si="1"/>
        <v/>
      </c>
      <c r="AR25" s="111" t="str">
        <f>IF(AR9&lt;&gt;"",IF(C8=AR9,G10,IF(C10=AR9,G10,IF(C16=AR9,G18,IF(C18=AR9,G18,IF(C38=AR9,G40,IF(C40=AR9,G40,IF(C46=AR9,G48,IF(C48=AR9,G48,IF(C24=AR9,G26,IF(C26=AR9,G26,IF(C32=AR9,G34,IF(C34=AR9,G34,IF(C54=AR9,G56,IF(C56=AR9,G56,IF(C62=AR9,G64,IF(C64=AR9,G64,IF(AK8=AR9,AI10,IF(AK10=AR9,AI10,IF(AK16=AR9,AI18,IF(AK18=AR9,AI18,IF(AK38=AR9,AI40,IF(AK40=AR9,AI40,IF(AK46=AR9,AI48,IF(AK48=AR9,AI48,IF(AK24=AR9,AI26,IF(AK26=AR9,AI26,IF(AK32=AR9,AI34,IF(AK34=AR9,AI34,IF(AK54=AR9,AI56,IF(AK56=AR9,AI56,IF(AK62=AR9,AI64,IF(AK64=AR9,AI64)))))))))))))))))))))))))))))))),"")</f>
        <v/>
      </c>
      <c r="AS25" s="33" t="str">
        <f>IFERROR(IF(AR25="","",VLOOKUP(AR25,LISTAS!$F$5:$G$1004,2,0)),"0")</f>
        <v/>
      </c>
      <c r="AT25" s="33" t="str">
        <f t="shared" si="0"/>
        <v/>
      </c>
      <c r="AU25" s="33" t="str">
        <f t="shared" si="2"/>
        <v/>
      </c>
    </row>
    <row r="26" spans="2:47" ht="18" customHeight="1" x14ac:dyDescent="0.25">
      <c r="B26" s="133">
        <v>24</v>
      </c>
      <c r="C26" s="162" t="str">
        <f>IF('17M GRP'!G5&gt;=3,'17M GRP'!J320,IF('17M GRP'!G5=2,"",IF('17M GRP'!G5=1,"","")))</f>
        <v/>
      </c>
      <c r="D26" s="266">
        <v>0</v>
      </c>
      <c r="E26" s="107">
        <f>IF(D26&lt;&gt;"",D26,"")</f>
        <v>0</v>
      </c>
      <c r="F26" s="101" t="str">
        <f>IF(D26&lt;&gt;"",IF(C26="","",C26),"")</f>
        <v/>
      </c>
      <c r="G26" s="190" t="str">
        <f>VLOOKUP(G24,E24:F26,2,0)</f>
        <v/>
      </c>
      <c r="H26" s="101"/>
      <c r="I26" s="138"/>
      <c r="J26" s="101"/>
      <c r="K26" s="190"/>
      <c r="L26" s="101"/>
      <c r="M26" s="138"/>
      <c r="N26" s="101"/>
      <c r="O26" s="190"/>
      <c r="P26" s="101"/>
      <c r="Q26" s="100"/>
      <c r="R26" s="198"/>
      <c r="S26" s="37"/>
      <c r="T26" s="37"/>
      <c r="U26" s="37"/>
      <c r="V26" s="198"/>
      <c r="W26" s="37"/>
      <c r="X26" s="86"/>
      <c r="Y26" s="198"/>
      <c r="Z26" s="94"/>
      <c r="AA26" s="37"/>
      <c r="AB26" s="29"/>
      <c r="AC26" s="198"/>
      <c r="AD26" s="37"/>
      <c r="AE26" s="144"/>
      <c r="AF26" s="100"/>
      <c r="AG26" s="197">
        <f>IF(AJ26&lt;&gt;"",AJ26,"")</f>
        <v>1</v>
      </c>
      <c r="AH26" s="100" t="str">
        <f>IF(AJ26&lt;&gt;"",IF(AK26="","",AK26),"")</f>
        <v>MIGUEL ARIETE VITORINO DIAS RAPOSO SOARES</v>
      </c>
      <c r="AI26" s="102" t="str">
        <f>VLOOKUP(AI24,AG24:AH26,2,0)</f>
        <v/>
      </c>
      <c r="AJ26" s="266">
        <v>1</v>
      </c>
      <c r="AK26" s="162" t="str">
        <f>IF('17M GRP'!G5&gt;=3,'17M GRP'!J151,IF('17M GRP'!G5=2,"",IF('17M GRP'!G5=1,"","")))</f>
        <v>MIGUEL ARIETE VITORINO DIAS RAPOSO SOARES</v>
      </c>
      <c r="AL26" s="29">
        <v>11</v>
      </c>
      <c r="AM26" s="23"/>
      <c r="AN26" s="23"/>
      <c r="AO26" s="23"/>
      <c r="AP26" s="31" t="str">
        <f>IF(AR26&lt;&gt;"",1+COUNTIF(AP8:AP25,"1")+COUNTIF(AP8:AP25,"2")+COUNTIF(AP8:AP25,"3")+COUNTIF(AP8:AP25,"4")+COUNTIF(AP8:AP25,"5")+COUNTIF(AP8:AP25,"6")+COUNTIF(AP8:AP25,"7")+COUNTIF(AP8:AP25,"8")+COUNTIF(AP8:AP25,"9")+COUNTIF(AP8:AP25,"10")+COUNTIF(AP8:AP25,"11")+COUNTIF(AP8:AP25,"12")+COUNTIF(AP8:AP25,"13")+COUNTIF(AP8:AP25,"14")+COUNTIF(AP8:AP25,"15")+COUNTIF(AP8:AP25,"16")+COUNTIF(AP8:AP25,"17")+COUNTIF(AP8:AP25,"18"),"")</f>
        <v/>
      </c>
      <c r="AQ26" s="32" t="str">
        <f t="shared" si="1"/>
        <v/>
      </c>
      <c r="AR26" s="111" t="str">
        <f>IF(AR10&lt;&gt;"",IF(C8=AR10,G10,IF(C10=AR10,G10,IF(C16=AR10,G18,IF(C18=AR10,G18,IF(C38=AR10,G40,IF(C40=AR10,G40,IF(C46=AR10,G48,IF(C48=AR10,G48,IF(C24=AR10,G26,IF(C26=AR10,G26,IF(C32=AR10,G34,IF(C34=AR10,G34,IF(C54=AR10,G56,IF(C56=AR10,G56,IF(C62=AR10,G64,IF(C64=AR10,G64,IF(AK8=AR10,AI10,IF(AK10=AR10,AI10,IF(AK16=AR10,AI18,IF(AK18=AR10,AI18,IF(AK38=AR10,AI40,IF(AK40=AR10,AI40,IF(AK46=AR10,AI48,IF(AK48=AR10,AI48,IF(AK24=AR10,AI26,IF(AK26=AR10,AI26,IF(AK32=AR10,AI34,IF(AK34=AR10,AI34,IF(AK54=AR10,AI56,IF(AK56=AR10,AI56,IF(AK62=AR10,AI64,IF(AK64=AR10,AI64)))))))))))))))))))))))))))))))),"")</f>
        <v/>
      </c>
      <c r="AS26" s="33" t="str">
        <f>IFERROR(IF(AR26="","",VLOOKUP(AR26,LISTAS!$F$5:$G$1004,2,0)),"0")</f>
        <v/>
      </c>
      <c r="AT26" s="33" t="str">
        <f t="shared" si="0"/>
        <v/>
      </c>
      <c r="AU26" s="33" t="str">
        <f t="shared" si="2"/>
        <v/>
      </c>
    </row>
    <row r="27" spans="2:47" ht="18" customHeight="1" thickBot="1" x14ac:dyDescent="0.3">
      <c r="B27" s="133"/>
      <c r="C27" s="165" t="str">
        <f>IFERROR(IF(C26="","",VLOOKUP(C26,LISTAS!$F$5:$G$1004,2,0)),"0")</f>
        <v/>
      </c>
      <c r="D27" s="267"/>
      <c r="E27" s="148"/>
      <c r="F27" s="101"/>
      <c r="G27" s="190"/>
      <c r="H27" s="101"/>
      <c r="I27" s="138"/>
      <c r="J27" s="101"/>
      <c r="K27" s="190"/>
      <c r="L27" s="101"/>
      <c r="M27" s="138"/>
      <c r="N27" s="101"/>
      <c r="O27" s="190"/>
      <c r="P27" s="101"/>
      <c r="Q27" s="100"/>
      <c r="R27" s="198"/>
      <c r="S27" s="37"/>
      <c r="T27" s="37"/>
      <c r="U27" s="37"/>
      <c r="V27" s="198"/>
      <c r="W27" s="37"/>
      <c r="X27" s="86"/>
      <c r="Y27" s="198"/>
      <c r="Z27" s="94"/>
      <c r="AA27" s="37"/>
      <c r="AB27" s="29"/>
      <c r="AC27" s="198"/>
      <c r="AD27" s="37"/>
      <c r="AE27" s="144"/>
      <c r="AF27" s="100"/>
      <c r="AG27" s="197"/>
      <c r="AH27" s="100"/>
      <c r="AI27" s="142"/>
      <c r="AJ27" s="267"/>
      <c r="AK27" s="165" t="str">
        <f>IFERROR(IF(AK26="","",VLOOKUP(AK26,LISTAS!$F$5:$G$1004,2,0)),"0")</f>
        <v>COLÉGIO ARBOS - UNIDADE SANTO ANDRÉ</v>
      </c>
      <c r="AL27" s="29"/>
      <c r="AP27" s="31" t="str">
        <f>IF(AR27&lt;&gt;"",1+COUNTIF(AP8:AP26,"1")+COUNTIF(AP8:AP26,"2")+COUNTIF(AP8:AP26,"3")+COUNTIF(AP8:AP26,"4")+COUNTIF(AP8:AP26,"5")+COUNTIF(AP8:AP26,"6")+COUNTIF(AP8:AP26,"7")+COUNTIF(AP8:AP26,"8")+COUNTIF(AP8:AP26,"9")+COUNTIF(AP8:AP26,"10")+COUNTIF(AP8:AP26,"11")+COUNTIF(AP8:AP26,"12")+COUNTIF(AP8:AP26,"13")+COUNTIF(AP8:AP26,"14")+COUNTIF(AP8:AP26,"15")+COUNTIF(AP8:AP26,"16")+COUNTIF(AP8:AP26,"17")+COUNTIF(AP8:AP26,"18")+COUNTIF(AP8:AP26,"19"),"")</f>
        <v/>
      </c>
      <c r="AQ27" s="32" t="str">
        <f t="shared" si="1"/>
        <v/>
      </c>
      <c r="AR27" s="111" t="str">
        <f>IF(AR11&lt;&gt;"",IF(C8=AR11,G10,IF(C10=AR11,G10,IF(C16=AR11,G18,IF(C18=AR11,G18,IF(C38=AR11,G40,IF(C40=AR11,G40,IF(C46=AR11,G48,IF(C48=AR11,G48,IF(C24=AR11,G26,IF(C26=AR11,G26,IF(C32=AR11,G34,IF(C34=AR11,G34,IF(C54=AR11,G56,IF(C56=AR11,G56,IF(C62=AR11,G64,IF(C64=AR11,G64,IF(AK8=AR11,AI10,IF(AK10=AR11,AI10,IF(AK16=AR11,AI18,IF(AK18=AR11,AI18,IF(AK38=AR11,AI40,IF(AK40=AR11,AI40,IF(AK46=AR11,AI48,IF(AK48=AR11,AI48,IF(AK24=AR11,AI26,IF(AK26=AR11,AI26,IF(AK32=AR11,AI34,IF(AK34=AR11,AI34,IF(AK54=AR11,AI56,IF(AK56=AR11,AI56,IF(AK62=AR11,AI64,IF(AK64=AR11,AI64)))))))))))))))))))))))))))))))),"")</f>
        <v/>
      </c>
      <c r="AS27" s="33" t="str">
        <f>IFERROR(IF(AR27="","",VLOOKUP(AR27,LISTAS!$F$5:$G$1004,2,0)),"0")</f>
        <v/>
      </c>
      <c r="AT27" s="33" t="str">
        <f t="shared" si="0"/>
        <v/>
      </c>
      <c r="AU27" s="33" t="str">
        <f t="shared" si="2"/>
        <v/>
      </c>
    </row>
    <row r="28" spans="2:47" ht="18" customHeight="1" x14ac:dyDescent="0.25">
      <c r="B28" s="133"/>
      <c r="C28" s="188"/>
      <c r="D28" s="29"/>
      <c r="E28" s="29"/>
      <c r="F28" s="34"/>
      <c r="G28" s="162" t="str">
        <f>IF(D24&lt;&gt;"",IF(D26&lt;&gt;"",IF(D24=D26,"",IF(D24&gt;D26,C24,C26)),""),"")</f>
        <v>NATAN SCHMIDT FRANGETTI</v>
      </c>
      <c r="H28" s="266">
        <v>0</v>
      </c>
      <c r="I28" s="148">
        <f>IF(H28&lt;&gt;"",H28,"")</f>
        <v>0</v>
      </c>
      <c r="J28" s="101" t="str">
        <f>IF(H28&lt;&gt;"",IF(G28="","",G28),"")</f>
        <v>NATAN SCHMIDT FRANGETTI</v>
      </c>
      <c r="K28" s="190">
        <f>IF(I28&lt;&gt;"",IF(I30&lt;&gt;"",SMALL(I28:J30,1),""),"")</f>
        <v>0</v>
      </c>
      <c r="L28" s="101"/>
      <c r="M28" s="138"/>
      <c r="N28" s="101"/>
      <c r="O28" s="188"/>
      <c r="P28" s="29"/>
      <c r="Q28" s="37"/>
      <c r="R28" s="198"/>
      <c r="S28" s="37"/>
      <c r="T28" s="37"/>
      <c r="U28" s="37"/>
      <c r="V28" s="198"/>
      <c r="W28" s="37"/>
      <c r="X28" s="86"/>
      <c r="Y28" s="198"/>
      <c r="Z28" s="94"/>
      <c r="AA28" s="37"/>
      <c r="AB28" s="29"/>
      <c r="AC28" s="198"/>
      <c r="AD28" s="37"/>
      <c r="AE28" s="34"/>
      <c r="AF28" s="266">
        <v>1</v>
      </c>
      <c r="AG28" s="162" t="str">
        <f>IF(AJ24&lt;&gt;"",IF(AJ26&lt;&gt;"",IF(AJ24=AJ26,"",IF(AJ24&gt;AJ26,AK24,AK26)),""),"")</f>
        <v>MIGUEL ARIETE VITORINO DIAS RAPOSO SOARES</v>
      </c>
      <c r="AH28" s="94"/>
      <c r="AI28" s="37"/>
      <c r="AJ28" s="29"/>
      <c r="AK28" s="188"/>
      <c r="AL28" s="29"/>
      <c r="AP28" s="31" t="str">
        <f>IF(AR28&lt;&gt;"",1+COUNTIF(AP8:AP27,"1")+COUNTIF(AP8:AP27,"2")+COUNTIF(AP8:AP27,"3")+COUNTIF(AP8:AP27,"4")+COUNTIF(AP8:AP27,"5")+COUNTIF(AP8:AP27,"6")+COUNTIF(AP8:AP27,"7")+COUNTIF(AP8:AP27,"8")+COUNTIF(AP8:AP27,"9")+COUNTIF(AP8:AP27,"10")+COUNTIF(AP8:AP27,"11")+COUNTIF(AP8:AP27,"12")+COUNTIF(AP8:AP27,"13")+COUNTIF(AP8:AP27,"14")+COUNTIF(AP8:AP27,"15")+COUNTIF(AP8:AP27,"16")+COUNTIF(AP8:AP27,"17")+COUNTIF(AP8:AP27,"18")+COUNTIF(AP8:AP27,"19")+COUNTIF(AP8:AP27,"20"),"")</f>
        <v/>
      </c>
      <c r="AQ28" s="32" t="str">
        <f t="shared" si="1"/>
        <v/>
      </c>
      <c r="AR28" s="111" t="str">
        <f>IF(AR12&lt;&gt;"",IF(C8=AR12,G10,IF(C10=AR12,G10,IF(C16=AR12,G18,IF(C18=AR12,G18,IF(C38=AR12,G40,IF(C40=AR12,G40,IF(C46=AR12,G48,IF(C48=AR12,G48,IF(C24=AR12,G26,IF(C26=AR12,G26,IF(C32=AR12,G34,IF(C34=AR12,G34,IF(C54=AR12,G56,IF(C56=AR12,G56,IF(C62=AR12,G64,IF(C64=AR12,G64,IF(AK8=AR12,AI10,IF(AK10=AR12,AI10,IF(AK16=AR12,AI18,IF(AK18=AR12,AI18,IF(AK38=AR12,AI40,IF(AK40=AR12,AI40,IF(AK46=AR12,AI48,IF(AK48=AR12,AI48,IF(AK24=AR12,AI26,IF(AK26=AR12,AI26,IF(AK32=AR12,AI34,IF(AK34=AR12,AI34,IF(AK54=AR12,AI56,IF(AK56=AR12,AI56,IF(AK62=AR12,AI64,IF(AK64=AR12,AI64)))))))))))))))))))))))))))))))),"")</f>
        <v/>
      </c>
      <c r="AS28" s="33" t="str">
        <f>IFERROR(IF(AR28="","",VLOOKUP(AR28,LISTAS!$F$5:$G$1004,2,0)),"0")</f>
        <v/>
      </c>
      <c r="AT28" s="33" t="str">
        <f t="shared" si="0"/>
        <v/>
      </c>
      <c r="AU28" s="33" t="str">
        <f t="shared" si="2"/>
        <v/>
      </c>
    </row>
    <row r="29" spans="2:47" ht="18" customHeight="1" thickBot="1" x14ac:dyDescent="0.3">
      <c r="B29" s="133"/>
      <c r="C29" s="188"/>
      <c r="D29" s="29"/>
      <c r="E29" s="29"/>
      <c r="F29" s="34"/>
      <c r="G29" s="165" t="str">
        <f>IFERROR(IF(G28="","",VLOOKUP(G28,LISTAS!$F$5:$G$1004,2,0)),"0")</f>
        <v>COLÉGIO SINGULAR SÃO CAETANO</v>
      </c>
      <c r="H29" s="267"/>
      <c r="I29" s="105"/>
      <c r="J29" s="101"/>
      <c r="K29" s="190"/>
      <c r="L29" s="101"/>
      <c r="M29" s="138"/>
      <c r="N29" s="101"/>
      <c r="O29" s="188"/>
      <c r="P29" s="29"/>
      <c r="Q29" s="37"/>
      <c r="R29" s="198"/>
      <c r="S29" s="37"/>
      <c r="T29" s="37"/>
      <c r="U29" s="37"/>
      <c r="V29" s="198"/>
      <c r="W29" s="37"/>
      <c r="X29" s="86"/>
      <c r="Y29" s="198"/>
      <c r="Z29" s="94"/>
      <c r="AA29" s="37"/>
      <c r="AB29" s="29"/>
      <c r="AC29" s="198"/>
      <c r="AD29" s="37"/>
      <c r="AE29" s="140"/>
      <c r="AF29" s="267"/>
      <c r="AG29" s="165" t="str">
        <f>IFERROR(IF(AG28="","",VLOOKUP(AG28,LISTAS!$F$5:$G$1004,2,0)),"0")</f>
        <v>COLÉGIO ARBOS - UNIDADE SANTO ANDRÉ</v>
      </c>
      <c r="AH29" s="94"/>
      <c r="AI29" s="37"/>
      <c r="AJ29" s="29"/>
      <c r="AK29" s="188"/>
      <c r="AL29" s="29"/>
      <c r="AP29" s="31" t="str">
        <f>IF(AR29&lt;&gt;"",1+COUNTIF(AP8:AP28,"1")+COUNTIF(AP8:AP28,"2")+COUNTIF(AP8:AP28,"3")+COUNTIF(AP8:AP28,"4")+COUNTIF(AP8:AP28,"5")+COUNTIF(AP8:AP28,"6")+COUNTIF(AP8:AP28,"7")+COUNTIF(AP8:AP28,"8")+COUNTIF(AP8:AP28,"9")+COUNTIF(AP8:AP28,"10")+COUNTIF(AP8:AP28,"11")+COUNTIF(AP8:AP28,"12")+COUNTIF(AP8:AP28,"13")+COUNTIF(AP8:AP28,"14")+COUNTIF(AP8:AP28,"15")+COUNTIF(AP8:AP28,"16")+COUNTIF(AP8:AP28,"17")+COUNTIF(AP8:AP28,"18")+COUNTIF(AP8:AP28,"19")+COUNTIF(AP8:AP28,"20")+COUNTIF(AP8:AP28,"21"),"")</f>
        <v/>
      </c>
      <c r="AQ29" s="32" t="str">
        <f t="shared" si="1"/>
        <v/>
      </c>
      <c r="AR29" s="111" t="str">
        <f>IF(AR13&lt;&gt;"",IF(C8=AR13,G10,IF(C10=AR13,G10,IF(C16=AR13,G18,IF(C18=AR13,G18,IF(C38=AR13,G40,IF(C40=AR13,G40,IF(C46=AR13,G48,IF(C48=AR13,G48,IF(C24=AR13,G26,IF(C26=AR13,G26,IF(C32=AR13,G34,IF(C34=AR13,G34,IF(C54=AR13,G56,IF(C56=AR13,G56,IF(C62=AR13,G64,IF(C64=AR13,G64,IF(AK8=AR13,AI10,IF(AK10=AR13,AI10,IF(AK16=AR13,AI18,IF(AK18=AR13,AI18,IF(AK38=AR13,AI40,IF(AK40=AR13,AI40,IF(AK46=AR13,AI48,IF(AK48=AR13,AI48,IF(AK24=AR13,AI26,IF(AK26=AR13,AI26,IF(AK32=AR13,AI34,IF(AK34=AR13,AI34,IF(AK54=AR13,AI56,IF(AK56=AR13,AI56,IF(AK62=AR13,AI64,IF(AK64=AR13,AI64)))))))))))))))))))))))))))))))),"")</f>
        <v/>
      </c>
      <c r="AS29" s="33" t="str">
        <f>IFERROR(IF(AR29="","",VLOOKUP(AR29,LISTAS!$F$5:$G$1004,2,0)),"0")</f>
        <v/>
      </c>
      <c r="AT29" s="33" t="str">
        <f t="shared" si="0"/>
        <v/>
      </c>
      <c r="AU29" s="33" t="str">
        <f t="shared" si="2"/>
        <v/>
      </c>
    </row>
    <row r="30" spans="2:47" ht="18" customHeight="1" x14ac:dyDescent="0.25">
      <c r="B30" s="133"/>
      <c r="C30" s="188"/>
      <c r="D30" s="29"/>
      <c r="E30" s="35"/>
      <c r="F30" s="36"/>
      <c r="G30" s="162" t="str">
        <f>IF(D32&lt;&gt;"",IF(D34&lt;&gt;"",IF(D32=D34,"",IF(D32&gt;D34,C32,C34)),""),"")</f>
        <v>LUIS FELIPE DE SOUSA FERREIRA</v>
      </c>
      <c r="H30" s="266">
        <v>1</v>
      </c>
      <c r="I30" s="106">
        <f>IF(H30&lt;&gt;"",H30,"")</f>
        <v>1</v>
      </c>
      <c r="J30" s="101" t="str">
        <f>IF(H30&lt;&gt;"",IF(G30="","",G30),"")</f>
        <v>LUIS FELIPE DE SOUSA FERREIRA</v>
      </c>
      <c r="K30" s="190" t="str">
        <f>VLOOKUP(K28,I28:J30,2,0)</f>
        <v>NATAN SCHMIDT FRANGETTI</v>
      </c>
      <c r="L30" s="101"/>
      <c r="M30" s="138"/>
      <c r="N30" s="101"/>
      <c r="O30" s="188"/>
      <c r="P30" s="29"/>
      <c r="Q30" s="37"/>
      <c r="R30" s="198"/>
      <c r="S30" s="37"/>
      <c r="T30" s="37"/>
      <c r="U30" s="37"/>
      <c r="V30" s="198"/>
      <c r="W30" s="37"/>
      <c r="X30" s="86"/>
      <c r="Y30" s="198"/>
      <c r="Z30" s="94"/>
      <c r="AA30" s="37"/>
      <c r="AB30" s="29"/>
      <c r="AC30" s="198"/>
      <c r="AD30" s="37"/>
      <c r="AE30" s="91"/>
      <c r="AF30" s="266">
        <v>0</v>
      </c>
      <c r="AG30" s="162" t="str">
        <f>IF(AJ32&lt;&gt;"",IF(AJ34&lt;&gt;"",IF(AJ32=AJ34,"",IF(AJ32&gt;AJ34,AK32,AK34)),""),"")</f>
        <v>MARCOS GENARI DE CARVALHO</v>
      </c>
      <c r="AH30" s="98"/>
      <c r="AI30" s="37"/>
      <c r="AJ30" s="29"/>
      <c r="AK30" s="188"/>
      <c r="AL30" s="29"/>
      <c r="AP30" s="31" t="str">
        <f>IF(AR30&lt;&gt;"",1+COUNTIF(AP8:AP29,"1")+COUNTIF(AP8:AP29,"2")+COUNTIF(AP8:AP29,"3")+COUNTIF(AP8:AP29,"4")+COUNTIF(AP8:AP29,"5")+COUNTIF(AP8:AP29,"6")+COUNTIF(AP8:AP29,"7")+COUNTIF(AP8:AP29,"8")+COUNTIF(AP8:AP29,"9")+COUNTIF(AP8:AP29,"10")+COUNTIF(AP8:AP29,"11")+COUNTIF(AP8:AP29,"12")+COUNTIF(AP8:AP29,"13")+COUNTIF(AP8:AP29,"14")+COUNTIF(AP8:AP29,"15")+COUNTIF(AP8:AP29,"16")+COUNTIF(AP8:AP29,"17")+COUNTIF(AP8:AP29,"18")+COUNTIF(AP8:AP29,"19")+COUNTIF(AP8:AP29,"20")+COUNTIF(AP8:AP29,"21")+COUNTIF(AP8:AP29,"22"),"")</f>
        <v/>
      </c>
      <c r="AQ30" s="32" t="str">
        <f t="shared" si="1"/>
        <v/>
      </c>
      <c r="AR30" s="111" t="str">
        <f>IF(AR14&lt;&gt;"",IF(C8=AR14,G10,IF(C10=AR14,G10,IF(C16=AR14,G18,IF(C18=AR14,G18,IF(C38=AR14,G40,IF(C40=AR14,G40,IF(C46=AR14,G48,IF(C48=AR14,G48,IF(C24=AR14,G26,IF(C26=AR14,G26,IF(C32=AR14,G34,IF(C34=AR14,G34,IF(C54=AR14,G56,IF(C56=AR14,G56,IF(C62=AR14,G64,IF(C64=AR14,G64,IF(AK8=AR14,AI10,IF(AK10=AR14,AI10,IF(AK16=AR14,AI18,IF(AK18=AR14,AI18,IF(AK38=AR14,AI40,IF(AK40=AR14,AI40,IF(AK46=AR14,AI48,IF(AK48=AR14,AI48,IF(AK24=AR14,AI26,IF(AK26=AR14,AI26,IF(AK32=AR14,AI34,IF(AK34=AR14,AI34,IF(AK54=AR14,AI56,IF(AK56=AR14,AI56,IF(AK62=AR14,AI64,IF(AK64=AR14,AI64)))))))))))))))))))))))))))))))),"")</f>
        <v/>
      </c>
      <c r="AS30" s="33" t="str">
        <f>IFERROR(IF(AR30="","",VLOOKUP(AR30,LISTAS!$F$5:$G$1004,2,0)),"0")</f>
        <v/>
      </c>
      <c r="AT30" s="33" t="str">
        <f t="shared" si="0"/>
        <v/>
      </c>
      <c r="AU30" s="33" t="str">
        <f t="shared" si="2"/>
        <v/>
      </c>
    </row>
    <row r="31" spans="2:47" ht="18" customHeight="1" thickBot="1" x14ac:dyDescent="0.3">
      <c r="B31" s="133"/>
      <c r="C31" s="188"/>
      <c r="D31" s="29"/>
      <c r="E31" s="35"/>
      <c r="F31" s="29"/>
      <c r="G31" s="165" t="str">
        <f>IFERROR(IF(G30="","",VLOOKUP(G30,LISTAS!$F$5:$G$1004,2,0)),"0")</f>
        <v>E.E. 20 DE AGOSTO</v>
      </c>
      <c r="H31" s="267"/>
      <c r="I31" s="101"/>
      <c r="J31" s="101"/>
      <c r="K31" s="190"/>
      <c r="L31" s="101"/>
      <c r="M31" s="138"/>
      <c r="N31" s="101"/>
      <c r="O31" s="188"/>
      <c r="P31" s="29"/>
      <c r="Q31" s="37"/>
      <c r="R31" s="198"/>
      <c r="S31" s="37"/>
      <c r="T31" s="37"/>
      <c r="U31" s="37"/>
      <c r="V31" s="198"/>
      <c r="W31" s="37"/>
      <c r="X31" s="86"/>
      <c r="Y31" s="198"/>
      <c r="Z31" s="94"/>
      <c r="AA31" s="37"/>
      <c r="AB31" s="29"/>
      <c r="AC31" s="198"/>
      <c r="AD31" s="37"/>
      <c r="AE31" s="37"/>
      <c r="AF31" s="267"/>
      <c r="AG31" s="165" t="str">
        <f>IFERROR(IF(AG30="","",VLOOKUP(AG30,LISTAS!$F$5:$G$1004,2,0)),"0")</f>
        <v>ESCOLA PRÓ CONHECER</v>
      </c>
      <c r="AH31" s="37"/>
      <c r="AI31" s="89"/>
      <c r="AJ31" s="29"/>
      <c r="AK31" s="188"/>
      <c r="AL31" s="29"/>
      <c r="AP31" s="31" t="str">
        <f>IF(AR31&lt;&gt;"",1+COUNTIF(AP8:AP30,"1")+COUNTIF(AP8:AP30,"2")+COUNTIF(AP8:AP30,"3")+COUNTIF(AP8:AP30,"4")+COUNTIF(AP8:AP30,"5")+COUNTIF(AP8:AP30,"6")+COUNTIF(AP8:AP30,"7")+COUNTIF(AP8:AP30,"8")+COUNTIF(AP8:AP30,"9")+COUNTIF(AP8:AP30,"10")+COUNTIF(AP8:AP30,"11")+COUNTIF(AP8:AP30,"12")+COUNTIF(AP8:AP30,"13")+COUNTIF(AP8:AP30,"14")+COUNTIF(AP8:AP30,"15")+COUNTIF(AP8:AP30,"16")+COUNTIF(AP8:AP30,"17")+COUNTIF(AP8:AP30,"18")+COUNTIF(AP8:AP30,"19")+COUNTIF(AP8:AP30,"20")+COUNTIF(AP8:AP30,"21")+COUNTIF(AP8:AP30,"22")+COUNTIF(AP8:AP30,"23"),"")</f>
        <v/>
      </c>
      <c r="AQ31" s="32" t="str">
        <f t="shared" si="1"/>
        <v/>
      </c>
      <c r="AR31" s="111" t="str">
        <f>IF(AR15&lt;&gt;"",IF(C8=AR15,G10,IF(C10=AR15,G10,IF(C16=AR15,G18,IF(C18=AR15,G18,IF(C38=AR15,G40,IF(C40=AR15,G40,IF(C46=AR15,G48,IF(C48=AR15,G48,IF(C24=AR15,G26,IF(C26=AR15,G26,IF(C32=AR15,G34,IF(C34=AR15,G34,IF(C54=AR15,G56,IF(C56=AR15,G56,IF(C62=AR15,G64,IF(C64=AR15,G64,IF(AK8=AR15,AI10,IF(AK10=AR15,AI10,IF(AK16=AR15,AI18,IF(AK18=AR15,AI18,IF(AK38=AR15,AI40,IF(AK40=AR15,AI40,IF(AK46=AR15,AI48,IF(AK48=AR15,AI48,IF(AK24=AR15,AI26,IF(AK26=AR15,AI26,IF(AK32=AR15,AI34,IF(AK34=AR15,AI34,IF(AK54=AR15,AI56,IF(AK56=AR15,AI56,IF(AK62=AR15,AI64,IF(AK64=AR15,AI64)))))))))))))))))))))))))))))))),"")</f>
        <v/>
      </c>
      <c r="AS31" s="33" t="str">
        <f>IFERROR(IF(AR31="","",VLOOKUP(AR31,LISTAS!$F$5:$G$1004,2,0)),"0")</f>
        <v/>
      </c>
      <c r="AT31" s="33" t="str">
        <f t="shared" si="0"/>
        <v/>
      </c>
      <c r="AU31" s="33" t="str">
        <f t="shared" si="2"/>
        <v/>
      </c>
    </row>
    <row r="32" spans="2:47" ht="18" customHeight="1" x14ac:dyDescent="0.25">
      <c r="B32" s="133">
        <v>25</v>
      </c>
      <c r="C32" s="162" t="str">
        <f>IF('17M GRP'!G5&gt;=3,'17M GRP'!J333,IF('17M GRP'!G5=2,"",IF('17M GRP'!G5=1,"","")))</f>
        <v/>
      </c>
      <c r="D32" s="266">
        <v>0</v>
      </c>
      <c r="E32" s="148">
        <f>IF(D32&lt;&gt;"",D32,"")</f>
        <v>0</v>
      </c>
      <c r="F32" s="101" t="str">
        <f>IF(D32&lt;&gt;"",IF(C32="","",C32),"")</f>
        <v/>
      </c>
      <c r="G32" s="190">
        <f>IF(E32&lt;&gt;"",IF(E34&lt;&gt;"",SMALL(E32:E34,1),""),"")</f>
        <v>0</v>
      </c>
      <c r="H32" s="101"/>
      <c r="I32" s="101"/>
      <c r="J32" s="101"/>
      <c r="K32" s="190"/>
      <c r="L32" s="101"/>
      <c r="M32" s="138"/>
      <c r="N32" s="101"/>
      <c r="O32" s="188"/>
      <c r="P32" s="29"/>
      <c r="Q32" s="37"/>
      <c r="R32" s="198"/>
      <c r="S32" s="37"/>
      <c r="T32" s="37"/>
      <c r="U32" s="37"/>
      <c r="V32" s="198"/>
      <c r="W32" s="37"/>
      <c r="X32" s="86"/>
      <c r="Y32" s="198"/>
      <c r="Z32" s="94"/>
      <c r="AA32" s="37"/>
      <c r="AB32" s="29"/>
      <c r="AC32" s="198"/>
      <c r="AD32" s="100"/>
      <c r="AE32" s="100"/>
      <c r="AF32" s="100"/>
      <c r="AG32" s="197">
        <f>IF(AJ32&lt;&gt;"",AJ32,"")</f>
        <v>0</v>
      </c>
      <c r="AH32" s="100" t="str">
        <f>IF(AJ32&lt;&gt;"",IF(AK32="","",AK32),"")</f>
        <v/>
      </c>
      <c r="AI32" s="137">
        <f>IF(AG32&lt;&gt;"",IF(AG34&lt;&gt;"",SMALL(AG32:AG34,1),""),"")</f>
        <v>0</v>
      </c>
      <c r="AJ32" s="266">
        <v>0</v>
      </c>
      <c r="AK32" s="162" t="str">
        <f>IF('17M GRP'!G5&gt;=3,'17M GRP'!J359,IF('17M GRP'!G5=2,"",IF('17M GRP'!G5=1,"","")))</f>
        <v/>
      </c>
      <c r="AL32" s="29">
        <v>27</v>
      </c>
      <c r="AP32" s="31" t="str">
        <f>IF(AR32&lt;&gt;"",1+COUNTIF(AP8:AP31,"1")+COUNTIF(AP8:AP31,"2")+COUNTIF(AP8:AP31,"3")+COUNTIF(AP8:AP31,"4")+COUNTIF(AP8:AP31,"5")+COUNTIF(AP8:AP31,"6")+COUNTIF(AP8:AP31,"7")+COUNTIF(AP8:AP31,"8")+COUNTIF(AP8:AP31,"9")+COUNTIF(AP8:AP31,"10")+COUNTIF(AP8:AP31,"11")+COUNTIF(AP8:AP31,"12")+COUNTIF(AP8:AP31,"13")+COUNTIF(AP8:AP31,"14")+COUNTIF(AP8:AP31,"15")+COUNTIF(AP8:AP31,"16")+COUNTIF(AP8:AP31,"17")+COUNTIF(AP8:AP31,"18")+COUNTIF(AP8:AP31,"19")+COUNTIF(AP8:AP31,"20")+COUNTIF(AP8:AP31,"21")+COUNTIF(AP8:AP31,"22")+COUNTIF(AP8:AP31,"23")+COUNTIF(AP8:AP31,"24"),"")</f>
        <v/>
      </c>
      <c r="AQ32" s="32" t="str">
        <f t="shared" si="1"/>
        <v/>
      </c>
      <c r="AR32" s="111" t="str">
        <f>IF(AR16&lt;&gt;"",IF(C8=AR16,G10,IF(C10=AR16,G10,IF(C16=AR16,G18,IF(C18=AR16,G18,IF(C38=AR16,G40,IF(C40=AR16,G40,IF(C46=AR16,G48,IF(C48=AR16,G48,IF(C24=AR16,G26,IF(C26=AR16,G26,IF(C32=AR16,G34,IF(C34=AR16,G34,IF(C54=AR16,G56,IF(C56=AR16,G56,IF(C62=AR16,G64,IF(C64=AR16,G64,IF(AK8=AR16,AI10,IF(AK10=AR16,AI10,IF(AK16=AR16,AI18,IF(AK18=AR16,AI18,IF(AK38=AR16,AI40,IF(AK40=AR16,AI40,IF(AK46=AR16,AI48,IF(AK48=AR16,AI48,IF(AK24=AR16,AI26,IF(AK26=AR16,AI26,IF(AK32=AR16,AI34,IF(AK34=AR16,AI34,IF(AK54=AR16,AI56,IF(AK56=AR16,AI56,IF(AK62=AR16,AI64,IF(AK64=AR16,AI64)))))))))))))))))))))))))))))))),"")</f>
        <v/>
      </c>
      <c r="AS32" s="33" t="str">
        <f>IFERROR(IF(AR32="","",VLOOKUP(AR32,LISTAS!$F$5:$G$1004,2,0)),"0")</f>
        <v/>
      </c>
      <c r="AT32" s="33" t="str">
        <f t="shared" si="0"/>
        <v/>
      </c>
      <c r="AU32" s="33" t="str">
        <f t="shared" si="2"/>
        <v/>
      </c>
    </row>
    <row r="33" spans="2:47" ht="18" customHeight="1" thickBot="1" x14ac:dyDescent="0.3">
      <c r="B33" s="133"/>
      <c r="C33" s="165" t="str">
        <f>IFERROR(IF(C32="","",VLOOKUP(C32,LISTAS!$F$5:$G$1004,2,0)),"0")</f>
        <v/>
      </c>
      <c r="D33" s="267"/>
      <c r="E33" s="105"/>
      <c r="F33" s="101"/>
      <c r="G33" s="190"/>
      <c r="H33" s="101"/>
      <c r="I33" s="101"/>
      <c r="J33" s="101"/>
      <c r="K33" s="190"/>
      <c r="L33" s="101"/>
      <c r="M33" s="138"/>
      <c r="N33" s="101"/>
      <c r="O33" s="188"/>
      <c r="P33" s="29"/>
      <c r="Q33" s="37"/>
      <c r="R33" s="198"/>
      <c r="S33" s="37"/>
      <c r="T33" s="37"/>
      <c r="U33" s="37"/>
      <c r="V33" s="198"/>
      <c r="W33" s="37"/>
      <c r="X33" s="86"/>
      <c r="Y33" s="198"/>
      <c r="Z33" s="94"/>
      <c r="AA33" s="37"/>
      <c r="AB33" s="29"/>
      <c r="AC33" s="198"/>
      <c r="AD33" s="100"/>
      <c r="AE33" s="100"/>
      <c r="AF33" s="100"/>
      <c r="AG33" s="197"/>
      <c r="AH33" s="100"/>
      <c r="AI33" s="143"/>
      <c r="AJ33" s="267"/>
      <c r="AK33" s="165" t="str">
        <f>IFERROR(IF(AK32="","",VLOOKUP(AK32,LISTAS!$F$5:$G$1004,2,0)),"0")</f>
        <v/>
      </c>
      <c r="AL33" s="29"/>
      <c r="AP33" s="31" t="str">
        <f>IF(AR33&lt;&gt;"",1+COUNTIF(AP8:AP32,"1")+COUNTIF(AP8:AP32,"2")+COUNTIF(AP8:AP32,"3")+COUNTIF(AP8:AP32,"4")+COUNTIF(AP8:AP32,"5")+COUNTIF(AP8:AP32,"6")+COUNTIF(AP8:AP32,"7")+COUNTIF(AP8:AP32,"8")+COUNTIF(AP8:AP32,"9")+COUNTIF(AP8:AP32,"10")+COUNTIF(AP8:AP32,"11")+COUNTIF(AP8:AP32,"12")+COUNTIF(AP8:AP32,"13")+COUNTIF(AP8:AP32,"14")+COUNTIF(AP8:AP32,"15")+COUNTIF(AP8:AP32,"16")+COUNTIF(AP8:AP32,"17")+COUNTIF(AP8:AP32,"18")+COUNTIF(AP8:AP32,"19")+COUNTIF(AP8:AP32,"20")+COUNTIF(AP8:AP32,"21")+COUNTIF(AP8:AP32,"22")+COUNTIF(AP8:AP32,"23")+COUNTIF(AP8:AP32,"24")+COUNTIF(AP8:AP32,"25"),"")</f>
        <v/>
      </c>
      <c r="AQ33" s="32" t="str">
        <f t="shared" si="1"/>
        <v/>
      </c>
      <c r="AR33" s="111" t="str">
        <f>IF(AR17&lt;&gt;"",IF(C8=AR17,G10,IF(C10=AR17,G10,IF(C16=AR17,G18,IF(C18=AR17,G18,IF(C38=AR17,G40,IF(C40=AR17,G40,IF(C46=AR17,G48,IF(C48=AR17,G48,IF(C24=AR17,G26,IF(C26=AR17,G26,IF(C32=AR17,G34,IF(C34=AR17,G34,IF(C54=AR17,G56,IF(C56=AR17,G56,IF(C62=AR17,G64,IF(C64=AR17,G64,IF(AK8=AR17,AI10,IF(AK10=AR17,AI10,IF(AK16=AR17,AI18,IF(AK18=AR17,AI18,IF(AK38=AR17,AI40,IF(AK40=AR17,AI40,IF(AK46=AR17,AI48,IF(AK48=AR17,AI48,IF(AK24=AR17,AI26,IF(AK26=AR17,AI26,IF(AK32=AR17,AI34,IF(AK34=AR17,AI34,IF(AK54=AR17,AI56,IF(AK56=AR17,AI56,IF(AK62=AR17,AI64,IF(AK64=AR17,AI64)))))))))))))))))))))))))))))))),"")</f>
        <v/>
      </c>
      <c r="AS33" s="33" t="str">
        <f>IFERROR(IF(AR33="","",VLOOKUP(AR33,LISTAS!$F$5:$G$1004,2,0)),"0")</f>
        <v/>
      </c>
      <c r="AT33" s="33" t="str">
        <f t="shared" si="0"/>
        <v/>
      </c>
      <c r="AU33" s="33" t="str">
        <f t="shared" si="2"/>
        <v/>
      </c>
    </row>
    <row r="34" spans="2:47" ht="18" customHeight="1" thickBot="1" x14ac:dyDescent="0.3">
      <c r="B34" s="133">
        <v>8</v>
      </c>
      <c r="C34" s="162" t="str">
        <f>IF('17M GRP'!G5&gt;=3,'17M GRP'!J112,IF('17M GRP'!G5=2,"",IF('17M GRP'!G5=1,"","")))</f>
        <v>LUIS FELIPE DE SOUSA FERREIRA</v>
      </c>
      <c r="D34" s="266">
        <v>1</v>
      </c>
      <c r="E34" s="106">
        <f>IF(D34&lt;&gt;"",D34,"")</f>
        <v>1</v>
      </c>
      <c r="F34" s="101" t="str">
        <f>IF(D34&lt;&gt;"",IF(C34="","",C34),"")</f>
        <v>LUIS FELIPE DE SOUSA FERREIRA</v>
      </c>
      <c r="G34" s="190" t="str">
        <f>VLOOKUP(G32,E32:F34,2,0)</f>
        <v/>
      </c>
      <c r="H34" s="101"/>
      <c r="I34" s="101"/>
      <c r="J34" s="101"/>
      <c r="K34" s="190"/>
      <c r="L34" s="101"/>
      <c r="M34" s="138"/>
      <c r="N34" s="101"/>
      <c r="O34" s="188"/>
      <c r="P34" s="29"/>
      <c r="Q34" s="37"/>
      <c r="R34" s="268" t="s">
        <v>37</v>
      </c>
      <c r="S34" s="268"/>
      <c r="T34" s="268"/>
      <c r="U34" s="268"/>
      <c r="V34" s="268"/>
      <c r="W34" s="37"/>
      <c r="X34" s="86"/>
      <c r="Y34" s="198"/>
      <c r="Z34" s="94"/>
      <c r="AA34" s="37"/>
      <c r="AB34" s="29"/>
      <c r="AC34" s="198"/>
      <c r="AD34" s="100"/>
      <c r="AE34" s="100"/>
      <c r="AF34" s="100"/>
      <c r="AG34" s="197">
        <f>IF(AJ34&lt;&gt;"",AJ34,"")</f>
        <v>1</v>
      </c>
      <c r="AH34" s="100" t="str">
        <f>IF(AJ34&lt;&gt;"",IF(AK34="","",AK34),"")</f>
        <v>MARCOS GENARI DE CARVALHO</v>
      </c>
      <c r="AI34" s="145" t="str">
        <f>VLOOKUP(AI32,AG32:AH34,2,0)</f>
        <v/>
      </c>
      <c r="AJ34" s="266">
        <v>1</v>
      </c>
      <c r="AK34" s="162" t="str">
        <f>IF('17M GRP'!G5&gt;=3,'17M GRP'!J86,IF('17M GRP'!G5=2,"",IF('17M GRP'!G5=1,"","")))</f>
        <v>MARCOS GENARI DE CARVALHO</v>
      </c>
      <c r="AL34" s="29">
        <v>6</v>
      </c>
      <c r="AP34" s="31" t="str">
        <f>IF(AR34&lt;&gt;"",1+COUNTIF(AP8:AP33,"1")+COUNTIF(AP8:AP33,"2")+COUNTIF(AP8:AP33,"3")+COUNTIF(AP8:AP33,"4")+COUNTIF(AP8:AP33,"5")+COUNTIF(AP8:AP33,"6")+COUNTIF(AP8:AP33,"7")+COUNTIF(AP8:AP33,"8")+COUNTIF(AP8:AP33,"9")+COUNTIF(AP8:AP33,"10")+COUNTIF(AP8:AP33,"11")+COUNTIF(AP8:AP33,"12")+COUNTIF(AP8:AP33,"13")+COUNTIF(AP8:AP33,"14")+COUNTIF(AP8:AP33,"15")+COUNTIF(AP8:AP33,"16")+COUNTIF(AP8:AP33,"17")+COUNTIF(AP8:AP33,"18")+COUNTIF(AP8:AP33,"19")+COUNTIF(AP8:AP33,"20")+COUNTIF(AP8:AP33,"21")+COUNTIF(AP8:AP33,"22")+COUNTIF(AP8:AP33,"23")+COUNTIF(AP8:AP33,"24")+COUNTIF(AP8:AP33,"25")+COUNTIF(AP8:AP33,"26"),"")</f>
        <v/>
      </c>
      <c r="AQ34" s="32" t="str">
        <f t="shared" si="1"/>
        <v/>
      </c>
      <c r="AR34" s="111" t="str">
        <f>IF(AR18&lt;&gt;"",IF(C8=AR18,G10,IF(C10=AR18,G10,IF(C16=AR18,G18,IF(C18=AR18,G18,IF(C38=AR18,G40,IF(C40=AR18,G40,IF(C46=AR18,G48,IF(C48=AR18,G48,IF(C24=AR18,G26,IF(C26=AR18,G26,IF(C32=AR18,G34,IF(C34=AR18,G34,IF(C54=AR18,G56,IF(C56=AR18,G56,IF(C62=AR18,G64,IF(C64=AR18,G64,IF(AK8=AR18,AI10,IF(AK10=AR18,AI10,IF(AK16=AR18,AI18,IF(AK18=AR18,AI18,IF(AK38=AR18,AI40,IF(AK40=AR18,AI40,IF(AK46=AR18,AI48,IF(AK48=AR18,AI48,IF(AK24=AR18,AI26,IF(AK26=AR18,AI26,IF(AK32=AR18,AI34,IF(AK34=AR18,AI34,IF(AK54=AR18,AI56,IF(AK56=AR18,AI56,IF(AK62=AR18,AI64,IF(AK64=AR18,AI64)))))))))))))))))))))))))))))))),"")</f>
        <v/>
      </c>
      <c r="AS34" s="33" t="str">
        <f>IFERROR(IF(AR34="","",VLOOKUP(AR34,LISTAS!$F$5:$G$1004,2,0)),"0")</f>
        <v/>
      </c>
      <c r="AT34" s="33" t="str">
        <f t="shared" si="0"/>
        <v/>
      </c>
      <c r="AU34" s="33" t="str">
        <f t="shared" si="2"/>
        <v/>
      </c>
    </row>
    <row r="35" spans="2:47" ht="18" customHeight="1" thickBot="1" x14ac:dyDescent="0.3">
      <c r="B35" s="133"/>
      <c r="C35" s="165" t="str">
        <f>IFERROR(IF(C34="","",VLOOKUP(C34,LISTAS!$F$5:$G$1004,2,0)),"0")</f>
        <v>E.E. 20 DE AGOSTO</v>
      </c>
      <c r="D35" s="267"/>
      <c r="E35" s="101"/>
      <c r="F35" s="101"/>
      <c r="G35" s="190"/>
      <c r="H35" s="101"/>
      <c r="I35" s="101"/>
      <c r="J35" s="101"/>
      <c r="K35" s="190"/>
      <c r="L35" s="101"/>
      <c r="M35" s="138"/>
      <c r="N35" s="101"/>
      <c r="O35" s="162" t="str">
        <f>IF(L20&lt;&gt;"",IF(L22&lt;&gt;"",IF(L20=L22,"",IF(L20&gt;L22,K20,K22)),""),"")</f>
        <v>LUIS FELIPE DE SOUSA FERREIRA</v>
      </c>
      <c r="P35" s="266">
        <v>0</v>
      </c>
      <c r="Q35" s="37"/>
      <c r="R35" s="189"/>
      <c r="S35" s="84"/>
      <c r="T35" s="84"/>
      <c r="U35" s="84"/>
      <c r="V35" s="189"/>
      <c r="W35" s="37"/>
      <c r="X35" s="266">
        <v>1</v>
      </c>
      <c r="Y35" s="162" t="str">
        <f>IF(AB20&lt;&gt;"",IF(AB22&lt;&gt;"",IF(AB20=AB22,"",IF(AB20&gt;AB22,AC20,AC22)),""),"")</f>
        <v>FELIPE HIDEKI MIAZAKI</v>
      </c>
      <c r="Z35" s="94"/>
      <c r="AA35" s="37"/>
      <c r="AB35" s="29"/>
      <c r="AC35" s="198"/>
      <c r="AD35" s="100"/>
      <c r="AE35" s="100"/>
      <c r="AF35" s="100"/>
      <c r="AG35" s="197"/>
      <c r="AH35" s="100"/>
      <c r="AI35" s="101"/>
      <c r="AJ35" s="267"/>
      <c r="AK35" s="165" t="str">
        <f>IFERROR(IF(AK34="","",VLOOKUP(AK34,LISTAS!$F$5:$G$1004,2,0)),"0")</f>
        <v>ESCOLA PRÓ CONHECER</v>
      </c>
      <c r="AL35" s="29"/>
      <c r="AP35" s="31" t="str">
        <f>IF(AR35&lt;&gt;"",1+COUNTIF(AP8:AP34,"1")+COUNTIF(AP8:AP34,"2")+COUNTIF(AP8:AP34,"3")+COUNTIF(AP8:AP34,"4")+COUNTIF(AP8:AP34,"5")+COUNTIF(AP8:AP34,"6")+COUNTIF(AP8:AP34,"7")+COUNTIF(AP8:AP34,"8")+COUNTIF(AP8:AP34,"9")+COUNTIF(AP8:AP34,"10")+COUNTIF(AP8:AP34,"11")+COUNTIF(AP8:AP34,"12")+COUNTIF(AP8:AP34,"13")+COUNTIF(AP8:AP34,"14")+COUNTIF(AP8:AP34,"15")+COUNTIF(AP8:AP34,"16")+COUNTIF(AP8:AP34,"17")+COUNTIF(AP8:AP34,"18")+COUNTIF(AP8:AP34,"19")+COUNTIF(AP8:AP34,"20")+COUNTIF(AP8:AP34,"21")+COUNTIF(AP8:AP34,"22")+COUNTIF(AP8:AP34,"23")+COUNTIF(AP8:AP34,"24")+COUNTIF(AP8:AP34,"25")+COUNTIF(AP8:AP34,"26")+COUNTIF(AP8:AP34,"27"),"")</f>
        <v/>
      </c>
      <c r="AQ35" s="32" t="str">
        <f t="shared" si="1"/>
        <v/>
      </c>
      <c r="AR35" s="111" t="str">
        <f>IF(AR19&lt;&gt;"",IF(C8=AR19,G10,IF(C10=AR19,G10,IF(C16=AR19,G18,IF(C18=AR19,G18,IF(C38=AR19,G40,IF(C40=AR19,G40,IF(C46=AR19,G48,IF(C48=AR19,G48,IF(C24=AR19,G26,IF(C26=AR19,G26,IF(C32=AR19,G34,IF(C34=AR19,G34,IF(C54=AR19,G56,IF(C56=AR19,G56,IF(C62=AR19,G64,IF(C64=AR19,G64,IF(AK8=AR19,AI10,IF(AK10=AR19,AI10,IF(AK16=AR19,AI18,IF(AK18=AR19,AI18,IF(AK38=AR19,AI40,IF(AK40=AR19,AI40,IF(AK46=AR19,AI48,IF(AK48=AR19,AI48,IF(AK24=AR19,AI26,IF(AK26=AR19,AI26,IF(AK32=AR19,AI34,IF(AK34=AR19,AI34,IF(AK54=AR19,AI56,IF(AK56=AR19,AI56,IF(AK62=AR19,AI64,IF(AK64=AR19,AI64)))))))))))))))))))))))))))))))),"")</f>
        <v/>
      </c>
      <c r="AS35" s="33" t="str">
        <f>IFERROR(IF(AR35="","",VLOOKUP(AR35,LISTAS!$F$5:$G$1004,2,0)),"0")</f>
        <v/>
      </c>
      <c r="AT35" s="33" t="str">
        <f t="shared" si="0"/>
        <v/>
      </c>
      <c r="AU35" s="33" t="str">
        <f t="shared" si="2"/>
        <v/>
      </c>
    </row>
    <row r="36" spans="2:47" ht="18" customHeight="1" thickBot="1" x14ac:dyDescent="0.3">
      <c r="B36" s="133"/>
      <c r="C36" s="188"/>
      <c r="D36" s="29"/>
      <c r="E36" s="101"/>
      <c r="F36" s="101"/>
      <c r="G36" s="190"/>
      <c r="H36" s="101"/>
      <c r="I36" s="101"/>
      <c r="J36" s="101"/>
      <c r="K36" s="190"/>
      <c r="L36" s="101"/>
      <c r="M36" s="138"/>
      <c r="N36" s="101"/>
      <c r="O36" s="165" t="str">
        <f>IFERROR(IF(O35="","",VLOOKUP(O35,LISTAS!$F$5:$G$1004,2,0)),"0")</f>
        <v>E.E. 20 DE AGOSTO</v>
      </c>
      <c r="P36" s="267"/>
      <c r="Q36" s="37"/>
      <c r="R36" s="162" t="str">
        <f>IF(P35&lt;&gt;"",IF(P37&lt;&gt;"",IF(P35=P37,"",IF(P35&gt;P37,O35,O37)),""),"")</f>
        <v>GUSTAVO KENJI ETO</v>
      </c>
      <c r="S36" s="266">
        <v>0</v>
      </c>
      <c r="T36" s="269" t="s">
        <v>38</v>
      </c>
      <c r="U36" s="266">
        <v>1</v>
      </c>
      <c r="V36" s="162" t="str">
        <f>IF(X35&lt;&gt;"",IF(X37&lt;&gt;"",IF(X35=X37,"",IF(X35&gt;X37,Y35,Y37)),""),"")</f>
        <v>FELIPE HIDEKI MIAZAKI</v>
      </c>
      <c r="W36" s="141"/>
      <c r="X36" s="267"/>
      <c r="Y36" s="165" t="str">
        <f>IFERROR(IF(Y35="","",VLOOKUP(Y35,LISTAS!$F$5:$G$1004,2,0)),"0")</f>
        <v>LICEU JARDIM</v>
      </c>
      <c r="Z36" s="141"/>
      <c r="AA36" s="37"/>
      <c r="AB36" s="29"/>
      <c r="AC36" s="198"/>
      <c r="AD36" s="100"/>
      <c r="AE36" s="100"/>
      <c r="AF36" s="100"/>
      <c r="AG36" s="197"/>
      <c r="AH36" s="100"/>
      <c r="AI36" s="100"/>
      <c r="AJ36" s="29"/>
      <c r="AK36" s="188"/>
      <c r="AL36" s="29"/>
      <c r="AP36" s="31" t="str">
        <f>IF(AR36&lt;&gt;"",1+COUNTIF(AP8:AP35,"1")+COUNTIF(AP8:AP35,"2")+COUNTIF(AP8:AP35,"3")+COUNTIF(AP8:AP35,"4")+COUNTIF(AP8:AP35,"5")+COUNTIF(AP8:AP35,"6")+COUNTIF(AP8:AP35,"7")+COUNTIF(AP8:AP35,"8")+COUNTIF(AP8:AP35,"9")+COUNTIF(AP8:AP35,"10")+COUNTIF(AP8:AP35,"11")+COUNTIF(AP8:AP35,"12")+COUNTIF(AP8:AP35,"13")+COUNTIF(AP8:AP35,"14")+COUNTIF(AP8:AP35,"15")+COUNTIF(AP8:AP35,"16")+COUNTIF(AP8:AP35,"17")+COUNTIF(AP8:AP35,"18")+COUNTIF(AP8:AP35,"19")+COUNTIF(AP8:AP35,"20")+COUNTIF(AP8:AP35,"21")+COUNTIF(AP8:AP35,"22")+COUNTIF(AP8:AP35,"23")+COUNTIF(AP8:AP35,"24")+COUNTIF(AP8:AP35,"25")+COUNTIF(AP8:AP35,"26")+COUNTIF(AP8:AP35,"27")+COUNTIF(AP8:AP35,"28"),"")</f>
        <v/>
      </c>
      <c r="AQ36" s="32" t="str">
        <f t="shared" si="1"/>
        <v/>
      </c>
      <c r="AR36" s="111" t="str">
        <f>IF(AR20&lt;&gt;"",IF(C8=AR20,G10,IF(C10=AR20,G10,IF(C16=AR20,G18,IF(C18=AR20,G18,IF(C38=AR20,G40,IF(C40=AR20,G40,IF(C46=AR20,G48,IF(C48=AR20,G48,IF(C24=AR20,G26,IF(C26=AR20,G26,IF(C32=AR20,G34,IF(C34=AR20,G34,IF(C54=AR20,G56,IF(C56=AR20,G56,IF(C62=AR20,G64,IF(C64=AR20,G64,IF(AK8=AR20,AI10,IF(AK10=AR20,AI10,IF(AK16=AR20,AI18,IF(AK18=AR20,AI18,IF(AK38=AR20,AI40,IF(AK40=AR20,AI40,IF(AK46=AR20,AI48,IF(AK48=AR20,AI48,IF(AK24=AR20,AI26,IF(AK26=AR20,AI26,IF(AK32=AR20,AI34,IF(AK34=AR20,AI34,IF(AK54=AR20,AI56,IF(AK56=AR20,AI56,IF(AK62=AR20,AI64,IF(AK64=AR20,AI64)))))))))))))))))))))))))))))))),"")</f>
        <v/>
      </c>
      <c r="AS36" s="33" t="str">
        <f>IFERROR(IF(AR36="","",VLOOKUP(AR36,LISTAS!$F$5:$G$1004,2,0)),"0")</f>
        <v/>
      </c>
      <c r="AT36" s="33" t="str">
        <f t="shared" si="0"/>
        <v/>
      </c>
      <c r="AU36" s="33" t="str">
        <f t="shared" si="2"/>
        <v/>
      </c>
    </row>
    <row r="37" spans="2:47" ht="18" customHeight="1" thickBot="1" x14ac:dyDescent="0.3">
      <c r="B37" s="133"/>
      <c r="C37" s="188"/>
      <c r="D37" s="29"/>
      <c r="E37" s="101"/>
      <c r="F37" s="101"/>
      <c r="G37" s="190"/>
      <c r="H37" s="101"/>
      <c r="I37" s="101"/>
      <c r="J37" s="101"/>
      <c r="K37" s="190"/>
      <c r="L37" s="101"/>
      <c r="M37" s="138"/>
      <c r="N37" s="102"/>
      <c r="O37" s="162" t="str">
        <f>IF(L50&lt;&gt;"",IF(L52&lt;&gt;"",IF(L50=L52,"",IF(L50&gt;L52,K50,K52)),""),"")</f>
        <v>GUSTAVO KENJI ETO</v>
      </c>
      <c r="P37" s="266">
        <v>1</v>
      </c>
      <c r="Q37" s="97"/>
      <c r="R37" s="165" t="str">
        <f>IFERROR(IF(R36="","",VLOOKUP(R36,LISTAS!$F$5:$G$1004,2,0)),"0")</f>
        <v>COLÉGIO ENGENHEIRO SALVADOR ARENA</v>
      </c>
      <c r="S37" s="267"/>
      <c r="T37" s="269"/>
      <c r="U37" s="267"/>
      <c r="V37" s="165" t="str">
        <f>IFERROR(IF(V36="","",VLOOKUP(V36,LISTAS!$F$5:$G$1004,2,0)),"0")</f>
        <v>LICEU JARDIM</v>
      </c>
      <c r="W37" s="98"/>
      <c r="X37" s="266">
        <v>0</v>
      </c>
      <c r="Y37" s="162" t="str">
        <f>IF(AB50&lt;&gt;"",IF(AB52&lt;&gt;"",IF(AB50=AB52,"",IF(AB50&gt;AB52,AC50,AC52)),""),"")</f>
        <v>GABRIEL CUSTÓDIO FERNANDEZ</v>
      </c>
      <c r="Z37" s="98"/>
      <c r="AA37" s="37"/>
      <c r="AB37" s="29"/>
      <c r="AC37" s="198"/>
      <c r="AD37" s="100"/>
      <c r="AE37" s="100"/>
      <c r="AF37" s="100"/>
      <c r="AG37" s="197"/>
      <c r="AH37" s="100"/>
      <c r="AI37" s="100"/>
      <c r="AJ37" s="29"/>
      <c r="AK37" s="188"/>
      <c r="AL37" s="29"/>
      <c r="AP37" s="31" t="str">
        <f>IF(AR37&lt;&gt;"",1+COUNTIF(AP8:AP36,"1")+COUNTIF(AP8:AP36,"2")+COUNTIF(AP8:AP36,"3")+COUNTIF(AP8:AP36,"4")+COUNTIF(AP8:AP36,"5")+COUNTIF(AP8:AP36,"6")+COUNTIF(AP8:AP36,"7")+COUNTIF(AP8:AP36,"8")+COUNTIF(AP8:AP36,"9")+COUNTIF(AP8:AP36,"10")+COUNTIF(AP8:AP36,"11")+COUNTIF(AP8:AP36,"12")+COUNTIF(AP8:AP36,"13")+COUNTIF(AP8:AP36,"14")+COUNTIF(AP8:AP36,"15")+COUNTIF(AP8:AP36,"16")+COUNTIF(AP8:AP36,"17")+COUNTIF(AP8:AP36,"18")+COUNTIF(AP8:AP36,"19")+COUNTIF(AP8:AP36,"20")+COUNTIF(AP8:AP36,"21")+COUNTIF(AP8:AP36,"22")+COUNTIF(AP8:AP36,"23")+COUNTIF(AP8:AP36,"24")+COUNTIF(AP8:AP36,"25")+COUNTIF(AP8:AP36,"26")+COUNTIF(AP8:AP36,"27")+COUNTIF(AP8:AP36,"28")+COUNTIF(AP8:AP36,"29"),"")</f>
        <v/>
      </c>
      <c r="AQ37" s="32" t="str">
        <f t="shared" si="1"/>
        <v/>
      </c>
      <c r="AR37" s="111" t="str">
        <f>IF(AR21&lt;&gt;"",IF(C8=AR21,G10,IF(C10=AR21,G10,IF(C16=AR21,G18,IF(C18=AR21,G18,IF(C38=AR21,G40,IF(C40=AR21,G40,IF(C46=AR21,G48,IF(C48=AR21,G48,IF(C24=AR21,G26,IF(C26=AR21,G26,IF(C32=AR21,G34,IF(C34=AR21,G34,IF(C54=AR21,G56,IF(C56=AR21,G56,IF(C62=AR21,G64,IF(C64=AR21,G64,IF(AK8=AR21,AI10,IF(AK10=AR21,AI10,IF(AK16=AR21,AI18,IF(AK18=AR21,AI18,IF(AK38=AR21,AI40,IF(AK40=AR21,AI40,IF(AK46=AR21,AI48,IF(AK48=AR21,AI48,IF(AK24=AR21,AI26,IF(AK26=AR21,AI26,IF(AK32=AR21,AI34,IF(AK34=AR21,AI34,IF(AK54=AR21,AI56,IF(AK56=AR21,AI56,IF(AK62=AR21,AI64,IF(AK64=AR21,AI64)))))))))))))))))))))))))))))))),"")</f>
        <v/>
      </c>
      <c r="AS37" s="33" t="str">
        <f>IFERROR(IF(AR37="","",VLOOKUP(AR37,LISTAS!$F$5:$G$1004,2,0)),"0")</f>
        <v/>
      </c>
      <c r="AT37" s="33" t="str">
        <f t="shared" si="0"/>
        <v/>
      </c>
      <c r="AU37" s="33" t="str">
        <f t="shared" si="2"/>
        <v/>
      </c>
    </row>
    <row r="38" spans="2:47" ht="18" customHeight="1" thickBot="1" x14ac:dyDescent="0.3">
      <c r="B38" s="133">
        <v>5</v>
      </c>
      <c r="C38" s="162" t="str">
        <f>IF('17M GRP'!G5&gt;=3,'17M GRP'!J73,IF('17M GRP'!G5=2,"",IF('17M GRP'!G5=1,'17M GRP'!J12,"")))</f>
        <v>GUSTAVO KENJI ETO</v>
      </c>
      <c r="D38" s="266">
        <v>1</v>
      </c>
      <c r="E38" s="101">
        <f>IF(D38&lt;&gt;"",D38,"")</f>
        <v>1</v>
      </c>
      <c r="F38" s="101" t="str">
        <f>IF(D38&lt;&gt;"",IF(C38="","",C38),"")</f>
        <v>GUSTAVO KENJI ETO</v>
      </c>
      <c r="G38" s="190">
        <f>IF(E38&lt;&gt;"",IF(E40&lt;&gt;"",SMALL(E38:E40,1),""),"")</f>
        <v>0</v>
      </c>
      <c r="H38" s="101"/>
      <c r="I38" s="101"/>
      <c r="J38" s="101"/>
      <c r="K38" s="190"/>
      <c r="L38" s="101"/>
      <c r="M38" s="138"/>
      <c r="N38" s="100"/>
      <c r="O38" s="165" t="str">
        <f>IFERROR(IF(O37="","",VLOOKUP(O37,LISTAS!$F$5:$G$1004,2,0)),"0")</f>
        <v>COLÉGIO ENGENHEIRO SALVADOR ARENA</v>
      </c>
      <c r="P38" s="267"/>
      <c r="Q38" s="85"/>
      <c r="R38" s="198"/>
      <c r="S38" s="37"/>
      <c r="T38" s="37"/>
      <c r="U38" s="37"/>
      <c r="V38" s="198"/>
      <c r="W38" s="37"/>
      <c r="X38" s="267"/>
      <c r="Y38" s="165" t="str">
        <f>IFERROR(IF(Y37="","",VLOOKUP(Y37,LISTAS!$F$5:$G$1004,2,0)),"0")</f>
        <v>COLÉGIO ARBOS SÃO CAETANO DO SUL</v>
      </c>
      <c r="Z38" s="94"/>
      <c r="AA38" s="37"/>
      <c r="AB38" s="29"/>
      <c r="AC38" s="198"/>
      <c r="AD38" s="100"/>
      <c r="AE38" s="100"/>
      <c r="AF38" s="100"/>
      <c r="AG38" s="197">
        <f>IF(AJ38&lt;&gt;"",AJ38,"")</f>
        <v>1</v>
      </c>
      <c r="AH38" s="100" t="str">
        <f>IF(AJ38&lt;&gt;"",IF(AK38="","",AK38),"")</f>
        <v>LUCAS SATOSHI SASAKI</v>
      </c>
      <c r="AI38" s="101">
        <f>IF(AG38&lt;&gt;"",IF(AG40&lt;&gt;"",SMALL(AG38:AG40,1),""),"")</f>
        <v>0</v>
      </c>
      <c r="AJ38" s="266">
        <v>1</v>
      </c>
      <c r="AK38" s="162" t="str">
        <f>IF('17M GRP'!G5&gt;=3,'17M GRP'!J99,IF('17M GRP'!G5=2,"",IF('17M GRP'!G5=1,"","")))</f>
        <v>LUCAS SATOSHI SASAKI</v>
      </c>
      <c r="AL38" s="29">
        <v>7</v>
      </c>
      <c r="AP38" s="31" t="str">
        <f>IF(AR38&lt;&gt;"",1+COUNTIF(AP8:AP37,"1")+COUNTIF(AP8:AP37,"2")+COUNTIF(AP8:AP37,"3")+COUNTIF(AP8:AP37,"4")+COUNTIF(AP8:AP37,"5")+COUNTIF(AP8:AP37,"6")+COUNTIF(AP8:AP37,"7")+COUNTIF(AP8:AP37,"8")+COUNTIF(AP8:AP37,"9")+COUNTIF(AP8:AP37,"10")+COUNTIF(AP8:AP37,"11")+COUNTIF(AP8:AP37,"12")+COUNTIF(AP8:AP37,"13")+COUNTIF(AP8:AP37,"14")+COUNTIF(AP8:AP37,"15")+COUNTIF(AP8:AP37,"16")+COUNTIF(AP8:AP37,"17")+COUNTIF(AP8:AP37,"18")+COUNTIF(AP8:AP37,"19")+COUNTIF(AP8:AP37,"20")+COUNTIF(AP8:AP37,"21")+COUNTIF(AP8:AP37,"22")+COUNTIF(AP8:AP37,"23")+COUNTIF(AP8:AP37,"24")+COUNTIF(AP8:AP37,"25")+COUNTIF(AP8:AP37,"26")+COUNTIF(AP8:AP37,"27")+COUNTIF(AP8:AP37,"28")+COUNTIF(AP8:AP37,"29")+COUNTIF(AP8:AP37,"30"),"")</f>
        <v/>
      </c>
      <c r="AQ38" s="32" t="str">
        <f t="shared" si="1"/>
        <v/>
      </c>
      <c r="AR38" s="111" t="str">
        <f>IF(AR22&lt;&gt;"",IF(C8=AR22,G10,IF(C10=AR22,G10,IF(C16=AR22,G18,IF(C18=AR22,G18,IF(C38=AR22,G40,IF(C40=AR22,G40,IF(C46=AR22,G48,IF(C48=AR22,G48,IF(C24=AR22,G26,IF(C26=AR22,G26,IF(C32=AR22,G34,IF(C34=AR22,G34,IF(C54=AR22,G56,IF(C56=AR22,G56,IF(C62=AR22,G64,IF(C64=AR22,G64,IF(AK8=AR22,AI10,IF(AK10=AR22,AI10,IF(AK16=AR22,AI18,IF(AK18=AR22,AI18,IF(AK38=AR22,AI40,IF(AK40=AR22,AI40,IF(AK46=AR22,AI48,IF(AK48=AR22,AI48,IF(AK24=AR22,AI26,IF(AK26=AR22,AI26,IF(AK32=AR22,AI34,IF(AK34=AR22,AI34,IF(AK54=AR22,AI56,IF(AK56=AR22,AI56,IF(AK62=AR22,AI64,IF(AK64=AR22,AI64)))))))))))))))))))))))))))))))),"")</f>
        <v/>
      </c>
      <c r="AS38" s="33" t="str">
        <f>IFERROR(IF(AR38="","",VLOOKUP(AR38,LISTAS!$F$5:$G$1004,2,0)),"0")</f>
        <v/>
      </c>
      <c r="AT38" s="33" t="str">
        <f t="shared" si="0"/>
        <v/>
      </c>
      <c r="AU38" s="33" t="str">
        <f t="shared" si="2"/>
        <v/>
      </c>
    </row>
    <row r="39" spans="2:47" ht="18" customHeight="1" thickBot="1" x14ac:dyDescent="0.3">
      <c r="B39" s="133"/>
      <c r="C39" s="165" t="str">
        <f>IFERROR(IF(C38="","",VLOOKUP(C38,LISTAS!$F$5:$G$1004,2,0)),"0")</f>
        <v>COLÉGIO ENGENHEIRO SALVADOR ARENA</v>
      </c>
      <c r="D39" s="267"/>
      <c r="E39" s="101"/>
      <c r="F39" s="101"/>
      <c r="G39" s="190"/>
      <c r="H39" s="101"/>
      <c r="I39" s="101"/>
      <c r="J39" s="101"/>
      <c r="K39" s="190"/>
      <c r="L39" s="101"/>
      <c r="M39" s="138"/>
      <c r="N39" s="100"/>
      <c r="O39" s="197"/>
      <c r="P39" s="100"/>
      <c r="Q39" s="100"/>
      <c r="R39" s="198"/>
      <c r="S39" s="37"/>
      <c r="T39" s="37"/>
      <c r="U39" s="37"/>
      <c r="V39" s="198"/>
      <c r="W39" s="37"/>
      <c r="X39" s="86"/>
      <c r="Y39" s="198"/>
      <c r="Z39" s="94"/>
      <c r="AA39" s="37"/>
      <c r="AB39" s="29"/>
      <c r="AC39" s="198"/>
      <c r="AD39" s="100"/>
      <c r="AE39" s="100"/>
      <c r="AF39" s="100"/>
      <c r="AG39" s="197"/>
      <c r="AH39" s="100"/>
      <c r="AI39" s="101"/>
      <c r="AJ39" s="267"/>
      <c r="AK39" s="165" t="str">
        <f>IFERROR(IF(AK38="","",VLOOKUP(AK38,LISTAS!$F$5:$G$1004,2,0)),"0")</f>
        <v>COLÉGIO ARBOS - UNIDADE SANTO ANDRÉ</v>
      </c>
      <c r="AL39" s="29"/>
      <c r="AP39" s="31" t="str">
        <f>IF(AR39&lt;&gt;"",1+COUNTIF(AP8:AP38,"1")+COUNTIF(AP8:AP38,"2")+COUNTIF(AP8:AP38,"3")+COUNTIF(AP8:AP38,"4")+COUNTIF(AP8:AP38,"5")+COUNTIF(AP8:AP38,"6")+COUNTIF(AP8:AP38,"7")+COUNTIF(AP8:AP38,"8")+COUNTIF(AP8:AP38,"9")+COUNTIF(AP8:AP38,"10")+COUNTIF(AP8:AP38,"11")+COUNTIF(AP8:AP38,"12")+COUNTIF(AP8:AP38,"13")+COUNTIF(AP8:AP38,"14")+COUNTIF(AP8:AP38,"15")+COUNTIF(AP8:AP38,"16")+COUNTIF(AP8:AP38,"17")+COUNTIF(AP8:AP38,"18")+COUNTIF(AP8:AP38,"19")+COUNTIF(AP8:AP38,"20")+COUNTIF(AP8:AP38,"21")+COUNTIF(AP8:AP38,"22")+COUNTIF(AP8:AP38,"23")+COUNTIF(AP8:AP38,"24")+COUNTIF(AP8:AP38,"25")+COUNTIF(AP8:AP38,"26")+COUNTIF(AP8:AP38,"27")+COUNTIF(AP8:AP38,"28")+COUNTIF(AP8:AP38,"29")+COUNTIF(AP8:AP38,"30")+COUNTIF(AP8:AP38,"31"),"")</f>
        <v/>
      </c>
      <c r="AQ39" s="32" t="str">
        <f t="shared" si="1"/>
        <v/>
      </c>
      <c r="AR39" s="111" t="str">
        <f>IF(AR23&lt;&gt;"",IF(C8=AR23,G10,IF(C10=AR23,G10,IF(C16=AR23,G18,IF(C18=AR23,G18,IF(C38=AR23,G40,IF(C40=AR23,G40,IF(C46=AR23,G48,IF(C48=AR23,G48,IF(C24=AR23,G26,IF(C26=AR23,G26,IF(C32=AR23,G34,IF(C34=AR23,G34,IF(C54=AR23,G56,IF(C56=AR23,G56,IF(C62=AR23,G64,IF(C64=AR23,G64,IF(AK8=AR23,AI10,IF(AK10=AR23,AI10,IF(AK16=AR23,AI18,IF(AK18=AR23,AI18,IF(AK38=AR23,AI40,IF(AK40=AR23,AI40,IF(AK46=AR23,AI48,IF(AK48=AR23,AI48,IF(AK24=AR23,AI26,IF(AK26=AR23,AI26,IF(AK32=AR23,AI34,IF(AK34=AR23,AI34,IF(AK54=AR23,AI56,IF(AK56=AR23,AI56,IF(AK62=AR23,AI64,IF(AK64=AR23,AI64)))))))))))))))))))))))))))))))),"")</f>
        <v/>
      </c>
      <c r="AS39" s="33" t="str">
        <f>IFERROR(IF(AR39="","",VLOOKUP(AR39,LISTAS!$F$5:$G$1004,2,0)),"0")</f>
        <v/>
      </c>
      <c r="AT39" s="33" t="str">
        <f>IF(AP39="","",IF(AP39=1,400,IF(AP39=2,340,IF(AP39=3,300,IF(AP39=4,280,IF(AP39=5,270,IF(AP39=6,260,IF(AP39=7,250,IF(AP39=8,240,IF(AP39=9,200,IF(AP39=10,200,IF(AP39=11,200,IF(AP39=12,200,IF(AP39=13,200,IF(AP39=14,200,IF(AP39=15,200,IF(AP39=16,200,IF(AP39&gt;16,"",""))))))))))))))))))</f>
        <v/>
      </c>
      <c r="AU39" s="33" t="str">
        <f>IF(AP39="","",IF($AS$5="NÃO","",IF(AP39=1,400,IF(AP39=2,340,IF(AP39=3,300,IF(AP39=4,280,IF(AP39=5,270,IF(AP39=6,260,IF(AP39=7,250,IF(AP39=8,240,IF(AP39=9,200,IF(AP39=10,200,IF(AP39=11,200,IF(AP39=12,200,IF(AP39=13,200,IF(AP39=14,200,IF(AP39=15,200,IF(AP39=16,200,IF(AP39&gt;16,"","")))))))))))))))))))</f>
        <v/>
      </c>
    </row>
    <row r="40" spans="2:47" ht="18" customHeight="1" x14ac:dyDescent="0.25">
      <c r="B40" s="133">
        <v>28</v>
      </c>
      <c r="C40" s="162" t="str">
        <f>IF('17M GRP'!G5&gt;=3,'17M GRP'!J372,IF('17M GRP'!G5=2,"",IF('17M GRP'!G5=1,"","")))</f>
        <v/>
      </c>
      <c r="D40" s="266">
        <v>0</v>
      </c>
      <c r="E40" s="107">
        <f>IF(D40&lt;&gt;"",D40,"")</f>
        <v>0</v>
      </c>
      <c r="F40" s="101" t="str">
        <f>IF(D40&lt;&gt;"",IF(C40="","",C40),"")</f>
        <v/>
      </c>
      <c r="G40" s="190" t="str">
        <f>VLOOKUP(G38,E38:F40,2,0)</f>
        <v/>
      </c>
      <c r="H40" s="101"/>
      <c r="I40" s="101"/>
      <c r="J40" s="101"/>
      <c r="K40" s="190"/>
      <c r="L40" s="101"/>
      <c r="M40" s="138"/>
      <c r="N40" s="101">
        <f>IF(P35&lt;&gt;"",P35,"")</f>
        <v>0</v>
      </c>
      <c r="O40" s="190" t="str">
        <f>IF(P35&lt;&gt;"",O35,"")</f>
        <v>LUIS FELIPE DE SOUSA FERREIRA</v>
      </c>
      <c r="P40" s="101">
        <f>IF(N40&lt;&gt;"",IF(N42&lt;&gt;"",LARGE(N40:N42,1),""),"")</f>
        <v>1</v>
      </c>
      <c r="Q40" s="100"/>
      <c r="R40" s="198"/>
      <c r="S40" s="37"/>
      <c r="T40" s="37"/>
      <c r="U40" s="37"/>
      <c r="V40" s="198"/>
      <c r="W40" s="37"/>
      <c r="X40" s="86"/>
      <c r="Y40" s="198"/>
      <c r="Z40" s="94"/>
      <c r="AA40" s="37"/>
      <c r="AB40" s="29"/>
      <c r="AC40" s="198"/>
      <c r="AD40" s="100"/>
      <c r="AE40" s="100"/>
      <c r="AF40" s="100"/>
      <c r="AG40" s="197">
        <f>IF(AJ40&lt;&gt;"",AJ40,"")</f>
        <v>0</v>
      </c>
      <c r="AH40" s="100" t="str">
        <f>IF(AJ40&lt;&gt;"",IF(AK40="","",AK40),"")</f>
        <v/>
      </c>
      <c r="AI40" s="102" t="str">
        <f>VLOOKUP(AI38,AG38:AH40,2,0)</f>
        <v/>
      </c>
      <c r="AJ40" s="266">
        <v>0</v>
      </c>
      <c r="AK40" s="162" t="str">
        <f>IF('17M GRP'!G5&gt;=3,'17M GRP'!J346,IF('17M GRP'!G5=2,"",IF('17M GRP'!G5=1,"","")))</f>
        <v/>
      </c>
      <c r="AL40" s="29">
        <v>26</v>
      </c>
    </row>
    <row r="41" spans="2:47" ht="18" customHeight="1" thickBot="1" x14ac:dyDescent="0.3">
      <c r="B41" s="133"/>
      <c r="C41" s="165" t="str">
        <f>IFERROR(IF(C40="","",VLOOKUP(C40,LISTAS!$F$5:$G$1004,2,0)),"0")</f>
        <v/>
      </c>
      <c r="D41" s="267"/>
      <c r="E41" s="148"/>
      <c r="F41" s="101"/>
      <c r="G41" s="190"/>
      <c r="H41" s="101"/>
      <c r="I41" s="101"/>
      <c r="J41" s="101"/>
      <c r="K41" s="190"/>
      <c r="L41" s="101"/>
      <c r="M41" s="138"/>
      <c r="N41" s="101"/>
      <c r="O41" s="190"/>
      <c r="P41" s="101"/>
      <c r="Q41" s="100"/>
      <c r="R41" s="198"/>
      <c r="S41" s="37"/>
      <c r="T41" s="37"/>
      <c r="U41" s="37"/>
      <c r="V41" s="198"/>
      <c r="W41" s="37"/>
      <c r="X41" s="86"/>
      <c r="Y41" s="198"/>
      <c r="Z41" s="94"/>
      <c r="AA41" s="37"/>
      <c r="AB41" s="29"/>
      <c r="AC41" s="198"/>
      <c r="AD41" s="100"/>
      <c r="AE41" s="100"/>
      <c r="AF41" s="100"/>
      <c r="AG41" s="197"/>
      <c r="AH41" s="100"/>
      <c r="AI41" s="142"/>
      <c r="AJ41" s="267"/>
      <c r="AK41" s="165" t="str">
        <f>IFERROR(IF(AK40="","",VLOOKUP(AK40,LISTAS!$F$5:$G$1004,2,0)),"0")</f>
        <v/>
      </c>
      <c r="AL41" s="29"/>
    </row>
    <row r="42" spans="2:47" ht="30" x14ac:dyDescent="0.25">
      <c r="B42" s="133"/>
      <c r="C42" s="188"/>
      <c r="D42" s="29"/>
      <c r="E42" s="29"/>
      <c r="F42" s="34"/>
      <c r="G42" s="162" t="str">
        <f>IF(D38&lt;&gt;"",IF(D40&lt;&gt;"",IF(D38=D40,"",IF(D38&gt;D40,C38,C40)),""),"")</f>
        <v>GUSTAVO KENJI ETO</v>
      </c>
      <c r="H42" s="266">
        <v>1</v>
      </c>
      <c r="I42" s="101">
        <f>IF(H42&lt;&gt;"",H42,"")</f>
        <v>1</v>
      </c>
      <c r="J42" s="101" t="str">
        <f>IF(H42&lt;&gt;"",IF(G42="","",G42),"")</f>
        <v>GUSTAVO KENJI ETO</v>
      </c>
      <c r="K42" s="190">
        <f>IF(I42&lt;&gt;"",IF(I44&lt;&gt;"",SMALL(I42:J44,1),""),"")</f>
        <v>0</v>
      </c>
      <c r="L42" s="101"/>
      <c r="M42" s="138"/>
      <c r="N42" s="101">
        <f>IF(P37&lt;&gt;"",P37,"")</f>
        <v>1</v>
      </c>
      <c r="O42" s="190" t="str">
        <f>IF(P37&lt;&gt;"",O37,"")</f>
        <v>GUSTAVO KENJI ETO</v>
      </c>
      <c r="P42" s="101" t="str">
        <f>VLOOKUP(P40,N40:O42,2,0)</f>
        <v>GUSTAVO KENJI ETO</v>
      </c>
      <c r="Q42" s="100"/>
      <c r="R42" s="198"/>
      <c r="S42" s="37"/>
      <c r="T42" s="37"/>
      <c r="U42" s="37"/>
      <c r="V42" s="198"/>
      <c r="W42" s="37"/>
      <c r="X42" s="86"/>
      <c r="Y42" s="198"/>
      <c r="Z42" s="94"/>
      <c r="AA42" s="37"/>
      <c r="AB42" s="29"/>
      <c r="AC42" s="198"/>
      <c r="AD42" s="37"/>
      <c r="AE42" s="95"/>
      <c r="AF42" s="266">
        <v>0</v>
      </c>
      <c r="AG42" s="162" t="str">
        <f>IF(AJ38&lt;&gt;"",IF(AJ40&lt;&gt;"",IF(AJ38=AJ40,"",IF(AJ38&gt;AJ40,AK38,AK40)),""),"")</f>
        <v>LUCAS SATOSHI SASAKI</v>
      </c>
      <c r="AH42" s="94"/>
      <c r="AI42" s="37"/>
      <c r="AJ42" s="29"/>
      <c r="AK42" s="188"/>
      <c r="AL42" s="29"/>
    </row>
    <row r="43" spans="2:47" ht="45.75" thickBot="1" x14ac:dyDescent="0.3">
      <c r="B43" s="133"/>
      <c r="C43" s="188"/>
      <c r="D43" s="29"/>
      <c r="E43" s="29"/>
      <c r="F43" s="34"/>
      <c r="G43" s="165" t="str">
        <f>IFERROR(IF(G42="","",VLOOKUP(G42,LISTAS!$F$5:$G$1004,2,0)),"0")</f>
        <v>COLÉGIO ENGENHEIRO SALVADOR ARENA</v>
      </c>
      <c r="H43" s="267"/>
      <c r="I43" s="101"/>
      <c r="J43" s="101"/>
      <c r="K43" s="190"/>
      <c r="L43" s="101"/>
      <c r="M43" s="138"/>
      <c r="N43" s="101"/>
      <c r="O43" s="190"/>
      <c r="P43" s="101"/>
      <c r="Q43" s="100"/>
      <c r="R43" s="198"/>
      <c r="S43" s="37"/>
      <c r="T43" s="37"/>
      <c r="U43" s="37"/>
      <c r="V43" s="198"/>
      <c r="W43" s="37"/>
      <c r="X43" s="86"/>
      <c r="Y43" s="198"/>
      <c r="Z43" s="94"/>
      <c r="AA43" s="37"/>
      <c r="AB43" s="29"/>
      <c r="AC43" s="198"/>
      <c r="AD43" s="37"/>
      <c r="AE43" s="95"/>
      <c r="AF43" s="267"/>
      <c r="AG43" s="165" t="str">
        <f>IFERROR(IF(AG42="","",VLOOKUP(AG42,LISTAS!$F$5:$G$1004,2,0)),"0")</f>
        <v>COLÉGIO ARBOS - UNIDADE SANTO ANDRÉ</v>
      </c>
      <c r="AH43" s="94"/>
      <c r="AI43" s="37"/>
      <c r="AJ43" s="29"/>
      <c r="AK43" s="188"/>
      <c r="AL43" s="29"/>
    </row>
    <row r="44" spans="2:47" ht="18" customHeight="1" x14ac:dyDescent="0.25">
      <c r="B44" s="133"/>
      <c r="C44" s="188"/>
      <c r="D44" s="29"/>
      <c r="E44" s="35"/>
      <c r="F44" s="36"/>
      <c r="G44" s="162" t="str">
        <f>IF(D46&lt;&gt;"",IF(D48&lt;&gt;"",IF(D46=D48,"",IF(D46&gt;D48,C46,C48)),""),"")</f>
        <v>GUSTAVO IAN SANCHEZ GONÇALVES</v>
      </c>
      <c r="H44" s="266">
        <v>0</v>
      </c>
      <c r="I44" s="107">
        <f>IF(H44&lt;&gt;"",H44,"")</f>
        <v>0</v>
      </c>
      <c r="J44" s="101" t="str">
        <f>IF(H44&lt;&gt;"",IF(G44="","",G44),"")</f>
        <v>GUSTAVO IAN SANCHEZ GONÇALVES</v>
      </c>
      <c r="K44" s="190" t="str">
        <f>VLOOKUP(K42,I42:J44,2,0)</f>
        <v>GUSTAVO IAN SANCHEZ GONÇALVES</v>
      </c>
      <c r="L44" s="101"/>
      <c r="M44" s="138"/>
      <c r="N44" s="101">
        <f>IF(P35&lt;&gt;"",P35,"")</f>
        <v>0</v>
      </c>
      <c r="O44" s="190" t="str">
        <f>IF(P35&lt;&gt;"",O35,"")</f>
        <v>LUIS FELIPE DE SOUSA FERREIRA</v>
      </c>
      <c r="P44" s="101">
        <f>IF(N44&lt;&gt;"",IF(N46&lt;&gt;"",SMALL(N44:N46,1),""),"")</f>
        <v>0</v>
      </c>
      <c r="Q44" s="100"/>
      <c r="R44" s="198"/>
      <c r="S44" s="37"/>
      <c r="T44" s="37"/>
      <c r="U44" s="37"/>
      <c r="V44" s="198"/>
      <c r="W44" s="37"/>
      <c r="X44" s="86"/>
      <c r="Y44" s="198"/>
      <c r="Z44" s="94"/>
      <c r="AA44" s="37"/>
      <c r="AB44" s="29"/>
      <c r="AC44" s="198"/>
      <c r="AD44" s="94"/>
      <c r="AE44" s="96"/>
      <c r="AF44" s="266">
        <v>1</v>
      </c>
      <c r="AG44" s="162" t="str">
        <f>IF(AJ46&lt;&gt;"",IF(AJ48&lt;&gt;"",IF(AJ46=AJ48,"",IF(AJ46&gt;AJ48,AK46,AK48)),""),"")</f>
        <v>GABRIEL CUSTÓDIO FERNANDEZ</v>
      </c>
      <c r="AH44" s="98"/>
      <c r="AI44" s="37"/>
      <c r="AJ44" s="29"/>
      <c r="AK44" s="188"/>
      <c r="AL44" s="29"/>
    </row>
    <row r="45" spans="2:47" ht="18" customHeight="1" thickBot="1" x14ac:dyDescent="0.3">
      <c r="B45" s="133"/>
      <c r="C45" s="188"/>
      <c r="D45" s="29"/>
      <c r="E45" s="35"/>
      <c r="F45" s="29"/>
      <c r="G45" s="165" t="str">
        <f>IFERROR(IF(G44="","",VLOOKUP(G44,LISTAS!$F$5:$G$1004,2,0)),"0")</f>
        <v>COLÉGIO ARBOS SÃO CAETANO DO SUL</v>
      </c>
      <c r="H45" s="267"/>
      <c r="I45" s="138"/>
      <c r="J45" s="101"/>
      <c r="K45" s="190"/>
      <c r="L45" s="101"/>
      <c r="M45" s="138"/>
      <c r="N45" s="101"/>
      <c r="O45" s="190"/>
      <c r="P45" s="101"/>
      <c r="Q45" s="100"/>
      <c r="R45" s="198"/>
      <c r="S45" s="37"/>
      <c r="T45" s="37"/>
      <c r="U45" s="37"/>
      <c r="V45" s="198"/>
      <c r="W45" s="37"/>
      <c r="X45" s="86"/>
      <c r="Y45" s="198"/>
      <c r="Z45" s="37"/>
      <c r="AA45" s="89"/>
      <c r="AB45" s="29"/>
      <c r="AC45" s="198"/>
      <c r="AD45" s="94"/>
      <c r="AE45" s="37"/>
      <c r="AF45" s="267"/>
      <c r="AG45" s="165" t="str">
        <f>IFERROR(IF(AG44="","",VLOOKUP(AG44,LISTAS!$F$5:$G$1004,2,0)),"0")</f>
        <v>COLÉGIO ARBOS SÃO CAETANO DO SUL</v>
      </c>
      <c r="AH45" s="37"/>
      <c r="AI45" s="89"/>
      <c r="AJ45" s="29"/>
      <c r="AK45" s="188"/>
      <c r="AL45" s="29"/>
    </row>
    <row r="46" spans="2:47" ht="18" customHeight="1" x14ac:dyDescent="0.25">
      <c r="B46" s="133">
        <v>12</v>
      </c>
      <c r="C46" s="162" t="str">
        <f>IF('17M GRP'!G5&gt;=3,'17M GRP'!J164,IF('17M GRP'!G5=2,"",IF('17M GRP'!G5=1,"","")))</f>
        <v>GUSTAVO IAN SANCHEZ GONÇALVES</v>
      </c>
      <c r="D46" s="266">
        <v>1</v>
      </c>
      <c r="E46" s="148">
        <f>IF(D46&lt;&gt;"",D46,"")</f>
        <v>1</v>
      </c>
      <c r="F46" s="101" t="str">
        <f>IF(D46&lt;&gt;"",IF(C46="","",C46),"")</f>
        <v>GUSTAVO IAN SANCHEZ GONÇALVES</v>
      </c>
      <c r="G46" s="190">
        <f>IF(E46&lt;&gt;"",IF(E48&lt;&gt;"",SMALL(E46:E48,1),""),"")</f>
        <v>0</v>
      </c>
      <c r="H46" s="101"/>
      <c r="I46" s="138"/>
      <c r="J46" s="101"/>
      <c r="K46" s="190"/>
      <c r="L46" s="101"/>
      <c r="M46" s="138"/>
      <c r="N46" s="101">
        <f>IF(P37&lt;&gt;"",P37,"")</f>
        <v>1</v>
      </c>
      <c r="O46" s="190" t="str">
        <f>IF(P37&lt;&gt;"",O37,"")</f>
        <v>GUSTAVO KENJI ETO</v>
      </c>
      <c r="P46" s="101" t="str">
        <f>VLOOKUP(P44,N44:O46,2,0)</f>
        <v>LUIS FELIPE DE SOUSA FERREIRA</v>
      </c>
      <c r="Q46" s="100"/>
      <c r="R46" s="198"/>
      <c r="S46" s="37"/>
      <c r="T46" s="37"/>
      <c r="U46" s="37"/>
      <c r="V46" s="198"/>
      <c r="W46" s="37"/>
      <c r="X46" s="86"/>
      <c r="Y46" s="198"/>
      <c r="Z46" s="37"/>
      <c r="AA46" s="89"/>
      <c r="AB46" s="29"/>
      <c r="AC46" s="198"/>
      <c r="AD46" s="94"/>
      <c r="AE46" s="100"/>
      <c r="AF46" s="100"/>
      <c r="AG46" s="197">
        <f>IF(AJ46&lt;&gt;"",AJ46,"")</f>
        <v>1</v>
      </c>
      <c r="AH46" s="100" t="str">
        <f>IF(AJ46&lt;&gt;"",IF(AK46="","",AK46),"")</f>
        <v>GABRIEL CUSTÓDIO FERNANDEZ</v>
      </c>
      <c r="AI46" s="137">
        <f>IF(AG46&lt;&gt;"",IF(AG48&lt;&gt;"",SMALL(AG46:AG48,1),""),"")</f>
        <v>0</v>
      </c>
      <c r="AJ46" s="266">
        <v>1</v>
      </c>
      <c r="AK46" s="162" t="str">
        <f>IF('17M GRP'!G5&gt;=3,'17M GRP'!J138,IF('17M GRP'!G5=2,"",IF('17M GRP'!G5=1,"","")))</f>
        <v>GABRIEL CUSTÓDIO FERNANDEZ</v>
      </c>
      <c r="AL46" s="29">
        <v>10</v>
      </c>
    </row>
    <row r="47" spans="2:47" ht="18" customHeight="1" thickBot="1" x14ac:dyDescent="0.3">
      <c r="B47" s="133"/>
      <c r="C47" s="165" t="str">
        <f>IFERROR(IF(C46="","",VLOOKUP(C46,LISTAS!$F$5:$G$1004,2,0)),"0")</f>
        <v>COLÉGIO ARBOS SÃO CAETANO DO SUL</v>
      </c>
      <c r="D47" s="267"/>
      <c r="E47" s="105"/>
      <c r="F47" s="101"/>
      <c r="G47" s="190"/>
      <c r="H47" s="101"/>
      <c r="I47" s="138"/>
      <c r="J47" s="101"/>
      <c r="K47" s="190"/>
      <c r="L47" s="101"/>
      <c r="M47" s="138"/>
      <c r="N47" s="101"/>
      <c r="O47" s="190"/>
      <c r="P47" s="101"/>
      <c r="Q47" s="100"/>
      <c r="R47" s="198"/>
      <c r="S47" s="37"/>
      <c r="T47" s="37"/>
      <c r="U47" s="37"/>
      <c r="V47" s="198"/>
      <c r="W47" s="37"/>
      <c r="X47" s="86"/>
      <c r="Y47" s="198"/>
      <c r="Z47" s="37"/>
      <c r="AA47" s="89"/>
      <c r="AB47" s="29"/>
      <c r="AC47" s="198"/>
      <c r="AD47" s="94"/>
      <c r="AE47" s="100"/>
      <c r="AF47" s="100"/>
      <c r="AG47" s="197"/>
      <c r="AH47" s="100"/>
      <c r="AI47" s="143"/>
      <c r="AJ47" s="267"/>
      <c r="AK47" s="165" t="str">
        <f>IFERROR(IF(AK46="","",VLOOKUP(AK46,LISTAS!$F$5:$G$1004,2,0)),"0")</f>
        <v>COLÉGIO ARBOS SÃO CAETANO DO SUL</v>
      </c>
      <c r="AL47" s="29"/>
    </row>
    <row r="48" spans="2:47" ht="18" customHeight="1" x14ac:dyDescent="0.25">
      <c r="B48" s="133">
        <v>21</v>
      </c>
      <c r="C48" s="162" t="str">
        <f>IF('17M GRP'!G5&gt;=3,'17M GRP'!J281,IF('17M GRP'!G5=2,"",IF('17M GRP'!G5=1,"","")))</f>
        <v/>
      </c>
      <c r="D48" s="266">
        <v>0</v>
      </c>
      <c r="E48" s="106">
        <f>IF(D48&lt;&gt;"",D48,"")</f>
        <v>0</v>
      </c>
      <c r="F48" s="101" t="str">
        <f>IF(D48&lt;&gt;"",IF(C48="","",C48),"")</f>
        <v/>
      </c>
      <c r="G48" s="190" t="str">
        <f>VLOOKUP(G46,E46:F48,2,0)</f>
        <v/>
      </c>
      <c r="H48" s="101"/>
      <c r="I48" s="138"/>
      <c r="J48" s="101"/>
      <c r="K48" s="190"/>
      <c r="L48" s="101"/>
      <c r="M48" s="138"/>
      <c r="N48" s="101"/>
      <c r="O48" s="190"/>
      <c r="P48" s="101"/>
      <c r="Q48" s="100"/>
      <c r="R48" s="198"/>
      <c r="S48" s="37"/>
      <c r="T48" s="37"/>
      <c r="U48" s="37"/>
      <c r="V48" s="198"/>
      <c r="W48" s="37"/>
      <c r="X48" s="86"/>
      <c r="Y48" s="198"/>
      <c r="Z48" s="37"/>
      <c r="AA48" s="89"/>
      <c r="AB48" s="29"/>
      <c r="AC48" s="198"/>
      <c r="AD48" s="94"/>
      <c r="AE48" s="100"/>
      <c r="AF48" s="100"/>
      <c r="AG48" s="197">
        <f>IF(AJ48&lt;&gt;"",AJ48,"")</f>
        <v>0</v>
      </c>
      <c r="AH48" s="100" t="str">
        <f>IF(AJ48&lt;&gt;"",IF(AK48="","",AK48),"")</f>
        <v/>
      </c>
      <c r="AI48" s="145" t="str">
        <f>VLOOKUP(AI46,AG46:AH48,2,0)</f>
        <v/>
      </c>
      <c r="AJ48" s="266">
        <v>0</v>
      </c>
      <c r="AK48" s="162" t="str">
        <f>IF('17M GRP'!G5&gt;=3,'17M GRP'!J307,IF('17M GRP'!G5=2,"",IF('17M GRP'!G5=1,"","")))</f>
        <v/>
      </c>
      <c r="AL48" s="29">
        <v>23</v>
      </c>
    </row>
    <row r="49" spans="2:41" ht="18" customHeight="1" thickBot="1" x14ac:dyDescent="0.3">
      <c r="B49" s="133"/>
      <c r="C49" s="165" t="str">
        <f>IFERROR(IF(C48="","",VLOOKUP(C48,LISTAS!$F$5:$G$1004,2,0)),"0")</f>
        <v/>
      </c>
      <c r="D49" s="267"/>
      <c r="E49" s="101"/>
      <c r="F49" s="101"/>
      <c r="G49" s="190"/>
      <c r="H49" s="101"/>
      <c r="I49" s="138"/>
      <c r="J49" s="101"/>
      <c r="K49" s="190"/>
      <c r="L49" s="101"/>
      <c r="M49" s="138"/>
      <c r="N49" s="101"/>
      <c r="O49" s="190"/>
      <c r="P49" s="101"/>
      <c r="Q49" s="100"/>
      <c r="R49" s="198"/>
      <c r="S49" s="37"/>
      <c r="T49" s="37"/>
      <c r="U49" s="37"/>
      <c r="V49" s="198"/>
      <c r="W49" s="37"/>
      <c r="X49" s="86"/>
      <c r="Y49" s="198"/>
      <c r="Z49" s="37"/>
      <c r="AA49" s="89"/>
      <c r="AB49" s="29"/>
      <c r="AC49" s="198"/>
      <c r="AD49" s="94"/>
      <c r="AE49" s="100"/>
      <c r="AF49" s="100"/>
      <c r="AG49" s="197"/>
      <c r="AH49" s="100"/>
      <c r="AI49" s="101"/>
      <c r="AJ49" s="267"/>
      <c r="AK49" s="165" t="str">
        <f>IFERROR(IF(AK48="","",VLOOKUP(AK48,LISTAS!$F$5:$G$1004,2,0)),"0")</f>
        <v/>
      </c>
      <c r="AL49" s="29"/>
    </row>
    <row r="50" spans="2:41" ht="18" customHeight="1" x14ac:dyDescent="0.25">
      <c r="B50" s="133"/>
      <c r="C50" s="188"/>
      <c r="D50" s="29"/>
      <c r="E50" s="101"/>
      <c r="F50" s="101"/>
      <c r="G50" s="190"/>
      <c r="H50" s="101"/>
      <c r="I50" s="138"/>
      <c r="J50" s="101"/>
      <c r="K50" s="162" t="str">
        <f>IF(H42&lt;&gt;"",IF(H44&lt;&gt;"",IF(H42=H44,"",IF(H42&gt;H44,G42,G44)),""),"")</f>
        <v>GUSTAVO KENJI ETO</v>
      </c>
      <c r="L50" s="266">
        <v>1</v>
      </c>
      <c r="M50" s="148">
        <f>IF(L50&lt;&gt;"",L50,"")</f>
        <v>1</v>
      </c>
      <c r="N50" s="101" t="str">
        <f>IF(L50&lt;&gt;"",IF(K50="","",K50),"")</f>
        <v>GUSTAVO KENJI ETO</v>
      </c>
      <c r="O50" s="190">
        <f>IF(M50&lt;&gt;"",IF(M52&lt;&gt;"",SMALL(M50:N52,1),""),"")</f>
        <v>0</v>
      </c>
      <c r="P50" s="101"/>
      <c r="Q50" s="88"/>
      <c r="R50" s="198"/>
      <c r="S50" s="37"/>
      <c r="T50" s="37"/>
      <c r="U50" s="37"/>
      <c r="V50" s="198"/>
      <c r="W50" s="37"/>
      <c r="X50" s="86"/>
      <c r="Y50" s="198"/>
      <c r="Z50" s="37"/>
      <c r="AA50" s="89"/>
      <c r="AB50" s="266">
        <v>1</v>
      </c>
      <c r="AC50" s="162" t="str">
        <f>IF(AF42&lt;&gt;"",IF(AF44&lt;&gt;"",IF(AF42=AF44,"",IF(AF42&gt;AF44,AG42,AG44)),""),"")</f>
        <v>GABRIEL CUSTÓDIO FERNANDEZ</v>
      </c>
      <c r="AD50" s="141"/>
      <c r="AE50" s="100"/>
      <c r="AF50" s="100"/>
      <c r="AG50" s="197"/>
      <c r="AH50" s="100"/>
      <c r="AI50" s="100"/>
      <c r="AJ50" s="29"/>
      <c r="AK50" s="188"/>
      <c r="AL50" s="29"/>
    </row>
    <row r="51" spans="2:41" ht="18" customHeight="1" thickBot="1" x14ac:dyDescent="0.3">
      <c r="B51" s="133"/>
      <c r="C51" s="188"/>
      <c r="D51" s="29"/>
      <c r="E51" s="101"/>
      <c r="F51" s="101"/>
      <c r="G51" s="190"/>
      <c r="H51" s="101"/>
      <c r="I51" s="138"/>
      <c r="J51" s="101"/>
      <c r="K51" s="165" t="str">
        <f>IFERROR(IF(K50="","",VLOOKUP(K50,LISTAS!$F$5:$G$1004,2,0)),"0")</f>
        <v>COLÉGIO ENGENHEIRO SALVADOR ARENA</v>
      </c>
      <c r="L51" s="267"/>
      <c r="M51" s="105"/>
      <c r="N51" s="101"/>
      <c r="O51" s="190"/>
      <c r="P51" s="101"/>
      <c r="Q51" s="88"/>
      <c r="R51" s="198"/>
      <c r="S51" s="37"/>
      <c r="T51" s="37"/>
      <c r="U51" s="37"/>
      <c r="V51" s="198"/>
      <c r="W51" s="37"/>
      <c r="X51" s="86"/>
      <c r="Y51" s="198"/>
      <c r="Z51" s="37"/>
      <c r="AA51" s="139"/>
      <c r="AB51" s="267"/>
      <c r="AC51" s="165" t="str">
        <f>IFERROR(IF(AC50="","",VLOOKUP(AC50,LISTAS!$F$5:$G$1004,2,0)),"0")</f>
        <v>COLÉGIO ARBOS SÃO CAETANO DO SUL</v>
      </c>
      <c r="AD51" s="37"/>
      <c r="AE51" s="144"/>
      <c r="AF51" s="100"/>
      <c r="AG51" s="197"/>
      <c r="AH51" s="100"/>
      <c r="AI51" s="100"/>
      <c r="AJ51" s="29"/>
      <c r="AK51" s="188"/>
      <c r="AL51" s="29"/>
    </row>
    <row r="52" spans="2:41" ht="18" customHeight="1" x14ac:dyDescent="0.25">
      <c r="B52" s="133"/>
      <c r="C52" s="188"/>
      <c r="D52" s="29"/>
      <c r="E52" s="101"/>
      <c r="F52" s="101"/>
      <c r="G52" s="190"/>
      <c r="H52" s="101"/>
      <c r="I52" s="138"/>
      <c r="J52" s="102"/>
      <c r="K52" s="162" t="str">
        <f>IF(H58&lt;&gt;"",IF(H60&lt;&gt;"",IF(H58=H60,"",IF(H58&gt;H60,G58,G60)),""),"")</f>
        <v>LUCCA MAGALHÃES E SILVA</v>
      </c>
      <c r="L52" s="266">
        <v>0</v>
      </c>
      <c r="M52" s="106">
        <f>IF(L52&lt;&gt;"",L52,"")</f>
        <v>0</v>
      </c>
      <c r="N52" s="101" t="str">
        <f>IF(L52&lt;&gt;"",IF(K52="","",K52),"")</f>
        <v>LUCCA MAGALHÃES E SILVA</v>
      </c>
      <c r="O52" s="190" t="str">
        <f>VLOOKUP(O50,M50:N52,2,0)</f>
        <v>LUCCA MAGALHÃES E SILVA</v>
      </c>
      <c r="P52" s="101"/>
      <c r="Q52" s="88"/>
      <c r="R52" s="198"/>
      <c r="S52" s="37"/>
      <c r="T52" s="37"/>
      <c r="U52" s="37"/>
      <c r="V52" s="198"/>
      <c r="W52" s="37"/>
      <c r="X52" s="86"/>
      <c r="Y52" s="198"/>
      <c r="Z52" s="37"/>
      <c r="AA52" s="37"/>
      <c r="AB52" s="266">
        <v>0</v>
      </c>
      <c r="AC52" s="162" t="str">
        <f>IF(AF58&lt;&gt;"",IF(AF60&lt;&gt;"",IF(AF58=AF60,"",IF(AF58&gt;AF60,AG58,AG60)),""),"")</f>
        <v>ENZO VERTICCHIO DI LULLO</v>
      </c>
      <c r="AD52" s="37"/>
      <c r="AE52" s="144"/>
      <c r="AF52" s="100"/>
      <c r="AG52" s="197"/>
      <c r="AH52" s="100"/>
      <c r="AI52" s="100"/>
      <c r="AJ52" s="29"/>
      <c r="AK52" s="188"/>
      <c r="AL52" s="29"/>
    </row>
    <row r="53" spans="2:41" ht="18" customHeight="1" thickBot="1" x14ac:dyDescent="0.3">
      <c r="B53" s="133"/>
      <c r="C53" s="188"/>
      <c r="D53" s="29"/>
      <c r="E53" s="101"/>
      <c r="F53" s="101"/>
      <c r="G53" s="190"/>
      <c r="H53" s="101"/>
      <c r="I53" s="138"/>
      <c r="J53" s="101"/>
      <c r="K53" s="165" t="str">
        <f>IFERROR(IF(K52="","",VLOOKUP(K52,LISTAS!$F$5:$G$1004,2,0)),"0")</f>
        <v>COLÉGIO ARBOS SÃO CAETANO DO SUL</v>
      </c>
      <c r="L53" s="267"/>
      <c r="M53" s="101"/>
      <c r="N53" s="101"/>
      <c r="O53" s="190"/>
      <c r="P53" s="101"/>
      <c r="Q53" s="88"/>
      <c r="R53" s="198"/>
      <c r="S53" s="37"/>
      <c r="T53" s="37"/>
      <c r="U53" s="37"/>
      <c r="V53" s="198"/>
      <c r="W53" s="37"/>
      <c r="X53" s="86"/>
      <c r="Y53" s="198"/>
      <c r="Z53" s="37"/>
      <c r="AA53" s="37"/>
      <c r="AB53" s="267"/>
      <c r="AC53" s="165" t="str">
        <f>IFERROR(IF(AC52="","",VLOOKUP(AC52,LISTAS!$F$5:$G$1004,2,0)),"0")</f>
        <v>COLÉGIO ARBOS SÃO CAETANO DO SUL</v>
      </c>
      <c r="AD53" s="37"/>
      <c r="AE53" s="144"/>
      <c r="AF53" s="100"/>
      <c r="AG53" s="197"/>
      <c r="AH53" s="100"/>
      <c r="AI53" s="100"/>
      <c r="AJ53" s="29"/>
      <c r="AK53" s="188"/>
      <c r="AL53" s="29"/>
    </row>
    <row r="54" spans="2:41" ht="18" customHeight="1" x14ac:dyDescent="0.25">
      <c r="B54" s="133">
        <v>20</v>
      </c>
      <c r="C54" s="162" t="str">
        <f>IF('17M GRP'!G5&gt;=3,'17M GRP'!J268,IF('17M GRP'!G5=2,"",IF('17M GRP'!G5=1,"","")))</f>
        <v/>
      </c>
      <c r="D54" s="266">
        <v>0</v>
      </c>
      <c r="E54" s="101">
        <f>IF(D54&lt;&gt;"",D54,"")</f>
        <v>0</v>
      </c>
      <c r="F54" s="101" t="str">
        <f>IF(D54&lt;&gt;"",IF(C54="","",C54),"")</f>
        <v/>
      </c>
      <c r="G54" s="190">
        <f>IF(E54&lt;&gt;"",IF(E56&lt;&gt;"",SMALL(E54:E56,1),""),"")</f>
        <v>0</v>
      </c>
      <c r="H54" s="101"/>
      <c r="I54" s="138"/>
      <c r="J54" s="101"/>
      <c r="K54" s="192"/>
      <c r="L54" s="87"/>
      <c r="M54" s="101"/>
      <c r="N54" s="101"/>
      <c r="O54" s="190"/>
      <c r="P54" s="101"/>
      <c r="Q54" s="37"/>
      <c r="R54" s="198"/>
      <c r="S54" s="37"/>
      <c r="T54" s="37"/>
      <c r="U54" s="37"/>
      <c r="V54" s="198"/>
      <c r="W54" s="37"/>
      <c r="X54" s="86"/>
      <c r="Y54" s="198"/>
      <c r="Z54" s="37"/>
      <c r="AA54" s="37"/>
      <c r="AB54" s="29"/>
      <c r="AC54" s="198"/>
      <c r="AD54" s="37"/>
      <c r="AE54" s="144"/>
      <c r="AF54" s="100"/>
      <c r="AG54" s="197">
        <f>IF(AJ54&lt;&gt;"",AJ54,"")</f>
        <v>0</v>
      </c>
      <c r="AH54" s="100" t="str">
        <f>IF(AJ54&lt;&gt;"",IF(AK54="","",AK54),"")</f>
        <v/>
      </c>
      <c r="AI54" s="101">
        <f>IF(AG54&lt;&gt;"",IF(AG56&lt;&gt;"",SMALL(AG54:AG56,1),""),"")</f>
        <v>0</v>
      </c>
      <c r="AJ54" s="266">
        <v>0</v>
      </c>
      <c r="AK54" s="162" t="str">
        <f>IF('17M GRP'!G5&gt;=3,'17M GRP'!J203,IF('17M GRP'!G5=2,"",IF('17M GRP'!G5=1,"","")))</f>
        <v/>
      </c>
      <c r="AL54" s="29">
        <v>15</v>
      </c>
    </row>
    <row r="55" spans="2:41" ht="18" customHeight="1" thickBot="1" x14ac:dyDescent="0.3">
      <c r="B55" s="133"/>
      <c r="C55" s="165" t="str">
        <f>IFERROR(IF(C54="","",VLOOKUP(C54,LISTAS!$F$5:$G$1004,2,0)),"0")</f>
        <v/>
      </c>
      <c r="D55" s="267"/>
      <c r="E55" s="101"/>
      <c r="F55" s="101"/>
      <c r="G55" s="190"/>
      <c r="H55" s="101"/>
      <c r="I55" s="138"/>
      <c r="J55" s="101"/>
      <c r="K55" s="192"/>
      <c r="L55" s="87"/>
      <c r="M55" s="101"/>
      <c r="N55" s="101"/>
      <c r="O55" s="190"/>
      <c r="P55" s="101"/>
      <c r="Q55" s="37"/>
      <c r="R55" s="198"/>
      <c r="S55" s="37"/>
      <c r="T55" s="37"/>
      <c r="U55" s="37"/>
      <c r="V55" s="198"/>
      <c r="W55" s="37"/>
      <c r="X55" s="86"/>
      <c r="Y55" s="198"/>
      <c r="Z55" s="37"/>
      <c r="AA55" s="37"/>
      <c r="AB55" s="29"/>
      <c r="AC55" s="198"/>
      <c r="AD55" s="37"/>
      <c r="AE55" s="144"/>
      <c r="AF55" s="100"/>
      <c r="AG55" s="197"/>
      <c r="AH55" s="100"/>
      <c r="AI55" s="101"/>
      <c r="AJ55" s="267"/>
      <c r="AK55" s="165" t="str">
        <f>IFERROR(IF(AK54="","",VLOOKUP(AK54,LISTAS!$F$5:$G$1004,2,0)),"0")</f>
        <v/>
      </c>
      <c r="AL55" s="29"/>
    </row>
    <row r="56" spans="2:41" ht="18" customHeight="1" x14ac:dyDescent="0.25">
      <c r="B56" s="133">
        <v>13</v>
      </c>
      <c r="C56" s="162" t="str">
        <f>IF('17M GRP'!G5&gt;=3,'17M GRP'!J177,IF('17M GRP'!G5=2,"",IF('17M GRP'!G5=1,"","")))</f>
        <v>LUCCA MAGALHÃES E SILVA</v>
      </c>
      <c r="D56" s="266">
        <v>1</v>
      </c>
      <c r="E56" s="107">
        <f>IF(D56&lt;&gt;"",D56,"")</f>
        <v>1</v>
      </c>
      <c r="F56" s="101" t="str">
        <f>IF(D56&lt;&gt;"",IF(C56="","",C56),"")</f>
        <v>LUCCA MAGALHÃES E SILVA</v>
      </c>
      <c r="G56" s="190" t="str">
        <f>VLOOKUP(G54,E54:F56,2,0)</f>
        <v/>
      </c>
      <c r="H56" s="101"/>
      <c r="I56" s="138"/>
      <c r="J56" s="101"/>
      <c r="K56" s="192"/>
      <c r="L56" s="87"/>
      <c r="M56" s="87"/>
      <c r="N56" s="29"/>
      <c r="O56" s="188"/>
      <c r="P56" s="29"/>
      <c r="Q56" s="37"/>
      <c r="R56" s="198"/>
      <c r="S56" s="37"/>
      <c r="T56" s="37"/>
      <c r="U56" s="37"/>
      <c r="V56" s="198"/>
      <c r="W56" s="37"/>
      <c r="X56" s="86"/>
      <c r="Y56" s="198"/>
      <c r="Z56" s="37"/>
      <c r="AA56" s="37"/>
      <c r="AB56" s="29"/>
      <c r="AC56" s="198"/>
      <c r="AD56" s="37"/>
      <c r="AE56" s="144"/>
      <c r="AF56" s="100"/>
      <c r="AG56" s="197">
        <f>IF(AJ56&lt;&gt;"",AJ56,"")</f>
        <v>0</v>
      </c>
      <c r="AH56" s="100" t="str">
        <f>IF(AJ56&lt;&gt;"",IF(AK56="","",AK56),"")</f>
        <v/>
      </c>
      <c r="AI56" s="102" t="str">
        <f>VLOOKUP(AI54,AG54:AH56,2,0)</f>
        <v/>
      </c>
      <c r="AJ56" s="266">
        <v>0</v>
      </c>
      <c r="AK56" s="162" t="str">
        <f>IF('17M GRP'!G5&gt;=3,'17M GRP'!J242,IF('17M GRP'!G5=2,"",IF('17M GRP'!G5=1,"","")))</f>
        <v/>
      </c>
      <c r="AL56" s="29">
        <v>18</v>
      </c>
      <c r="AN56" s="23"/>
      <c r="AO56" s="23"/>
    </row>
    <row r="57" spans="2:41" ht="18" customHeight="1" thickBot="1" x14ac:dyDescent="0.3">
      <c r="B57" s="133"/>
      <c r="C57" s="165" t="str">
        <f>IFERROR(IF(C56="","",VLOOKUP(C56,LISTAS!$F$5:$G$1004,2,0)),"0")</f>
        <v>COLÉGIO ARBOS SÃO CAETANO DO SUL</v>
      </c>
      <c r="D57" s="267"/>
      <c r="E57" s="148"/>
      <c r="F57" s="101"/>
      <c r="G57" s="190"/>
      <c r="H57" s="101"/>
      <c r="I57" s="138"/>
      <c r="J57" s="101"/>
      <c r="K57" s="192"/>
      <c r="L57" s="87"/>
      <c r="M57" s="87"/>
      <c r="N57" s="29"/>
      <c r="O57" s="188"/>
      <c r="P57" s="29"/>
      <c r="Q57" s="37"/>
      <c r="R57" s="198"/>
      <c r="S57" s="37"/>
      <c r="T57" s="37"/>
      <c r="U57" s="37"/>
      <c r="V57" s="198"/>
      <c r="W57" s="37"/>
      <c r="X57" s="86"/>
      <c r="Y57" s="198"/>
      <c r="Z57" s="37"/>
      <c r="AA57" s="37"/>
      <c r="AB57" s="29"/>
      <c r="AC57" s="198"/>
      <c r="AD57" s="37"/>
      <c r="AE57" s="144"/>
      <c r="AF57" s="100"/>
      <c r="AG57" s="197"/>
      <c r="AH57" s="146"/>
      <c r="AI57" s="101"/>
      <c r="AJ57" s="267"/>
      <c r="AK57" s="165" t="str">
        <f>IFERROR(IF(AK56="","",VLOOKUP(AK56,LISTAS!$F$5:$G$1004,2,0)),"0")</f>
        <v/>
      </c>
      <c r="AL57" s="29"/>
      <c r="AM57" s="23"/>
      <c r="AN57" s="23"/>
      <c r="AO57" s="23"/>
    </row>
    <row r="58" spans="2:41" ht="18" customHeight="1" x14ac:dyDescent="0.25">
      <c r="B58" s="133"/>
      <c r="C58" s="188"/>
      <c r="D58" s="29"/>
      <c r="E58" s="29"/>
      <c r="F58" s="34"/>
      <c r="G58" s="162" t="str">
        <f>IF(D54&lt;&gt;"",IF(D56&lt;&gt;"",IF(D54=D56,"",IF(D54&gt;D56,C54,C56)),""),"")</f>
        <v>LUCCA MAGALHÃES E SILVA</v>
      </c>
      <c r="H58" s="266">
        <v>1</v>
      </c>
      <c r="I58" s="148">
        <f>IF(H58&lt;&gt;"",H58,"")</f>
        <v>1</v>
      </c>
      <c r="J58" s="101" t="str">
        <f>IF(H58&lt;&gt;"",IF(G58="","",G58),"")</f>
        <v>LUCCA MAGALHÃES E SILVA</v>
      </c>
      <c r="K58" s="190">
        <f>IF(I58&lt;&gt;"",IF(I60&lt;&gt;"",SMALL(I58:J60,1),""),"")</f>
        <v>0</v>
      </c>
      <c r="L58" s="101"/>
      <c r="M58" s="101"/>
      <c r="N58" s="29"/>
      <c r="O58" s="188"/>
      <c r="P58" s="29"/>
      <c r="Q58" s="37"/>
      <c r="R58" s="198"/>
      <c r="S58" s="37"/>
      <c r="T58" s="37"/>
      <c r="U58" s="37"/>
      <c r="V58" s="198"/>
      <c r="W58" s="37"/>
      <c r="X58" s="86"/>
      <c r="Y58" s="198"/>
      <c r="Z58" s="37"/>
      <c r="AA58" s="37"/>
      <c r="AB58" s="29"/>
      <c r="AC58" s="198"/>
      <c r="AD58" s="37"/>
      <c r="AE58" s="89"/>
      <c r="AF58" s="266">
        <v>0</v>
      </c>
      <c r="AG58" s="162" t="str">
        <f>IF(AJ54&lt;&gt;"",IF(AJ56&lt;&gt;"",IF(AJ54=AJ56,"",IF(AJ54&gt;AJ56,AK54,AK56)),""),"")</f>
        <v/>
      </c>
      <c r="AH58" s="94"/>
      <c r="AI58" s="37"/>
      <c r="AJ58" s="29"/>
      <c r="AK58" s="188"/>
      <c r="AL58" s="29"/>
      <c r="AM58" s="23"/>
    </row>
    <row r="59" spans="2:41" ht="18" customHeight="1" thickBot="1" x14ac:dyDescent="0.3">
      <c r="B59" s="133"/>
      <c r="C59" s="188"/>
      <c r="D59" s="29"/>
      <c r="E59" s="29"/>
      <c r="F59" s="34"/>
      <c r="G59" s="165" t="str">
        <f>IFERROR(IF(G58="","",VLOOKUP(G58,LISTAS!$F$5:$G$1004,2,0)),"0")</f>
        <v>COLÉGIO ARBOS SÃO CAETANO DO SUL</v>
      </c>
      <c r="H59" s="267"/>
      <c r="I59" s="105"/>
      <c r="J59" s="101"/>
      <c r="K59" s="190"/>
      <c r="L59" s="101"/>
      <c r="M59" s="101"/>
      <c r="N59" s="29"/>
      <c r="O59" s="188"/>
      <c r="P59" s="29"/>
      <c r="Q59" s="37"/>
      <c r="R59" s="198"/>
      <c r="S59" s="37"/>
      <c r="T59" s="37"/>
      <c r="U59" s="37"/>
      <c r="V59" s="198"/>
      <c r="W59" s="37"/>
      <c r="X59" s="86"/>
      <c r="Y59" s="198"/>
      <c r="Z59" s="37"/>
      <c r="AA59" s="37"/>
      <c r="AB59" s="29"/>
      <c r="AC59" s="198"/>
      <c r="AD59" s="37"/>
      <c r="AE59" s="90"/>
      <c r="AF59" s="267"/>
      <c r="AG59" s="165" t="str">
        <f>IFERROR(IF(AG58="","",VLOOKUP(AG58,LISTAS!$F$5:$G$1004,2,0)),"0")</f>
        <v/>
      </c>
      <c r="AH59" s="94"/>
      <c r="AI59" s="37"/>
      <c r="AJ59" s="29"/>
      <c r="AK59" s="188"/>
      <c r="AL59" s="29"/>
    </row>
    <row r="60" spans="2:41" ht="18" customHeight="1" x14ac:dyDescent="0.25">
      <c r="B60" s="133"/>
      <c r="C60" s="188"/>
      <c r="D60" s="29"/>
      <c r="E60" s="35"/>
      <c r="F60" s="36"/>
      <c r="G60" s="162" t="str">
        <f>IF(D62&lt;&gt;"",IF(D64&lt;&gt;"",IF(D62=D64,"",IF(D62&gt;D64,C62,C64)),""),"")</f>
        <v>FREDERICO DE OLIVEIRA LIMA SHIRAI</v>
      </c>
      <c r="H60" s="266">
        <v>0</v>
      </c>
      <c r="I60" s="106">
        <f>IF(H60&lt;&gt;"",H60,"")</f>
        <v>0</v>
      </c>
      <c r="J60" s="101" t="str">
        <f>IF(H60&lt;&gt;"",IF(G60="","",G60),"")</f>
        <v>FREDERICO DE OLIVEIRA LIMA SHIRAI</v>
      </c>
      <c r="K60" s="190" t="str">
        <f>VLOOKUP(K58,I58:J60,2,0)</f>
        <v>FREDERICO DE OLIVEIRA LIMA SHIRAI</v>
      </c>
      <c r="L60" s="101"/>
      <c r="M60" s="101"/>
      <c r="N60" s="29"/>
      <c r="O60" s="188"/>
      <c r="P60" s="29"/>
      <c r="Q60" s="37"/>
      <c r="R60" s="198"/>
      <c r="S60" s="37"/>
      <c r="T60" s="37"/>
      <c r="U60" s="37"/>
      <c r="V60" s="198"/>
      <c r="W60" s="37"/>
      <c r="X60" s="86"/>
      <c r="Y60" s="198"/>
      <c r="Z60" s="37"/>
      <c r="AA60" s="37"/>
      <c r="AB60" s="29"/>
      <c r="AC60" s="198"/>
      <c r="AD60" s="37"/>
      <c r="AE60" s="91"/>
      <c r="AF60" s="266">
        <v>1</v>
      </c>
      <c r="AG60" s="162" t="str">
        <f>IF(AJ62&lt;&gt;"",IF(AJ64&lt;&gt;"",IF(AJ62=AJ64,"",IF(AJ62&gt;AJ64,AK62,AK64)),""),"")</f>
        <v>ENZO VERTICCHIO DI LULLO</v>
      </c>
      <c r="AH60" s="98"/>
      <c r="AI60" s="37"/>
      <c r="AJ60" s="29"/>
      <c r="AK60" s="188"/>
      <c r="AL60" s="29"/>
    </row>
    <row r="61" spans="2:41" ht="18" customHeight="1" thickBot="1" x14ac:dyDescent="0.3">
      <c r="B61" s="133"/>
      <c r="C61" s="188"/>
      <c r="D61" s="29"/>
      <c r="E61" s="35"/>
      <c r="F61" s="29"/>
      <c r="G61" s="165" t="str">
        <f>IFERROR(IF(G60="","",VLOOKUP(G60,LISTAS!$F$5:$G$1004,2,0)),"0")</f>
        <v>COLÉGIO ENGENHEIRO SALVADOR ARENA</v>
      </c>
      <c r="H61" s="267"/>
      <c r="I61" s="101"/>
      <c r="J61" s="101"/>
      <c r="K61" s="190"/>
      <c r="L61" s="101"/>
      <c r="M61" s="101"/>
      <c r="N61" s="29"/>
      <c r="O61" s="188"/>
      <c r="P61" s="29"/>
      <c r="Q61" s="37"/>
      <c r="R61" s="198"/>
      <c r="S61" s="37"/>
      <c r="T61" s="37"/>
      <c r="U61" s="37"/>
      <c r="V61" s="198"/>
      <c r="W61" s="37"/>
      <c r="X61" s="86"/>
      <c r="Y61" s="198"/>
      <c r="Z61" s="37"/>
      <c r="AA61" s="37"/>
      <c r="AB61" s="29"/>
      <c r="AC61" s="198"/>
      <c r="AD61" s="37"/>
      <c r="AE61" s="37"/>
      <c r="AF61" s="267"/>
      <c r="AG61" s="165" t="str">
        <f>IFERROR(IF(AG60="","",VLOOKUP(AG60,LISTAS!$F$5:$G$1004,2,0)),"0")</f>
        <v>COLÉGIO ARBOS SÃO CAETANO DO SUL</v>
      </c>
      <c r="AH61" s="37"/>
      <c r="AI61" s="89"/>
      <c r="AJ61" s="29"/>
      <c r="AK61" s="188"/>
      <c r="AL61" s="29"/>
    </row>
    <row r="62" spans="2:41" ht="18" customHeight="1" x14ac:dyDescent="0.25">
      <c r="B62" s="133">
        <v>29</v>
      </c>
      <c r="C62" s="162" t="str">
        <f>IF('17M GRP'!G5&gt;=3,'17M GRP'!J385,IF('17M GRP'!G5=2,"",IF('17M GRP'!G5=1,"","")))</f>
        <v/>
      </c>
      <c r="D62" s="266">
        <v>0</v>
      </c>
      <c r="E62" s="148">
        <f>IF(D62&lt;&gt;"",D62,"")</f>
        <v>0</v>
      </c>
      <c r="F62" s="101" t="str">
        <f>IF(D62&lt;&gt;"",IF(C62="","",C62),"")</f>
        <v/>
      </c>
      <c r="G62" s="190">
        <f>IF(E62&lt;&gt;"",IF(E64&lt;&gt;"",SMALL(E62:E64,1),""),"")</f>
        <v>0</v>
      </c>
      <c r="H62" s="101"/>
      <c r="I62" s="101"/>
      <c r="J62" s="101"/>
      <c r="K62" s="190"/>
      <c r="L62" s="101"/>
      <c r="M62" s="101"/>
      <c r="N62" s="29"/>
      <c r="O62" s="188"/>
      <c r="P62" s="29"/>
      <c r="Q62" s="37"/>
      <c r="R62" s="198"/>
      <c r="S62" s="37"/>
      <c r="T62" s="37"/>
      <c r="U62" s="37"/>
      <c r="V62" s="198"/>
      <c r="W62" s="37"/>
      <c r="X62" s="86"/>
      <c r="Y62" s="198"/>
      <c r="Z62" s="37"/>
      <c r="AA62" s="37"/>
      <c r="AB62" s="29"/>
      <c r="AC62" s="198"/>
      <c r="AD62" s="37"/>
      <c r="AE62" s="100"/>
      <c r="AF62" s="100"/>
      <c r="AG62" s="197">
        <f>IF(AJ62&lt;&gt;"",AJ62,"")</f>
        <v>0</v>
      </c>
      <c r="AH62" s="100" t="str">
        <f>IF(AJ62&lt;&gt;"",IF(AK62="","",AK62),"")</f>
        <v/>
      </c>
      <c r="AI62" s="137">
        <f>IF(AG62&lt;&gt;"",IF(AG64&lt;&gt;"",SMALL(AG62:AG64,1),""),"")</f>
        <v>0</v>
      </c>
      <c r="AJ62" s="266">
        <v>0</v>
      </c>
      <c r="AK62" s="162" t="str">
        <f>IF('17M GRP'!G5&gt;=3,'17M GRP'!J411,IF('17M GRP'!G5=2,"",IF('17M GRP'!G5=1,"","")))</f>
        <v/>
      </c>
      <c r="AL62" s="29">
        <v>31</v>
      </c>
    </row>
    <row r="63" spans="2:41" ht="18" customHeight="1" thickBot="1" x14ac:dyDescent="0.3">
      <c r="B63" s="133"/>
      <c r="C63" s="165" t="str">
        <f>IFERROR(IF(C62="","",VLOOKUP(C62,LISTAS!$F$5:$G$1004,2,0)),"0")</f>
        <v/>
      </c>
      <c r="D63" s="267"/>
      <c r="E63" s="105"/>
      <c r="F63" s="101"/>
      <c r="G63" s="190"/>
      <c r="H63" s="101"/>
      <c r="I63" s="101"/>
      <c r="J63" s="87"/>
      <c r="K63" s="188"/>
      <c r="L63" s="29"/>
      <c r="M63" s="29"/>
      <c r="N63" s="29"/>
      <c r="O63" s="188"/>
      <c r="P63" s="29"/>
      <c r="Q63" s="37"/>
      <c r="R63" s="198"/>
      <c r="S63" s="37"/>
      <c r="T63" s="37"/>
      <c r="U63" s="37"/>
      <c r="V63" s="198"/>
      <c r="W63" s="37"/>
      <c r="X63" s="86"/>
      <c r="Y63" s="198"/>
      <c r="Z63" s="37"/>
      <c r="AA63" s="37"/>
      <c r="AB63" s="29"/>
      <c r="AC63" s="198"/>
      <c r="AD63" s="37"/>
      <c r="AE63" s="100"/>
      <c r="AF63" s="100"/>
      <c r="AG63" s="197"/>
      <c r="AH63" s="100"/>
      <c r="AI63" s="103"/>
      <c r="AJ63" s="267"/>
      <c r="AK63" s="165" t="str">
        <f>IFERROR(IF(AK62="","",VLOOKUP(AK62,LISTAS!$F$5:$G$1004,2,0)),"0")</f>
        <v/>
      </c>
      <c r="AL63" s="29"/>
    </row>
    <row r="64" spans="2:41" ht="18" customHeight="1" x14ac:dyDescent="0.25">
      <c r="B64" s="133">
        <v>4</v>
      </c>
      <c r="C64" s="162" t="str">
        <f>IF('17M GRP'!G5&gt;=3,'17M GRP'!J60,IF('17M GRP'!G5=2,IF('17M GRP'!H8=3,"",'17M GRP'!J31),IF('17M GRP'!G5=1,'17M GRP'!J11,"")))</f>
        <v>FREDERICO DE OLIVEIRA LIMA SHIRAI</v>
      </c>
      <c r="D64" s="266">
        <v>1</v>
      </c>
      <c r="E64" s="106">
        <f>IF(D64&lt;&gt;"",D64,"")</f>
        <v>1</v>
      </c>
      <c r="F64" s="101" t="str">
        <f>IF(D64&lt;&gt;"",IF(C64="","",C64),"")</f>
        <v>FREDERICO DE OLIVEIRA LIMA SHIRAI</v>
      </c>
      <c r="G64" s="190" t="str">
        <f>VLOOKUP(G62,E62:F64,2,0)</f>
        <v/>
      </c>
      <c r="H64" s="101"/>
      <c r="I64" s="101"/>
      <c r="J64" s="87"/>
      <c r="K64" s="188"/>
      <c r="L64" s="29"/>
      <c r="M64" s="29"/>
      <c r="N64" s="29"/>
      <c r="O64" s="188"/>
      <c r="P64" s="29"/>
      <c r="Q64" s="37"/>
      <c r="R64" s="198"/>
      <c r="S64" s="37"/>
      <c r="T64" s="37"/>
      <c r="U64" s="37"/>
      <c r="V64" s="198"/>
      <c r="W64" s="37"/>
      <c r="X64" s="86"/>
      <c r="Y64" s="198"/>
      <c r="Z64" s="37"/>
      <c r="AA64" s="37"/>
      <c r="AB64" s="29"/>
      <c r="AC64" s="198"/>
      <c r="AD64" s="37"/>
      <c r="AE64" s="100"/>
      <c r="AF64" s="100"/>
      <c r="AG64" s="197">
        <f>IF(AJ64&lt;&gt;"",AJ64,"")</f>
        <v>1</v>
      </c>
      <c r="AH64" s="100" t="str">
        <f>IF(AJ64&lt;&gt;"",IF(AK64="","",AK64),"")</f>
        <v>ENZO VERTICCHIO DI LULLO</v>
      </c>
      <c r="AI64" s="104" t="str">
        <f>VLOOKUP(AI62,AG62:AH64,2,0)</f>
        <v/>
      </c>
      <c r="AJ64" s="266">
        <v>1</v>
      </c>
      <c r="AK64" s="162" t="str">
        <f>IF('17M GRP'!G5&gt;=3,'17M GRP'!J30,IF('17M GRP'!G5=2,IF('17M GRP'!H8=3,'17M GRP'!J30,'17M GRP'!J30),IF('17M GRP'!G5=1,'17M GRP'!J9,"")))</f>
        <v>ENZO VERTICCHIO DI LULLO</v>
      </c>
      <c r="AL64" s="29">
        <v>2</v>
      </c>
    </row>
    <row r="65" spans="2:47" ht="18" customHeight="1" thickBot="1" x14ac:dyDescent="0.3">
      <c r="B65" s="133"/>
      <c r="C65" s="165" t="str">
        <f>IFERROR(IF(C64="","",VLOOKUP(C64,LISTAS!$F$5:$G$1004,2,0)),"0")</f>
        <v>COLÉGIO ENGENHEIRO SALVADOR ARENA</v>
      </c>
      <c r="D65" s="267"/>
      <c r="E65" s="101"/>
      <c r="F65" s="101"/>
      <c r="G65" s="190"/>
      <c r="H65" s="101"/>
      <c r="I65" s="101"/>
      <c r="J65" s="87"/>
      <c r="K65" s="188"/>
      <c r="L65" s="29"/>
      <c r="M65" s="29"/>
      <c r="N65" s="29"/>
      <c r="O65" s="188"/>
      <c r="P65" s="29"/>
      <c r="Q65" s="37"/>
      <c r="R65" s="198"/>
      <c r="S65" s="37"/>
      <c r="T65" s="37"/>
      <c r="U65" s="37"/>
      <c r="V65" s="198"/>
      <c r="W65" s="37"/>
      <c r="X65" s="86"/>
      <c r="Y65" s="198"/>
      <c r="Z65" s="37"/>
      <c r="AA65" s="37"/>
      <c r="AB65" s="29"/>
      <c r="AC65" s="198"/>
      <c r="AD65" s="37"/>
      <c r="AE65" s="100"/>
      <c r="AF65" s="100"/>
      <c r="AG65" s="197"/>
      <c r="AH65" s="100"/>
      <c r="AI65" s="101"/>
      <c r="AJ65" s="267"/>
      <c r="AK65" s="165" t="str">
        <f>IFERROR(IF(AK64="","",VLOOKUP(AK64,LISTAS!$F$5:$G$1004,2,0)),"0")</f>
        <v>COLÉGIO ARBOS SÃO CAETANO DO SUL</v>
      </c>
      <c r="AL65" s="29"/>
    </row>
    <row r="66" spans="2:47" ht="18" customHeight="1" x14ac:dyDescent="0.25">
      <c r="B66" s="133"/>
      <c r="C66" s="189"/>
      <c r="D66" s="84"/>
      <c r="E66" s="134"/>
      <c r="F66" s="134"/>
      <c r="G66" s="193"/>
      <c r="H66" s="134"/>
      <c r="I66" s="134"/>
      <c r="J66" s="134"/>
      <c r="K66" s="189"/>
      <c r="L66" s="84"/>
      <c r="M66" s="84"/>
      <c r="N66" s="84"/>
      <c r="O66" s="189"/>
      <c r="P66" s="84"/>
      <c r="Q66" s="37"/>
      <c r="R66" s="198"/>
      <c r="S66" s="37"/>
      <c r="T66" s="37"/>
      <c r="U66" s="37"/>
      <c r="V66" s="198"/>
      <c r="W66" s="37"/>
      <c r="X66" s="86"/>
      <c r="Y66" s="198"/>
      <c r="Z66" s="37"/>
      <c r="AA66" s="37"/>
      <c r="AB66" s="29"/>
      <c r="AC66" s="198"/>
      <c r="AD66" s="37"/>
      <c r="AE66" s="100"/>
      <c r="AF66" s="100"/>
      <c r="AG66" s="197"/>
      <c r="AH66" s="100"/>
      <c r="AI66" s="100"/>
      <c r="AJ66" s="84"/>
      <c r="AK66" s="189"/>
      <c r="AL66" s="29"/>
    </row>
    <row r="67" spans="2:47" ht="18" customHeight="1" x14ac:dyDescent="0.25">
      <c r="B67" s="29"/>
      <c r="C67" s="189"/>
      <c r="D67" s="84"/>
      <c r="E67" s="84"/>
      <c r="F67" s="84"/>
      <c r="G67" s="189"/>
      <c r="H67" s="84"/>
      <c r="I67" s="84"/>
      <c r="J67" s="84"/>
      <c r="K67" s="189"/>
      <c r="L67" s="84"/>
      <c r="M67" s="84"/>
      <c r="N67" s="84"/>
      <c r="O67" s="189"/>
      <c r="P67" s="84"/>
      <c r="Q67" s="37"/>
      <c r="R67" s="198"/>
      <c r="S67" s="37"/>
      <c r="T67" s="37"/>
      <c r="U67" s="37"/>
      <c r="V67" s="198"/>
      <c r="W67" s="37"/>
      <c r="X67" s="86"/>
      <c r="Y67" s="198"/>
      <c r="Z67" s="37"/>
      <c r="AA67" s="37"/>
      <c r="AB67" s="29"/>
      <c r="AC67" s="198"/>
      <c r="AD67" s="37"/>
      <c r="AE67" s="100"/>
      <c r="AF67" s="100"/>
      <c r="AG67" s="197"/>
      <c r="AH67" s="100"/>
      <c r="AI67" s="100"/>
      <c r="AJ67" s="84"/>
      <c r="AK67" s="189"/>
      <c r="AL67" s="29"/>
    </row>
    <row r="68" spans="2:47" ht="18" customHeight="1" x14ac:dyDescent="0.25">
      <c r="B68" s="22"/>
      <c r="C68" s="168"/>
      <c r="D68" s="22"/>
      <c r="E68" s="22"/>
      <c r="F68" s="22"/>
      <c r="G68" s="168"/>
      <c r="H68" s="22"/>
      <c r="I68" s="22"/>
      <c r="J68" s="22"/>
      <c r="K68" s="168"/>
      <c r="L68" s="22"/>
      <c r="M68" s="22"/>
      <c r="N68" s="22"/>
      <c r="O68" s="168"/>
      <c r="P68" s="22"/>
      <c r="W68" s="22"/>
      <c r="X68" s="22"/>
      <c r="Y68" s="168"/>
      <c r="Z68" s="22"/>
      <c r="AA68" s="22"/>
      <c r="AB68" s="22"/>
      <c r="AC68" s="168"/>
      <c r="AD68" s="22"/>
      <c r="AE68" s="22"/>
      <c r="AF68" s="22"/>
      <c r="AG68" s="168"/>
      <c r="AH68" s="22"/>
      <c r="AI68" s="22"/>
      <c r="AJ68" s="22"/>
      <c r="AK68" s="168"/>
    </row>
    <row r="69" spans="2:47" ht="18" customHeight="1" x14ac:dyDescent="0.25">
      <c r="B69" s="22"/>
      <c r="C69" s="168"/>
      <c r="D69" s="22"/>
      <c r="E69" s="22"/>
      <c r="F69" s="22"/>
      <c r="G69" s="168"/>
      <c r="H69" s="22"/>
      <c r="I69" s="22"/>
      <c r="J69" s="22"/>
      <c r="K69" s="168"/>
      <c r="L69" s="22"/>
      <c r="M69" s="22"/>
      <c r="N69" s="22"/>
      <c r="O69" s="168"/>
      <c r="P69" s="22"/>
      <c r="W69" s="22"/>
      <c r="X69" s="22"/>
      <c r="Y69" s="168"/>
      <c r="Z69" s="22"/>
      <c r="AA69" s="22"/>
      <c r="AB69" s="22"/>
      <c r="AC69" s="168"/>
      <c r="AD69" s="22"/>
      <c r="AE69" s="22"/>
      <c r="AF69" s="22"/>
      <c r="AG69" s="168"/>
      <c r="AH69" s="22"/>
      <c r="AI69" s="22"/>
      <c r="AJ69" s="22"/>
      <c r="AK69" s="168"/>
    </row>
    <row r="70" spans="2:47" ht="30" customHeight="1" x14ac:dyDescent="0.25">
      <c r="B70" s="249" t="s">
        <v>20</v>
      </c>
      <c r="C70" s="250"/>
      <c r="D70" s="250"/>
      <c r="E70" s="250"/>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0"/>
      <c r="AI70" s="250"/>
      <c r="AJ70" s="250"/>
      <c r="AK70" s="250"/>
      <c r="AL70" s="250"/>
      <c r="AP70" s="240" t="s">
        <v>4</v>
      </c>
      <c r="AQ70" s="240"/>
      <c r="AR70" s="240"/>
      <c r="AS70" s="240"/>
      <c r="AT70" s="240"/>
      <c r="AU70" s="240"/>
    </row>
    <row r="71" spans="2:47" ht="18" customHeight="1" thickBot="1" x14ac:dyDescent="0.3">
      <c r="B71" s="135"/>
      <c r="C71" s="187"/>
      <c r="D71" s="27"/>
      <c r="E71" s="27"/>
      <c r="F71" s="27"/>
      <c r="G71" s="191"/>
      <c r="H71" s="27"/>
      <c r="I71" s="27"/>
      <c r="J71" s="27"/>
      <c r="K71" s="195"/>
      <c r="L71" s="27"/>
      <c r="M71" s="27"/>
      <c r="N71" s="27"/>
      <c r="O71" s="195"/>
      <c r="P71" s="27"/>
      <c r="Q71" s="27"/>
      <c r="R71" s="195"/>
      <c r="S71" s="27"/>
      <c r="T71" s="27"/>
      <c r="U71" s="27"/>
      <c r="V71" s="195"/>
      <c r="W71" s="27"/>
      <c r="X71" s="26"/>
      <c r="Y71" s="195"/>
      <c r="Z71" s="27"/>
      <c r="AA71" s="27"/>
      <c r="AB71" s="92"/>
      <c r="AC71" s="195"/>
      <c r="AD71" s="27"/>
      <c r="AE71" s="150"/>
      <c r="AF71" s="150"/>
      <c r="AG71" s="200"/>
      <c r="AH71" s="150"/>
      <c r="AI71" s="150"/>
      <c r="AJ71" s="27"/>
      <c r="AK71" s="195"/>
      <c r="AL71" s="27"/>
      <c r="AP71" s="258" t="s">
        <v>3</v>
      </c>
      <c r="AQ71" s="260"/>
      <c r="AR71" s="132" t="s">
        <v>15</v>
      </c>
      <c r="AS71" s="132" t="s">
        <v>0</v>
      </c>
      <c r="AT71" s="132" t="s">
        <v>16</v>
      </c>
      <c r="AU71" s="132" t="s">
        <v>17</v>
      </c>
    </row>
    <row r="72" spans="2:47" ht="18" customHeight="1" x14ac:dyDescent="0.25">
      <c r="B72" s="136">
        <v>1</v>
      </c>
      <c r="C72" s="169" t="str">
        <f>IF('17M GRP'!G5&gt;=3,'17M GRP'!J9,IF('17M GRP'!G5=2,IF('17M GRP'!H8=3,'17M GRP'!J9,'17M GRP'!J10),IF('17M GRP'!G5=1,"","")))</f>
        <v>ARTHUR HENRIQUE SOARES GONÇALVES</v>
      </c>
      <c r="D72" s="266">
        <v>1</v>
      </c>
      <c r="E72" s="101">
        <f>IF(D72&lt;&gt;"",D72,"")</f>
        <v>1</v>
      </c>
      <c r="F72" s="101" t="str">
        <f>IF(D72&lt;&gt;"",IF(C72="","",C72),"")</f>
        <v>ARTHUR HENRIQUE SOARES GONÇALVES</v>
      </c>
      <c r="G72" s="190">
        <f>IF(E72&lt;&gt;"",IF(E74&lt;&gt;"",SMALL(E72:E74,1),""),"")</f>
        <v>0</v>
      </c>
      <c r="H72" s="101"/>
      <c r="I72" s="101"/>
      <c r="J72" s="101"/>
      <c r="K72" s="188"/>
      <c r="L72" s="29"/>
      <c r="M72" s="30"/>
      <c r="N72" s="30"/>
      <c r="O72" s="196"/>
      <c r="P72" s="30"/>
      <c r="Q72" s="37"/>
      <c r="R72" s="198"/>
      <c r="S72" s="37"/>
      <c r="T72" s="37"/>
      <c r="U72" s="37"/>
      <c r="V72" s="198"/>
      <c r="W72" s="37"/>
      <c r="X72" s="86"/>
      <c r="Y72" s="198"/>
      <c r="Z72" s="37"/>
      <c r="AA72" s="37"/>
      <c r="AB72" s="29"/>
      <c r="AC72" s="198"/>
      <c r="AD72" s="37"/>
      <c r="AE72" s="100"/>
      <c r="AF72" s="100"/>
      <c r="AG72" s="197">
        <f>IF(AJ72&lt;&gt;"",AJ72,"")</f>
        <v>1</v>
      </c>
      <c r="AH72" s="100" t="str">
        <f>IF(AJ72&lt;&gt;"",IF(AK72="","",AK72),"")</f>
        <v>VINICIUS FOZ DE BARROS</v>
      </c>
      <c r="AI72" s="101">
        <f>IF(AG72&lt;&gt;"",IF(AG74&lt;&gt;"",SMALL(AG72:AG74,1),""),"")</f>
        <v>0</v>
      </c>
      <c r="AJ72" s="266">
        <v>1</v>
      </c>
      <c r="AK72" s="169" t="str">
        <f>IF('17M GRP'!G5&gt;=3,'17M GRP'!J48,IF('17M GRP'!G5=2,IF('17M GRP'!H8=3,"",'17M GRP'!J11),IF('17M GRP'!G5=1,"","")))</f>
        <v>VINICIUS FOZ DE BARROS</v>
      </c>
      <c r="AL72" s="99">
        <v>3</v>
      </c>
      <c r="AP72" s="31">
        <f>IF(AR72&lt;&gt;"",1,"")</f>
        <v>1</v>
      </c>
      <c r="AQ72" s="32" t="str">
        <f>IF(AP72&lt;&gt;"","LUGAR","")</f>
        <v>LUGAR</v>
      </c>
      <c r="AR72" s="33" t="str">
        <f>IF(S100&lt;&gt;"",IF(U100&lt;&gt;"",IF(S100=U100,"",IF(S100&gt;U100,R100,V100)),""),"")</f>
        <v>LUIZ GUILHERME CHIEFFO CABRAL</v>
      </c>
      <c r="AS72" s="33" t="str">
        <f>IFERROR(IF(AR72="","",VLOOKUP(AR72,LISTAS!$F$5:$G$1004,2,0)),"0")</f>
        <v>COLÉGIO SINGULAR SÃO CAETANO</v>
      </c>
      <c r="AT72" s="33">
        <f>IF(AP72="","",IF(AP72=1,180,IF(AP72=2,170,IF(AP72=3,150,IF(AP72=4,140,IF(AP72=5,135,IF(AP72=6,130,IF(AP72=7,120,IF(AP72=8,110,IF(AP72=9,105,IF(AP72=10,105,IF(AP72=11,105,IF(AP72=12,105,IF(AP72=13,105,IF(AP72=14,105,IF(AP72=15,105,IF(AP72=16,105,IF(AP72&gt;16,"",""))))))))))))))))))</f>
        <v>180</v>
      </c>
      <c r="AU72" s="33">
        <f>IF(AP72="","",IF($AS$5="NÃO","",IF(AP72=1,180,IF(AP72=2,170,IF(AP72=3,150,IF(AP72=4,140,IF(AP72=5,135,IF(AP72=6,130,IF(AP72=7,120,IF(AP72=8,110,IF(AP72=9,105,IF(AP72=10,105,IF(AP72=11,105,IF(AP72=12,105,IF(AP72=13,105,IF(AP72=14,105,IF(AP72=15,105,IF(AP72=16,105,IF(AP72&gt;16,"","")))))))))))))))))))</f>
        <v>180</v>
      </c>
    </row>
    <row r="73" spans="2:47" ht="18" customHeight="1" thickBot="1" x14ac:dyDescent="0.3">
      <c r="B73" s="136"/>
      <c r="C73" s="170" t="str">
        <f>IFERROR(IF(C72="","",VLOOKUP(C72,LISTAS!$F$5:$G$1004,2,0)),"0")</f>
        <v>COLÉGIO ARBOS - UNIDADE SANTO ANDRÉ</v>
      </c>
      <c r="D73" s="267"/>
      <c r="E73" s="101"/>
      <c r="F73" s="101"/>
      <c r="G73" s="190"/>
      <c r="H73" s="101"/>
      <c r="I73" s="101"/>
      <c r="J73" s="101"/>
      <c r="K73" s="188"/>
      <c r="L73" s="29"/>
      <c r="M73" s="30"/>
      <c r="N73" s="30"/>
      <c r="O73" s="196"/>
      <c r="P73" s="30"/>
      <c r="Q73" s="37"/>
      <c r="R73" s="198"/>
      <c r="S73" s="37"/>
      <c r="T73" s="37"/>
      <c r="U73" s="37"/>
      <c r="V73" s="198"/>
      <c r="W73" s="37"/>
      <c r="X73" s="86"/>
      <c r="Y73" s="198"/>
      <c r="Z73" s="37"/>
      <c r="AA73" s="37"/>
      <c r="AB73" s="29"/>
      <c r="AC73" s="198"/>
      <c r="AD73" s="37"/>
      <c r="AE73" s="100"/>
      <c r="AF73" s="100"/>
      <c r="AG73" s="197"/>
      <c r="AH73" s="100"/>
      <c r="AI73" s="101"/>
      <c r="AJ73" s="267"/>
      <c r="AK73" s="170" t="str">
        <f>IFERROR(IF(AK72="","",VLOOKUP(AK72,LISTAS!$F$5:$G$1004,2,0)),"0")</f>
        <v>ESCOLA PRÓ CONHECER</v>
      </c>
      <c r="AL73" s="99"/>
      <c r="AP73" s="31">
        <f>IF(AR73&lt;&gt;"",1+COUNTIF(AP72,"1"),"")</f>
        <v>2</v>
      </c>
      <c r="AQ73" s="32" t="str">
        <f t="shared" ref="AQ73:AQ103" si="3">IF(AP73&lt;&gt;"","LUGAR","")</f>
        <v>LUGAR</v>
      </c>
      <c r="AR73" s="33" t="str">
        <f>IF(S100&lt;&gt;"",IF(U100&lt;&gt;"",IF(S100=U100,"",IF(S100&lt;U100,R100,V100)),""),"")</f>
        <v>LUCA COSTA GUERRA</v>
      </c>
      <c r="AS73" s="33" t="str">
        <f>IFERROR(IF(AR73="","",VLOOKUP(AR73,LISTAS!$F$5:$G$1004,2,0)),"0")</f>
        <v>COLÉGIO ARBOS - UNIDADE SANTO ANDRÉ</v>
      </c>
      <c r="AT73" s="33">
        <f t="shared" ref="AT73:AT102" si="4">IF(AP73="","",IF(AP73=1,180,IF(AP73=2,170,IF(AP73=3,150,IF(AP73=4,140,IF(AP73=5,135,IF(AP73=6,130,IF(AP73=7,120,IF(AP73=8,110,IF(AP73=9,105,IF(AP73=10,105,IF(AP73=11,105,IF(AP73=12,105,IF(AP73=13,105,IF(AP73=14,105,IF(AP73=15,105,IF(AP73=16,105,IF(AP73&gt;16,"",""))))))))))))))))))</f>
        <v>170</v>
      </c>
      <c r="AU73" s="33">
        <f t="shared" ref="AU73:AU102" si="5">IF(AP73="","",IF($AS$5="NÃO","",IF(AP73=1,180,IF(AP73=2,170,IF(AP73=3,150,IF(AP73=4,140,IF(AP73=5,135,IF(AP73=6,130,IF(AP73=7,120,IF(AP73=8,110,IF(AP73=9,105,IF(AP73=10,105,IF(AP73=11,105,IF(AP73=12,105,IF(AP73=13,105,IF(AP73=14,105,IF(AP73=15,105,IF(AP73=16,105,IF(AP73&gt;16,"","")))))))))))))))))))</f>
        <v>170</v>
      </c>
    </row>
    <row r="74" spans="2:47" ht="18" customHeight="1" x14ac:dyDescent="0.25">
      <c r="B74" s="133">
        <v>32</v>
      </c>
      <c r="C74" s="169" t="str">
        <f>IF('17M GRP'!G5&gt;=3,'17M GRP'!J425,IF('17M GRP'!G5=2,"",IF('17M GRP'!G5=1,"","")))</f>
        <v/>
      </c>
      <c r="D74" s="266">
        <v>0</v>
      </c>
      <c r="E74" s="107">
        <f>IF(D74&lt;&gt;"",D74,"")</f>
        <v>0</v>
      </c>
      <c r="F74" s="101" t="str">
        <f>IF(D74&lt;&gt;"",IF(C74="","",C74),"")</f>
        <v/>
      </c>
      <c r="G74" s="190" t="str">
        <f>VLOOKUP(G72,E72:F74,2,0)</f>
        <v/>
      </c>
      <c r="H74" s="101"/>
      <c r="I74" s="101"/>
      <c r="J74" s="101"/>
      <c r="K74" s="188"/>
      <c r="L74" s="29"/>
      <c r="M74" s="30"/>
      <c r="N74" s="30"/>
      <c r="O74" s="196"/>
      <c r="P74" s="30"/>
      <c r="Q74" s="37"/>
      <c r="R74" s="198"/>
      <c r="S74" s="37"/>
      <c r="T74" s="37"/>
      <c r="U74" s="37"/>
      <c r="V74" s="198"/>
      <c r="W74" s="37"/>
      <c r="X74" s="86"/>
      <c r="Y74" s="198"/>
      <c r="Z74" s="37"/>
      <c r="AA74" s="37"/>
      <c r="AB74" s="29"/>
      <c r="AC74" s="198"/>
      <c r="AD74" s="37"/>
      <c r="AE74" s="100"/>
      <c r="AF74" s="100"/>
      <c r="AG74" s="197">
        <f>IF(AJ74&lt;&gt;"",AJ74,"")</f>
        <v>0</v>
      </c>
      <c r="AH74" s="100" t="str">
        <f>IF(AJ74&lt;&gt;"",IF(AK74="","",AK74),"")</f>
        <v/>
      </c>
      <c r="AI74" s="102" t="str">
        <f>VLOOKUP(AI72,AG72:AH74,2,0)</f>
        <v/>
      </c>
      <c r="AJ74" s="266">
        <v>0</v>
      </c>
      <c r="AK74" s="169" t="str">
        <f>IF('17M GRP'!G5&gt;=3,'17M GRP'!J399,IF('17M GRP'!G5=2,"",IF('17M GRP'!G5=1,"","")))</f>
        <v/>
      </c>
      <c r="AL74" s="29">
        <v>30</v>
      </c>
      <c r="AP74" s="31">
        <f>IF(AR74&lt;&gt;"",1+COUNTIF(AP72:AP73,"1")+COUNTIF(AP72:AP73,"2"),"")</f>
        <v>3</v>
      </c>
      <c r="AQ74" s="32" t="str">
        <f t="shared" si="3"/>
        <v>LUGAR</v>
      </c>
      <c r="AR74" s="111" t="str">
        <f>IF(AR72&lt;&gt;"",IF(O99=AR72,O101,IF(O101=AR72,O99,IF(Y99=AR72,Y101,IF(Y101=AR72,Y99)))),"")</f>
        <v>VINICIUS FOZ DE BARROS</v>
      </c>
      <c r="AS74" s="33" t="str">
        <f>IFERROR(IF(AR74="","",VLOOKUP(AR74,LISTAS!$F$5:$G$1004,2,0)),"0")</f>
        <v>ESCOLA PRÓ CONHECER</v>
      </c>
      <c r="AT74" s="33">
        <f t="shared" si="4"/>
        <v>150</v>
      </c>
      <c r="AU74" s="33">
        <f t="shared" si="5"/>
        <v>150</v>
      </c>
    </row>
    <row r="75" spans="2:47" ht="18" customHeight="1" thickBot="1" x14ac:dyDescent="0.3">
      <c r="B75" s="133"/>
      <c r="C75" s="170" t="str">
        <f>IFERROR(IF(C74="","",VLOOKUP(C74,LISTAS!$F$5:$G$1004,2,0)),"0")</f>
        <v/>
      </c>
      <c r="D75" s="267"/>
      <c r="E75" s="148"/>
      <c r="F75" s="101"/>
      <c r="G75" s="190">
        <v>1</v>
      </c>
      <c r="H75" s="101"/>
      <c r="I75" s="101"/>
      <c r="J75" s="101"/>
      <c r="K75" s="188"/>
      <c r="L75" s="29"/>
      <c r="M75" s="30"/>
      <c r="N75" s="30"/>
      <c r="O75" s="196"/>
      <c r="P75" s="30"/>
      <c r="Q75" s="37"/>
      <c r="R75" s="198"/>
      <c r="S75" s="37"/>
      <c r="T75" s="37"/>
      <c r="U75" s="37"/>
      <c r="V75" s="198"/>
      <c r="W75" s="37"/>
      <c r="X75" s="86"/>
      <c r="Y75" s="198"/>
      <c r="Z75" s="37"/>
      <c r="AA75" s="37"/>
      <c r="AB75" s="29"/>
      <c r="AC75" s="198"/>
      <c r="AD75" s="37"/>
      <c r="AE75" s="100"/>
      <c r="AF75" s="100"/>
      <c r="AG75" s="197"/>
      <c r="AH75" s="100"/>
      <c r="AI75" s="142"/>
      <c r="AJ75" s="267"/>
      <c r="AK75" s="170" t="str">
        <f>IFERROR(IF(AK74="","",VLOOKUP(AK74,LISTAS!$F$5:$G$1004,2,0)),"0")</f>
        <v/>
      </c>
      <c r="AL75" s="29"/>
      <c r="AP75" s="31">
        <f>IF(AR75&lt;&gt;"",1+COUNTIF(AP72:AP74,"1")+COUNTIF(AP72:AP74,"2")+COUNTIF(AP72:AP74,"3"),"")</f>
        <v>4</v>
      </c>
      <c r="AQ75" s="32" t="str">
        <f t="shared" si="3"/>
        <v>LUGAR</v>
      </c>
      <c r="AR75" s="111" t="str">
        <f>IF(AR73&lt;&gt;"",IF(O99=AR73,O101,IF(O101=AR73,O99,IF(Y99=AR73,Y101,IF(Y101=AR73,Y99)))),"")</f>
        <v>ARTHUR HENRIQUE SOARES GONÇALVES</v>
      </c>
      <c r="AS75" s="33" t="str">
        <f>IFERROR(IF(AR75="","",VLOOKUP(AR75,LISTAS!$F$5:$G$1004,2,0)),"0")</f>
        <v>COLÉGIO ARBOS - UNIDADE SANTO ANDRÉ</v>
      </c>
      <c r="AT75" s="33">
        <f t="shared" si="4"/>
        <v>140</v>
      </c>
      <c r="AU75" s="33">
        <f t="shared" si="5"/>
        <v>140</v>
      </c>
    </row>
    <row r="76" spans="2:47" ht="18" customHeight="1" x14ac:dyDescent="0.25">
      <c r="B76" s="133"/>
      <c r="C76" s="188"/>
      <c r="D76" s="29"/>
      <c r="E76" s="29"/>
      <c r="F76" s="34"/>
      <c r="G76" s="169" t="str">
        <f>IF(D72&lt;&gt;"",IF(D74&lt;&gt;"",IF(D72=D74,"",IF(D72&gt;D74,C72,C74)),""),"")</f>
        <v>ARTHUR HENRIQUE SOARES GONÇALVES</v>
      </c>
      <c r="H76" s="266">
        <v>1</v>
      </c>
      <c r="I76" s="101">
        <f>IF(H76&lt;&gt;"",H76,"")</f>
        <v>1</v>
      </c>
      <c r="J76" s="101" t="str">
        <f>IF(H76&lt;&gt;"",IF(G76="","",G76),"")</f>
        <v>ARTHUR HENRIQUE SOARES GONÇALVES</v>
      </c>
      <c r="K76" s="190">
        <f>IF(I76&lt;&gt;"",IF(I78&lt;&gt;"",SMALL(I76:J78,1),""),"")</f>
        <v>0</v>
      </c>
      <c r="L76" s="101"/>
      <c r="M76" s="101"/>
      <c r="N76" s="29"/>
      <c r="O76" s="188"/>
      <c r="P76" s="29"/>
      <c r="Q76" s="37"/>
      <c r="R76" s="198"/>
      <c r="S76" s="37"/>
      <c r="T76" s="37"/>
      <c r="U76" s="37"/>
      <c r="V76" s="198"/>
      <c r="W76" s="37"/>
      <c r="X76" s="86"/>
      <c r="Y76" s="198"/>
      <c r="Z76" s="37"/>
      <c r="AA76" s="37"/>
      <c r="AB76" s="29"/>
      <c r="AC76" s="198"/>
      <c r="AD76" s="37"/>
      <c r="AE76" s="95"/>
      <c r="AF76" s="266">
        <v>1</v>
      </c>
      <c r="AG76" s="169" t="str">
        <f>IF(AJ72&lt;&gt;"",IF(AJ74&lt;&gt;"",IF(AJ72=AJ74,"",IF(AJ72&gt;AJ74,AK72,AK74)),""),"")</f>
        <v>VINICIUS FOZ DE BARROS</v>
      </c>
      <c r="AH76" s="94"/>
      <c r="AI76" s="37"/>
      <c r="AJ76" s="29"/>
      <c r="AK76" s="188"/>
      <c r="AL76" s="29"/>
      <c r="AP76" s="31">
        <f>IF(AR76&lt;&gt;"",1+COUNTIF(AP72:AP75,"1")+COUNTIF(AP72:AP75,"2")+COUNTIF(AP72:AP75,"3")+COUNTIF(AP72:AP75,"4"),"")</f>
        <v>5</v>
      </c>
      <c r="AQ76" s="32" t="str">
        <f t="shared" si="3"/>
        <v>LUGAR</v>
      </c>
      <c r="AR76" s="111" t="str">
        <f>IF(AR72&lt;&gt;"",IF(K84=AR72,K86,IF(K86=AR72,K84,IF(K114=AR72,K116,IF(K116=AR72,K114,IF(AC84=AR72,AC86,IF(AC86=AR72,AC84,IF(AC114=AR72,AC116,IF(AC116=AR72,AC114)))))))),"")</f>
        <v>BRUNO MARTINS GARCIA</v>
      </c>
      <c r="AS76" s="33" t="str">
        <f>IFERROR(IF(AR76="","",VLOOKUP(AR76,LISTAS!$F$5:$G$1004,2,0)),"0")</f>
        <v>COLÉGIO ENGENHEIRO SALVADOR ARENA</v>
      </c>
      <c r="AT76" s="33">
        <f t="shared" si="4"/>
        <v>135</v>
      </c>
      <c r="AU76" s="33">
        <f t="shared" si="5"/>
        <v>135</v>
      </c>
    </row>
    <row r="77" spans="2:47" ht="18" customHeight="1" thickBot="1" x14ac:dyDescent="0.3">
      <c r="B77" s="133"/>
      <c r="C77" s="188"/>
      <c r="D77" s="29"/>
      <c r="E77" s="29"/>
      <c r="F77" s="34"/>
      <c r="G77" s="170" t="str">
        <f>IFERROR(IF(G76="","",VLOOKUP(G76,LISTAS!$F$5:$G$1004,2,0)),"0")</f>
        <v>COLÉGIO ARBOS - UNIDADE SANTO ANDRÉ</v>
      </c>
      <c r="H77" s="267"/>
      <c r="I77" s="101"/>
      <c r="J77" s="101"/>
      <c r="K77" s="190"/>
      <c r="L77" s="101"/>
      <c r="M77" s="101"/>
      <c r="N77" s="29"/>
      <c r="O77" s="188"/>
      <c r="P77" s="29"/>
      <c r="Q77" s="37"/>
      <c r="R77" s="198"/>
      <c r="S77" s="37"/>
      <c r="T77" s="37"/>
      <c r="U77" s="37"/>
      <c r="V77" s="198"/>
      <c r="W77" s="37"/>
      <c r="X77" s="86"/>
      <c r="Y77" s="198"/>
      <c r="Z77" s="37"/>
      <c r="AA77" s="37"/>
      <c r="AB77" s="29"/>
      <c r="AC77" s="198"/>
      <c r="AD77" s="37"/>
      <c r="AE77" s="95"/>
      <c r="AF77" s="267"/>
      <c r="AG77" s="170" t="str">
        <f>IFERROR(IF(AG76="","",VLOOKUP(AG76,LISTAS!$F$5:$G$1004,2,0)),"0")</f>
        <v>ESCOLA PRÓ CONHECER</v>
      </c>
      <c r="AH77" s="94"/>
      <c r="AI77" s="37"/>
      <c r="AJ77" s="29"/>
      <c r="AK77" s="188"/>
      <c r="AL77" s="29"/>
      <c r="AP77" s="31">
        <f>IF(AR77&lt;&gt;"",1+COUNTIF(AP72:AP76,"1")+COUNTIF(AP72:AP76,"2")+COUNTIF(AP72:AP76,"3")+COUNTIF(AP72:AP76,"4")+COUNTIF(AP72:AP76,"5"),"")</f>
        <v>6</v>
      </c>
      <c r="AQ77" s="32" t="str">
        <f t="shared" si="3"/>
        <v>LUGAR</v>
      </c>
      <c r="AR77" s="111" t="str">
        <f>IF(AR73&lt;&gt;"",IF(K84=AR73,K86,IF(K86=AR73,K84,IF(K114=AR73,K116,IF(K116=AR73,K114,IF(AC84=AR73,AC86,IF(AC86=AR73,AC84,IF(AC114=AR73,AC116,IF(AC116=AR73,AC114)))))))),"")</f>
        <v>GUSTAVO HENRIQUE</v>
      </c>
      <c r="AS77" s="33" t="str">
        <f>IFERROR(IF(AR77="","",VLOOKUP(AR77,LISTAS!$F$5:$G$1004,2,0)),"0")</f>
        <v>EDUCANDÁRIO - S.A</v>
      </c>
      <c r="AT77" s="33">
        <f t="shared" si="4"/>
        <v>130</v>
      </c>
      <c r="AU77" s="33">
        <f t="shared" si="5"/>
        <v>130</v>
      </c>
    </row>
    <row r="78" spans="2:47" x14ac:dyDescent="0.25">
      <c r="B78" s="133"/>
      <c r="C78" s="188"/>
      <c r="D78" s="29"/>
      <c r="E78" s="35"/>
      <c r="F78" s="36"/>
      <c r="G78" s="169" t="str">
        <f>IF(D80&lt;&gt;"",IF(D82&lt;&gt;"",IF(D80=D82,"",IF(D80&gt;D82,C80,C82)),""),"")</f>
        <v/>
      </c>
      <c r="H78" s="266">
        <v>0</v>
      </c>
      <c r="I78" s="107">
        <f>IF(H78&lt;&gt;"",H78,"")</f>
        <v>0</v>
      </c>
      <c r="J78" s="101" t="str">
        <f>IF(H78&lt;&gt;"",IF(G78="","",G78),"")</f>
        <v/>
      </c>
      <c r="K78" s="190" t="str">
        <f>VLOOKUP(K76,I76:J78,2,0)</f>
        <v/>
      </c>
      <c r="L78" s="101"/>
      <c r="M78" s="101"/>
      <c r="N78" s="29"/>
      <c r="O78" s="188"/>
      <c r="P78" s="29"/>
      <c r="Q78" s="37"/>
      <c r="R78" s="198"/>
      <c r="S78" s="37"/>
      <c r="T78" s="37"/>
      <c r="U78" s="37"/>
      <c r="V78" s="198"/>
      <c r="W78" s="37"/>
      <c r="X78" s="86"/>
      <c r="Y78" s="198"/>
      <c r="Z78" s="37"/>
      <c r="AA78" s="37"/>
      <c r="AB78" s="29"/>
      <c r="AC78" s="198"/>
      <c r="AD78" s="94"/>
      <c r="AE78" s="96"/>
      <c r="AF78" s="266">
        <v>0</v>
      </c>
      <c r="AG78" s="169" t="str">
        <f>IF(AJ80&lt;&gt;"",IF(AJ82&lt;&gt;"",IF(AJ80=AJ82,"",IF(AJ80&gt;AJ82,AK80,AK82)),""),"")</f>
        <v>PEDRO SOUTO</v>
      </c>
      <c r="AH78" s="98"/>
      <c r="AI78" s="37"/>
      <c r="AJ78" s="29"/>
      <c r="AK78" s="188"/>
      <c r="AL78" s="29"/>
      <c r="AP78" s="31">
        <f>IF(AR78&lt;&gt;"",1+COUNTIF(AP72:AP77,"1")+COUNTIF(AP72:AP77,"2")+COUNTIF(AP72:AP77,"3")+COUNTIF(AP72:AP77,"4")+COUNTIF(AP72:AP77,"5")+COUNTIF(AP72:AP77,"6"),"")</f>
        <v>7</v>
      </c>
      <c r="AQ78" s="32" t="str">
        <f t="shared" si="3"/>
        <v>LUGAR</v>
      </c>
      <c r="AR78" s="111" t="str">
        <f>IF(AR74&lt;&gt;"",IF(K84=AR74,K86,IF(K86=AR74,K84,IF(K114=AR74,K116,IF(K116=AR74,K114,IF(AC84=AR74,AC86,IF(AC86=AR74,AC84,IF(AC114=AR74,AC116,IF(AC116=AR74,AC114)))))))),"")</f>
        <v>GUILHERME PETERSON SANCHEZ GONÇALVES</v>
      </c>
      <c r="AS78" s="33" t="str">
        <f>IFERROR(IF(AR78="","",VLOOKUP(AR78,LISTAS!$F$5:$G$1004,2,0)),"0")</f>
        <v>COLÉGIO ARBOS SÃO CAETANO DO SUL</v>
      </c>
      <c r="AT78" s="33">
        <f t="shared" si="4"/>
        <v>120</v>
      </c>
      <c r="AU78" s="33">
        <f t="shared" si="5"/>
        <v>120</v>
      </c>
    </row>
    <row r="79" spans="2:47" ht="45.75" thickBot="1" x14ac:dyDescent="0.3">
      <c r="B79" s="133"/>
      <c r="C79" s="188"/>
      <c r="D79" s="29"/>
      <c r="E79" s="35"/>
      <c r="F79" s="29"/>
      <c r="G79" s="170" t="str">
        <f>IFERROR(IF(G78="","",VLOOKUP(G78,LISTAS!$F$5:$G$1004,2,0)),"0")</f>
        <v/>
      </c>
      <c r="H79" s="267"/>
      <c r="I79" s="138"/>
      <c r="J79" s="101"/>
      <c r="K79" s="190"/>
      <c r="L79" s="101"/>
      <c r="M79" s="101"/>
      <c r="N79" s="29"/>
      <c r="O79" s="188"/>
      <c r="P79" s="29"/>
      <c r="Q79" s="37"/>
      <c r="R79" s="198"/>
      <c r="S79" s="37"/>
      <c r="T79" s="37"/>
      <c r="U79" s="37"/>
      <c r="V79" s="198"/>
      <c r="W79" s="37"/>
      <c r="X79" s="86"/>
      <c r="Y79" s="198"/>
      <c r="Z79" s="37"/>
      <c r="AA79" s="37"/>
      <c r="AB79" s="29"/>
      <c r="AC79" s="198"/>
      <c r="AD79" s="94"/>
      <c r="AE79" s="37"/>
      <c r="AF79" s="267"/>
      <c r="AG79" s="170" t="str">
        <f>IFERROR(IF(AG78="","",VLOOKUP(AG78,LISTAS!$F$5:$G$1004,2,0)),"0")</f>
        <v>COLÉGIO ARBOS SÃO CAETANO DO SUL</v>
      </c>
      <c r="AH79" s="37"/>
      <c r="AI79" s="89"/>
      <c r="AJ79" s="29"/>
      <c r="AK79" s="188"/>
      <c r="AL79" s="29"/>
      <c r="AP79" s="31">
        <f>IF(AR79&lt;&gt;"",1+COUNTIF(AP72:AP78,"1")+COUNTIF(AP72:AP78,"2")+COUNTIF(AP72:AP78,"3")+COUNTIF(AP72:AP78,"4")+COUNTIF(AP72:AP78,"5")+COUNTIF(AP72:AP78,"6")+COUNTIF(AP72:AP78,"7"),"")</f>
        <v>8</v>
      </c>
      <c r="AQ79" s="32" t="str">
        <f t="shared" si="3"/>
        <v>LUGAR</v>
      </c>
      <c r="AR79" s="111" t="str">
        <f>IF(AR75&lt;&gt;"",IF(K84=AR75,K86,IF(K86=AR75,K84,IF(K114=AR75,K116,IF(K116=AR75,K114,IF(AC84=AR75,AC86,IF(AC86=AR75,AC84,IF(AC114=AR75,AC116,IF(AC116=AR75,AC114)))))))),"")</f>
        <v>LUCAS VICENTE LATORRE</v>
      </c>
      <c r="AS79" s="33" t="str">
        <f>IFERROR(IF(AR79="","",VLOOKUP(AR79,LISTAS!$F$5:$G$1004,2,0)),"0")</f>
        <v>COLÉGIO ARBOS - UNIDADE SANTO ANDRÉ</v>
      </c>
      <c r="AT79" s="33">
        <f t="shared" si="4"/>
        <v>110</v>
      </c>
      <c r="AU79" s="33">
        <f t="shared" si="5"/>
        <v>110</v>
      </c>
    </row>
    <row r="80" spans="2:47" ht="18" customHeight="1" x14ac:dyDescent="0.25">
      <c r="B80" s="133">
        <v>17</v>
      </c>
      <c r="C80" s="169" t="str">
        <f>IF('17M GRP'!G5&gt;=3,'17M GRP'!J230,IF('17M GRP'!G5=2,"",IF('17M GRP'!G5=1,"","")))</f>
        <v/>
      </c>
      <c r="D80" s="266">
        <v>0</v>
      </c>
      <c r="E80" s="148">
        <f>IF(D80&lt;&gt;"",D80,"")</f>
        <v>0</v>
      </c>
      <c r="F80" s="101" t="str">
        <f>IF(D80&lt;&gt;"",IF(C80="","",C80),"")</f>
        <v/>
      </c>
      <c r="G80" s="190">
        <f>IF(E80&lt;&gt;"",IF(E82&lt;&gt;"",SMALL(E80:E82,1),""),"")</f>
        <v>0</v>
      </c>
      <c r="H80" s="101"/>
      <c r="I80" s="138"/>
      <c r="J80" s="101"/>
      <c r="K80" s="190"/>
      <c r="L80" s="101"/>
      <c r="M80" s="101"/>
      <c r="N80" s="29"/>
      <c r="O80" s="188"/>
      <c r="P80" s="29"/>
      <c r="Q80" s="37"/>
      <c r="R80" s="198"/>
      <c r="S80" s="37"/>
      <c r="T80" s="37"/>
      <c r="U80" s="37"/>
      <c r="V80" s="198"/>
      <c r="W80" s="37"/>
      <c r="X80" s="86"/>
      <c r="Y80" s="198"/>
      <c r="Z80" s="37"/>
      <c r="AA80" s="37"/>
      <c r="AB80" s="29"/>
      <c r="AC80" s="198"/>
      <c r="AD80" s="146"/>
      <c r="AE80" s="100"/>
      <c r="AF80" s="100"/>
      <c r="AG80" s="197">
        <f>IF(AJ80&lt;&gt;"",AJ80,"")</f>
        <v>1</v>
      </c>
      <c r="AH80" s="100" t="str">
        <f>IF(AJ80&lt;&gt;"",IF(AK80="","",AK80),"")</f>
        <v>PEDRO SOUTO</v>
      </c>
      <c r="AI80" s="137">
        <f>IF(AG80&lt;&gt;"",IF(AG82&lt;&gt;"",SMALL(AG80:AG82,1),""),"")</f>
        <v>0</v>
      </c>
      <c r="AJ80" s="266">
        <v>1</v>
      </c>
      <c r="AK80" s="169" t="str">
        <f>IF('17M GRP'!G5&gt;=3,'17M GRP'!J191,IF('17M GRP'!G5=2,"",IF('17M GRP'!G5=1,"","")))</f>
        <v>PEDRO SOUTO</v>
      </c>
      <c r="AL80" s="29">
        <v>14</v>
      </c>
      <c r="AP80" s="31">
        <f>IF(AR80&lt;&gt;"",1+COUNTIF(AP72:AP79,"1")+COUNTIF(AP72:AP79,"2")+COUNTIF(AP72:AP79,"3")+COUNTIF(AP72:AP79,"4")+COUNTIF(AP72:AP79,"5")+COUNTIF(AP72:AP79,"6")+COUNTIF(AP72:AP79,"7")+COUNTIF(AP72:AP79,"8"),"")</f>
        <v>9</v>
      </c>
      <c r="AQ80" s="32" t="str">
        <f t="shared" si="3"/>
        <v>LUGAR</v>
      </c>
      <c r="AR80" s="111" t="str">
        <f>IF(AR72&lt;&gt;"",IF(G76=AR72,G78,IF(G78=AR72,G76,IF(G92=AR72,G94,IF(G94=AR72,G92,IF(AG76=AR72,AG78,IF(AG78=AR72,AG76,IF(AG92=AR72,AG94,IF(AG94=AR72,AG92,IF(G106=AR72,G108,IF(G108=AR72,G106,IF(G122=AR72,G124,IF(G124=AR72,G122,IF(AG106=AR72,AG108,IF(AG108=AR72,AG106,IF(AG122=AR72,AG124,IF(AG124=AR72,AG122)))))))))))))))),"")</f>
        <v>KAUE KALYNYTSCHENKO GONÇALVES</v>
      </c>
      <c r="AS80" s="33" t="str">
        <f>IFERROR(IF(AR80="","",VLOOKUP(AR80,LISTAS!$F$5:$G$1004,2,0)),"0")</f>
        <v>COLÉGIO ENGENHEIRO SALVADOR ARENA</v>
      </c>
      <c r="AT80" s="33">
        <f t="shared" si="4"/>
        <v>105</v>
      </c>
      <c r="AU80" s="33">
        <f t="shared" si="5"/>
        <v>105</v>
      </c>
    </row>
    <row r="81" spans="2:47" ht="18" customHeight="1" thickBot="1" x14ac:dyDescent="0.3">
      <c r="B81" s="133"/>
      <c r="C81" s="170" t="str">
        <f>IFERROR(IF(C80="","",VLOOKUP(C80,LISTAS!$F$5:$G$1004,2,0)),"0")</f>
        <v/>
      </c>
      <c r="D81" s="267"/>
      <c r="E81" s="105"/>
      <c r="F81" s="101"/>
      <c r="G81" s="190"/>
      <c r="H81" s="101"/>
      <c r="I81" s="138"/>
      <c r="J81" s="29"/>
      <c r="K81" s="188"/>
      <c r="L81" s="29"/>
      <c r="M81" s="29"/>
      <c r="N81" s="29"/>
      <c r="O81" s="188"/>
      <c r="P81" s="29"/>
      <c r="Q81" s="37"/>
      <c r="R81" s="198"/>
      <c r="S81" s="37"/>
      <c r="T81" s="37"/>
      <c r="U81" s="37"/>
      <c r="V81" s="198"/>
      <c r="W81" s="37"/>
      <c r="X81" s="86"/>
      <c r="Y81" s="198"/>
      <c r="Z81" s="37"/>
      <c r="AA81" s="37"/>
      <c r="AB81" s="29"/>
      <c r="AC81" s="198"/>
      <c r="AD81" s="146"/>
      <c r="AE81" s="100"/>
      <c r="AF81" s="100"/>
      <c r="AG81" s="197"/>
      <c r="AH81" s="100"/>
      <c r="AI81" s="143"/>
      <c r="AJ81" s="267"/>
      <c r="AK81" s="170" t="str">
        <f>IFERROR(IF(AK80="","",VLOOKUP(AK80,LISTAS!$F$5:$G$1004,2,0)),"0")</f>
        <v>COLÉGIO ARBOS SÃO CAETANO DO SUL</v>
      </c>
      <c r="AL81" s="29"/>
      <c r="AP81" s="31">
        <f>IF(AR81&lt;&gt;"",1+COUNTIF(AP72:AP80,"1")+COUNTIF(AP72:AP80,"2")+COUNTIF(AP72:AP80,"3")+COUNTIF(AP72:AP80,"4")+COUNTIF(AP72:AP80,"5")+COUNTIF(AP72:AP80,"6")+COUNTIF(AP72:AP80,"7")+COUNTIF(AP72:AP80,"8")+COUNTIF(AP72:AP80,"9"),"")</f>
        <v>10</v>
      </c>
      <c r="AQ81" s="32" t="str">
        <f t="shared" si="3"/>
        <v>LUGAR</v>
      </c>
      <c r="AR81" s="111" t="str">
        <f>IF(AR73&lt;&gt;"",IF(G76=AR73,G78,IF(G78=AR73,G76,IF(G92=AR73,G94,IF(G94=AR73,G92,IF(AG76=AR73,AG78,IF(AG78=AR73,AG76,IF(AG92=AR73,AG94,IF(AG94=AR73,AG92,IF(G106=AR73,G108,IF(G108=AR73,G106,IF(G122=AR73,G124,IF(G124=AR73,G122,IF(AG106=AR73,AG108,IF(AG108=AR73,AG106,IF(AG122=AR73,AG124,IF(AG124=AR73,AG122)))))))))))))))),"")</f>
        <v>RENZO CAVASSANI</v>
      </c>
      <c r="AS81" s="33" t="str">
        <f>IFERROR(IF(AR81="","",VLOOKUP(AR81,LISTAS!$F$5:$G$1004,2,0)),"0")</f>
        <v>COLÉGIO ARBOS - UNIDADE SANTO ANDRÉ</v>
      </c>
      <c r="AT81" s="33">
        <f t="shared" si="4"/>
        <v>105</v>
      </c>
      <c r="AU81" s="33">
        <f t="shared" si="5"/>
        <v>105</v>
      </c>
    </row>
    <row r="82" spans="2:47" ht="18" customHeight="1" x14ac:dyDescent="0.25">
      <c r="B82" s="133">
        <v>16</v>
      </c>
      <c r="C82" s="169" t="str">
        <f>IF('17M GRP'!G5&gt;=3,'17M GRP'!J217,IF('17M GRP'!G5=2,"",IF('17M GRP'!G5=1,"","")))</f>
        <v/>
      </c>
      <c r="D82" s="266">
        <v>0</v>
      </c>
      <c r="E82" s="106">
        <f>IF(D82&lt;&gt;"",D82,"")</f>
        <v>0</v>
      </c>
      <c r="F82" s="101" t="str">
        <f>IF(D82&lt;&gt;"",IF(C82="","",C82),"")</f>
        <v/>
      </c>
      <c r="G82" s="190" t="str">
        <f>VLOOKUP(G80,E80:F82,2,0)</f>
        <v/>
      </c>
      <c r="H82" s="101"/>
      <c r="I82" s="138"/>
      <c r="J82" s="29"/>
      <c r="K82" s="188"/>
      <c r="L82" s="29"/>
      <c r="M82" s="29"/>
      <c r="N82" s="29"/>
      <c r="O82" s="188"/>
      <c r="P82" s="29"/>
      <c r="Q82" s="37"/>
      <c r="R82" s="198"/>
      <c r="S82" s="37"/>
      <c r="T82" s="37"/>
      <c r="U82" s="37"/>
      <c r="V82" s="198"/>
      <c r="W82" s="37"/>
      <c r="X82" s="86"/>
      <c r="Y82" s="198"/>
      <c r="Z82" s="37"/>
      <c r="AA82" s="37"/>
      <c r="AB82" s="29"/>
      <c r="AC82" s="198"/>
      <c r="AD82" s="146"/>
      <c r="AE82" s="100"/>
      <c r="AF82" s="100"/>
      <c r="AG82" s="197">
        <f>IF(AJ82&lt;&gt;"",AJ82,"")</f>
        <v>0</v>
      </c>
      <c r="AH82" s="100" t="str">
        <f>IF(AJ82&lt;&gt;"",IF(AK82="","",AK82),"")</f>
        <v/>
      </c>
      <c r="AI82" s="104" t="str">
        <f>VLOOKUP(AI80,AG80:AH82,2,0)</f>
        <v/>
      </c>
      <c r="AJ82" s="266">
        <v>0</v>
      </c>
      <c r="AK82" s="169" t="str">
        <f>IF('17M GRP'!G5&gt;=3,'17M GRP'!J256,IF('17M GRP'!G5=2,"",IF('17M GRP'!G5=1,"","")))</f>
        <v/>
      </c>
      <c r="AL82" s="29">
        <v>19</v>
      </c>
      <c r="AP82" s="31">
        <f>IF(AR82&lt;&gt;"",1+COUNTIF(AP72:AP81,"1")+COUNTIF(AP72:AP81,"2")+COUNTIF(AP72:AP81,"3")+COUNTIF(AP72:AP81,"4")+COUNTIF(AP72:AP81,"5")+COUNTIF(AP72:AP81,"6")+COUNTIF(AP72:AP81,"7")+COUNTIF(AP72:AP81,"8")+COUNTIF(AP72:AP81,"9")+COUNTIF(AP72:AP81,"10"),"")</f>
        <v>11</v>
      </c>
      <c r="AQ82" s="32" t="str">
        <f t="shared" si="3"/>
        <v>LUGAR</v>
      </c>
      <c r="AR82" s="111" t="str">
        <f>IF(AR74&lt;&gt;"",IF(G76=AR74,G78,IF(G78=AR74,G76,IF(G92=AR74,G94,IF(G94=AR74,G92,IF(AG76=AR74,AG78,IF(AG78=AR74,AG76,IF(AG92=AR74,AG94,IF(AG94=AR74,AG92,IF(G106=AR74,G108,IF(G108=AR74,G106,IF(G122=AR74,G124,IF(G124=AR74,G122,IF(AG106=AR74,AG108,IF(AG108=AR74,AG106,IF(AG122=AR74,AG124,IF(AG124=AR74,AG122)))))))))))))))),"")</f>
        <v>PEDRO SOUTO</v>
      </c>
      <c r="AS82" s="33" t="str">
        <f>IFERROR(IF(AR82="","",VLOOKUP(AR82,LISTAS!$F$5:$G$1004,2,0)),"0")</f>
        <v>COLÉGIO ARBOS SÃO CAETANO DO SUL</v>
      </c>
      <c r="AT82" s="33">
        <f t="shared" si="4"/>
        <v>105</v>
      </c>
      <c r="AU82" s="33">
        <f t="shared" si="5"/>
        <v>105</v>
      </c>
    </row>
    <row r="83" spans="2:47" ht="18" customHeight="1" thickBot="1" x14ac:dyDescent="0.3">
      <c r="B83" s="133"/>
      <c r="C83" s="170" t="str">
        <f>IFERROR(IF(C82="","",VLOOKUP(C82,LISTAS!$F$5:$G$1004,2,0)),"0")</f>
        <v/>
      </c>
      <c r="D83" s="267"/>
      <c r="E83" s="101"/>
      <c r="F83" s="101"/>
      <c r="G83" s="190"/>
      <c r="H83" s="101"/>
      <c r="I83" s="138"/>
      <c r="J83" s="29"/>
      <c r="K83" s="188"/>
      <c r="L83" s="29"/>
      <c r="M83" s="29"/>
      <c r="N83" s="29"/>
      <c r="O83" s="188"/>
      <c r="P83" s="29"/>
      <c r="Q83" s="37"/>
      <c r="R83" s="198"/>
      <c r="S83" s="37"/>
      <c r="T83" s="37"/>
      <c r="U83" s="37"/>
      <c r="V83" s="198"/>
      <c r="W83" s="37"/>
      <c r="X83" s="86"/>
      <c r="Y83" s="198"/>
      <c r="Z83" s="37"/>
      <c r="AA83" s="37"/>
      <c r="AB83" s="29"/>
      <c r="AC83" s="198"/>
      <c r="AD83" s="146"/>
      <c r="AE83" s="100"/>
      <c r="AF83" s="100"/>
      <c r="AG83" s="197"/>
      <c r="AH83" s="100"/>
      <c r="AI83" s="101"/>
      <c r="AJ83" s="267"/>
      <c r="AK83" s="170" t="str">
        <f>IFERROR(IF(AK82="","",VLOOKUP(AK82,LISTAS!$F$5:$G$1004,2,0)),"0")</f>
        <v/>
      </c>
      <c r="AL83" s="29"/>
      <c r="AP83" s="31" t="str">
        <f>IF(AR83&lt;&gt;"",1+COUNTIF(AP72:AP82,"1")+COUNTIF(AP72:AP82,"2")+COUNTIF(AP72:AP82,"3")+COUNTIF(AP72:AP82,"4")+COUNTIF(AP72:AP82,"5")+COUNTIF(AP72:AP82,"6")+COUNTIF(AP72:AP82,"7")+COUNTIF(AP72:AP82,"8")+COUNTIF(AP72:AP82,"9")+COUNTIF(AP72:AP82,"10")+COUNTIF(AP72:AP82,"11"),"")</f>
        <v/>
      </c>
      <c r="AQ83" s="32" t="str">
        <f t="shared" si="3"/>
        <v/>
      </c>
      <c r="AR83" s="111" t="str">
        <f>IF(AR75&lt;&gt;"",IF(G76=AR75,G78,IF(G78=AR75,G76,IF(G92=AR75,G94,IF(G94=AR75,G92,IF(AG76=AR75,AG78,IF(AG78=AR75,AG76,IF(AG92=AR75,AG94,IF(AG94=AR75,AG92,IF(G106=AR75,G108,IF(G108=AR75,G106,IF(G122=AR75,G124,IF(G124=AR75,G122,IF(AG106=AR75,AG108,IF(AG108=AR75,AG106,IF(AG122=AR75,AG124,IF(AG124=AR75,AG122)))))))))))))))),"")</f>
        <v/>
      </c>
      <c r="AS83" s="33" t="str">
        <f>IFERROR(IF(AR83="","",VLOOKUP(AR83,LISTAS!$F$5:$G$1004,2,0)),"0")</f>
        <v/>
      </c>
      <c r="AT83" s="33" t="str">
        <f t="shared" si="4"/>
        <v/>
      </c>
      <c r="AU83" s="33" t="str">
        <f t="shared" si="5"/>
        <v/>
      </c>
    </row>
    <row r="84" spans="2:47" ht="18" customHeight="1" x14ac:dyDescent="0.25">
      <c r="B84" s="133"/>
      <c r="C84" s="188"/>
      <c r="D84" s="29"/>
      <c r="E84" s="29"/>
      <c r="F84" s="29"/>
      <c r="G84" s="188"/>
      <c r="H84" s="29"/>
      <c r="I84" s="35"/>
      <c r="J84" s="29"/>
      <c r="K84" s="169" t="str">
        <f>IF(H76&lt;&gt;"",IF(H78&lt;&gt;"",IF(H76=H78,"",IF(H76&gt;H78,G76,G78)),""),"")</f>
        <v>ARTHUR HENRIQUE SOARES GONÇALVES</v>
      </c>
      <c r="L84" s="266">
        <v>1</v>
      </c>
      <c r="M84" s="101">
        <f>IF(L84&lt;&gt;"",L84,"")</f>
        <v>1</v>
      </c>
      <c r="N84" s="101" t="str">
        <f>IF(L84&lt;&gt;"",IF(K84="","",K84),"")</f>
        <v>ARTHUR HENRIQUE SOARES GONÇALVES</v>
      </c>
      <c r="O84" s="190">
        <f>IF(M84&lt;&gt;"",IF(M86&lt;&gt;"",SMALL(M84:N86,1),""),"")</f>
        <v>0</v>
      </c>
      <c r="P84" s="101"/>
      <c r="Q84" s="37"/>
      <c r="R84" s="272" t="s">
        <v>88</v>
      </c>
      <c r="S84" s="273"/>
      <c r="T84" s="273"/>
      <c r="U84" s="273"/>
      <c r="V84" s="273"/>
      <c r="W84" s="37"/>
      <c r="X84" s="86"/>
      <c r="Y84" s="198"/>
      <c r="Z84" s="37"/>
      <c r="AA84" s="37"/>
      <c r="AB84" s="266">
        <v>1</v>
      </c>
      <c r="AC84" s="169" t="str">
        <f>IF(AF76&lt;&gt;"",IF(AF78&lt;&gt;"",IF(AF76=AF78,"",IF(AF76&gt;AF78,AG76,AG78)),""),"")</f>
        <v>VINICIUS FOZ DE BARROS</v>
      </c>
      <c r="AD84" s="147"/>
      <c r="AE84" s="100"/>
      <c r="AF84" s="100"/>
      <c r="AG84" s="197"/>
      <c r="AH84" s="100"/>
      <c r="AI84" s="100"/>
      <c r="AJ84" s="29"/>
      <c r="AK84" s="188"/>
      <c r="AL84" s="29"/>
      <c r="AP84" s="31" t="str">
        <f>IF(AR84&lt;&gt;"",1+COUNTIF(AP72:AP83,"1")+COUNTIF(AP72:AP83,"2")+COUNTIF(AP72:AP83,"3")+COUNTIF(AP72:AP83,"4")+COUNTIF(AP72:AP83,"5")+COUNTIF(AP72:AP83,"6")+COUNTIF(AP72:AP83,"7")+COUNTIF(AP72:AP83,"8")+COUNTIF(AP72:AP83,"9")+COUNTIF(AP72:AP83,"10")+COUNTIF(AP72:AP83,"11")+COUNTIF(AP72:AP83,"12"),"")</f>
        <v/>
      </c>
      <c r="AQ84" s="32" t="str">
        <f t="shared" si="3"/>
        <v/>
      </c>
      <c r="AR84" s="111" t="str">
        <f>IF(AR76&lt;&gt;"",IF(G76=AR76,G78,IF(G78=AR76,G76,IF(G92=AR76,G94,IF(G94=AR76,G92,IF(AG76=AR76,AG78,IF(AG78=AR76,AG76,IF(AG92=AR76,AG94,IF(AG94=AR76,AG92,IF(G106=AR76,G108,IF(G108=AR76,G106,IF(G122=AR76,G124,IF(G124=AR76,G122,IF(AG106=AR76,AG108,IF(AG108=AR76,AG106,IF(AG122=AR76,AG124,IF(AG124=AR76,AG122)))))))))))))))),"")</f>
        <v/>
      </c>
      <c r="AS84" s="33" t="str">
        <f>IFERROR(IF(AR84="","",VLOOKUP(AR84,LISTAS!$F$5:$G$1004,2,0)),"0")</f>
        <v/>
      </c>
      <c r="AT84" s="33" t="str">
        <f t="shared" si="4"/>
        <v/>
      </c>
      <c r="AU84" s="33" t="str">
        <f t="shared" si="5"/>
        <v/>
      </c>
    </row>
    <row r="85" spans="2:47" ht="18" customHeight="1" thickBot="1" x14ac:dyDescent="0.3">
      <c r="B85" s="133"/>
      <c r="C85" s="188"/>
      <c r="D85" s="29"/>
      <c r="E85" s="29"/>
      <c r="F85" s="29"/>
      <c r="G85" s="188"/>
      <c r="H85" s="29"/>
      <c r="I85" s="35"/>
      <c r="J85" s="29"/>
      <c r="K85" s="170" t="str">
        <f>IFERROR(IF(K84="","",VLOOKUP(K84,LISTAS!$F$5:$G$1004,2,0)),"0")</f>
        <v>COLÉGIO ARBOS - UNIDADE SANTO ANDRÉ</v>
      </c>
      <c r="L85" s="267"/>
      <c r="M85" s="101"/>
      <c r="N85" s="101"/>
      <c r="O85" s="190"/>
      <c r="P85" s="101"/>
      <c r="Q85" s="37"/>
      <c r="R85" s="272" t="s">
        <v>34</v>
      </c>
      <c r="S85" s="273"/>
      <c r="T85" s="273"/>
      <c r="U85" s="273"/>
      <c r="V85" s="273"/>
      <c r="W85" s="37"/>
      <c r="X85" s="86"/>
      <c r="Y85" s="198"/>
      <c r="Z85" s="37"/>
      <c r="AA85" s="37"/>
      <c r="AB85" s="267"/>
      <c r="AC85" s="170" t="str">
        <f>IFERROR(IF(AC84="","",VLOOKUP(AC84,LISTAS!$F$5:$G$1004,2,0)),"0")</f>
        <v>ESCOLA PRÓ CONHECER</v>
      </c>
      <c r="AD85" s="37"/>
      <c r="AE85" s="89"/>
      <c r="AF85" s="37"/>
      <c r="AG85" s="198"/>
      <c r="AH85" s="37"/>
      <c r="AI85" s="37"/>
      <c r="AJ85" s="29"/>
      <c r="AK85" s="188"/>
      <c r="AL85" s="29"/>
      <c r="AP85" s="31" t="str">
        <f>IF(AR85&lt;&gt;"",1+COUNTIF(AP72:AP84,"1")+COUNTIF(AP72:AP84,"2")+COUNTIF(AP72:AP84,"3")+COUNTIF(AP72:AP84,"4")+COUNTIF(AP72:AP84,"5")+COUNTIF(AP72:AP84,"6")+COUNTIF(AP72:AP84,"7")+COUNTIF(AP72:AP84,"8")+COUNTIF(AP72:AP84,"9")+COUNTIF(AP72:AP84,"10")+COUNTIF(AP72:AP84,"11")+COUNTIF(AP72:AP84,"12")+COUNTIF(AP72:AP84,"13"),"")</f>
        <v/>
      </c>
      <c r="AQ85" s="32" t="str">
        <f t="shared" si="3"/>
        <v/>
      </c>
      <c r="AR85" s="111" t="str">
        <f>IF(AR77&lt;&gt;"",IF(G76=AR77,G78,IF(G78=AR77,G76,IF(G92=AR77,G94,IF(G94=AR77,G92,IF(AG76=AR77,AG78,IF(AG78=AR77,AG76,IF(AG92=AR77,AG94,IF(AG94=AR77,AG92,IF(G106=AR77,G108,IF(G108=AR77,G106,IF(G122=AR77,G124,IF(G124=AR77,G122,IF(AG106=AR77,AG108,IF(AG108=AR77,AG106,IF(AG122=AR77,AG124,IF(AG124=AR77,AG122)))))))))))))))),"")</f>
        <v/>
      </c>
      <c r="AS85" s="33" t="str">
        <f>IFERROR(IF(AR85="","",VLOOKUP(AR85,LISTAS!$F$5:$G$1004,2,0)),"0")</f>
        <v/>
      </c>
      <c r="AT85" s="33" t="str">
        <f t="shared" si="4"/>
        <v/>
      </c>
      <c r="AU85" s="33" t="str">
        <f t="shared" si="5"/>
        <v/>
      </c>
    </row>
    <row r="86" spans="2:47" ht="18" customHeight="1" x14ac:dyDescent="0.25">
      <c r="B86" s="133"/>
      <c r="C86" s="188"/>
      <c r="D86" s="29"/>
      <c r="E86" s="29"/>
      <c r="F86" s="29"/>
      <c r="G86" s="188"/>
      <c r="H86" s="29"/>
      <c r="I86" s="35"/>
      <c r="J86" s="36"/>
      <c r="K86" s="169" t="str">
        <f>IF(H92&lt;&gt;"",IF(H94&lt;&gt;"",IF(H92=H94,"",IF(H92&gt;H94,G92,G94)),""),"")</f>
        <v>LUCAS VICENTE LATORRE</v>
      </c>
      <c r="L86" s="266">
        <v>0</v>
      </c>
      <c r="M86" s="107">
        <f>IF(L86&lt;&gt;"",L86,"")</f>
        <v>0</v>
      </c>
      <c r="N86" s="101" t="str">
        <f>IF(L86&lt;&gt;"",IF(K86="","",K86),"")</f>
        <v>LUCAS VICENTE LATORRE</v>
      </c>
      <c r="O86" s="190" t="str">
        <f>VLOOKUP(O84,M84:N86,2,0)</f>
        <v>LUCAS VICENTE LATORRE</v>
      </c>
      <c r="P86" s="101"/>
      <c r="Q86" s="37"/>
      <c r="R86" s="198"/>
      <c r="S86" s="37"/>
      <c r="T86" s="37"/>
      <c r="U86" s="37"/>
      <c r="V86" s="198"/>
      <c r="W86" s="37"/>
      <c r="X86" s="86"/>
      <c r="Y86" s="198"/>
      <c r="Z86" s="94"/>
      <c r="AA86" s="96"/>
      <c r="AB86" s="266">
        <v>0</v>
      </c>
      <c r="AC86" s="169" t="str">
        <f>IF(AF92&lt;&gt;"",IF(AF94&lt;&gt;"",IF(AF92=AF94,"",IF(AF92&gt;AF94,AG92,AG94)),""),"")</f>
        <v>GUILHERME PETERSON SANCHEZ GONÇALVES</v>
      </c>
      <c r="AD86" s="37"/>
      <c r="AE86" s="89"/>
      <c r="AF86" s="37"/>
      <c r="AG86" s="198"/>
      <c r="AH86" s="37"/>
      <c r="AI86" s="37"/>
      <c r="AJ86" s="29"/>
      <c r="AK86" s="188"/>
      <c r="AL86" s="29"/>
      <c r="AP86" s="31">
        <f>IF(AR86&lt;&gt;"",1+COUNTIF(AP72:AP85,"1")+COUNTIF(AP72:AP85,"2")+COUNTIF(AP72:AP85,"3")+COUNTIF(AP72:AP85,"4")+COUNTIF(AP72:AP85,"5")+COUNTIF(AP72:AP85,"6")+COUNTIF(AP72:AP85,"7")+COUNTIF(AP72:AP85,"8")+COUNTIF(AP72:AP85,"9")+COUNTIF(AP72:AP85,"10")+COUNTIF(AP72:AP85,"11")+COUNTIF(AP72:AP85,"12")+COUNTIF(AP72:AP85,"13")+COUNTIF(AP72:AP85,"14"),"")</f>
        <v>12</v>
      </c>
      <c r="AQ86" s="32" t="str">
        <f t="shared" si="3"/>
        <v>LUGAR</v>
      </c>
      <c r="AR86" s="111" t="str">
        <f>IF(AR78&lt;&gt;"",IF(G76=AR78,G78,IF(G78=AR78,G76,IF(G92=AR78,G94,IF(G94=AR78,G92,IF(AG76=AR78,AG78,IF(AG78=AR78,AG76,IF(AG92=AR78,AG94,IF(AG94=AR78,AG92,IF(G106=AR78,G108,IF(G108=AR78,G106,IF(G122=AR78,G124,IF(G124=AR78,G122,IF(AG106=AR78,AG108,IF(AG108=AR78,AG106,IF(AG122=AR78,AG124,IF(AG124=AR78,AG122)))))))))))))))),"")</f>
        <v>LUCAS AFONSO DI RENZO</v>
      </c>
      <c r="AS86" s="33" t="str">
        <f>IFERROR(IF(AR86="","",VLOOKUP(AR86,LISTAS!$F$5:$G$1004,2,0)),"0")</f>
        <v>COLÉGIO ARBOS - UNIDADE SANTO ANDRÉ</v>
      </c>
      <c r="AT86" s="33">
        <f t="shared" si="4"/>
        <v>105</v>
      </c>
      <c r="AU86" s="33">
        <f t="shared" si="5"/>
        <v>105</v>
      </c>
    </row>
    <row r="87" spans="2:47" ht="18" customHeight="1" thickBot="1" x14ac:dyDescent="0.3">
      <c r="B87" s="133"/>
      <c r="C87" s="188"/>
      <c r="D87" s="29"/>
      <c r="E87" s="29"/>
      <c r="F87" s="29"/>
      <c r="G87" s="188"/>
      <c r="H87" s="29"/>
      <c r="I87" s="35"/>
      <c r="J87" s="29"/>
      <c r="K87" s="170" t="str">
        <f>IFERROR(IF(K86="","",VLOOKUP(K86,LISTAS!$F$5:$G$1004,2,0)),"0")</f>
        <v>COLÉGIO ARBOS - UNIDADE SANTO ANDRÉ</v>
      </c>
      <c r="L87" s="267"/>
      <c r="M87" s="138"/>
      <c r="N87" s="101"/>
      <c r="O87" s="190"/>
      <c r="P87" s="101"/>
      <c r="Q87" s="37"/>
      <c r="R87" s="198"/>
      <c r="S87" s="37"/>
      <c r="T87" s="37"/>
      <c r="U87" s="37"/>
      <c r="V87" s="198"/>
      <c r="W87" s="37"/>
      <c r="X87" s="86"/>
      <c r="Y87" s="198"/>
      <c r="Z87" s="94"/>
      <c r="AA87" s="37"/>
      <c r="AB87" s="267"/>
      <c r="AC87" s="170" t="str">
        <f>IFERROR(IF(AC86="","",VLOOKUP(AC86,LISTAS!$F$5:$G$1004,2,0)),"0")</f>
        <v>COLÉGIO ARBOS SÃO CAETANO DO SUL</v>
      </c>
      <c r="AD87" s="37"/>
      <c r="AE87" s="89"/>
      <c r="AF87" s="37"/>
      <c r="AG87" s="198"/>
      <c r="AH87" s="37"/>
      <c r="AI87" s="37"/>
      <c r="AJ87" s="29"/>
      <c r="AK87" s="188"/>
      <c r="AL87" s="29"/>
      <c r="AP87" s="31">
        <f>IF(AR87&lt;&gt;"",1+COUNTIF(AP72:AP86,"1")+COUNTIF(AP72:AP86,"2")+COUNTIF(AP72:AP86,"3")+COUNTIF(AP72:AP86,"4")+COUNTIF(AP72:AP86,"5")+COUNTIF(AP72:AP86,"6")+COUNTIF(AP72:AP86,"7")+COUNTIF(AP72:AP86,"8")+COUNTIF(AP72:AP86,"9")+COUNTIF(AP72:AP86,"10")+COUNTIF(AP72:AP86,"11")+COUNTIF(AP72:AP86,"12")+COUNTIF(AP72:AP86,"13")+COUNTIF(AP72:AP86,"14")+COUNTIF(AP72:AP86,"15"),"")</f>
        <v>13</v>
      </c>
      <c r="AQ87" s="32" t="str">
        <f t="shared" si="3"/>
        <v>LUGAR</v>
      </c>
      <c r="AR87" s="111" t="str">
        <f>IF(AR79&lt;&gt;"",IF(G76=AR79,G78,IF(G78=AR79,G76,IF(G92=AR79,G94,IF(G94=AR79,G92,IF(AG76=AR79,AG78,IF(AG78=AR79,AG76,IF(AG92=AR79,AG94,IF(AG94=AR79,AG92,IF(G106=AR79,G108,IF(G108=AR79,G106,IF(G122=AR79,G124,IF(G124=AR79,G122,IF(AG106=AR79,AG108,IF(AG108=AR79,AG106,IF(AG122=AR79,AG124,IF(AG124=AR79,AG122)))))))))))))))),"")</f>
        <v>HENRIQUE BORGES FONTÃO DE OLIVEIRA</v>
      </c>
      <c r="AS87" s="33" t="str">
        <f>IFERROR(IF(AR87="","",VLOOKUP(AR87,LISTAS!$F$5:$G$1004,2,0)),"0")</f>
        <v>COLÉGIO VÉRTICE</v>
      </c>
      <c r="AT87" s="33">
        <f t="shared" si="4"/>
        <v>105</v>
      </c>
      <c r="AU87" s="33">
        <f t="shared" si="5"/>
        <v>105</v>
      </c>
    </row>
    <row r="88" spans="2:47" ht="18" customHeight="1" x14ac:dyDescent="0.25">
      <c r="B88" s="133">
        <v>9</v>
      </c>
      <c r="C88" s="169" t="str">
        <f>IF('17M GRP'!G5&gt;=3,'17M GRP'!J126,IF('17M GRP'!G5=2,"",IF('17M GRP'!G5=1,"","")))</f>
        <v>HENRIQUE BORGES FONTÃO DE OLIVEIRA</v>
      </c>
      <c r="D88" s="266">
        <v>1</v>
      </c>
      <c r="E88" s="101">
        <f>IF(D88&lt;&gt;"",D88,"")</f>
        <v>1</v>
      </c>
      <c r="F88" s="101" t="str">
        <f>IF(D88&lt;&gt;"",IF(C88="","",C88),"")</f>
        <v>HENRIQUE BORGES FONTÃO DE OLIVEIRA</v>
      </c>
      <c r="G88" s="190">
        <f>IF(E88&lt;&gt;"",IF(E90&lt;&gt;"",SMALL(E88:E90,1),""),"")</f>
        <v>0</v>
      </c>
      <c r="H88" s="101"/>
      <c r="I88" s="138"/>
      <c r="J88" s="101"/>
      <c r="K88" s="190"/>
      <c r="L88" s="29"/>
      <c r="M88" s="138"/>
      <c r="N88" s="101"/>
      <c r="O88" s="190"/>
      <c r="P88" s="101"/>
      <c r="Q88" s="37"/>
      <c r="R88" s="198"/>
      <c r="S88" s="37"/>
      <c r="T88" s="37"/>
      <c r="U88" s="37"/>
      <c r="V88" s="198"/>
      <c r="W88" s="37"/>
      <c r="X88" s="86"/>
      <c r="Y88" s="198"/>
      <c r="Z88" s="94"/>
      <c r="AA88" s="37"/>
      <c r="AB88" s="29"/>
      <c r="AC88" s="198"/>
      <c r="AD88" s="100"/>
      <c r="AE88" s="144"/>
      <c r="AF88" s="100"/>
      <c r="AG88" s="197">
        <f>IF(AJ88&lt;&gt;"",AJ88,"")</f>
        <v>0</v>
      </c>
      <c r="AH88" s="100" t="str">
        <f>IF(AJ88&lt;&gt;"",IF(AK88="","",AK88),"")</f>
        <v/>
      </c>
      <c r="AI88" s="101">
        <f>IF(AG88&lt;&gt;"",IF(AG90&lt;&gt;"",SMALL(AG88:AG90,1),""),"")</f>
        <v>0</v>
      </c>
      <c r="AJ88" s="266">
        <v>0</v>
      </c>
      <c r="AK88" s="169" t="str">
        <f>IF('17M GRP'!G5&gt;=3,'17M GRP'!J295,IF('17M GRP'!G5=2,"",IF('17M GRP'!G5=1,"","")))</f>
        <v/>
      </c>
      <c r="AL88" s="29">
        <v>22</v>
      </c>
      <c r="AP88" s="31" t="str">
        <f>IF(AR88&lt;&gt;"",1+COUNTIF(AP72:AP87,"1")+COUNTIF(AP72:AP87,"2")+COUNTIF(AP72:AP87,"3")+COUNTIF(AP72:AP87,"4")+COUNTIF(AP72:AP87,"5")+COUNTIF(AP72:AP87,"6")+COUNTIF(AP72:AP87,"7")+COUNTIF(AP72:AP87,"8")+COUNTIF(AP72:AP87,"9")+COUNTIF(AP72:AP87,"10")+COUNTIF(AP72:AP87,"11")+COUNTIF(AP72:AP87,"12")+COUNTIF(AP72:AP87,"13")+COUNTIF(AP72:AP87,"14")+COUNTIF(AP72:AP87,"15")+COUNTIF(AP72:AP87,"16"),"")</f>
        <v/>
      </c>
      <c r="AQ88" s="32" t="str">
        <f t="shared" si="3"/>
        <v/>
      </c>
      <c r="AR88" s="111" t="str">
        <f>IF(AR72&lt;&gt;"",IF(C72=AR72,G74,IF(C74=AR72,G74,IF(C80=AR72,G82,IF(C82=AR72,G82,IF(C102=AR72,G104,IF(C104=AR72,G104,IF(C110=AR72,G112,IF(C112=AR72,G112,IF(C88=AR72,G90,IF(C90=AR72,G90,IF(C96=AR72,G98,IF(C98=AR72,G98,IF(C118=AR72,G120,IF(C120=AR72,G120,IF(C126=AR72,G128,IF(C128=AR72,G128,IF(AK72=AR72,AI74,IF(AK74=AR72,AI74,IF(AK80=AR72,AI82,IF(AK82=AR72,AI82,IF(AK102=AR72,AI104,IF(AK104=AR72,AI104,IF(AK110=AR72,AI112,IF(AK112=AR72,AI112,IF(AK88=AR72,AI90,IF(AK90=AR72,AI90,IF(AK96=AR72,AI98,IF(AK98=AR72,AI98,IF(AK118=AR72,AI120,IF(AK120=AR72,AI120,IF(AK126=AR72,AI128,IF(AK128=AR72,AI128)))))))))))))))))))))))))))))))),"")</f>
        <v/>
      </c>
      <c r="AS88" s="33" t="str">
        <f>IFERROR(IF(AR88="","",VLOOKUP(AR88,LISTAS!$F$5:$G$1004,2,0)),"0")</f>
        <v/>
      </c>
      <c r="AT88" s="33" t="str">
        <f t="shared" si="4"/>
        <v/>
      </c>
      <c r="AU88" s="33" t="str">
        <f t="shared" si="5"/>
        <v/>
      </c>
    </row>
    <row r="89" spans="2:47" ht="18" customHeight="1" thickBot="1" x14ac:dyDescent="0.3">
      <c r="B89" s="133"/>
      <c r="C89" s="170" t="str">
        <f>IFERROR(IF(C88="","",VLOOKUP(C88,LISTAS!$F$5:$G$1004,2,0)),"0")</f>
        <v>COLÉGIO VÉRTICE</v>
      </c>
      <c r="D89" s="267"/>
      <c r="E89" s="101"/>
      <c r="F89" s="101"/>
      <c r="G89" s="190"/>
      <c r="H89" s="101"/>
      <c r="I89" s="138"/>
      <c r="J89" s="101"/>
      <c r="K89" s="190"/>
      <c r="L89" s="29"/>
      <c r="M89" s="35"/>
      <c r="N89" s="29"/>
      <c r="O89" s="188"/>
      <c r="P89" s="29"/>
      <c r="Q89" s="37"/>
      <c r="R89" s="198"/>
      <c r="S89" s="37"/>
      <c r="T89" s="37"/>
      <c r="U89" s="37"/>
      <c r="V89" s="198"/>
      <c r="W89" s="37"/>
      <c r="X89" s="86"/>
      <c r="Y89" s="198"/>
      <c r="Z89" s="94"/>
      <c r="AA89" s="37"/>
      <c r="AB89" s="29"/>
      <c r="AC89" s="198"/>
      <c r="AD89" s="100"/>
      <c r="AE89" s="144"/>
      <c r="AF89" s="100"/>
      <c r="AG89" s="197"/>
      <c r="AH89" s="100"/>
      <c r="AI89" s="101"/>
      <c r="AJ89" s="267"/>
      <c r="AK89" s="170" t="str">
        <f>IFERROR(IF(AK88="","",VLOOKUP(AK88,LISTAS!$F$5:$G$1004,2,0)),"0")</f>
        <v/>
      </c>
      <c r="AL89" s="29"/>
      <c r="AP89" s="31" t="str">
        <f>IF(AR89&lt;&gt;"",1+COUNTIF(AP72:AP88,"1")+COUNTIF(AP72:AP88,"2")+COUNTIF(AP72:AP88,"3")+COUNTIF(AP72:AP88,"4")+COUNTIF(AP72:AP88,"5")+COUNTIF(AP72:AP88,"6")+COUNTIF(AP72:AP88,"7")+COUNTIF(AP72:AP88,"8")+COUNTIF(AP72:AP88,"9")+COUNTIF(AP72:AP88,"10")+COUNTIF(AP72:AP88,"11")+COUNTIF(AP72:AP88,"12")+COUNTIF(AP72:AP88,"13")+COUNTIF(AP72:AP88,"14")+COUNTIF(AP72:AP88,"15")+COUNTIF(AP72:AP88,"16")+COUNTIF(AP72:AP88,"17"),"")</f>
        <v/>
      </c>
      <c r="AQ89" s="32" t="str">
        <f t="shared" si="3"/>
        <v/>
      </c>
      <c r="AR89" s="111" t="str">
        <f>IF(AR73&lt;&gt;"",IF(C72=AR73,G74,IF(C74=AR73,G74,IF(C80=AR73,G82,IF(C82=AR73,G82,IF(C102=AR73,G104,IF(C104=AR73,G104,IF(C110=AR73,G112,IF(C112=AR73,G112,IF(C88=AR73,G90,IF(C90=AR73,G90,IF(C96=AR73,G98,IF(C98=AR73,G98,IF(C118=AR73,G120,IF(C120=AR73,G120,IF(C126=AR73,G128,IF(C128=AR73,G128,IF(AK72=AR73,AI74,IF(AK74=AR73,AI74,IF(AK80=AR73,AI82,IF(AK82=AR73,AI82,IF(AK102=AR73,AI104,IF(AK104=AR73,AI104,IF(AK110=AR73,AI112,IF(AK112=AR73,AI112,IF(AK88=AR73,AI90,IF(AK90=AR73,AI90,IF(AK96=AR73,AI98,IF(AK98=AR73,AI98,IF(AK118=AR73,AI120,IF(AK120=AR73,AI120,IF(AK126=AR73,AI128,IF(AK128=AR73,AI128)))))))))))))))))))))))))))))))),"")</f>
        <v/>
      </c>
      <c r="AS89" s="33" t="str">
        <f>IFERROR(IF(AR89="","",VLOOKUP(AR89,LISTAS!$F$5:$G$1004,2,0)),"0")</f>
        <v/>
      </c>
      <c r="AT89" s="33" t="str">
        <f t="shared" si="4"/>
        <v/>
      </c>
      <c r="AU89" s="33" t="str">
        <f t="shared" si="5"/>
        <v/>
      </c>
    </row>
    <row r="90" spans="2:47" ht="18" customHeight="1" x14ac:dyDescent="0.25">
      <c r="B90" s="133">
        <v>24</v>
      </c>
      <c r="C90" s="169" t="str">
        <f>IF('17M GRP'!G5&gt;=3,'17M GRP'!J321,IF('17M GRP'!G5=2,"",IF('17M GRP'!G5=1,"","")))</f>
        <v/>
      </c>
      <c r="D90" s="266">
        <v>0</v>
      </c>
      <c r="E90" s="107">
        <f>IF(D90&lt;&gt;"",D90,"")</f>
        <v>0</v>
      </c>
      <c r="F90" s="101" t="str">
        <f>IF(D90&lt;&gt;"",IF(C90="","",C90),"")</f>
        <v/>
      </c>
      <c r="G90" s="190" t="str">
        <f>VLOOKUP(G88,E88:F90,2,0)</f>
        <v/>
      </c>
      <c r="H90" s="101"/>
      <c r="I90" s="138"/>
      <c r="J90" s="101"/>
      <c r="K90" s="190"/>
      <c r="L90" s="29"/>
      <c r="M90" s="35"/>
      <c r="N90" s="29"/>
      <c r="O90" s="188"/>
      <c r="P90" s="29"/>
      <c r="Q90" s="37"/>
      <c r="R90" s="198"/>
      <c r="S90" s="37"/>
      <c r="T90" s="37"/>
      <c r="U90" s="37"/>
      <c r="V90" s="198"/>
      <c r="W90" s="37"/>
      <c r="X90" s="86"/>
      <c r="Y90" s="198"/>
      <c r="Z90" s="94"/>
      <c r="AA90" s="37"/>
      <c r="AB90" s="29"/>
      <c r="AC90" s="198"/>
      <c r="AD90" s="100"/>
      <c r="AE90" s="144"/>
      <c r="AF90" s="100"/>
      <c r="AG90" s="197">
        <f>IF(AJ90&lt;&gt;"",AJ90,"")</f>
        <v>1</v>
      </c>
      <c r="AH90" s="100" t="str">
        <f>IF(AJ90&lt;&gt;"",IF(AK90="","",AK90),"")</f>
        <v>GUILHERME PETERSON SANCHEZ GONÇALVES</v>
      </c>
      <c r="AI90" s="102" t="str">
        <f>VLOOKUP(AI88,AG88:AH90,2,0)</f>
        <v/>
      </c>
      <c r="AJ90" s="266">
        <v>1</v>
      </c>
      <c r="AK90" s="169" t="str">
        <f>IF('17M GRP'!G5&gt;=3,'17M GRP'!J152,IF('17M GRP'!G5=2,"",IF('17M GRP'!G5=1,"","")))</f>
        <v>GUILHERME PETERSON SANCHEZ GONÇALVES</v>
      </c>
      <c r="AL90" s="29">
        <v>11</v>
      </c>
      <c r="AP90" s="31" t="str">
        <f>IF(AR90&lt;&gt;"",1+COUNTIF(AP72:AP89,"1")+COUNTIF(AP72:AP89,"2")+COUNTIF(AP72:AP89,"3")+COUNTIF(AP72:AP89,"4")+COUNTIF(AP72:AP89,"5")+COUNTIF(AP72:AP89,"6")+COUNTIF(AP72:AP89,"7")+COUNTIF(AP72:AP89,"8")+COUNTIF(AP72:AP89,"9")+COUNTIF(AP72:AP89,"10")+COUNTIF(AP72:AP89,"11")+COUNTIF(AP72:AP89,"12")+COUNTIF(AP72:AP89,"13")+COUNTIF(AP72:AP89,"14")+COUNTIF(AP72:AP89,"15")+COUNTIF(AP72:AP89,"16")+COUNTIF(AP72:AP89,"17")+COUNTIF(AP72:AP89,"18"),"")</f>
        <v/>
      </c>
      <c r="AQ90" s="32" t="str">
        <f t="shared" si="3"/>
        <v/>
      </c>
      <c r="AR90" s="111" t="str">
        <f>IF(AR74&lt;&gt;"",IF(C72=AR74,G74,IF(C74=AR74,G74,IF(C80=AR74,G82,IF(C82=AR74,G82,IF(C102=AR74,G104,IF(C104=AR74,G104,IF(C110=AR74,G112,IF(C112=AR74,G112,IF(C88=AR74,G90,IF(C90=AR74,G90,IF(C96=AR74,G98,IF(C98=AR74,G98,IF(C118=AR74,G120,IF(C120=AR74,G120,IF(C126=AR74,G128,IF(C128=AR74,G128,IF(AK72=AR74,AI74,IF(AK74=AR74,AI74,IF(AK80=AR74,AI82,IF(AK82=AR74,AI82,IF(AK102=AR74,AI104,IF(AK104=AR74,AI104,IF(AK110=AR74,AI112,IF(AK112=AR74,AI112,IF(AK88=AR74,AI90,IF(AK90=AR74,AI90,IF(AK96=AR74,AI98,IF(AK98=AR74,AI98,IF(AK118=AR74,AI120,IF(AK120=AR74,AI120,IF(AK126=AR74,AI128,IF(AK128=AR74,AI128)))))))))))))))))))))))))))))))),"")</f>
        <v/>
      </c>
      <c r="AS90" s="33" t="str">
        <f>IFERROR(IF(AR90="","",VLOOKUP(AR90,LISTAS!$F$5:$G$1004,2,0)),"0")</f>
        <v/>
      </c>
      <c r="AT90" s="33" t="str">
        <f t="shared" si="4"/>
        <v/>
      </c>
      <c r="AU90" s="33" t="str">
        <f t="shared" si="5"/>
        <v/>
      </c>
    </row>
    <row r="91" spans="2:47" ht="18" customHeight="1" thickBot="1" x14ac:dyDescent="0.3">
      <c r="B91" s="133"/>
      <c r="C91" s="170" t="str">
        <f>IFERROR(IF(C90="","",VLOOKUP(C90,LISTAS!$F$5:$G$1004,2,0)),"0")</f>
        <v/>
      </c>
      <c r="D91" s="267"/>
      <c r="E91" s="148"/>
      <c r="F91" s="101"/>
      <c r="G91" s="190"/>
      <c r="H91" s="101"/>
      <c r="I91" s="138"/>
      <c r="J91" s="101"/>
      <c r="K91" s="190"/>
      <c r="L91" s="29"/>
      <c r="M91" s="35"/>
      <c r="N91" s="29"/>
      <c r="O91" s="188"/>
      <c r="P91" s="29"/>
      <c r="Q91" s="37"/>
      <c r="R91" s="198"/>
      <c r="S91" s="37"/>
      <c r="T91" s="37"/>
      <c r="U91" s="37"/>
      <c r="V91" s="198"/>
      <c r="W91" s="37"/>
      <c r="X91" s="86"/>
      <c r="Y91" s="198"/>
      <c r="Z91" s="94"/>
      <c r="AA91" s="37"/>
      <c r="AB91" s="29"/>
      <c r="AC91" s="198"/>
      <c r="AD91" s="100"/>
      <c r="AE91" s="144"/>
      <c r="AF91" s="100"/>
      <c r="AG91" s="197"/>
      <c r="AH91" s="100"/>
      <c r="AI91" s="142"/>
      <c r="AJ91" s="267"/>
      <c r="AK91" s="170" t="str">
        <f>IFERROR(IF(AK90="","",VLOOKUP(AK90,LISTAS!$F$5:$G$1004,2,0)),"0")</f>
        <v>COLÉGIO ARBOS SÃO CAETANO DO SUL</v>
      </c>
      <c r="AL91" s="29"/>
      <c r="AP91" s="31" t="str">
        <f>IF(AR91&lt;&gt;"",1+COUNTIF(AP72:AP90,"1")+COUNTIF(AP72:AP90,"2")+COUNTIF(AP72:AP90,"3")+COUNTIF(AP72:AP90,"4")+COUNTIF(AP72:AP90,"5")+COUNTIF(AP72:AP90,"6")+COUNTIF(AP72:AP90,"7")+COUNTIF(AP72:AP90,"8")+COUNTIF(AP72:AP90,"9")+COUNTIF(AP72:AP90,"10")+COUNTIF(AP72:AP90,"11")+COUNTIF(AP72:AP90,"12")+COUNTIF(AP72:AP90,"13")+COUNTIF(AP72:AP90,"14")+COUNTIF(AP72:AP90,"15")+COUNTIF(AP72:AP90,"16")+COUNTIF(AP72:AP90,"17")+COUNTIF(AP72:AP90,"18")+COUNTIF(AP72:AP90,"19"),"")</f>
        <v/>
      </c>
      <c r="AQ91" s="32" t="str">
        <f t="shared" si="3"/>
        <v/>
      </c>
      <c r="AR91" s="111" t="str">
        <f>IF(AR75&lt;&gt;"",IF(C72=AR75,G74,IF(C74=AR75,G74,IF(C80=AR75,G82,IF(C82=AR75,G82,IF(C102=AR75,G104,IF(C104=AR75,G104,IF(C110=AR75,G112,IF(C112=AR75,G112,IF(C88=AR75,G90,IF(C90=AR75,G90,IF(C96=AR75,G98,IF(C98=AR75,G98,IF(C118=AR75,G120,IF(C120=AR75,G120,IF(C126=AR75,G128,IF(C128=AR75,G128,IF(AK72=AR75,AI74,IF(AK74=AR75,AI74,IF(AK80=AR75,AI82,IF(AK82=AR75,AI82,IF(AK102=AR75,AI104,IF(AK104=AR75,AI104,IF(AK110=AR75,AI112,IF(AK112=AR75,AI112,IF(AK88=AR75,AI90,IF(AK90=AR75,AI90,IF(AK96=AR75,AI98,IF(AK98=AR75,AI98,IF(AK118=AR75,AI120,IF(AK120=AR75,AI120,IF(AK126=AR75,AI128,IF(AK128=AR75,AI128)))))))))))))))))))))))))))))))),"")</f>
        <v/>
      </c>
      <c r="AS91" s="33" t="str">
        <f>IFERROR(IF(AR91="","",VLOOKUP(AR91,LISTAS!$F$5:$G$1004,2,0)),"0")</f>
        <v/>
      </c>
      <c r="AT91" s="33" t="str">
        <f t="shared" si="4"/>
        <v/>
      </c>
      <c r="AU91" s="33" t="str">
        <f t="shared" si="5"/>
        <v/>
      </c>
    </row>
    <row r="92" spans="2:47" ht="18" customHeight="1" x14ac:dyDescent="0.25">
      <c r="B92" s="133"/>
      <c r="C92" s="188"/>
      <c r="D92" s="29"/>
      <c r="E92" s="29"/>
      <c r="F92" s="34"/>
      <c r="G92" s="169" t="str">
        <f>IF(D88&lt;&gt;"",IF(D90&lt;&gt;"",IF(D88=D90,"",IF(D88&gt;D90,C88,C90)),""),"")</f>
        <v>HENRIQUE BORGES FONTÃO DE OLIVEIRA</v>
      </c>
      <c r="H92" s="266">
        <v>0</v>
      </c>
      <c r="I92" s="148">
        <f>IF(H92&lt;&gt;"",H92,"")</f>
        <v>0</v>
      </c>
      <c r="J92" s="101" t="str">
        <f>IF(H92&lt;&gt;"",IF(G92="","",G92),"")</f>
        <v>HENRIQUE BORGES FONTÃO DE OLIVEIRA</v>
      </c>
      <c r="K92" s="190">
        <f>IF(I92&lt;&gt;"",IF(I94&lt;&gt;"",SMALL(I92:J94,1),""),"")</f>
        <v>0</v>
      </c>
      <c r="L92" s="101"/>
      <c r="M92" s="138"/>
      <c r="N92" s="101"/>
      <c r="O92" s="190"/>
      <c r="P92" s="29"/>
      <c r="Q92" s="37"/>
      <c r="R92" s="198"/>
      <c r="S92" s="37"/>
      <c r="T92" s="37"/>
      <c r="U92" s="37"/>
      <c r="V92" s="198"/>
      <c r="W92" s="37"/>
      <c r="X92" s="86"/>
      <c r="Y92" s="198"/>
      <c r="Z92" s="94"/>
      <c r="AA92" s="37"/>
      <c r="AB92" s="29"/>
      <c r="AC92" s="198"/>
      <c r="AD92" s="37"/>
      <c r="AE92" s="34"/>
      <c r="AF92" s="266">
        <v>1</v>
      </c>
      <c r="AG92" s="169" t="str">
        <f>IF(AJ88&lt;&gt;"",IF(AJ90&lt;&gt;"",IF(AJ88=AJ90,"",IF(AJ88&gt;AJ90,AK88,AK90)),""),"")</f>
        <v>GUILHERME PETERSON SANCHEZ GONÇALVES</v>
      </c>
      <c r="AH92" s="94"/>
      <c r="AI92" s="37"/>
      <c r="AJ92" s="29"/>
      <c r="AK92" s="188"/>
      <c r="AL92" s="29"/>
      <c r="AN92" s="23"/>
      <c r="AO92" s="23"/>
      <c r="AP92" s="31" t="str">
        <f>IF(AR92&lt;&gt;"",1+COUNTIF(AP72:AP91,"1")+COUNTIF(AP72:AP91,"2")+COUNTIF(AP72:AP91,"3")+COUNTIF(AP72:AP91,"4")+COUNTIF(AP72:AP91,"5")+COUNTIF(AP72:AP91,"6")+COUNTIF(AP72:AP91,"7")+COUNTIF(AP72:AP91,"8")+COUNTIF(AP72:AP91,"9")+COUNTIF(AP72:AP91,"10")+COUNTIF(AP72:AP91,"11")+COUNTIF(AP72:AP91,"12")+COUNTIF(AP72:AP91,"13")+COUNTIF(AP72:AP91,"14")+COUNTIF(AP72:AP91,"15")+COUNTIF(AP72:AP91,"16")+COUNTIF(AP72:AP91,"17")+COUNTIF(AP72:AP91,"18")+COUNTIF(AP72:AP91,"19")+COUNTIF(AP72:AP91,"20"),"")</f>
        <v/>
      </c>
      <c r="AQ92" s="32" t="str">
        <f t="shared" si="3"/>
        <v/>
      </c>
      <c r="AR92" s="111" t="str">
        <f>IF(AR76&lt;&gt;"",IF(C72=AR76,G74,IF(C74=AR76,G74,IF(C80=AR76,G82,IF(C82=AR76,G82,IF(C102=AR76,G104,IF(C104=AR76,G104,IF(C110=AR76,G112,IF(C112=AR76,G112,IF(C88=AR76,G90,IF(C90=AR76,G90,IF(C96=AR76,G98,IF(C98=AR76,G98,IF(C118=AR76,G120,IF(C120=AR76,G120,IF(C126=AR76,G128,IF(C128=AR76,G128,IF(AK72=AR76,AI74,IF(AK74=AR76,AI74,IF(AK80=AR76,AI82,IF(AK82=AR76,AI82,IF(AK102=AR76,AI104,IF(AK104=AR76,AI104,IF(AK110=AR76,AI112,IF(AK112=AR76,AI112,IF(AK88=AR76,AI90,IF(AK90=AR76,AI90,IF(AK96=AR76,AI98,IF(AK98=AR76,AI98,IF(AK118=AR76,AI120,IF(AK120=AR76,AI120,IF(AK126=AR76,AI128,IF(AK128=AR76,AI128)))))))))))))))))))))))))))))))),"")</f>
        <v/>
      </c>
      <c r="AS92" s="33" t="str">
        <f>IFERROR(IF(AR92="","",VLOOKUP(AR92,LISTAS!$F$5:$G$1004,2,0)),"0")</f>
        <v/>
      </c>
      <c r="AT92" s="33" t="str">
        <f t="shared" si="4"/>
        <v/>
      </c>
      <c r="AU92" s="33" t="str">
        <f t="shared" si="5"/>
        <v/>
      </c>
    </row>
    <row r="93" spans="2:47" ht="18" customHeight="1" thickBot="1" x14ac:dyDescent="0.3">
      <c r="B93" s="133"/>
      <c r="C93" s="188"/>
      <c r="D93" s="29"/>
      <c r="E93" s="29"/>
      <c r="F93" s="34"/>
      <c r="G93" s="170" t="str">
        <f>IFERROR(IF(G92="","",VLOOKUP(G92,LISTAS!$F$5:$G$1004,2,0)),"0")</f>
        <v>COLÉGIO VÉRTICE</v>
      </c>
      <c r="H93" s="267"/>
      <c r="I93" s="105"/>
      <c r="J93" s="101"/>
      <c r="K93" s="190"/>
      <c r="L93" s="101"/>
      <c r="M93" s="138"/>
      <c r="N93" s="101"/>
      <c r="O93" s="190"/>
      <c r="P93" s="29"/>
      <c r="Q93" s="37"/>
      <c r="R93" s="198"/>
      <c r="S93" s="37"/>
      <c r="T93" s="37"/>
      <c r="U93" s="37"/>
      <c r="V93" s="198"/>
      <c r="W93" s="37"/>
      <c r="X93" s="86"/>
      <c r="Y93" s="198"/>
      <c r="Z93" s="94"/>
      <c r="AA93" s="37"/>
      <c r="AB93" s="29"/>
      <c r="AC93" s="198"/>
      <c r="AD93" s="37"/>
      <c r="AE93" s="140"/>
      <c r="AF93" s="267"/>
      <c r="AG93" s="170" t="str">
        <f>IFERROR(IF(AG92="","",VLOOKUP(AG92,LISTAS!$F$5:$G$1004,2,0)),"0")</f>
        <v>COLÉGIO ARBOS SÃO CAETANO DO SUL</v>
      </c>
      <c r="AH93" s="94"/>
      <c r="AI93" s="37"/>
      <c r="AJ93" s="29"/>
      <c r="AK93" s="188"/>
      <c r="AL93" s="29"/>
      <c r="AM93" s="23"/>
      <c r="AN93" s="23"/>
      <c r="AO93" s="23"/>
      <c r="AP93" s="31" t="str">
        <f>IF(AR93&lt;&gt;"",1+COUNTIF(AP72:AP92,"1")+COUNTIF(AP72:AP92,"2")+COUNTIF(AP72:AP92,"3")+COUNTIF(AP72:AP92,"4")+COUNTIF(AP72:AP92,"5")+COUNTIF(AP72:AP92,"6")+COUNTIF(AP72:AP92,"7")+COUNTIF(AP72:AP92,"8")+COUNTIF(AP72:AP92,"9")+COUNTIF(AP72:AP92,"10")+COUNTIF(AP72:AP92,"11")+COUNTIF(AP72:AP92,"12")+COUNTIF(AP72:AP92,"13")+COUNTIF(AP72:AP92,"14")+COUNTIF(AP72:AP92,"15")+COUNTIF(AP72:AP92,"16")+COUNTIF(AP72:AP92,"17")+COUNTIF(AP72:AP92,"18")+COUNTIF(AP72:AP92,"19")+COUNTIF(AP72:AP92,"20")+COUNTIF(AP72:AP92,"21"),"")</f>
        <v/>
      </c>
      <c r="AQ93" s="32" t="str">
        <f t="shared" si="3"/>
        <v/>
      </c>
      <c r="AR93" s="111" t="str">
        <f>IF(AR77&lt;&gt;"",IF(C72=AR77,G74,IF(C74=AR77,G74,IF(C80=AR77,G82,IF(C82=AR77,G82,IF(C102=AR77,G104,IF(C104=AR77,G104,IF(C110=AR77,G112,IF(C112=AR77,G112,IF(C88=AR77,G90,IF(C90=AR77,G90,IF(C96=AR77,G98,IF(C98=AR77,G98,IF(C118=AR77,G120,IF(C120=AR77,G120,IF(C126=AR77,G128,IF(C128=AR77,G128,IF(AK72=AR77,AI74,IF(AK74=AR77,AI74,IF(AK80=AR77,AI82,IF(AK82=AR77,AI82,IF(AK102=AR77,AI104,IF(AK104=AR77,AI104,IF(AK110=AR77,AI112,IF(AK112=AR77,AI112,IF(AK88=AR77,AI90,IF(AK90=AR77,AI90,IF(AK96=AR77,AI98,IF(AK98=AR77,AI98,IF(AK118=AR77,AI120,IF(AK120=AR77,AI120,IF(AK126=AR77,AI128,IF(AK128=AR77,AI128)))))))))))))))))))))))))))))))),"")</f>
        <v/>
      </c>
      <c r="AS93" s="33" t="str">
        <f>IFERROR(IF(AR93="","",VLOOKUP(AR93,LISTAS!$F$5:$G$1004,2,0)),"0")</f>
        <v/>
      </c>
      <c r="AT93" s="33" t="str">
        <f t="shared" si="4"/>
        <v/>
      </c>
      <c r="AU93" s="33" t="str">
        <f t="shared" si="5"/>
        <v/>
      </c>
    </row>
    <row r="94" spans="2:47" ht="18" customHeight="1" x14ac:dyDescent="0.25">
      <c r="B94" s="133"/>
      <c r="C94" s="188"/>
      <c r="D94" s="29"/>
      <c r="E94" s="35"/>
      <c r="F94" s="36"/>
      <c r="G94" s="169" t="str">
        <f>IF(D96&lt;&gt;"",IF(D98&lt;&gt;"",IF(D96=D98,"",IF(D96&gt;D98,C96,C98)),""),"")</f>
        <v>LUCAS VICENTE LATORRE</v>
      </c>
      <c r="H94" s="266">
        <v>1</v>
      </c>
      <c r="I94" s="106">
        <f>IF(H94&lt;&gt;"",H94,"")</f>
        <v>1</v>
      </c>
      <c r="J94" s="101" t="str">
        <f>IF(H94&lt;&gt;"",IF(G94="","",G94),"")</f>
        <v>LUCAS VICENTE LATORRE</v>
      </c>
      <c r="K94" s="190" t="str">
        <f>VLOOKUP(K92,I92:J94,2,0)</f>
        <v>HENRIQUE BORGES FONTÃO DE OLIVEIRA</v>
      </c>
      <c r="L94" s="101"/>
      <c r="M94" s="138"/>
      <c r="N94" s="101"/>
      <c r="O94" s="190"/>
      <c r="P94" s="29"/>
      <c r="Q94" s="37"/>
      <c r="R94" s="198"/>
      <c r="S94" s="37"/>
      <c r="T94" s="37"/>
      <c r="U94" s="37"/>
      <c r="V94" s="198"/>
      <c r="W94" s="37"/>
      <c r="X94" s="86"/>
      <c r="Y94" s="198"/>
      <c r="Z94" s="94"/>
      <c r="AA94" s="37"/>
      <c r="AB94" s="29"/>
      <c r="AC94" s="198"/>
      <c r="AD94" s="37"/>
      <c r="AE94" s="91"/>
      <c r="AF94" s="266">
        <v>0</v>
      </c>
      <c r="AG94" s="169" t="str">
        <f>IF(AJ96&lt;&gt;"",IF(AJ98&lt;&gt;"",IF(AJ96=AJ98,"",IF(AJ96&gt;AJ98,AK96,AK98)),""),"")</f>
        <v>LUCAS AFONSO DI RENZO</v>
      </c>
      <c r="AH94" s="98"/>
      <c r="AI94" s="37"/>
      <c r="AJ94" s="29"/>
      <c r="AK94" s="188"/>
      <c r="AL94" s="29"/>
      <c r="AM94" s="23"/>
      <c r="AP94" s="31" t="str">
        <f>IF(AR94&lt;&gt;"",1+COUNTIF(AP72:AP93,"1")+COUNTIF(AP72:AP93,"2")+COUNTIF(AP72:AP93,"3")+COUNTIF(AP72:AP93,"4")+COUNTIF(AP72:AP93,"5")+COUNTIF(AP72:AP93,"6")+COUNTIF(AP72:AP93,"7")+COUNTIF(AP72:AP93,"8")+COUNTIF(AP72:AP93,"9")+COUNTIF(AP72:AP93,"10")+COUNTIF(AP72:AP93,"11")+COUNTIF(AP72:AP93,"12")+COUNTIF(AP72:AP93,"13")+COUNTIF(AP72:AP93,"14")+COUNTIF(AP72:AP93,"15")+COUNTIF(AP72:AP93,"16")+COUNTIF(AP72:AP93,"17")+COUNTIF(AP72:AP93,"18")+COUNTIF(AP72:AP93,"19")+COUNTIF(AP72:AP93,"20")+COUNTIF(AP72:AP93,"21")+COUNTIF(AP72:AP93,"22"),"")</f>
        <v/>
      </c>
      <c r="AQ94" s="32" t="str">
        <f t="shared" si="3"/>
        <v/>
      </c>
      <c r="AR94" s="111" t="str">
        <f>IF(AR78&lt;&gt;"",IF(C72=AR78,G74,IF(C74=AR78,G74,IF(C80=AR78,G82,IF(C82=AR78,G82,IF(C102=AR78,G104,IF(C104=AR78,G104,IF(C110=AR78,G112,IF(C112=AR78,G112,IF(C88=AR78,G90,IF(C90=AR78,G90,IF(C96=AR78,G98,IF(C98=AR78,G98,IF(C118=AR78,G120,IF(C120=AR78,G120,IF(C126=AR78,G128,IF(C128=AR78,G128,IF(AK72=AR78,AI74,IF(AK74=AR78,AI74,IF(AK80=AR78,AI82,IF(AK82=AR78,AI82,IF(AK102=AR78,AI104,IF(AK104=AR78,AI104,IF(AK110=AR78,AI112,IF(AK112=AR78,AI112,IF(AK88=AR78,AI90,IF(AK90=AR78,AI90,IF(AK96=AR78,AI98,IF(AK98=AR78,AI98,IF(AK118=AR78,AI120,IF(AK120=AR78,AI120,IF(AK126=AR78,AI128,IF(AK128=AR78,AI128)))))))))))))))))))))))))))))))),"")</f>
        <v/>
      </c>
      <c r="AS94" s="33" t="str">
        <f>IFERROR(IF(AR94="","",VLOOKUP(AR94,LISTAS!$F$5:$G$1004,2,0)),"0")</f>
        <v/>
      </c>
      <c r="AT94" s="33" t="str">
        <f t="shared" si="4"/>
        <v/>
      </c>
      <c r="AU94" s="33" t="str">
        <f t="shared" si="5"/>
        <v/>
      </c>
    </row>
    <row r="95" spans="2:47" ht="18" customHeight="1" thickBot="1" x14ac:dyDescent="0.3">
      <c r="B95" s="133"/>
      <c r="C95" s="188"/>
      <c r="D95" s="29"/>
      <c r="E95" s="35"/>
      <c r="F95" s="29"/>
      <c r="G95" s="170" t="str">
        <f>IFERROR(IF(G94="","",VLOOKUP(G94,LISTAS!$F$5:$G$1004,2,0)),"0")</f>
        <v>COLÉGIO ARBOS - UNIDADE SANTO ANDRÉ</v>
      </c>
      <c r="H95" s="267"/>
      <c r="I95" s="101"/>
      <c r="J95" s="101"/>
      <c r="K95" s="190"/>
      <c r="L95" s="101"/>
      <c r="M95" s="138"/>
      <c r="N95" s="101"/>
      <c r="O95" s="190"/>
      <c r="P95" s="29"/>
      <c r="Q95" s="37"/>
      <c r="R95" s="198"/>
      <c r="S95" s="37"/>
      <c r="T95" s="37"/>
      <c r="U95" s="37"/>
      <c r="V95" s="198"/>
      <c r="W95" s="37"/>
      <c r="X95" s="86"/>
      <c r="Y95" s="198"/>
      <c r="Z95" s="94"/>
      <c r="AA95" s="37"/>
      <c r="AB95" s="29"/>
      <c r="AC95" s="198"/>
      <c r="AD95" s="37"/>
      <c r="AE95" s="37"/>
      <c r="AF95" s="267"/>
      <c r="AG95" s="170" t="str">
        <f>IFERROR(IF(AG94="","",VLOOKUP(AG94,LISTAS!$F$5:$G$1004,2,0)),"0")</f>
        <v>COLÉGIO ARBOS - UNIDADE SANTO ANDRÉ</v>
      </c>
      <c r="AH95" s="37"/>
      <c r="AI95" s="89"/>
      <c r="AJ95" s="29"/>
      <c r="AK95" s="188"/>
      <c r="AL95" s="29"/>
      <c r="AP95" s="31" t="str">
        <f>IF(AR95&lt;&gt;"",1+COUNTIF(AP72:AP94,"1")+COUNTIF(AP72:AP94,"2")+COUNTIF(AP72:AP94,"3")+COUNTIF(AP72:AP94,"4")+COUNTIF(AP72:AP94,"5")+COUNTIF(AP72:AP94,"6")+COUNTIF(AP72:AP94,"7")+COUNTIF(AP72:AP94,"8")+COUNTIF(AP72:AP94,"9")+COUNTIF(AP72:AP94,"10")+COUNTIF(AP72:AP94,"11")+COUNTIF(AP72:AP94,"12")+COUNTIF(AP72:AP94,"13")+COUNTIF(AP72:AP94,"14")+COUNTIF(AP72:AP94,"15")+COUNTIF(AP72:AP94,"16")+COUNTIF(AP72:AP94,"17")+COUNTIF(AP72:AP94,"18")+COUNTIF(AP72:AP94,"19")+COUNTIF(AP72:AP94,"20")+COUNTIF(AP72:AP94,"21")+COUNTIF(AP72:AP94,"22")+COUNTIF(AP72:AP94,"23"),"")</f>
        <v/>
      </c>
      <c r="AQ95" s="32" t="str">
        <f t="shared" si="3"/>
        <v/>
      </c>
      <c r="AR95" s="111" t="str">
        <f>IF(AR79&lt;&gt;"",IF(C72=AR79,G74,IF(C74=AR79,G74,IF(C80=AR79,G82,IF(C82=AR79,G82,IF(C102=AR79,G104,IF(C104=AR79,G104,IF(C110=AR79,G112,IF(C112=AR79,G112,IF(C88=AR79,G90,IF(C90=AR79,G90,IF(C96=AR79,G98,IF(C98=AR79,G98,IF(C118=AR79,G120,IF(C120=AR79,G120,IF(C126=AR79,G128,IF(C128=AR79,G128,IF(AK72=AR79,AI74,IF(AK74=AR79,AI74,IF(AK80=AR79,AI82,IF(AK82=AR79,AI82,IF(AK102=AR79,AI104,IF(AK104=AR79,AI104,IF(AK110=AR79,AI112,IF(AK112=AR79,AI112,IF(AK88=AR79,AI90,IF(AK90=AR79,AI90,IF(AK96=AR79,AI98,IF(AK98=AR79,AI98,IF(AK118=AR79,AI120,IF(AK120=AR79,AI120,IF(AK126=AR79,AI128,IF(AK128=AR79,AI128)))))))))))))))))))))))))))))))),"")</f>
        <v/>
      </c>
      <c r="AS95" s="33" t="str">
        <f>IFERROR(IF(AR95="","",VLOOKUP(AR95,LISTAS!$F$5:$G$1004,2,0)),"0")</f>
        <v/>
      </c>
      <c r="AT95" s="33" t="str">
        <f t="shared" si="4"/>
        <v/>
      </c>
      <c r="AU95" s="33" t="str">
        <f t="shared" si="5"/>
        <v/>
      </c>
    </row>
    <row r="96" spans="2:47" ht="18" customHeight="1" x14ac:dyDescent="0.25">
      <c r="B96" s="133">
        <v>25</v>
      </c>
      <c r="C96" s="169" t="str">
        <f>IF('17M GRP'!G5&gt;=3,'17M GRP'!J334,IF('17M GRP'!G5=2,"",IF('17M GRP'!G5=1,"","")))</f>
        <v/>
      </c>
      <c r="D96" s="266">
        <v>0</v>
      </c>
      <c r="E96" s="148">
        <f>IF(D96&lt;&gt;"",D96,"")</f>
        <v>0</v>
      </c>
      <c r="F96" s="101" t="str">
        <f>IF(D96&lt;&gt;"",IF(C96="","",C96),"")</f>
        <v/>
      </c>
      <c r="G96" s="190">
        <f>IF(E96&lt;&gt;"",IF(E98&lt;&gt;"",SMALL(E96:E98,1),""),"")</f>
        <v>0</v>
      </c>
      <c r="H96" s="101"/>
      <c r="I96" s="101"/>
      <c r="J96" s="101"/>
      <c r="K96" s="190"/>
      <c r="L96" s="101"/>
      <c r="M96" s="138"/>
      <c r="N96" s="101"/>
      <c r="O96" s="190"/>
      <c r="P96" s="29"/>
      <c r="Q96" s="37"/>
      <c r="R96" s="198"/>
      <c r="S96" s="37"/>
      <c r="T96" s="37"/>
      <c r="U96" s="37"/>
      <c r="V96" s="198"/>
      <c r="W96" s="37"/>
      <c r="X96" s="86"/>
      <c r="Y96" s="198"/>
      <c r="Z96" s="94"/>
      <c r="AA96" s="37"/>
      <c r="AB96" s="29"/>
      <c r="AC96" s="198"/>
      <c r="AD96" s="37"/>
      <c r="AE96" s="100"/>
      <c r="AF96" s="100"/>
      <c r="AG96" s="197">
        <f>IF(AJ96&lt;&gt;"",AJ96,"")</f>
        <v>0</v>
      </c>
      <c r="AH96" s="100" t="str">
        <f>IF(AJ96&lt;&gt;"",IF(AK96="","",AK96),"")</f>
        <v/>
      </c>
      <c r="AI96" s="137">
        <f>IF(AG96&lt;&gt;"",IF(AG98&lt;&gt;"",SMALL(AG96:AG98,1),""),"")</f>
        <v>0</v>
      </c>
      <c r="AJ96" s="266">
        <v>0</v>
      </c>
      <c r="AK96" s="169" t="str">
        <f>IF('17M GRP'!G5&gt;=3,'17M GRP'!J360,IF('17M GRP'!G5=2,"",IF('17M GRP'!G5=1,"","")))</f>
        <v/>
      </c>
      <c r="AL96" s="29">
        <v>27</v>
      </c>
      <c r="AP96" s="31" t="str">
        <f>IF(AR96&lt;&gt;"",1+COUNTIF(AP72:AP95,"1")+COUNTIF(AP72:AP95,"2")+COUNTIF(AP72:AP95,"3")+COUNTIF(AP72:AP95,"4")+COUNTIF(AP72:AP95,"5")+COUNTIF(AP72:AP95,"6")+COUNTIF(AP72:AP95,"7")+COUNTIF(AP72:AP95,"8")+COUNTIF(AP72:AP95,"9")+COUNTIF(AP72:AP95,"10")+COUNTIF(AP72:AP95,"11")+COUNTIF(AP72:AP95,"12")+COUNTIF(AP72:AP95,"13")+COUNTIF(AP72:AP95,"14")+COUNTIF(AP72:AP95,"15")+COUNTIF(AP72:AP95,"16")+COUNTIF(AP72:AP95,"17")+COUNTIF(AP72:AP95,"18")+COUNTIF(AP72:AP95,"19")+COUNTIF(AP72:AP95,"20")+COUNTIF(AP72:AP95,"21")+COUNTIF(AP72:AP95,"22")+COUNTIF(AP72:AP95,"23")+COUNTIF(AP72:AP95,"24"),"")</f>
        <v/>
      </c>
      <c r="AQ96" s="32" t="str">
        <f t="shared" si="3"/>
        <v/>
      </c>
      <c r="AR96" s="111" t="str">
        <f>IF(AR80&lt;&gt;"",IF(C72=AR80,G74,IF(C74=AR80,G74,IF(C80=AR80,G82,IF(C82=AR80,G82,IF(C102=AR80,G104,IF(C104=AR80,G104,IF(C110=AR80,G112,IF(C112=AR80,G112,IF(C88=AR80,G90,IF(C90=AR80,G90,IF(C96=AR80,G98,IF(C98=AR80,G98,IF(C118=AR80,G120,IF(C120=AR80,G120,IF(C126=AR80,G128,IF(C128=AR80,G128,IF(AK72=AR80,AI74,IF(AK74=AR80,AI74,IF(AK80=AR80,AI82,IF(AK82=AR80,AI82,IF(AK102=AR80,AI104,IF(AK104=AR80,AI104,IF(AK110=AR80,AI112,IF(AK112=AR80,AI112,IF(AK88=AR80,AI90,IF(AK90=AR80,AI90,IF(AK96=AR80,AI98,IF(AK98=AR80,AI98,IF(AK118=AR80,AI120,IF(AK120=AR80,AI120,IF(AK126=AR80,AI128,IF(AK128=AR80,AI128)))))))))))))))))))))))))))))))),"")</f>
        <v/>
      </c>
      <c r="AS96" s="33" t="str">
        <f>IFERROR(IF(AR96="","",VLOOKUP(AR96,LISTAS!$F$5:$G$1004,2,0)),"0")</f>
        <v/>
      </c>
      <c r="AT96" s="33" t="str">
        <f t="shared" si="4"/>
        <v/>
      </c>
      <c r="AU96" s="33" t="str">
        <f t="shared" si="5"/>
        <v/>
      </c>
    </row>
    <row r="97" spans="2:47" ht="18" customHeight="1" thickBot="1" x14ac:dyDescent="0.3">
      <c r="B97" s="133"/>
      <c r="C97" s="170" t="str">
        <f>IFERROR(IF(C96="","",VLOOKUP(C96,LISTAS!$F$5:$G$1004,2,0)),"0")</f>
        <v/>
      </c>
      <c r="D97" s="267"/>
      <c r="E97" s="105"/>
      <c r="F97" s="101"/>
      <c r="G97" s="190"/>
      <c r="H97" s="101"/>
      <c r="I97" s="101"/>
      <c r="J97" s="101"/>
      <c r="K97" s="190"/>
      <c r="L97" s="29"/>
      <c r="M97" s="35"/>
      <c r="N97" s="29"/>
      <c r="O97" s="188"/>
      <c r="P97" s="29"/>
      <c r="Q97" s="37"/>
      <c r="R97" s="198"/>
      <c r="S97" s="37"/>
      <c r="T97" s="37"/>
      <c r="U97" s="37"/>
      <c r="V97" s="198"/>
      <c r="W97" s="37"/>
      <c r="X97" s="86"/>
      <c r="Y97" s="198"/>
      <c r="Z97" s="94"/>
      <c r="AA97" s="37"/>
      <c r="AB97" s="29"/>
      <c r="AC97" s="198"/>
      <c r="AD97" s="37"/>
      <c r="AE97" s="100"/>
      <c r="AF97" s="100"/>
      <c r="AG97" s="197"/>
      <c r="AH97" s="100"/>
      <c r="AI97" s="143"/>
      <c r="AJ97" s="267"/>
      <c r="AK97" s="170" t="str">
        <f>IFERROR(IF(AK96="","",VLOOKUP(AK96,LISTAS!$F$5:$G$1004,2,0)),"0")</f>
        <v/>
      </c>
      <c r="AL97" s="29"/>
      <c r="AP97" s="31" t="str">
        <f>IF(AR97&lt;&gt;"",1+COUNTIF(AP72:AP96,"1")+COUNTIF(AP72:AP96,"2")+COUNTIF(AP72:AP96,"3")+COUNTIF(AP72:AP96,"4")+COUNTIF(AP72:AP96,"5")+COUNTIF(AP72:AP96,"6")+COUNTIF(AP72:AP96,"7")+COUNTIF(AP72:AP96,"8")+COUNTIF(AP72:AP96,"9")+COUNTIF(AP72:AP96,"10")+COUNTIF(AP72:AP96,"11")+COUNTIF(AP72:AP96,"12")+COUNTIF(AP72:AP96,"13")+COUNTIF(AP72:AP96,"14")+COUNTIF(AP72:AP96,"15")+COUNTIF(AP72:AP96,"16")+COUNTIF(AP72:AP96,"17")+COUNTIF(AP72:AP96,"18")+COUNTIF(AP72:AP96,"19")+COUNTIF(AP72:AP96,"20")+COUNTIF(AP72:AP96,"21")+COUNTIF(AP72:AP96,"22")+COUNTIF(AP72:AP96,"23")+COUNTIF(AP72:AP96,"24")+COUNTIF(AP72:AP96,"25"),"")</f>
        <v/>
      </c>
      <c r="AQ97" s="32" t="str">
        <f t="shared" si="3"/>
        <v/>
      </c>
      <c r="AR97" s="111" t="str">
        <f>IF(AR81&lt;&gt;"",IF(C72=AR81,G74,IF(C74=AR81,G74,IF(C80=AR81,G82,IF(C82=AR81,G82,IF(C102=AR81,G104,IF(C104=AR81,G104,IF(C110=AR81,G112,IF(C112=AR81,G112,IF(C88=AR81,G90,IF(C90=AR81,G90,IF(C96=AR81,G98,IF(C98=AR81,G98,IF(C118=AR81,G120,IF(C120=AR81,G120,IF(C126=AR81,G128,IF(C128=AR81,G128,IF(AK72=AR81,AI74,IF(AK74=AR81,AI74,IF(AK80=AR81,AI82,IF(AK82=AR81,AI82,IF(AK102=AR81,AI104,IF(AK104=AR81,AI104,IF(AK110=AR81,AI112,IF(AK112=AR81,AI112,IF(AK88=AR81,AI90,IF(AK90=AR81,AI90,IF(AK96=AR81,AI98,IF(AK98=AR81,AI98,IF(AK118=AR81,AI120,IF(AK120=AR81,AI120,IF(AK126=AR81,AI128,IF(AK128=AR81,AI128)))))))))))))))))))))))))))))))),"")</f>
        <v/>
      </c>
      <c r="AS97" s="33" t="str">
        <f>IFERROR(IF(AR97="","",VLOOKUP(AR97,LISTAS!$F$5:$G$1004,2,0)),"0")</f>
        <v/>
      </c>
      <c r="AT97" s="33" t="str">
        <f t="shared" si="4"/>
        <v/>
      </c>
      <c r="AU97" s="33" t="str">
        <f t="shared" si="5"/>
        <v/>
      </c>
    </row>
    <row r="98" spans="2:47" ht="18" customHeight="1" thickBot="1" x14ac:dyDescent="0.3">
      <c r="B98" s="133">
        <v>8</v>
      </c>
      <c r="C98" s="169" t="str">
        <f>IF('17M GRP'!G5&gt;=3,'17M GRP'!J113,IF('17M GRP'!G5=2,"",IF('17M GRP'!G5=1,"","")))</f>
        <v>LUCAS VICENTE LATORRE</v>
      </c>
      <c r="D98" s="266">
        <v>1</v>
      </c>
      <c r="E98" s="106">
        <f>IF(D98&lt;&gt;"",D98,"")</f>
        <v>1</v>
      </c>
      <c r="F98" s="101" t="str">
        <f>IF(D98&lt;&gt;"",IF(C98="","",C98),"")</f>
        <v>LUCAS VICENTE LATORRE</v>
      </c>
      <c r="G98" s="190" t="str">
        <f>VLOOKUP(G96,E96:F98,2,0)</f>
        <v/>
      </c>
      <c r="H98" s="101"/>
      <c r="I98" s="101"/>
      <c r="J98" s="101"/>
      <c r="K98" s="190"/>
      <c r="L98" s="29"/>
      <c r="M98" s="35"/>
      <c r="N98" s="29"/>
      <c r="O98" s="188"/>
      <c r="P98" s="29"/>
      <c r="Q98" s="37"/>
      <c r="R98" s="268" t="s">
        <v>37</v>
      </c>
      <c r="S98" s="268"/>
      <c r="T98" s="268"/>
      <c r="U98" s="268"/>
      <c r="V98" s="268"/>
      <c r="W98" s="37"/>
      <c r="X98" s="86"/>
      <c r="Y98" s="198"/>
      <c r="Z98" s="94"/>
      <c r="AA98" s="37"/>
      <c r="AB98" s="29"/>
      <c r="AC98" s="198"/>
      <c r="AD98" s="37"/>
      <c r="AE98" s="100"/>
      <c r="AF98" s="100"/>
      <c r="AG98" s="197">
        <f>IF(AJ98&lt;&gt;"",AJ98,"")</f>
        <v>1</v>
      </c>
      <c r="AH98" s="100" t="str">
        <f>IF(AJ98&lt;&gt;"",IF(AK98="","",AK98),"")</f>
        <v>LUCAS AFONSO DI RENZO</v>
      </c>
      <c r="AI98" s="145" t="str">
        <f>VLOOKUP(AI96,AG96:AH98,2,0)</f>
        <v/>
      </c>
      <c r="AJ98" s="266">
        <v>1</v>
      </c>
      <c r="AK98" s="169" t="str">
        <f>IF('17M GRP'!G5&gt;=3,'17M GRP'!J87,IF('17M GRP'!G5=2,"",IF('17M GRP'!G5=1,"","")))</f>
        <v>LUCAS AFONSO DI RENZO</v>
      </c>
      <c r="AL98" s="29">
        <v>6</v>
      </c>
      <c r="AN98" s="23"/>
      <c r="AO98" s="23"/>
      <c r="AP98" s="31" t="str">
        <f>IF(AR98&lt;&gt;"",1+COUNTIF(AP72:AP97,"1")+COUNTIF(AP72:AP97,"2")+COUNTIF(AP72:AP97,"3")+COUNTIF(AP72:AP97,"4")+COUNTIF(AP72:AP97,"5")+COUNTIF(AP72:AP97,"6")+COUNTIF(AP72:AP97,"7")+COUNTIF(AP72:AP97,"8")+COUNTIF(AP72:AP97,"9")+COUNTIF(AP72:AP97,"10")+COUNTIF(AP72:AP97,"11")+COUNTIF(AP72:AP97,"12")+COUNTIF(AP72:AP97,"13")+COUNTIF(AP72:AP97,"14")+COUNTIF(AP72:AP97,"15")+COUNTIF(AP72:AP97,"16")+COUNTIF(AP72:AP97,"17")+COUNTIF(AP72:AP97,"18")+COUNTIF(AP72:AP97,"19")+COUNTIF(AP72:AP97,"20")+COUNTIF(AP72:AP97,"21")+COUNTIF(AP72:AP97,"22")+COUNTIF(AP72:AP97,"23")+COUNTIF(AP72:AP97,"24")+COUNTIF(AP72:AP97,"25")+COUNTIF(AP72:AP97,"26"),"")</f>
        <v/>
      </c>
      <c r="AQ98" s="32" t="str">
        <f t="shared" si="3"/>
        <v/>
      </c>
      <c r="AR98" s="111" t="str">
        <f>IF(AR82&lt;&gt;"",IF(C72=AR82,G74,IF(C74=AR82,G74,IF(C80=AR82,G82,IF(C82=AR82,G82,IF(C102=AR82,G104,IF(C104=AR82,G104,IF(C110=AR82,G112,IF(C112=AR82,G112,IF(C88=AR82,G90,IF(C90=AR82,G90,IF(C96=AR82,G98,IF(C98=AR82,G98,IF(C118=AR82,G120,IF(C120=AR82,G120,IF(C126=AR82,G128,IF(C128=AR82,G128,IF(AK72=AR82,AI74,IF(AK74=AR82,AI74,IF(AK80=AR82,AI82,IF(AK82=AR82,AI82,IF(AK102=AR82,AI104,IF(AK104=AR82,AI104,IF(AK110=AR82,AI112,IF(AK112=AR82,AI112,IF(AK88=AR82,AI90,IF(AK90=AR82,AI90,IF(AK96=AR82,AI98,IF(AK98=AR82,AI98,IF(AK118=AR82,AI120,IF(AK120=AR82,AI120,IF(AK126=AR82,AI128,IF(AK128=AR82,AI128)))))))))))))))))))))))))))))))),"")</f>
        <v/>
      </c>
      <c r="AS98" s="33" t="str">
        <f>IFERROR(IF(AR98="","",VLOOKUP(AR98,LISTAS!$F$5:$G$1004,2,0)),"0")</f>
        <v/>
      </c>
      <c r="AT98" s="33" t="str">
        <f t="shared" si="4"/>
        <v/>
      </c>
      <c r="AU98" s="33" t="str">
        <f t="shared" si="5"/>
        <v/>
      </c>
    </row>
    <row r="99" spans="2:47" ht="18" customHeight="1" thickBot="1" x14ac:dyDescent="0.3">
      <c r="B99" s="133"/>
      <c r="C99" s="170" t="str">
        <f>IFERROR(IF(C98="","",VLOOKUP(C98,LISTAS!$F$5:$G$1004,2,0)),"0")</f>
        <v>COLÉGIO ARBOS - UNIDADE SANTO ANDRÉ</v>
      </c>
      <c r="D99" s="267"/>
      <c r="E99" s="101"/>
      <c r="F99" s="101"/>
      <c r="G99" s="190"/>
      <c r="H99" s="101"/>
      <c r="I99" s="101"/>
      <c r="J99" s="101"/>
      <c r="K99" s="190"/>
      <c r="L99" s="29"/>
      <c r="M99" s="35"/>
      <c r="N99" s="29"/>
      <c r="O99" s="169" t="str">
        <f>IF(L84&lt;&gt;"",IF(L86&lt;&gt;"",IF(L84=L86,"",IF(L84&gt;L86,K84,K86)),""),"")</f>
        <v>ARTHUR HENRIQUE SOARES GONÇALVES</v>
      </c>
      <c r="P99" s="266">
        <v>0</v>
      </c>
      <c r="Q99" s="37"/>
      <c r="R99" s="189"/>
      <c r="S99" s="84"/>
      <c r="T99" s="84"/>
      <c r="U99" s="84"/>
      <c r="V99" s="189"/>
      <c r="W99" s="37"/>
      <c r="X99" s="266">
        <v>0</v>
      </c>
      <c r="Y99" s="169" t="str">
        <f>IF(AB84&lt;&gt;"",IF(AB86&lt;&gt;"",IF(AB84=AB86,"",IF(AB84&gt;AB86,AC84,AC86)),""),"")</f>
        <v>VINICIUS FOZ DE BARROS</v>
      </c>
      <c r="Z99" s="94"/>
      <c r="AA99" s="37"/>
      <c r="AB99" s="29"/>
      <c r="AC99" s="198"/>
      <c r="AD99" s="37"/>
      <c r="AE99" s="100"/>
      <c r="AF99" s="100"/>
      <c r="AG99" s="197"/>
      <c r="AH99" s="100"/>
      <c r="AI99" s="101"/>
      <c r="AJ99" s="267"/>
      <c r="AK99" s="170" t="str">
        <f>IFERROR(IF(AK98="","",VLOOKUP(AK98,LISTAS!$F$5:$G$1004,2,0)),"0")</f>
        <v>COLÉGIO ARBOS - UNIDADE SANTO ANDRÉ</v>
      </c>
      <c r="AL99" s="29"/>
      <c r="AM99" s="23"/>
      <c r="AP99" s="31" t="str">
        <f>IF(AR99&lt;&gt;"",1+COUNTIF(AP72:AP98,"1")+COUNTIF(AP72:AP98,"2")+COUNTIF(AP72:AP98,"3")+COUNTIF(AP72:AP98,"4")+COUNTIF(AP72:AP98,"5")+COUNTIF(AP72:AP98,"6")+COUNTIF(AP72:AP98,"7")+COUNTIF(AP72:AP98,"8")+COUNTIF(AP72:AP98,"9")+COUNTIF(AP72:AP98,"10")+COUNTIF(AP72:AP98,"11")+COUNTIF(AP72:AP98,"12")+COUNTIF(AP72:AP98,"13")+COUNTIF(AP72:AP98,"14")+COUNTIF(AP72:AP98,"15")+COUNTIF(AP72:AP98,"16")+COUNTIF(AP72:AP98,"17")+COUNTIF(AP72:AP98,"18")+COUNTIF(AP72:AP98,"19")+COUNTIF(AP72:AP98,"20")+COUNTIF(AP72:AP98,"21")+COUNTIF(AP72:AP98,"22")+COUNTIF(AP72:AP98,"23")+COUNTIF(AP72:AP98,"24")+COUNTIF(AP72:AP98,"25")+COUNTIF(AP72:AP98,"26")+COUNTIF(AP72:AP98,"27"),"")</f>
        <v/>
      </c>
      <c r="AQ99" s="32" t="str">
        <f t="shared" si="3"/>
        <v/>
      </c>
      <c r="AR99" s="111" t="str">
        <f>IF(AR83&lt;&gt;"",IF(C72=AR83,G74,IF(C74=AR83,G74,IF(C80=AR83,G82,IF(C82=AR83,G82,IF(C102=AR83,G104,IF(C104=AR83,G104,IF(C110=AR83,G112,IF(C112=AR83,G112,IF(C88=AR83,G90,IF(C90=AR83,G90,IF(C96=AR83,G98,IF(C98=AR83,G98,IF(C118=AR83,G120,IF(C120=AR83,G120,IF(C126=AR83,G128,IF(C128=AR83,G128,IF(AK72=AR83,AI74,IF(AK74=AR83,AI74,IF(AK80=AR83,AI82,IF(AK82=AR83,AI82,IF(AK102=AR83,AI104,IF(AK104=AR83,AI104,IF(AK110=AR83,AI112,IF(AK112=AR83,AI112,IF(AK88=AR83,AI90,IF(AK90=AR83,AI90,IF(AK96=AR83,AI98,IF(AK98=AR83,AI98,IF(AK118=AR83,AI120,IF(AK120=AR83,AI120,IF(AK126=AR83,AI128,IF(AK128=AR83,AI128)))))))))))))))))))))))))))))))),"")</f>
        <v/>
      </c>
      <c r="AS99" s="33" t="str">
        <f>IFERROR(IF(AR99="","",VLOOKUP(AR99,LISTAS!$F$5:$G$1004,2,0)),"0")</f>
        <v/>
      </c>
      <c r="AT99" s="33" t="str">
        <f t="shared" si="4"/>
        <v/>
      </c>
      <c r="AU99" s="33" t="str">
        <f t="shared" si="5"/>
        <v/>
      </c>
    </row>
    <row r="100" spans="2:47" ht="18" customHeight="1" thickBot="1" x14ac:dyDescent="0.3">
      <c r="B100" s="133"/>
      <c r="C100" s="188"/>
      <c r="D100" s="29"/>
      <c r="E100" s="101"/>
      <c r="F100" s="101"/>
      <c r="G100" s="190"/>
      <c r="H100" s="101"/>
      <c r="I100" s="101"/>
      <c r="J100" s="101"/>
      <c r="K100" s="190"/>
      <c r="L100" s="29"/>
      <c r="M100" s="35"/>
      <c r="N100" s="29"/>
      <c r="O100" s="170" t="str">
        <f>IFERROR(IF(O99="","",VLOOKUP(O99,LISTAS!$F$5:$G$1004,2,0)),"0")</f>
        <v>COLÉGIO ARBOS - UNIDADE SANTO ANDRÉ</v>
      </c>
      <c r="P100" s="267"/>
      <c r="Q100" s="37"/>
      <c r="R100" s="169" t="str">
        <f>IF(P99&lt;&gt;"",IF(P101&lt;&gt;"",IF(P99=P101,"",IF(P99&gt;P101,O99,O101)),""),"")</f>
        <v>LUCA COSTA GUERRA</v>
      </c>
      <c r="S100" s="266">
        <v>0</v>
      </c>
      <c r="T100" s="269" t="s">
        <v>38</v>
      </c>
      <c r="U100" s="266">
        <v>1</v>
      </c>
      <c r="V100" s="169" t="str">
        <f>IF(X99&lt;&gt;"",IF(X101&lt;&gt;"",IF(X99=X101,"",IF(X99&gt;X101,Y99,Y101)),""),"")</f>
        <v>LUIZ GUILHERME CHIEFFO CABRAL</v>
      </c>
      <c r="W100" s="141"/>
      <c r="X100" s="267"/>
      <c r="Y100" s="170" t="str">
        <f>IFERROR(IF(Y99="","",VLOOKUP(Y99,LISTAS!$F$5:$G$1004,2,0)),"0")</f>
        <v>ESCOLA PRÓ CONHECER</v>
      </c>
      <c r="Z100" s="141"/>
      <c r="AA100" s="37"/>
      <c r="AB100" s="29"/>
      <c r="AC100" s="198"/>
      <c r="AD100" s="37"/>
      <c r="AE100" s="100"/>
      <c r="AF100" s="100"/>
      <c r="AG100" s="197"/>
      <c r="AH100" s="100"/>
      <c r="AI100" s="100"/>
      <c r="AJ100" s="29"/>
      <c r="AK100" s="188"/>
      <c r="AL100" s="29"/>
      <c r="AP100" s="31" t="str">
        <f>IF(AR100&lt;&gt;"",1+COUNTIF(AP72:AP99,"1")+COUNTIF(AP72:AP99,"2")+COUNTIF(AP72:AP99,"3")+COUNTIF(AP72:AP99,"4")+COUNTIF(AP72:AP99,"5")+COUNTIF(AP72:AP99,"6")+COUNTIF(AP72:AP99,"7")+COUNTIF(AP72:AP99,"8")+COUNTIF(AP72:AP99,"9")+COUNTIF(AP72:AP99,"10")+COUNTIF(AP72:AP99,"11")+COUNTIF(AP72:AP99,"12")+COUNTIF(AP72:AP99,"13")+COUNTIF(AP72:AP99,"14")+COUNTIF(AP72:AP99,"15")+COUNTIF(AP72:AP99,"16")+COUNTIF(AP72:AP99,"17")+COUNTIF(AP72:AP99,"18")+COUNTIF(AP72:AP99,"19")+COUNTIF(AP72:AP99,"20")+COUNTIF(AP72:AP99,"21")+COUNTIF(AP72:AP99,"22")+COUNTIF(AP72:AP99,"23")+COUNTIF(AP72:AP99,"24")+COUNTIF(AP72:AP99,"25")+COUNTIF(AP72:AP99,"26")+COUNTIF(AP72:AP99,"27")+COUNTIF(AP72:AP99,"28"),"")</f>
        <v/>
      </c>
      <c r="AQ100" s="32" t="str">
        <f t="shared" si="3"/>
        <v/>
      </c>
      <c r="AR100" s="111" t="str">
        <f>IF(AR84&lt;&gt;"",IF(C72=AR84,G74,IF(C74=AR84,G74,IF(C80=AR84,G82,IF(C82=AR84,G82,IF(C102=AR84,G104,IF(C104=AR84,G104,IF(C110=AR84,G112,IF(C112=AR84,G112,IF(C88=AR84,G90,IF(C90=AR84,G90,IF(C96=AR84,G98,IF(C98=AR84,G98,IF(C118=AR84,G120,IF(C120=AR84,G120,IF(C126=AR84,G128,IF(C128=AR84,G128,IF(AK72=AR84,AI74,IF(AK74=AR84,AI74,IF(AK80=AR84,AI82,IF(AK82=AR84,AI82,IF(AK102=AR84,AI104,IF(AK104=AR84,AI104,IF(AK110=AR84,AI112,IF(AK112=AR84,AI112,IF(AK88=AR84,AI90,IF(AK90=AR84,AI90,IF(AK96=AR84,AI98,IF(AK98=AR84,AI98,IF(AK118=AR84,AI120,IF(AK120=AR84,AI120,IF(AK126=AR84,AI128,IF(AK128=AR84,AI128)))))))))))))))))))))))))))))))),"")</f>
        <v/>
      </c>
      <c r="AS100" s="33" t="str">
        <f>IFERROR(IF(AR100="","",VLOOKUP(AR100,LISTAS!$F$5:$G$1004,2,0)),"0")</f>
        <v/>
      </c>
      <c r="AT100" s="33" t="str">
        <f t="shared" si="4"/>
        <v/>
      </c>
      <c r="AU100" s="33" t="str">
        <f t="shared" si="5"/>
        <v/>
      </c>
    </row>
    <row r="101" spans="2:47" ht="18" customHeight="1" thickBot="1" x14ac:dyDescent="0.3">
      <c r="B101" s="133"/>
      <c r="C101" s="188"/>
      <c r="D101" s="29"/>
      <c r="E101" s="101"/>
      <c r="F101" s="101"/>
      <c r="G101" s="190"/>
      <c r="H101" s="101"/>
      <c r="I101" s="101"/>
      <c r="J101" s="101"/>
      <c r="K101" s="190"/>
      <c r="L101" s="29"/>
      <c r="M101" s="35"/>
      <c r="N101" s="36"/>
      <c r="O101" s="169" t="str">
        <f>IF(L114&lt;&gt;"",IF(L116&lt;&gt;"",IF(L114=L116,"",IF(L114&gt;L116,K114,K116)),""),"")</f>
        <v>LUCA COSTA GUERRA</v>
      </c>
      <c r="P101" s="266">
        <v>1</v>
      </c>
      <c r="Q101" s="97"/>
      <c r="R101" s="170" t="str">
        <f>IFERROR(IF(R100="","",VLOOKUP(R100,LISTAS!$F$5:$G$1004,2,0)),"0")</f>
        <v>COLÉGIO ARBOS - UNIDADE SANTO ANDRÉ</v>
      </c>
      <c r="S101" s="267"/>
      <c r="T101" s="269"/>
      <c r="U101" s="267"/>
      <c r="V101" s="170" t="str">
        <f>IFERROR(IF(V100="","",VLOOKUP(V100,LISTAS!$F$5:$G$1004,2,0)),"0")</f>
        <v>COLÉGIO SINGULAR SÃO CAETANO</v>
      </c>
      <c r="W101" s="98"/>
      <c r="X101" s="266">
        <v>1</v>
      </c>
      <c r="Y101" s="169" t="str">
        <f>IF(AB114&lt;&gt;"",IF(AB116&lt;&gt;"",IF(AB114=AB116,"",IF(AB114&gt;AB116,AC114,AC116)),""),"")</f>
        <v>LUIZ GUILHERME CHIEFFO CABRAL</v>
      </c>
      <c r="Z101" s="98"/>
      <c r="AA101" s="37"/>
      <c r="AB101" s="29"/>
      <c r="AC101" s="198"/>
      <c r="AD101" s="37"/>
      <c r="AE101" s="100"/>
      <c r="AF101" s="100"/>
      <c r="AG101" s="197"/>
      <c r="AH101" s="100"/>
      <c r="AI101" s="100"/>
      <c r="AJ101" s="29"/>
      <c r="AK101" s="188"/>
      <c r="AL101" s="29"/>
      <c r="AP101" s="31" t="str">
        <f>IF(AR101&lt;&gt;"",1+COUNTIF(AP72:AP100,"1")+COUNTIF(AP72:AP100,"2")+COUNTIF(AP72:AP100,"3")+COUNTIF(AP72:AP100,"4")+COUNTIF(AP72:AP100,"5")+COUNTIF(AP72:AP100,"6")+COUNTIF(AP72:AP100,"7")+COUNTIF(AP72:AP100,"8")+COUNTIF(AP72:AP100,"9")+COUNTIF(AP72:AP100,"10")+COUNTIF(AP72:AP100,"11")+COUNTIF(AP72:AP100,"12")+COUNTIF(AP72:AP100,"13")+COUNTIF(AP72:AP100,"14")+COUNTIF(AP72:AP100,"15")+COUNTIF(AP72:AP100,"16")+COUNTIF(AP72:AP100,"17")+COUNTIF(AP72:AP100,"18")+COUNTIF(AP72:AP100,"19")+COUNTIF(AP72:AP100,"20")+COUNTIF(AP72:AP100,"21")+COUNTIF(AP72:AP100,"22")+COUNTIF(AP72:AP100,"23")+COUNTIF(AP72:AP100,"24")+COUNTIF(AP72:AP100,"25")+COUNTIF(AP72:AP100,"26")+COUNTIF(AP72:AP100,"27")+COUNTIF(AP72:AP100,"28")+COUNTIF(AP72:AP100,"29"),"")</f>
        <v/>
      </c>
      <c r="AQ101" s="32" t="str">
        <f t="shared" si="3"/>
        <v/>
      </c>
      <c r="AR101" s="111" t="str">
        <f>IF(AR85&lt;&gt;"",IF(C72=AR85,G74,IF(C74=AR85,G74,IF(C80=AR85,G82,IF(C82=AR85,G82,IF(C102=AR85,G104,IF(C104=AR85,G104,IF(C110=AR85,G112,IF(C112=AR85,G112,IF(C88=AR85,G90,IF(C90=AR85,G90,IF(C96=AR85,G98,IF(C98=AR85,G98,IF(C118=AR85,G120,IF(C120=AR85,G120,IF(C126=AR85,G128,IF(C128=AR85,G128,IF(AK72=AR85,AI74,IF(AK74=AR85,AI74,IF(AK80=AR85,AI82,IF(AK82=AR85,AI82,IF(AK102=AR85,AI104,IF(AK104=AR85,AI104,IF(AK110=AR85,AI112,IF(AK112=AR85,AI112,IF(AK88=AR85,AI90,IF(AK90=AR85,AI90,IF(AK96=AR85,AI98,IF(AK98=AR85,AI98,IF(AK118=AR85,AI120,IF(AK120=AR85,AI120,IF(AK126=AR85,AI128,IF(AK128=AR85,AI128)))))))))))))))))))))))))))))))),"")</f>
        <v/>
      </c>
      <c r="AS101" s="33" t="str">
        <f>IFERROR(IF(AR101="","",VLOOKUP(AR101,LISTAS!$F$5:$G$1004,2,0)),"0")</f>
        <v/>
      </c>
      <c r="AT101" s="33" t="str">
        <f t="shared" si="4"/>
        <v/>
      </c>
      <c r="AU101" s="33" t="str">
        <f t="shared" si="5"/>
        <v/>
      </c>
    </row>
    <row r="102" spans="2:47" ht="18" customHeight="1" thickBot="1" x14ac:dyDescent="0.3">
      <c r="B102" s="133">
        <v>5</v>
      </c>
      <c r="C102" s="169" t="str">
        <f>IF('17M GRP'!G5&gt;=3,'17M GRP'!J74,IF('17M GRP'!G5=2,"",IF('17M GRP'!G5=1,"","")))</f>
        <v>LUCA COSTA GUERRA</v>
      </c>
      <c r="D102" s="266">
        <v>1</v>
      </c>
      <c r="E102" s="101">
        <f>IF(D102&lt;&gt;"",D102,"")</f>
        <v>1</v>
      </c>
      <c r="F102" s="101" t="str">
        <f>IF(D102&lt;&gt;"",IF(C102="","",C102),"")</f>
        <v>LUCA COSTA GUERRA</v>
      </c>
      <c r="G102" s="190">
        <f>IF(E102&lt;&gt;"",IF(E104&lt;&gt;"",SMALL(E102:E104,1),""),"")</f>
        <v>0</v>
      </c>
      <c r="H102" s="101"/>
      <c r="I102" s="101"/>
      <c r="J102" s="101"/>
      <c r="K102" s="190"/>
      <c r="L102" s="101"/>
      <c r="M102" s="138"/>
      <c r="N102" s="100"/>
      <c r="O102" s="170" t="str">
        <f>IFERROR(IF(O101="","",VLOOKUP(O101,LISTAS!$F$5:$G$1004,2,0)),"0")</f>
        <v>COLÉGIO ARBOS - UNIDADE SANTO ANDRÉ</v>
      </c>
      <c r="P102" s="267"/>
      <c r="Q102" s="85"/>
      <c r="R102" s="198"/>
      <c r="S102" s="37"/>
      <c r="T102" s="37"/>
      <c r="U102" s="37"/>
      <c r="V102" s="198"/>
      <c r="W102" s="37"/>
      <c r="X102" s="267"/>
      <c r="Y102" s="170" t="str">
        <f>IFERROR(IF(Y101="","",VLOOKUP(Y101,LISTAS!$F$5:$G$1004,2,0)),"0")</f>
        <v>COLÉGIO SINGULAR SÃO CAETANO</v>
      </c>
      <c r="Z102" s="94"/>
      <c r="AA102" s="37"/>
      <c r="AB102" s="29"/>
      <c r="AC102" s="198"/>
      <c r="AD102" s="37"/>
      <c r="AE102" s="100"/>
      <c r="AF102" s="100"/>
      <c r="AG102" s="197">
        <f>IF(AJ102&lt;&gt;"",AJ102,"")</f>
        <v>1</v>
      </c>
      <c r="AH102" s="100" t="str">
        <f>IF(AJ102&lt;&gt;"",IF(AK102="","",AK102),"")</f>
        <v>KAUE KALYNYTSCHENKO GONÇALVES</v>
      </c>
      <c r="AI102" s="101">
        <f>IF(AG102&lt;&gt;"",IF(AG104&lt;&gt;"",SMALL(AG102:AG104,1),""),"")</f>
        <v>0</v>
      </c>
      <c r="AJ102" s="266">
        <v>1</v>
      </c>
      <c r="AK102" s="169" t="str">
        <f>IF('17M GRP'!G5&gt;=3,'17M GRP'!J100,IF('17M GRP'!G5=2,"",IF('17M GRP'!G5=1,"","")))</f>
        <v>KAUE KALYNYTSCHENKO GONÇALVES</v>
      </c>
      <c r="AL102" s="29">
        <v>7</v>
      </c>
      <c r="AP102" s="31" t="str">
        <f>IF(AR102&lt;&gt;"",1+COUNTIF(AP72:AP101,"1")+COUNTIF(AP72:AP101,"2")+COUNTIF(AP72:AP101,"3")+COUNTIF(AP72:AP101,"4")+COUNTIF(AP72:AP101,"5")+COUNTIF(AP72:AP101,"6")+COUNTIF(AP72:AP101,"7")+COUNTIF(AP72:AP101,"8")+COUNTIF(AP72:AP101,"9")+COUNTIF(AP72:AP101,"10")+COUNTIF(AP72:AP101,"11")+COUNTIF(AP72:AP101,"12")+COUNTIF(AP72:AP101,"13")+COUNTIF(AP72:AP101,"14")+COUNTIF(AP72:AP101,"15")+COUNTIF(AP72:AP101,"16")+COUNTIF(AP72:AP101,"17")+COUNTIF(AP72:AP101,"18")+COUNTIF(AP72:AP101,"19")+COUNTIF(AP72:AP101,"20")+COUNTIF(AP72:AP101,"21")+COUNTIF(AP72:AP101,"22")+COUNTIF(AP72:AP101,"23")+COUNTIF(AP72:AP101,"24")+COUNTIF(AP72:AP101,"25")+COUNTIF(AP72:AP101,"26")+COUNTIF(AP72:AP101,"27")+COUNTIF(AP72:AP101,"28")+COUNTIF(AP72:AP101,"29")+COUNTIF(AP72:AP101,"30"),"")</f>
        <v/>
      </c>
      <c r="AQ102" s="32" t="str">
        <f t="shared" si="3"/>
        <v/>
      </c>
      <c r="AR102" s="111" t="str">
        <f>IF(AR86&lt;&gt;"",IF(C72=AR86,G74,IF(C74=AR86,G74,IF(C80=AR86,G82,IF(C82=AR86,G82,IF(C102=AR86,G104,IF(C104=AR86,G104,IF(C110=AR86,G112,IF(C112=AR86,G112,IF(C88=AR86,G90,IF(C90=AR86,G90,IF(C96=AR86,G98,IF(C98=AR86,G98,IF(C118=AR86,G120,IF(C120=AR86,G120,IF(C126=AR86,G128,IF(C128=AR86,G128,IF(AK72=AR86,AI74,IF(AK74=AR86,AI74,IF(AK80=AR86,AI82,IF(AK82=AR86,AI82,IF(AK102=AR86,AI104,IF(AK104=AR86,AI104,IF(AK110=AR86,AI112,IF(AK112=AR86,AI112,IF(AK88=AR86,AI90,IF(AK90=AR86,AI90,IF(AK96=AR86,AI98,IF(AK98=AR86,AI98,IF(AK118=AR86,AI120,IF(AK120=AR86,AI120,IF(AK126=AR86,AI128,IF(AK128=AR86,AI128)))))))))))))))))))))))))))))))),"")</f>
        <v/>
      </c>
      <c r="AS102" s="33" t="str">
        <f>IFERROR(IF(AR102="","",VLOOKUP(AR102,LISTAS!$F$5:$G$1004,2,0)),"0")</f>
        <v/>
      </c>
      <c r="AT102" s="33" t="str">
        <f t="shared" si="4"/>
        <v/>
      </c>
      <c r="AU102" s="33" t="str">
        <f t="shared" si="5"/>
        <v/>
      </c>
    </row>
    <row r="103" spans="2:47" ht="18" customHeight="1" thickBot="1" x14ac:dyDescent="0.3">
      <c r="B103" s="133"/>
      <c r="C103" s="170" t="str">
        <f>IFERROR(IF(C102="","",VLOOKUP(C102,LISTAS!$F$5:$G$1004,2,0)),"0")</f>
        <v>COLÉGIO ARBOS - UNIDADE SANTO ANDRÉ</v>
      </c>
      <c r="D103" s="267"/>
      <c r="E103" s="101"/>
      <c r="F103" s="101"/>
      <c r="G103" s="190"/>
      <c r="H103" s="101"/>
      <c r="I103" s="101"/>
      <c r="J103" s="101"/>
      <c r="K103" s="190"/>
      <c r="L103" s="101"/>
      <c r="M103" s="138"/>
      <c r="N103" s="100"/>
      <c r="O103" s="197"/>
      <c r="P103" s="100"/>
      <c r="Q103" s="85"/>
      <c r="R103" s="198"/>
      <c r="S103" s="37"/>
      <c r="T103" s="37"/>
      <c r="U103" s="37"/>
      <c r="V103" s="198"/>
      <c r="W103" s="37"/>
      <c r="X103" s="86"/>
      <c r="Y103" s="198"/>
      <c r="Z103" s="94"/>
      <c r="AA103" s="37"/>
      <c r="AB103" s="29"/>
      <c r="AC103" s="198"/>
      <c r="AD103" s="37"/>
      <c r="AE103" s="100"/>
      <c r="AF103" s="100"/>
      <c r="AG103" s="197"/>
      <c r="AH103" s="100"/>
      <c r="AI103" s="101"/>
      <c r="AJ103" s="267"/>
      <c r="AK103" s="170" t="str">
        <f>IFERROR(IF(AK102="","",VLOOKUP(AK102,LISTAS!$F$5:$G$1004,2,0)),"0")</f>
        <v>COLÉGIO ENGENHEIRO SALVADOR ARENA</v>
      </c>
      <c r="AL103" s="29"/>
      <c r="AP103" s="31" t="str">
        <f>IF(AR103&lt;&gt;"",1+COUNTIF(AP72:AP102,"1")+COUNTIF(AP72:AP102,"2")+COUNTIF(AP72:AP102,"3")+COUNTIF(AP72:AP102,"4")+COUNTIF(AP72:AP102,"5")+COUNTIF(AP72:AP102,"6")+COUNTIF(AP72:AP102,"7")+COUNTIF(AP72:AP102,"8")+COUNTIF(AP72:AP102,"9")+COUNTIF(AP72:AP102,"10")+COUNTIF(AP72:AP102,"11")+COUNTIF(AP72:AP102,"12")+COUNTIF(AP72:AP102,"13")+COUNTIF(AP72:AP102,"14")+COUNTIF(AP72:AP102,"15")+COUNTIF(AP72:AP102,"16")+COUNTIF(AP72:AP102,"17")+COUNTIF(AP72:AP102,"18")+COUNTIF(AP72:AP102,"19")+COUNTIF(AP72:AP102,"20")+COUNTIF(AP72:AP102,"21")+COUNTIF(AP72:AP102,"22")+COUNTIF(AP72:AP102,"23")+COUNTIF(AP72:AP102,"24")+COUNTIF(AP72:AP102,"25")+COUNTIF(AP72:AP102,"26")+COUNTIF(AP72:AP102,"27")+COUNTIF(AP72:AP102,"28")+COUNTIF(AP72:AP102,"29")+COUNTIF(AP72:AP102,"30")+COUNTIF(AP72:AP102,"31"),"")</f>
        <v/>
      </c>
      <c r="AQ103" s="32" t="str">
        <f t="shared" si="3"/>
        <v/>
      </c>
      <c r="AR103" s="111" t="str">
        <f>IF(AR87&lt;&gt;"",IF(C72=AR87,G74,IF(C74=AR87,G74,IF(C80=AR87,G82,IF(C82=AR87,G82,IF(C102=AR87,G104,IF(C104=AR87,G104,IF(C110=AR87,G112,IF(C112=AR87,G112,IF(C88=AR87,G90,IF(C90=AR87,G90,IF(C96=AR87,G98,IF(C98=AR87,G98,IF(C118=AR87,G120,IF(C120=AR87,G120,IF(C126=AR87,G128,IF(C128=AR87,G128,IF(AK72=AR87,AI74,IF(AK74=AR87,AI74,IF(AK80=AR87,AI82,IF(AK82=AR87,AI82,IF(AK102=AR87,AI104,IF(AK104=AR87,AI104,IF(AK110=AR87,AI112,IF(AK112=AR87,AI112,IF(AK88=AR87,AI90,IF(AK90=AR87,AI90,IF(AK96=AR87,AI98,IF(AK98=AR87,AI98,IF(AK118=AR87,AI120,IF(AK120=AR87,AI120,IF(AK126=AR87,AI128,IF(AK128=AR87,AI128)))))))))))))))))))))))))))))))),"")</f>
        <v/>
      </c>
      <c r="AS103" s="33" t="str">
        <f>IFERROR(IF(AR103="","",VLOOKUP(AR103,LISTAS!$F$5:$G$1004,2,0)),"0")</f>
        <v/>
      </c>
      <c r="AT103" s="33" t="str">
        <f>IF(AP103="","",IF(AP103=1,180,IF(AP103=2,170,IF(AP103=3,150,IF(AP103=4,140,IF(AP103=5,135,IF(AP103=6,130,IF(AP103=7,120,IF(AP103=8,110,IF(AP103=9,105,IF(AP103=10,105,IF(AP103=11,105,IF(AP103=12,105,IF(AP103=13,105,IF(AP103=14,105,IF(AP103=15,105,IF(AP103=16,105,IF(AP103&gt;16,"",""))))))))))))))))))</f>
        <v/>
      </c>
      <c r="AU103" s="33" t="str">
        <f>IF(AP103="","",IF($AS$5="NÃO","",IF(AP103=1,180,IF(AP103=2,170,IF(AP103=3,150,IF(AP103=4,140,IF(AP103=5,135,IF(AP103=6,130,IF(AP103=7,120,IF(AP103=8,110,IF(AP103=9,105,IF(AP103=10,105,IF(AP103=11,105,IF(AP103=12,105,IF(AP103=13,105,IF(AP103=14,105,IF(AP103=15,105,IF(AP103=16,105,IF(AP103&gt;16,"","")))))))))))))))))))</f>
        <v/>
      </c>
    </row>
    <row r="104" spans="2:47" ht="18" customHeight="1" x14ac:dyDescent="0.25">
      <c r="B104" s="133">
        <v>28</v>
      </c>
      <c r="C104" s="169" t="str">
        <f>IF('17M GRP'!G5&gt;=3,'17M GRP'!J373,IF('17M GRP'!G5=2,"",IF('17M GRP'!G5=1,"","")))</f>
        <v/>
      </c>
      <c r="D104" s="266">
        <v>0</v>
      </c>
      <c r="E104" s="107">
        <f>IF(D104&lt;&gt;"",D104,"")</f>
        <v>0</v>
      </c>
      <c r="F104" s="101" t="str">
        <f>IF(D104&lt;&gt;"",IF(C104="","",C104),"")</f>
        <v/>
      </c>
      <c r="G104" s="190" t="str">
        <f>VLOOKUP(G102,E102:F104,2,0)</f>
        <v/>
      </c>
      <c r="H104" s="101"/>
      <c r="I104" s="101"/>
      <c r="J104" s="101"/>
      <c r="K104" s="190"/>
      <c r="L104" s="101"/>
      <c r="M104" s="138"/>
      <c r="N104" s="101">
        <f>IF(P99&lt;&gt;"",P99,"")</f>
        <v>0</v>
      </c>
      <c r="O104" s="190" t="str">
        <f>IF(P99&lt;&gt;"",O99,"")</f>
        <v>ARTHUR HENRIQUE SOARES GONÇALVES</v>
      </c>
      <c r="P104" s="101">
        <f>IF(N104&lt;&gt;"",IF(N106&lt;&gt;"",LARGE(N104:N106,1),""),"")</f>
        <v>1</v>
      </c>
      <c r="Q104" s="88"/>
      <c r="R104" s="199"/>
      <c r="S104" s="37"/>
      <c r="T104" s="37"/>
      <c r="U104" s="37"/>
      <c r="V104" s="198"/>
      <c r="W104" s="37"/>
      <c r="X104" s="86"/>
      <c r="Y104" s="198"/>
      <c r="Z104" s="94"/>
      <c r="AA104" s="37"/>
      <c r="AB104" s="29"/>
      <c r="AC104" s="198"/>
      <c r="AD104" s="37"/>
      <c r="AE104" s="100"/>
      <c r="AF104" s="100"/>
      <c r="AG104" s="197">
        <f>IF(AJ104&lt;&gt;"",AJ104,"")</f>
        <v>0</v>
      </c>
      <c r="AH104" s="100" t="str">
        <f>IF(AJ104&lt;&gt;"",IF(AK104="","",AK104),"")</f>
        <v/>
      </c>
      <c r="AI104" s="102" t="str">
        <f>VLOOKUP(AI102,AG102:AH104,2,0)</f>
        <v/>
      </c>
      <c r="AJ104" s="266">
        <v>0</v>
      </c>
      <c r="AK104" s="169" t="str">
        <f>IF('17M GRP'!G5&gt;=3,'17M GRP'!J347,IF('17M GRP'!G5=2,"",IF('17M GRP'!G5=1,"","")))</f>
        <v/>
      </c>
      <c r="AL104" s="29">
        <v>26</v>
      </c>
    </row>
    <row r="105" spans="2:47" ht="18" customHeight="1" thickBot="1" x14ac:dyDescent="0.3">
      <c r="B105" s="133"/>
      <c r="C105" s="170" t="str">
        <f>IFERROR(IF(C104="","",VLOOKUP(C104,LISTAS!$F$5:$G$1004,2,0)),"0")</f>
        <v/>
      </c>
      <c r="D105" s="267"/>
      <c r="E105" s="148"/>
      <c r="F105" s="101"/>
      <c r="G105" s="190"/>
      <c r="H105" s="101"/>
      <c r="I105" s="101"/>
      <c r="J105" s="101"/>
      <c r="K105" s="190"/>
      <c r="L105" s="101"/>
      <c r="M105" s="138"/>
      <c r="N105" s="101"/>
      <c r="O105" s="190"/>
      <c r="P105" s="101"/>
      <c r="Q105" s="88"/>
      <c r="R105" s="199"/>
      <c r="S105" s="37"/>
      <c r="T105" s="37"/>
      <c r="U105" s="37"/>
      <c r="V105" s="198"/>
      <c r="W105" s="37"/>
      <c r="X105" s="86"/>
      <c r="Y105" s="198"/>
      <c r="Z105" s="94"/>
      <c r="AA105" s="37"/>
      <c r="AB105" s="29"/>
      <c r="AC105" s="198"/>
      <c r="AD105" s="37"/>
      <c r="AE105" s="100"/>
      <c r="AF105" s="100"/>
      <c r="AG105" s="197"/>
      <c r="AH105" s="100"/>
      <c r="AI105" s="142"/>
      <c r="AJ105" s="267"/>
      <c r="AK105" s="170" t="str">
        <f>IFERROR(IF(AK104="","",VLOOKUP(AK104,LISTAS!$F$5:$G$1004,2,0)),"0")</f>
        <v/>
      </c>
      <c r="AL105" s="29"/>
    </row>
    <row r="106" spans="2:47" ht="18" customHeight="1" x14ac:dyDescent="0.25">
      <c r="B106" s="133"/>
      <c r="C106" s="188"/>
      <c r="D106" s="29"/>
      <c r="E106" s="29"/>
      <c r="F106" s="34"/>
      <c r="G106" s="169" t="str">
        <f>IF(D102&lt;&gt;"",IF(D104&lt;&gt;"",IF(D102=D104,"",IF(D102&gt;D104,C102,C104)),""),"")</f>
        <v>LUCA COSTA GUERRA</v>
      </c>
      <c r="H106" s="266">
        <v>1</v>
      </c>
      <c r="I106" s="101">
        <f>IF(H106&lt;&gt;"",H106,"")</f>
        <v>1</v>
      </c>
      <c r="J106" s="101" t="str">
        <f>IF(H106&lt;&gt;"",IF(G106="","",G106),"")</f>
        <v>LUCA COSTA GUERRA</v>
      </c>
      <c r="K106" s="190">
        <f>IF(I106&lt;&gt;"",IF(I108&lt;&gt;"",SMALL(I106:J108,1),""),"")</f>
        <v>0</v>
      </c>
      <c r="L106" s="101"/>
      <c r="M106" s="138"/>
      <c r="N106" s="101">
        <f>IF(P101&lt;&gt;"",P101,"")</f>
        <v>1</v>
      </c>
      <c r="O106" s="190" t="str">
        <f>IF(P101&lt;&gt;"",O101,"")</f>
        <v>LUCA COSTA GUERRA</v>
      </c>
      <c r="P106" s="101" t="str">
        <f>VLOOKUP(P104,N104:O106,2,0)</f>
        <v>LUCA COSTA GUERRA</v>
      </c>
      <c r="Q106" s="100"/>
      <c r="R106" s="197"/>
      <c r="S106" s="37"/>
      <c r="T106" s="37"/>
      <c r="U106" s="37"/>
      <c r="V106" s="198"/>
      <c r="W106" s="37"/>
      <c r="X106" s="86"/>
      <c r="Y106" s="198"/>
      <c r="Z106" s="94"/>
      <c r="AA106" s="37"/>
      <c r="AB106" s="29"/>
      <c r="AC106" s="198"/>
      <c r="AD106" s="37"/>
      <c r="AE106" s="95"/>
      <c r="AF106" s="266">
        <v>0</v>
      </c>
      <c r="AG106" s="169" t="str">
        <f>IF(AJ102&lt;&gt;"",IF(AJ104&lt;&gt;"",IF(AJ102=AJ104,"",IF(AJ102&gt;AJ104,AK102,AK104)),""),"")</f>
        <v>KAUE KALYNYTSCHENKO GONÇALVES</v>
      </c>
      <c r="AH106" s="94"/>
      <c r="AI106" s="37"/>
      <c r="AJ106" s="29"/>
      <c r="AK106" s="188"/>
      <c r="AL106" s="29"/>
    </row>
    <row r="107" spans="2:47" ht="18" customHeight="1" thickBot="1" x14ac:dyDescent="0.3">
      <c r="B107" s="133"/>
      <c r="C107" s="188"/>
      <c r="D107" s="29"/>
      <c r="E107" s="29"/>
      <c r="F107" s="34"/>
      <c r="G107" s="170" t="str">
        <f>IFERROR(IF(G106="","",VLOOKUP(G106,LISTAS!$F$5:$G$1004,2,0)),"0")</f>
        <v>COLÉGIO ARBOS - UNIDADE SANTO ANDRÉ</v>
      </c>
      <c r="H107" s="267"/>
      <c r="I107" s="101"/>
      <c r="J107" s="101"/>
      <c r="K107" s="190"/>
      <c r="L107" s="101"/>
      <c r="M107" s="138"/>
      <c r="N107" s="101"/>
      <c r="O107" s="190"/>
      <c r="P107" s="101"/>
      <c r="Q107" s="100"/>
      <c r="R107" s="197"/>
      <c r="S107" s="37"/>
      <c r="T107" s="37"/>
      <c r="U107" s="37"/>
      <c r="V107" s="198"/>
      <c r="W107" s="37"/>
      <c r="X107" s="86"/>
      <c r="Y107" s="198"/>
      <c r="Z107" s="94"/>
      <c r="AA107" s="37"/>
      <c r="AB107" s="29"/>
      <c r="AC107" s="198"/>
      <c r="AD107" s="37"/>
      <c r="AE107" s="95"/>
      <c r="AF107" s="267"/>
      <c r="AG107" s="170" t="str">
        <f>IFERROR(IF(AG106="","",VLOOKUP(AG106,LISTAS!$F$5:$G$1004,2,0)),"0")</f>
        <v>COLÉGIO ENGENHEIRO SALVADOR ARENA</v>
      </c>
      <c r="AH107" s="94"/>
      <c r="AI107" s="37"/>
      <c r="AJ107" s="29"/>
      <c r="AK107" s="188"/>
      <c r="AL107" s="29"/>
    </row>
    <row r="108" spans="2:47" ht="18" customHeight="1" x14ac:dyDescent="0.25">
      <c r="B108" s="133"/>
      <c r="C108" s="188"/>
      <c r="D108" s="29"/>
      <c r="E108" s="35"/>
      <c r="F108" s="36"/>
      <c r="G108" s="169" t="str">
        <f>IF(D110&lt;&gt;"",IF(D112&lt;&gt;"",IF(D110=D112,"",IF(D110&gt;D112,C110,C112)),""),"")</f>
        <v>RENZO CAVASSANI</v>
      </c>
      <c r="H108" s="266">
        <v>0</v>
      </c>
      <c r="I108" s="107">
        <f>IF(H108&lt;&gt;"",H108,"")</f>
        <v>0</v>
      </c>
      <c r="J108" s="101" t="str">
        <f>IF(H108&lt;&gt;"",IF(G108="","",G108),"")</f>
        <v>RENZO CAVASSANI</v>
      </c>
      <c r="K108" s="190" t="str">
        <f>VLOOKUP(K106,I106:J108,2,0)</f>
        <v>RENZO CAVASSANI</v>
      </c>
      <c r="L108" s="101"/>
      <c r="M108" s="138"/>
      <c r="N108" s="101">
        <f>IF(P99&lt;&gt;"",P99,"")</f>
        <v>0</v>
      </c>
      <c r="O108" s="190" t="str">
        <f>IF(P99&lt;&gt;"",O99,"")</f>
        <v>ARTHUR HENRIQUE SOARES GONÇALVES</v>
      </c>
      <c r="P108" s="101">
        <f>IF(N108&lt;&gt;"",IF(N110&lt;&gt;"",SMALL(N108:N110,1),""),"")</f>
        <v>0</v>
      </c>
      <c r="Q108" s="100"/>
      <c r="R108" s="197"/>
      <c r="S108" s="37"/>
      <c r="T108" s="37"/>
      <c r="U108" s="37"/>
      <c r="V108" s="198"/>
      <c r="W108" s="37"/>
      <c r="X108" s="86"/>
      <c r="Y108" s="198"/>
      <c r="Z108" s="94"/>
      <c r="AA108" s="37"/>
      <c r="AB108" s="29"/>
      <c r="AC108" s="198"/>
      <c r="AD108" s="94"/>
      <c r="AE108" s="96"/>
      <c r="AF108" s="266">
        <v>1</v>
      </c>
      <c r="AG108" s="169" t="str">
        <f>IF(AJ110&lt;&gt;"",IF(AJ112&lt;&gt;"",IF(AJ110=AJ112,"",IF(AJ110&gt;AJ112,AK110,AK112)),""),"")</f>
        <v>LUIZ GUILHERME CHIEFFO CABRAL</v>
      </c>
      <c r="AH108" s="98"/>
      <c r="AI108" s="37"/>
      <c r="AJ108" s="29"/>
      <c r="AK108" s="188"/>
      <c r="AL108" s="29"/>
    </row>
    <row r="109" spans="2:47" ht="18" customHeight="1" thickBot="1" x14ac:dyDescent="0.3">
      <c r="B109" s="133"/>
      <c r="C109" s="188"/>
      <c r="D109" s="29"/>
      <c r="E109" s="35"/>
      <c r="F109" s="29"/>
      <c r="G109" s="170" t="str">
        <f>IFERROR(IF(G108="","",VLOOKUP(G108,LISTAS!$F$5:$G$1004,2,0)),"0")</f>
        <v>COLÉGIO ARBOS - UNIDADE SANTO ANDRÉ</v>
      </c>
      <c r="H109" s="267"/>
      <c r="I109" s="138"/>
      <c r="J109" s="101"/>
      <c r="K109" s="190"/>
      <c r="L109" s="101"/>
      <c r="M109" s="138"/>
      <c r="N109" s="101"/>
      <c r="O109" s="190"/>
      <c r="P109" s="101"/>
      <c r="Q109" s="100"/>
      <c r="R109" s="197"/>
      <c r="S109" s="37"/>
      <c r="T109" s="37"/>
      <c r="U109" s="37"/>
      <c r="V109" s="198"/>
      <c r="W109" s="37"/>
      <c r="X109" s="86"/>
      <c r="Y109" s="198"/>
      <c r="Z109" s="37"/>
      <c r="AA109" s="89"/>
      <c r="AB109" s="29"/>
      <c r="AC109" s="198"/>
      <c r="AD109" s="94"/>
      <c r="AE109" s="37"/>
      <c r="AF109" s="267"/>
      <c r="AG109" s="170" t="str">
        <f>IFERROR(IF(AG108="","",VLOOKUP(AG108,LISTAS!$F$5:$G$1004,2,0)),"0")</f>
        <v>COLÉGIO SINGULAR SÃO CAETANO</v>
      </c>
      <c r="AH109" s="37"/>
      <c r="AI109" s="89"/>
      <c r="AJ109" s="29"/>
      <c r="AK109" s="188"/>
      <c r="AL109" s="29"/>
    </row>
    <row r="110" spans="2:47" ht="18" customHeight="1" x14ac:dyDescent="0.25">
      <c r="B110" s="133">
        <v>12</v>
      </c>
      <c r="C110" s="169" t="str">
        <f>IF('17M GRP'!G5&gt;=3,'17M GRP'!J165,IF('17M GRP'!G5=2,"",IF('17M GRP'!G5=1,"","")))</f>
        <v>RENZO CAVASSANI</v>
      </c>
      <c r="D110" s="266">
        <v>1</v>
      </c>
      <c r="E110" s="148">
        <f>IF(D110&lt;&gt;"",D110,"")</f>
        <v>1</v>
      </c>
      <c r="F110" s="101" t="str">
        <f>IF(D110&lt;&gt;"",IF(C110="","",C110),"")</f>
        <v>RENZO CAVASSANI</v>
      </c>
      <c r="G110" s="190">
        <f>IF(E110&lt;&gt;"",IF(E112&lt;&gt;"",SMALL(E110:E112,1),""),"")</f>
        <v>0</v>
      </c>
      <c r="H110" s="29"/>
      <c r="I110" s="138"/>
      <c r="J110" s="101"/>
      <c r="K110" s="190"/>
      <c r="L110" s="101"/>
      <c r="M110" s="138"/>
      <c r="N110" s="101">
        <f>IF(P101&lt;&gt;"",P101,"")</f>
        <v>1</v>
      </c>
      <c r="O110" s="190" t="str">
        <f>IF(P101&lt;&gt;"",O101,"")</f>
        <v>LUCA COSTA GUERRA</v>
      </c>
      <c r="P110" s="101" t="str">
        <f>VLOOKUP(P108,N108:O110,2,0)</f>
        <v>ARTHUR HENRIQUE SOARES GONÇALVES</v>
      </c>
      <c r="Q110" s="100"/>
      <c r="R110" s="197"/>
      <c r="S110" s="37"/>
      <c r="T110" s="37"/>
      <c r="U110" s="37"/>
      <c r="V110" s="198"/>
      <c r="W110" s="37"/>
      <c r="X110" s="86"/>
      <c r="Y110" s="198"/>
      <c r="Z110" s="37"/>
      <c r="AA110" s="89"/>
      <c r="AB110" s="29"/>
      <c r="AC110" s="198"/>
      <c r="AD110" s="94"/>
      <c r="AE110" s="100"/>
      <c r="AF110" s="100"/>
      <c r="AG110" s="197">
        <f>IF(AJ110&lt;&gt;"",AJ110,"")</f>
        <v>1</v>
      </c>
      <c r="AH110" s="100" t="str">
        <f>IF(AJ110&lt;&gt;"",IF(AK110="","",AK110),"")</f>
        <v>LUIZ GUILHERME CHIEFFO CABRAL</v>
      </c>
      <c r="AI110" s="137">
        <f>IF(AG110&lt;&gt;"",IF(AG112&lt;&gt;"",SMALL(AG110:AG112,1),""),"")</f>
        <v>0</v>
      </c>
      <c r="AJ110" s="266">
        <v>1</v>
      </c>
      <c r="AK110" s="169" t="str">
        <f>IF('17M GRP'!G5&gt;=3,'17M GRP'!J139,IF('17M GRP'!G5=2,"",IF('17M GRP'!G5=1,"","")))</f>
        <v>LUIZ GUILHERME CHIEFFO CABRAL</v>
      </c>
      <c r="AL110" s="29">
        <v>10</v>
      </c>
    </row>
    <row r="111" spans="2:47" ht="18" customHeight="1" thickBot="1" x14ac:dyDescent="0.3">
      <c r="B111" s="133"/>
      <c r="C111" s="170" t="str">
        <f>IFERROR(IF(C110="","",VLOOKUP(C110,LISTAS!$F$5:$G$1004,2,0)),"0")</f>
        <v>COLÉGIO ARBOS - UNIDADE SANTO ANDRÉ</v>
      </c>
      <c r="D111" s="267"/>
      <c r="E111" s="105"/>
      <c r="F111" s="101"/>
      <c r="G111" s="190"/>
      <c r="H111" s="29"/>
      <c r="I111" s="138"/>
      <c r="J111" s="101"/>
      <c r="K111" s="190"/>
      <c r="L111" s="101"/>
      <c r="M111" s="138"/>
      <c r="N111" s="101"/>
      <c r="O111" s="190"/>
      <c r="P111" s="101"/>
      <c r="Q111" s="100"/>
      <c r="R111" s="197"/>
      <c r="S111" s="37"/>
      <c r="T111" s="37"/>
      <c r="U111" s="37"/>
      <c r="V111" s="198"/>
      <c r="W111" s="37"/>
      <c r="X111" s="86"/>
      <c r="Y111" s="198"/>
      <c r="Z111" s="37"/>
      <c r="AA111" s="89"/>
      <c r="AB111" s="29"/>
      <c r="AC111" s="198"/>
      <c r="AD111" s="94"/>
      <c r="AE111" s="100"/>
      <c r="AF111" s="100"/>
      <c r="AG111" s="197"/>
      <c r="AH111" s="100"/>
      <c r="AI111" s="143"/>
      <c r="AJ111" s="267"/>
      <c r="AK111" s="170" t="str">
        <f>IFERROR(IF(AK110="","",VLOOKUP(AK110,LISTAS!$F$5:$G$1004,2,0)),"0")</f>
        <v>COLÉGIO SINGULAR SÃO CAETANO</v>
      </c>
      <c r="AL111" s="29"/>
    </row>
    <row r="112" spans="2:47" ht="18" customHeight="1" x14ac:dyDescent="0.25">
      <c r="B112" s="133">
        <v>21</v>
      </c>
      <c r="C112" s="169" t="str">
        <f>IF('17M GRP'!G5&gt;=3,'17M GRP'!J282,IF('17M GRP'!G5=2,"",IF('17M GRP'!G5=1,"","")))</f>
        <v/>
      </c>
      <c r="D112" s="266">
        <v>0</v>
      </c>
      <c r="E112" s="106">
        <f>IF(D112&lt;&gt;"",D112,"")</f>
        <v>0</v>
      </c>
      <c r="F112" s="101" t="str">
        <f>IF(D112&lt;&gt;"",IF(C112="","",C112),"")</f>
        <v/>
      </c>
      <c r="G112" s="190" t="str">
        <f>VLOOKUP(G110,E110:F112,2,0)</f>
        <v/>
      </c>
      <c r="H112" s="29"/>
      <c r="I112" s="138"/>
      <c r="J112" s="101"/>
      <c r="K112" s="190"/>
      <c r="L112" s="101"/>
      <c r="M112" s="138"/>
      <c r="N112" s="101"/>
      <c r="O112" s="190"/>
      <c r="P112" s="101"/>
      <c r="Q112" s="100"/>
      <c r="R112" s="197"/>
      <c r="S112" s="37"/>
      <c r="T112" s="37"/>
      <c r="U112" s="37"/>
      <c r="V112" s="198"/>
      <c r="W112" s="37"/>
      <c r="X112" s="86"/>
      <c r="Y112" s="198"/>
      <c r="Z112" s="37"/>
      <c r="AA112" s="89"/>
      <c r="AB112" s="29"/>
      <c r="AC112" s="198"/>
      <c r="AD112" s="94"/>
      <c r="AE112" s="100"/>
      <c r="AF112" s="100"/>
      <c r="AG112" s="197">
        <f>IF(AJ112&lt;&gt;"",AJ112,"")</f>
        <v>0</v>
      </c>
      <c r="AH112" s="100" t="str">
        <f>IF(AJ112&lt;&gt;"",IF(AK112="","",AK112),"")</f>
        <v/>
      </c>
      <c r="AI112" s="145" t="str">
        <f>VLOOKUP(AI110,AG110:AH112,2,0)</f>
        <v/>
      </c>
      <c r="AJ112" s="266">
        <v>0</v>
      </c>
      <c r="AK112" s="169" t="str">
        <f>IF('17M GRP'!G5&gt;=3,'17M GRP'!J308,IF('17M GRP'!G5=2,"",IF('17M GRP'!G5=1,"","")))</f>
        <v/>
      </c>
      <c r="AL112" s="29">
        <v>23</v>
      </c>
    </row>
    <row r="113" spans="2:38" ht="18" customHeight="1" thickBot="1" x14ac:dyDescent="0.3">
      <c r="B113" s="133"/>
      <c r="C113" s="170" t="str">
        <f>IFERROR(IF(C112="","",VLOOKUP(C112,LISTAS!$F$5:$G$1004,2,0)),"0")</f>
        <v/>
      </c>
      <c r="D113" s="267"/>
      <c r="E113" s="101"/>
      <c r="F113" s="101"/>
      <c r="G113" s="190"/>
      <c r="H113" s="29"/>
      <c r="I113" s="138"/>
      <c r="J113" s="101"/>
      <c r="K113" s="190"/>
      <c r="L113" s="101"/>
      <c r="M113" s="138"/>
      <c r="N113" s="101"/>
      <c r="O113" s="190"/>
      <c r="P113" s="101"/>
      <c r="Q113" s="100"/>
      <c r="R113" s="197"/>
      <c r="S113" s="37"/>
      <c r="T113" s="37"/>
      <c r="U113" s="37"/>
      <c r="V113" s="198"/>
      <c r="W113" s="37"/>
      <c r="X113" s="86"/>
      <c r="Y113" s="198"/>
      <c r="Z113" s="37"/>
      <c r="AA113" s="89"/>
      <c r="AB113" s="29"/>
      <c r="AC113" s="198"/>
      <c r="AD113" s="94"/>
      <c r="AE113" s="100"/>
      <c r="AF113" s="100"/>
      <c r="AG113" s="197"/>
      <c r="AH113" s="100"/>
      <c r="AI113" s="101"/>
      <c r="AJ113" s="267"/>
      <c r="AK113" s="170" t="str">
        <f>IFERROR(IF(AK112="","",VLOOKUP(AK112,LISTAS!$F$5:$G$1004,2,0)),"0")</f>
        <v/>
      </c>
      <c r="AL113" s="29"/>
    </row>
    <row r="114" spans="2:38" ht="18" customHeight="1" x14ac:dyDescent="0.25">
      <c r="B114" s="133"/>
      <c r="C114" s="188"/>
      <c r="D114" s="29"/>
      <c r="E114" s="101"/>
      <c r="F114" s="101"/>
      <c r="G114" s="190"/>
      <c r="H114" s="29"/>
      <c r="I114" s="35"/>
      <c r="J114" s="29"/>
      <c r="K114" s="169" t="str">
        <f>IF(H106&lt;&gt;"",IF(H108&lt;&gt;"",IF(H106=H108,"",IF(H106&gt;H108,G106,G108)),""),"")</f>
        <v>LUCA COSTA GUERRA</v>
      </c>
      <c r="L114" s="266">
        <v>1</v>
      </c>
      <c r="M114" s="148">
        <f>IF(L114&lt;&gt;"",L114,"")</f>
        <v>1</v>
      </c>
      <c r="N114" s="101" t="str">
        <f>IF(L114&lt;&gt;"",IF(K114="","",K114),"")</f>
        <v>LUCA COSTA GUERRA</v>
      </c>
      <c r="O114" s="190">
        <f>IF(M114&lt;&gt;"",IF(M116&lt;&gt;"",SMALL(M114:N116,1),""),"")</f>
        <v>0</v>
      </c>
      <c r="P114" s="101"/>
      <c r="Q114" s="37"/>
      <c r="R114" s="198"/>
      <c r="S114" s="37"/>
      <c r="T114" s="37"/>
      <c r="U114" s="37"/>
      <c r="V114" s="198"/>
      <c r="W114" s="37"/>
      <c r="X114" s="86"/>
      <c r="Y114" s="198"/>
      <c r="Z114" s="37"/>
      <c r="AA114" s="89"/>
      <c r="AB114" s="266">
        <v>1</v>
      </c>
      <c r="AC114" s="169" t="str">
        <f>IF(AF106&lt;&gt;"",IF(AF108&lt;&gt;"",IF(AF106=AF108,"",IF(AF106&gt;AF108,AG106,AG108)),""),"")</f>
        <v>LUIZ GUILHERME CHIEFFO CABRAL</v>
      </c>
      <c r="AD114" s="141"/>
      <c r="AE114" s="37"/>
      <c r="AF114" s="88"/>
      <c r="AG114" s="199"/>
      <c r="AH114" s="88"/>
      <c r="AI114" s="88"/>
      <c r="AJ114" s="29"/>
      <c r="AK114" s="188"/>
      <c r="AL114" s="29"/>
    </row>
    <row r="115" spans="2:38" ht="18" customHeight="1" thickBot="1" x14ac:dyDescent="0.3">
      <c r="B115" s="133"/>
      <c r="C115" s="188"/>
      <c r="D115" s="29"/>
      <c r="E115" s="101"/>
      <c r="F115" s="101"/>
      <c r="G115" s="190"/>
      <c r="H115" s="29"/>
      <c r="I115" s="35"/>
      <c r="J115" s="29"/>
      <c r="K115" s="170" t="str">
        <f>IFERROR(IF(K114="","",VLOOKUP(K114,LISTAS!$F$5:$G$1004,2,0)),"0")</f>
        <v>COLÉGIO ARBOS - UNIDADE SANTO ANDRÉ</v>
      </c>
      <c r="L115" s="267"/>
      <c r="M115" s="105"/>
      <c r="N115" s="101"/>
      <c r="O115" s="190"/>
      <c r="P115" s="101"/>
      <c r="Q115" s="37"/>
      <c r="R115" s="198"/>
      <c r="S115" s="37"/>
      <c r="T115" s="37"/>
      <c r="U115" s="37"/>
      <c r="V115" s="198"/>
      <c r="W115" s="37"/>
      <c r="X115" s="86"/>
      <c r="Y115" s="198"/>
      <c r="Z115" s="37"/>
      <c r="AA115" s="139"/>
      <c r="AB115" s="267"/>
      <c r="AC115" s="170" t="str">
        <f>IFERROR(IF(AC114="","",VLOOKUP(AC114,LISTAS!$F$5:$G$1004,2,0)),"0")</f>
        <v>COLÉGIO SINGULAR SÃO CAETANO</v>
      </c>
      <c r="AD115" s="37"/>
      <c r="AE115" s="89"/>
      <c r="AF115" s="88"/>
      <c r="AG115" s="199"/>
      <c r="AH115" s="88"/>
      <c r="AI115" s="88"/>
      <c r="AJ115" s="29"/>
      <c r="AK115" s="188"/>
      <c r="AL115" s="29"/>
    </row>
    <row r="116" spans="2:38" ht="18" customHeight="1" x14ac:dyDescent="0.25">
      <c r="B116" s="133"/>
      <c r="C116" s="188"/>
      <c r="D116" s="29"/>
      <c r="E116" s="29"/>
      <c r="F116" s="29"/>
      <c r="G116" s="188"/>
      <c r="H116" s="29"/>
      <c r="I116" s="35"/>
      <c r="J116" s="36"/>
      <c r="K116" s="169" t="str">
        <f>IF(H122&lt;&gt;"",IF(H124&lt;&gt;"",IF(H122=H124,"",IF(H122&gt;H124,G122,G124)),""),"")</f>
        <v>GUSTAVO HENRIQUE</v>
      </c>
      <c r="L116" s="266">
        <v>0</v>
      </c>
      <c r="M116" s="106">
        <f>IF(L116&lt;&gt;"",L116,"")</f>
        <v>0</v>
      </c>
      <c r="N116" s="101" t="str">
        <f>IF(L116&lt;&gt;"",IF(K116="","",K116),"")</f>
        <v>GUSTAVO HENRIQUE</v>
      </c>
      <c r="O116" s="190" t="str">
        <f>VLOOKUP(O114,M114:N116,2,0)</f>
        <v>GUSTAVO HENRIQUE</v>
      </c>
      <c r="P116" s="101"/>
      <c r="Q116" s="37"/>
      <c r="R116" s="198"/>
      <c r="S116" s="37"/>
      <c r="T116" s="37"/>
      <c r="U116" s="37"/>
      <c r="V116" s="198"/>
      <c r="W116" s="37"/>
      <c r="X116" s="86"/>
      <c r="Y116" s="198"/>
      <c r="Z116" s="37"/>
      <c r="AA116" s="37"/>
      <c r="AB116" s="266">
        <v>0</v>
      </c>
      <c r="AC116" s="169" t="str">
        <f>IF(AF122&lt;&gt;"",IF(AF124&lt;&gt;"",IF(AF122=AF124,"",IF(AF122&gt;AF124,AG122,AG124)),""),"")</f>
        <v>BRUNO MARTINS GARCIA</v>
      </c>
      <c r="AD116" s="37"/>
      <c r="AE116" s="89"/>
      <c r="AF116" s="88"/>
      <c r="AG116" s="199"/>
      <c r="AH116" s="88"/>
      <c r="AI116" s="88"/>
      <c r="AJ116" s="29"/>
      <c r="AK116" s="188"/>
      <c r="AL116" s="29"/>
    </row>
    <row r="117" spans="2:38" ht="18" customHeight="1" thickBot="1" x14ac:dyDescent="0.3">
      <c r="B117" s="133"/>
      <c r="C117" s="188"/>
      <c r="D117" s="29"/>
      <c r="E117" s="29"/>
      <c r="F117" s="29"/>
      <c r="G117" s="188"/>
      <c r="H117" s="29"/>
      <c r="I117" s="35"/>
      <c r="J117" s="29"/>
      <c r="K117" s="170" t="str">
        <f>IFERROR(IF(K116="","",VLOOKUP(K116,LISTAS!$F$5:$G$1004,2,0)),"0")</f>
        <v>EDUCANDÁRIO - S.A</v>
      </c>
      <c r="L117" s="267"/>
      <c r="M117" s="101"/>
      <c r="N117" s="101"/>
      <c r="O117" s="190"/>
      <c r="P117" s="101"/>
      <c r="Q117" s="37"/>
      <c r="R117" s="198"/>
      <c r="S117" s="37"/>
      <c r="T117" s="37"/>
      <c r="U117" s="37"/>
      <c r="V117" s="198"/>
      <c r="W117" s="37"/>
      <c r="X117" s="86"/>
      <c r="Y117" s="198"/>
      <c r="Z117" s="37"/>
      <c r="AA117" s="37"/>
      <c r="AB117" s="267"/>
      <c r="AC117" s="170" t="str">
        <f>IFERROR(IF(AC116="","",VLOOKUP(AC116,LISTAS!$F$5:$G$1004,2,0)),"0")</f>
        <v>COLÉGIO ENGENHEIRO SALVADOR ARENA</v>
      </c>
      <c r="AD117" s="37"/>
      <c r="AE117" s="89"/>
      <c r="AF117" s="88"/>
      <c r="AG117" s="199"/>
      <c r="AH117" s="88"/>
      <c r="AI117" s="88"/>
      <c r="AJ117" s="29"/>
      <c r="AK117" s="188"/>
      <c r="AL117" s="29"/>
    </row>
    <row r="118" spans="2:38" ht="18" customHeight="1" x14ac:dyDescent="0.25">
      <c r="B118" s="133">
        <v>20</v>
      </c>
      <c r="C118" s="169" t="str">
        <f>IF('17M GRP'!G5&gt;=3,'17M GRP'!J269,IF('17M GRP'!G5=2,"",IF('17M GRP'!G5=1,"","")))</f>
        <v/>
      </c>
      <c r="D118" s="266">
        <v>0</v>
      </c>
      <c r="E118" s="101">
        <f>IF(D118&lt;&gt;"",D118,"")</f>
        <v>0</v>
      </c>
      <c r="F118" s="101" t="str">
        <f>IF(D118&lt;&gt;"",IF(C118="","",C118),"")</f>
        <v/>
      </c>
      <c r="G118" s="190">
        <f>IF(E118&lt;&gt;"",IF(E120&lt;&gt;"",SMALL(E118:E120,1),""),"")</f>
        <v>0</v>
      </c>
      <c r="H118" s="101"/>
      <c r="I118" s="138"/>
      <c r="J118" s="101"/>
      <c r="K118" s="190"/>
      <c r="L118" s="101"/>
      <c r="M118" s="101"/>
      <c r="N118" s="101"/>
      <c r="O118" s="190"/>
      <c r="P118" s="101"/>
      <c r="Q118" s="37"/>
      <c r="R118" s="198"/>
      <c r="S118" s="37"/>
      <c r="T118" s="37"/>
      <c r="U118" s="37"/>
      <c r="V118" s="198"/>
      <c r="W118" s="37"/>
      <c r="X118" s="86"/>
      <c r="Y118" s="198"/>
      <c r="Z118" s="37"/>
      <c r="AA118" s="37"/>
      <c r="AB118" s="29"/>
      <c r="AC118" s="197"/>
      <c r="AD118" s="100"/>
      <c r="AE118" s="144"/>
      <c r="AF118" s="100"/>
      <c r="AG118" s="197">
        <f>IF(AJ118&lt;&gt;"",AJ118,"")</f>
        <v>0</v>
      </c>
      <c r="AH118" s="100" t="str">
        <f>IF(AJ118&lt;&gt;"",IF(AK118="","",AK118),"")</f>
        <v/>
      </c>
      <c r="AI118" s="101">
        <f>IF(AG118&lt;&gt;"",IF(AG120&lt;&gt;"",SMALL(AG118:AG120,1),""),"")</f>
        <v>0</v>
      </c>
      <c r="AJ118" s="266">
        <v>0</v>
      </c>
      <c r="AK118" s="169" t="str">
        <f>IF('17M GRP'!G5&gt;=3,'17M GRP'!J204,IF('17M GRP'!G5=2,"",IF('17M GRP'!G5=1,"","")))</f>
        <v/>
      </c>
      <c r="AL118" s="29">
        <v>15</v>
      </c>
    </row>
    <row r="119" spans="2:38" ht="18" customHeight="1" thickBot="1" x14ac:dyDescent="0.3">
      <c r="B119" s="133"/>
      <c r="C119" s="170" t="str">
        <f>IFERROR(IF(C118="","",VLOOKUP(C118,LISTAS!$F$5:$G$1004,2,0)),"0")</f>
        <v/>
      </c>
      <c r="D119" s="267"/>
      <c r="E119" s="101"/>
      <c r="F119" s="101"/>
      <c r="G119" s="190"/>
      <c r="H119" s="101"/>
      <c r="I119" s="138"/>
      <c r="J119" s="101"/>
      <c r="K119" s="190"/>
      <c r="L119" s="101"/>
      <c r="M119" s="101"/>
      <c r="N119" s="101"/>
      <c r="O119" s="190"/>
      <c r="P119" s="101"/>
      <c r="Q119" s="37"/>
      <c r="R119" s="198"/>
      <c r="S119" s="37"/>
      <c r="T119" s="37"/>
      <c r="U119" s="37"/>
      <c r="V119" s="198"/>
      <c r="W119" s="37"/>
      <c r="X119" s="86"/>
      <c r="Y119" s="198"/>
      <c r="Z119" s="37"/>
      <c r="AA119" s="37"/>
      <c r="AB119" s="29"/>
      <c r="AC119" s="197"/>
      <c r="AD119" s="100"/>
      <c r="AE119" s="144"/>
      <c r="AF119" s="100"/>
      <c r="AG119" s="197"/>
      <c r="AH119" s="100"/>
      <c r="AI119" s="101"/>
      <c r="AJ119" s="267"/>
      <c r="AK119" s="170" t="str">
        <f>IFERROR(IF(AK118="","",VLOOKUP(AK118,LISTAS!$F$5:$G$1004,2,0)),"0")</f>
        <v/>
      </c>
      <c r="AL119" s="29"/>
    </row>
    <row r="120" spans="2:38" ht="18" customHeight="1" x14ac:dyDescent="0.25">
      <c r="B120" s="133">
        <v>13</v>
      </c>
      <c r="C120" s="169" t="str">
        <f>IF('17M GRP'!G5&gt;=3,'17M GRP'!J178,IF('17M GRP'!G5=2,"",IF('17M GRP'!G5=1,"","")))</f>
        <v>GUSTAVO HENRIQUE</v>
      </c>
      <c r="D120" s="266">
        <v>1</v>
      </c>
      <c r="E120" s="107">
        <f>IF(D120&lt;&gt;"",D120,"")</f>
        <v>1</v>
      </c>
      <c r="F120" s="101" t="str">
        <f>IF(D120&lt;&gt;"",IF(C120="","",C120),"")</f>
        <v>GUSTAVO HENRIQUE</v>
      </c>
      <c r="G120" s="190" t="str">
        <f>VLOOKUP(G118,E118:F120,2,0)</f>
        <v/>
      </c>
      <c r="H120" s="101"/>
      <c r="I120" s="138"/>
      <c r="J120" s="101"/>
      <c r="K120" s="190"/>
      <c r="L120" s="101"/>
      <c r="M120" s="101"/>
      <c r="N120" s="101"/>
      <c r="O120" s="190"/>
      <c r="P120" s="101"/>
      <c r="Q120" s="37"/>
      <c r="R120" s="198"/>
      <c r="S120" s="37"/>
      <c r="T120" s="37"/>
      <c r="U120" s="37"/>
      <c r="V120" s="198"/>
      <c r="W120" s="37"/>
      <c r="X120" s="86"/>
      <c r="Y120" s="198"/>
      <c r="Z120" s="37"/>
      <c r="AA120" s="37"/>
      <c r="AB120" s="29"/>
      <c r="AC120" s="197"/>
      <c r="AD120" s="100"/>
      <c r="AE120" s="144"/>
      <c r="AF120" s="100"/>
      <c r="AG120" s="197">
        <f>IF(AJ120&lt;&gt;"",AJ120,"")</f>
        <v>0</v>
      </c>
      <c r="AH120" s="100" t="str">
        <f>IF(AJ120&lt;&gt;"",IF(AK120="","",AK120),"")</f>
        <v/>
      </c>
      <c r="AI120" s="102" t="str">
        <f>VLOOKUP(AI118,AG118:AH120,2,0)</f>
        <v/>
      </c>
      <c r="AJ120" s="266">
        <v>0</v>
      </c>
      <c r="AK120" s="169" t="str">
        <f>IF('17M GRP'!G5&gt;=3,'17M GRP'!J243,IF('17M GRP'!G5=2,"",IF('17M GRP'!G5=1,"","")))</f>
        <v/>
      </c>
      <c r="AL120" s="29">
        <v>18</v>
      </c>
    </row>
    <row r="121" spans="2:38" ht="18" customHeight="1" thickBot="1" x14ac:dyDescent="0.3">
      <c r="B121" s="133"/>
      <c r="C121" s="170" t="str">
        <f>IFERROR(IF(C120="","",VLOOKUP(C120,LISTAS!$F$5:$G$1004,2,0)),"0")</f>
        <v>EDUCANDÁRIO - S.A</v>
      </c>
      <c r="D121" s="267"/>
      <c r="E121" s="148"/>
      <c r="F121" s="101"/>
      <c r="G121" s="190"/>
      <c r="H121" s="101"/>
      <c r="I121" s="138"/>
      <c r="J121" s="101"/>
      <c r="K121" s="190"/>
      <c r="L121" s="101"/>
      <c r="M121" s="101"/>
      <c r="N121" s="101"/>
      <c r="O121" s="190"/>
      <c r="P121" s="101"/>
      <c r="Q121" s="37"/>
      <c r="R121" s="198"/>
      <c r="S121" s="37"/>
      <c r="T121" s="37"/>
      <c r="U121" s="37"/>
      <c r="V121" s="198"/>
      <c r="W121" s="37"/>
      <c r="X121" s="86"/>
      <c r="Y121" s="198"/>
      <c r="Z121" s="37"/>
      <c r="AA121" s="37"/>
      <c r="AB121" s="29"/>
      <c r="AC121" s="197"/>
      <c r="AD121" s="100"/>
      <c r="AE121" s="144"/>
      <c r="AF121" s="100"/>
      <c r="AG121" s="197"/>
      <c r="AH121" s="146"/>
      <c r="AI121" s="101"/>
      <c r="AJ121" s="267"/>
      <c r="AK121" s="170" t="str">
        <f>IFERROR(IF(AK120="","",VLOOKUP(AK120,LISTAS!$F$5:$G$1004,2,0)),"0")</f>
        <v/>
      </c>
      <c r="AL121" s="29"/>
    </row>
    <row r="122" spans="2:38" ht="18" customHeight="1" x14ac:dyDescent="0.25">
      <c r="B122" s="133"/>
      <c r="C122" s="188"/>
      <c r="D122" s="29"/>
      <c r="E122" s="29"/>
      <c r="F122" s="34"/>
      <c r="G122" s="169" t="str">
        <f>IF(D118&lt;&gt;"",IF(D120&lt;&gt;"",IF(D118=D120,"",IF(D118&gt;D120,C118,C120)),""),"")</f>
        <v>GUSTAVO HENRIQUE</v>
      </c>
      <c r="H122" s="266">
        <v>1</v>
      </c>
      <c r="I122" s="148">
        <f>IF(H122&lt;&gt;"",H122,"")</f>
        <v>1</v>
      </c>
      <c r="J122" s="101" t="str">
        <f>IF(H122&lt;&gt;"",IF(G122="","",G122),"")</f>
        <v>GUSTAVO HENRIQUE</v>
      </c>
      <c r="K122" s="190">
        <f>IF(I122&lt;&gt;"",IF(I124&lt;&gt;"",SMALL(I122:J124,1),""),"")</f>
        <v>0</v>
      </c>
      <c r="L122" s="29"/>
      <c r="M122" s="29"/>
      <c r="N122" s="29"/>
      <c r="O122" s="188"/>
      <c r="P122" s="29"/>
      <c r="Q122" s="37"/>
      <c r="R122" s="198"/>
      <c r="S122" s="37"/>
      <c r="T122" s="37"/>
      <c r="U122" s="37"/>
      <c r="V122" s="198"/>
      <c r="W122" s="37"/>
      <c r="X122" s="86"/>
      <c r="Y122" s="198"/>
      <c r="Z122" s="37"/>
      <c r="AA122" s="37"/>
      <c r="AB122" s="29"/>
      <c r="AC122" s="198"/>
      <c r="AD122" s="37"/>
      <c r="AE122" s="89"/>
      <c r="AF122" s="266">
        <v>0</v>
      </c>
      <c r="AG122" s="169" t="str">
        <f>IF(AJ118&lt;&gt;"",IF(AJ120&lt;&gt;"",IF(AJ118=AJ120,"",IF(AJ118&gt;AJ120,AK118,AK120)),""),"")</f>
        <v/>
      </c>
      <c r="AH122" s="94"/>
      <c r="AI122" s="37"/>
      <c r="AJ122" s="29"/>
      <c r="AK122" s="188"/>
      <c r="AL122" s="29"/>
    </row>
    <row r="123" spans="2:38" ht="18" customHeight="1" thickBot="1" x14ac:dyDescent="0.3">
      <c r="B123" s="133"/>
      <c r="C123" s="188"/>
      <c r="D123" s="29"/>
      <c r="E123" s="29"/>
      <c r="F123" s="34"/>
      <c r="G123" s="170" t="str">
        <f>IFERROR(IF(G122="","",VLOOKUP(G122,LISTAS!$F$5:$G$1004,2,0)),"0")</f>
        <v>EDUCANDÁRIO - S.A</v>
      </c>
      <c r="H123" s="267"/>
      <c r="I123" s="105"/>
      <c r="J123" s="101"/>
      <c r="K123" s="190"/>
      <c r="L123" s="29"/>
      <c r="M123" s="29"/>
      <c r="N123" s="29"/>
      <c r="O123" s="188"/>
      <c r="P123" s="29"/>
      <c r="Q123" s="37"/>
      <c r="R123" s="198"/>
      <c r="S123" s="37"/>
      <c r="T123" s="37"/>
      <c r="U123" s="37"/>
      <c r="V123" s="198"/>
      <c r="W123" s="37"/>
      <c r="X123" s="86"/>
      <c r="Y123" s="198"/>
      <c r="Z123" s="37"/>
      <c r="AA123" s="37"/>
      <c r="AB123" s="29"/>
      <c r="AC123" s="198"/>
      <c r="AD123" s="37"/>
      <c r="AE123" s="90"/>
      <c r="AF123" s="267"/>
      <c r="AG123" s="170" t="str">
        <f>IFERROR(IF(AG122="","",VLOOKUP(AG122,LISTAS!$F$5:$G$1004,2,0)),"0")</f>
        <v/>
      </c>
      <c r="AH123" s="94"/>
      <c r="AI123" s="37"/>
      <c r="AJ123" s="29"/>
      <c r="AK123" s="188"/>
      <c r="AL123" s="29"/>
    </row>
    <row r="124" spans="2:38" ht="18" customHeight="1" x14ac:dyDescent="0.25">
      <c r="B124" s="133"/>
      <c r="C124" s="188"/>
      <c r="D124" s="29"/>
      <c r="E124" s="35"/>
      <c r="F124" s="36"/>
      <c r="G124" s="169" t="str">
        <f>IF(D126&lt;&gt;"",IF(D128&lt;&gt;"",IF(D126=D128,"",IF(D126&gt;D128,C126,C128)),""),"")</f>
        <v/>
      </c>
      <c r="H124" s="266">
        <v>0</v>
      </c>
      <c r="I124" s="106">
        <f>IF(H124&lt;&gt;"",H124,"")</f>
        <v>0</v>
      </c>
      <c r="J124" s="101" t="str">
        <f>IF(H124&lt;&gt;"",IF(G124="","",G124),"")</f>
        <v/>
      </c>
      <c r="K124" s="190" t="str">
        <f>VLOOKUP(K122,I122:J124,2,0)</f>
        <v/>
      </c>
      <c r="L124" s="29"/>
      <c r="M124" s="29"/>
      <c r="N124" s="29"/>
      <c r="O124" s="188"/>
      <c r="P124" s="29"/>
      <c r="Q124" s="37"/>
      <c r="R124" s="198"/>
      <c r="S124" s="37"/>
      <c r="T124" s="37"/>
      <c r="U124" s="37"/>
      <c r="V124" s="198"/>
      <c r="W124" s="37"/>
      <c r="X124" s="86"/>
      <c r="Y124" s="198"/>
      <c r="Z124" s="37"/>
      <c r="AA124" s="37"/>
      <c r="AB124" s="29"/>
      <c r="AC124" s="198"/>
      <c r="AD124" s="37"/>
      <c r="AE124" s="91"/>
      <c r="AF124" s="266">
        <v>1</v>
      </c>
      <c r="AG124" s="169" t="str">
        <f>IF(AJ126&lt;&gt;"",IF(AJ128&lt;&gt;"",IF(AJ126=AJ128,"",IF(AJ126&gt;AJ128,AK126,AK128)),""),"")</f>
        <v>BRUNO MARTINS GARCIA</v>
      </c>
      <c r="AH124" s="98"/>
      <c r="AI124" s="37"/>
      <c r="AJ124" s="29"/>
      <c r="AK124" s="188"/>
      <c r="AL124" s="29"/>
    </row>
    <row r="125" spans="2:38" ht="18" customHeight="1" thickBot="1" x14ac:dyDescent="0.3">
      <c r="B125" s="133"/>
      <c r="C125" s="188"/>
      <c r="D125" s="29"/>
      <c r="E125" s="35"/>
      <c r="F125" s="29"/>
      <c r="G125" s="170" t="str">
        <f>IFERROR(IF(G124="","",VLOOKUP(G124,LISTAS!$F$5:$G$1004,2,0)),"0")</f>
        <v/>
      </c>
      <c r="H125" s="267"/>
      <c r="I125" s="101"/>
      <c r="J125" s="101"/>
      <c r="K125" s="190"/>
      <c r="L125" s="29"/>
      <c r="M125" s="29"/>
      <c r="N125" s="29"/>
      <c r="O125" s="188"/>
      <c r="P125" s="29"/>
      <c r="Q125" s="37"/>
      <c r="R125" s="198"/>
      <c r="S125" s="37"/>
      <c r="T125" s="37"/>
      <c r="U125" s="37"/>
      <c r="V125" s="198"/>
      <c r="W125" s="37"/>
      <c r="X125" s="86"/>
      <c r="Y125" s="198"/>
      <c r="Z125" s="37"/>
      <c r="AA125" s="37"/>
      <c r="AB125" s="29"/>
      <c r="AC125" s="198"/>
      <c r="AD125" s="37"/>
      <c r="AE125" s="37"/>
      <c r="AF125" s="267"/>
      <c r="AG125" s="170" t="str">
        <f>IFERROR(IF(AG124="","",VLOOKUP(AG124,LISTAS!$F$5:$G$1004,2,0)),"0")</f>
        <v>COLÉGIO ENGENHEIRO SALVADOR ARENA</v>
      </c>
      <c r="AH125" s="37"/>
      <c r="AI125" s="89"/>
      <c r="AJ125" s="29"/>
      <c r="AK125" s="188"/>
      <c r="AL125" s="29"/>
    </row>
    <row r="126" spans="2:38" ht="18" customHeight="1" x14ac:dyDescent="0.25">
      <c r="B126" s="133">
        <v>29</v>
      </c>
      <c r="C126" s="169" t="str">
        <f>IF('17M GRP'!G5&gt;=3,'17M GRP'!J386,IF('17M GRP'!G5=2,"",IF('17M GRP'!G5=1,"","")))</f>
        <v/>
      </c>
      <c r="D126" s="266">
        <v>0</v>
      </c>
      <c r="E126" s="148">
        <f>IF(D126&lt;&gt;"",D126,"")</f>
        <v>0</v>
      </c>
      <c r="F126" s="101" t="str">
        <f>IF(D126&lt;&gt;"",IF(C126="","",C126),"")</f>
        <v/>
      </c>
      <c r="G126" s="190">
        <f>IF(E126&lt;&gt;"",IF(E128&lt;&gt;"",SMALL(E126:E128,1),""),"")</f>
        <v>0</v>
      </c>
      <c r="H126" s="87"/>
      <c r="I126" s="29"/>
      <c r="J126" s="29"/>
      <c r="K126" s="188"/>
      <c r="L126" s="29"/>
      <c r="M126" s="29"/>
      <c r="N126" s="29"/>
      <c r="O126" s="188"/>
      <c r="P126" s="29"/>
      <c r="Q126" s="37"/>
      <c r="R126" s="198"/>
      <c r="S126" s="37"/>
      <c r="T126" s="37"/>
      <c r="U126" s="37"/>
      <c r="V126" s="198"/>
      <c r="W126" s="37"/>
      <c r="X126" s="86"/>
      <c r="Y126" s="198"/>
      <c r="Z126" s="37"/>
      <c r="AA126" s="37"/>
      <c r="AB126" s="29"/>
      <c r="AC126" s="198"/>
      <c r="AD126" s="37"/>
      <c r="AE126" s="100"/>
      <c r="AF126" s="100"/>
      <c r="AG126" s="197">
        <f>IF(AJ126&lt;&gt;"",AJ126,"")</f>
        <v>0</v>
      </c>
      <c r="AH126" s="100" t="str">
        <f>IF(AJ126&lt;&gt;"",IF(AK126="","",AK126),"")</f>
        <v/>
      </c>
      <c r="AI126" s="137">
        <f>IF(AG126&lt;&gt;"",IF(AG128&lt;&gt;"",SMALL(AG126:AG128,1),""),"")</f>
        <v>0</v>
      </c>
      <c r="AJ126" s="266">
        <v>0</v>
      </c>
      <c r="AK126" s="169" t="str">
        <f>IF('17M GRP'!G5&gt;=3,'17M GRP'!J412,IF('17M GRP'!G5=2,"",IF('17M GRP'!G5=1,"","")))</f>
        <v/>
      </c>
      <c r="AL126" s="29">
        <v>31</v>
      </c>
    </row>
    <row r="127" spans="2:38" ht="18" customHeight="1" thickBot="1" x14ac:dyDescent="0.3">
      <c r="B127" s="133"/>
      <c r="C127" s="170" t="str">
        <f>IFERROR(IF(C126="","",VLOOKUP(C126,LISTAS!$F$5:$G$1004,2,0)),"0")</f>
        <v/>
      </c>
      <c r="D127" s="267"/>
      <c r="E127" s="105"/>
      <c r="F127" s="101"/>
      <c r="G127" s="190"/>
      <c r="H127" s="87"/>
      <c r="I127" s="29"/>
      <c r="J127" s="29"/>
      <c r="K127" s="188"/>
      <c r="L127" s="29"/>
      <c r="M127" s="29"/>
      <c r="N127" s="29"/>
      <c r="O127" s="188"/>
      <c r="P127" s="29"/>
      <c r="Q127" s="37"/>
      <c r="R127" s="198"/>
      <c r="S127" s="37"/>
      <c r="T127" s="37"/>
      <c r="U127" s="37"/>
      <c r="V127" s="198"/>
      <c r="W127" s="37"/>
      <c r="X127" s="86"/>
      <c r="Y127" s="198"/>
      <c r="Z127" s="37"/>
      <c r="AA127" s="37"/>
      <c r="AB127" s="29"/>
      <c r="AC127" s="198"/>
      <c r="AD127" s="37"/>
      <c r="AE127" s="100"/>
      <c r="AF127" s="100"/>
      <c r="AG127" s="197"/>
      <c r="AH127" s="100"/>
      <c r="AI127" s="103"/>
      <c r="AJ127" s="267"/>
      <c r="AK127" s="170" t="str">
        <f>IFERROR(IF(AK126="","",VLOOKUP(AK126,LISTAS!$F$5:$G$1004,2,0)),"0")</f>
        <v/>
      </c>
      <c r="AL127" s="29"/>
    </row>
    <row r="128" spans="2:38" ht="18" customHeight="1" x14ac:dyDescent="0.25">
      <c r="B128" s="133">
        <v>4</v>
      </c>
      <c r="C128" s="169"/>
      <c r="D128" s="266">
        <v>0</v>
      </c>
      <c r="E128" s="106">
        <f>IF(D128&lt;&gt;"",D128,"")</f>
        <v>0</v>
      </c>
      <c r="F128" s="101" t="str">
        <f>IF(D128&lt;&gt;"",IF(C128="","",C128),"")</f>
        <v/>
      </c>
      <c r="G128" s="190" t="str">
        <f>VLOOKUP(G126,E126:F128,2,0)</f>
        <v/>
      </c>
      <c r="H128" s="87"/>
      <c r="I128" s="29"/>
      <c r="J128" s="29"/>
      <c r="K128" s="188"/>
      <c r="L128" s="29"/>
      <c r="M128" s="29"/>
      <c r="N128" s="29"/>
      <c r="O128" s="188"/>
      <c r="P128" s="29"/>
      <c r="Q128" s="37"/>
      <c r="R128" s="198"/>
      <c r="S128" s="37"/>
      <c r="T128" s="37"/>
      <c r="U128" s="37"/>
      <c r="V128" s="198"/>
      <c r="W128" s="37"/>
      <c r="X128" s="86"/>
      <c r="Y128" s="198"/>
      <c r="Z128" s="37"/>
      <c r="AA128" s="37"/>
      <c r="AB128" s="29"/>
      <c r="AC128" s="198"/>
      <c r="AD128" s="37"/>
      <c r="AE128" s="100"/>
      <c r="AF128" s="100"/>
      <c r="AG128" s="197">
        <f>IF(AJ128&lt;&gt;"",AJ128,"")</f>
        <v>1</v>
      </c>
      <c r="AH128" s="100" t="str">
        <f>IF(AJ128&lt;&gt;"",IF(AK128="","",AK128),"")</f>
        <v>BRUNO MARTINS GARCIA</v>
      </c>
      <c r="AI128" s="104" t="str">
        <f>VLOOKUP(AI126,AG126:AH128,2,0)</f>
        <v/>
      </c>
      <c r="AJ128" s="266">
        <v>1</v>
      </c>
      <c r="AK128" s="169" t="str">
        <f>IF('17M GRP'!G5&gt;=3,'17M GRP'!J31,IF('17M GRP'!G5=2,IF('17M GRP'!H8=3,'17M GRP'!J31,'17M GRP'!J32),IF('17M GRP'!G5=1,"","")))</f>
        <v>BRUNO MARTINS GARCIA</v>
      </c>
      <c r="AL128" s="29">
        <v>2</v>
      </c>
    </row>
    <row r="129" spans="2:48" ht="18" customHeight="1" thickBot="1" x14ac:dyDescent="0.3">
      <c r="B129" s="133"/>
      <c r="C129" s="170" t="str">
        <f>IFERROR(IF(C128="","",VLOOKUP(C128,LISTAS!$F$5:$G$1004,2,0)),"0")</f>
        <v/>
      </c>
      <c r="D129" s="267"/>
      <c r="E129" s="101"/>
      <c r="F129" s="101"/>
      <c r="G129" s="190"/>
      <c r="H129" s="87"/>
      <c r="I129" s="29"/>
      <c r="J129" s="29"/>
      <c r="K129" s="188"/>
      <c r="L129" s="29"/>
      <c r="M129" s="29"/>
      <c r="N129" s="29"/>
      <c r="O129" s="188"/>
      <c r="P129" s="29"/>
      <c r="Q129" s="37"/>
      <c r="R129" s="198"/>
      <c r="S129" s="37"/>
      <c r="T129" s="37"/>
      <c r="U129" s="37"/>
      <c r="V129" s="198"/>
      <c r="W129" s="37"/>
      <c r="X129" s="86"/>
      <c r="Y129" s="198"/>
      <c r="Z129" s="37"/>
      <c r="AA129" s="37"/>
      <c r="AB129" s="29"/>
      <c r="AC129" s="198"/>
      <c r="AD129" s="37"/>
      <c r="AE129" s="100"/>
      <c r="AF129" s="100"/>
      <c r="AG129" s="197"/>
      <c r="AH129" s="100"/>
      <c r="AI129" s="101"/>
      <c r="AJ129" s="267"/>
      <c r="AK129" s="170" t="str">
        <f>IFERROR(IF(AK128="","",VLOOKUP(AK128,LISTAS!$F$5:$G$1004,2,0)),"0")</f>
        <v>COLÉGIO ENGENHEIRO SALVADOR ARENA</v>
      </c>
      <c r="AL129" s="29"/>
    </row>
    <row r="130" spans="2:48" ht="18" customHeight="1" x14ac:dyDescent="0.25">
      <c r="B130" s="133"/>
      <c r="C130" s="189"/>
      <c r="D130" s="84"/>
      <c r="E130" s="134"/>
      <c r="F130" s="134"/>
      <c r="G130" s="193"/>
      <c r="H130" s="134"/>
      <c r="I130" s="84"/>
      <c r="J130" s="84"/>
      <c r="K130" s="189"/>
      <c r="L130" s="84"/>
      <c r="M130" s="84"/>
      <c r="N130" s="84"/>
      <c r="O130" s="189"/>
      <c r="P130" s="84"/>
      <c r="Q130" s="37"/>
      <c r="R130" s="198"/>
      <c r="S130" s="37"/>
      <c r="T130" s="37"/>
      <c r="U130" s="37"/>
      <c r="V130" s="198"/>
      <c r="W130" s="37"/>
      <c r="X130" s="86"/>
      <c r="Y130" s="198"/>
      <c r="Z130" s="37"/>
      <c r="AA130" s="37"/>
      <c r="AB130" s="29"/>
      <c r="AC130" s="198"/>
      <c r="AD130" s="37"/>
      <c r="AE130" s="100"/>
      <c r="AF130" s="100"/>
      <c r="AG130" s="197"/>
      <c r="AH130" s="100"/>
      <c r="AI130" s="100"/>
      <c r="AJ130" s="84"/>
      <c r="AK130" s="189"/>
      <c r="AL130" s="29"/>
    </row>
    <row r="131" spans="2:48" ht="18" customHeight="1" x14ac:dyDescent="0.25">
      <c r="B131" s="29"/>
      <c r="C131" s="189"/>
      <c r="D131" s="84"/>
      <c r="E131" s="84"/>
      <c r="F131" s="84"/>
      <c r="G131" s="189"/>
      <c r="H131" s="84"/>
      <c r="I131" s="84"/>
      <c r="J131" s="84"/>
      <c r="K131" s="189"/>
      <c r="L131" s="84"/>
      <c r="M131" s="84"/>
      <c r="N131" s="84"/>
      <c r="O131" s="189"/>
      <c r="P131" s="84"/>
      <c r="Q131" s="37"/>
      <c r="R131" s="198"/>
      <c r="S131" s="37"/>
      <c r="T131" s="37"/>
      <c r="U131" s="37"/>
      <c r="V131" s="198"/>
      <c r="W131" s="37"/>
      <c r="X131" s="86"/>
      <c r="Y131" s="198"/>
      <c r="Z131" s="37"/>
      <c r="AA131" s="37"/>
      <c r="AB131" s="29"/>
      <c r="AC131" s="198"/>
      <c r="AD131" s="37"/>
      <c r="AE131" s="37"/>
      <c r="AF131" s="37"/>
      <c r="AG131" s="199"/>
      <c r="AH131" s="88"/>
      <c r="AI131" s="88"/>
      <c r="AJ131" s="84"/>
      <c r="AK131" s="189"/>
      <c r="AL131" s="29"/>
    </row>
    <row r="132" spans="2:48" ht="18" customHeight="1" x14ac:dyDescent="0.25">
      <c r="B132" s="22"/>
      <c r="C132" s="168"/>
      <c r="D132" s="22"/>
      <c r="E132" s="22"/>
      <c r="F132" s="22"/>
      <c r="G132" s="168"/>
      <c r="H132" s="22"/>
      <c r="I132" s="22"/>
      <c r="J132" s="22"/>
      <c r="K132" s="168"/>
      <c r="L132" s="22"/>
      <c r="M132" s="22"/>
      <c r="N132" s="22"/>
      <c r="O132" s="168"/>
      <c r="P132" s="22"/>
      <c r="W132" s="22"/>
      <c r="X132" s="22"/>
      <c r="Y132" s="168"/>
      <c r="Z132" s="22"/>
      <c r="AA132" s="22"/>
      <c r="AB132" s="22"/>
      <c r="AC132" s="168"/>
      <c r="AD132" s="22"/>
      <c r="AE132" s="22"/>
      <c r="AF132" s="22"/>
      <c r="AG132" s="168"/>
      <c r="AH132" s="22"/>
      <c r="AI132" s="22"/>
      <c r="AJ132" s="22"/>
      <c r="AK132" s="168"/>
    </row>
    <row r="133" spans="2:48" ht="18" customHeight="1" x14ac:dyDescent="0.25">
      <c r="B133" s="22"/>
      <c r="C133" s="168"/>
      <c r="D133" s="22"/>
      <c r="E133" s="22"/>
      <c r="F133" s="22"/>
      <c r="G133" s="168"/>
      <c r="H133" s="22"/>
      <c r="I133" s="22"/>
      <c r="J133" s="22"/>
      <c r="K133" s="168"/>
      <c r="L133" s="22"/>
      <c r="M133" s="22"/>
      <c r="N133" s="22"/>
      <c r="O133" s="168"/>
      <c r="P133" s="22"/>
      <c r="W133" s="22"/>
      <c r="X133" s="22"/>
      <c r="Y133" s="168"/>
      <c r="Z133" s="22"/>
      <c r="AA133" s="22"/>
      <c r="AB133" s="22"/>
      <c r="AC133" s="168"/>
      <c r="AD133" s="22"/>
      <c r="AE133" s="22"/>
      <c r="AF133" s="22"/>
      <c r="AG133" s="168"/>
      <c r="AH133" s="22"/>
      <c r="AI133" s="22"/>
      <c r="AJ133" s="22"/>
      <c r="AK133" s="168"/>
    </row>
    <row r="134" spans="2:48" ht="30" customHeight="1" x14ac:dyDescent="0.25">
      <c r="B134" s="251" t="s">
        <v>22</v>
      </c>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52"/>
      <c r="AE134" s="252"/>
      <c r="AF134" s="252"/>
      <c r="AG134" s="252"/>
      <c r="AH134" s="252"/>
      <c r="AI134" s="252"/>
      <c r="AJ134" s="252"/>
      <c r="AK134" s="252"/>
      <c r="AL134" s="252"/>
      <c r="AP134" s="241" t="s">
        <v>23</v>
      </c>
      <c r="AQ134" s="241"/>
      <c r="AR134" s="241"/>
      <c r="AS134" s="241"/>
      <c r="AT134" s="241"/>
      <c r="AU134" s="241"/>
    </row>
    <row r="135" spans="2:48" ht="18" customHeight="1" thickBot="1" x14ac:dyDescent="0.3">
      <c r="B135" s="135"/>
      <c r="C135" s="187"/>
      <c r="D135" s="27"/>
      <c r="E135" s="27"/>
      <c r="F135" s="27"/>
      <c r="G135" s="191"/>
      <c r="H135" s="27"/>
      <c r="I135" s="27"/>
      <c r="J135" s="27"/>
      <c r="K135" s="195"/>
      <c r="L135" s="27"/>
      <c r="M135" s="27"/>
      <c r="N135" s="27"/>
      <c r="O135" s="195"/>
      <c r="P135" s="27"/>
      <c r="Q135" s="27"/>
      <c r="R135" s="195"/>
      <c r="S135" s="27"/>
      <c r="T135" s="27"/>
      <c r="U135" s="27"/>
      <c r="V135" s="195"/>
      <c r="W135" s="27"/>
      <c r="X135" s="26"/>
      <c r="Y135" s="195"/>
      <c r="Z135" s="27"/>
      <c r="AA135" s="27"/>
      <c r="AB135" s="92"/>
      <c r="AC135" s="195"/>
      <c r="AD135" s="27"/>
      <c r="AE135" s="27"/>
      <c r="AF135" s="27"/>
      <c r="AG135" s="195"/>
      <c r="AH135" s="27"/>
      <c r="AI135" s="27"/>
      <c r="AJ135" s="27"/>
      <c r="AK135" s="195"/>
      <c r="AL135" s="27"/>
      <c r="AP135" s="258" t="s">
        <v>3</v>
      </c>
      <c r="AQ135" s="260"/>
      <c r="AR135" s="132" t="s">
        <v>15</v>
      </c>
      <c r="AS135" s="132" t="s">
        <v>0</v>
      </c>
      <c r="AT135" s="132" t="s">
        <v>16</v>
      </c>
      <c r="AU135" s="132" t="s">
        <v>17</v>
      </c>
    </row>
    <row r="136" spans="2:48" ht="18" customHeight="1" x14ac:dyDescent="0.25">
      <c r="B136" s="136">
        <v>1</v>
      </c>
      <c r="C136" s="171" t="str">
        <f>IF('17M GRP'!G5&gt;=3,'17M GRP'!J10,IF('17M GRP'!G5=2,IF('17M GRP'!H8=3,'17M GRP'!J10,""),IF('17M GRP'!G5=1,"","")))</f>
        <v>ANDRÉ YUJI YOSHIDA MEIRA</v>
      </c>
      <c r="D136" s="266">
        <v>1</v>
      </c>
      <c r="E136" s="101">
        <f>IF(D136&lt;&gt;"",D136,"")</f>
        <v>1</v>
      </c>
      <c r="F136" s="101" t="str">
        <f>IF(D136&lt;&gt;"",IF(C136="","",C136),"")</f>
        <v>ANDRÉ YUJI YOSHIDA MEIRA</v>
      </c>
      <c r="G136" s="190">
        <f>IF(E136&lt;&gt;"",IF(E138&lt;&gt;"",SMALL(E136:E138,1),""),"")</f>
        <v>0</v>
      </c>
      <c r="H136" s="101"/>
      <c r="I136" s="101"/>
      <c r="J136" s="101"/>
      <c r="K136" s="190"/>
      <c r="L136" s="29"/>
      <c r="M136" s="30"/>
      <c r="N136" s="30"/>
      <c r="O136" s="196"/>
      <c r="P136" s="30"/>
      <c r="Q136" s="37"/>
      <c r="R136" s="198"/>
      <c r="S136" s="37"/>
      <c r="T136" s="37"/>
      <c r="U136" s="37"/>
      <c r="V136" s="198"/>
      <c r="W136" s="37"/>
      <c r="X136" s="86"/>
      <c r="Y136" s="198"/>
      <c r="Z136" s="37"/>
      <c r="AA136" s="37"/>
      <c r="AB136" s="29"/>
      <c r="AC136" s="198"/>
      <c r="AD136" s="37"/>
      <c r="AE136" s="37"/>
      <c r="AF136" s="37"/>
      <c r="AG136" s="197">
        <f>IF(AJ136&lt;&gt;"",AJ136,"")</f>
        <v>1</v>
      </c>
      <c r="AH136" s="100" t="str">
        <f>IF(AJ136&lt;&gt;"",IF(AK136="","",AK136),"")</f>
        <v>CAUÃ NAVARRO BRUZATI</v>
      </c>
      <c r="AI136" s="101">
        <f>IF(AG136&lt;&gt;"",IF(AG138&lt;&gt;"",SMALL(AG136:AG138,1),""),"")</f>
        <v>0</v>
      </c>
      <c r="AJ136" s="266">
        <v>1</v>
      </c>
      <c r="AK136" s="171" t="str">
        <f>IF('17M GRP'!G5&gt;=3,'17M GRP'!J49,IF('17M GRP'!G5=2,"",IF('17M GRP'!G5=1,"","")))</f>
        <v>CAUÃ NAVARRO BRUZATI</v>
      </c>
      <c r="AL136" s="99">
        <v>3</v>
      </c>
      <c r="AP136" s="31">
        <f>IF(AR136&lt;&gt;"",1,"")</f>
        <v>1</v>
      </c>
      <c r="AQ136" s="32" t="str">
        <f>IF(AP136&lt;&gt;"","LUGAR","")</f>
        <v>LUGAR</v>
      </c>
      <c r="AR136" s="33" t="str">
        <f>IF(S164&lt;&gt;"",IF(U164&lt;&gt;"",IF(S164=U164,"",IF(S164&gt;U164,R164,V164)),""),"")</f>
        <v>ANDRÉ YUJI YOSHIDA MEIRA</v>
      </c>
      <c r="AS136" s="33" t="str">
        <f>IFERROR(IF(AR136="","",VLOOKUP(AR136,LISTAS!$F$5:$G$1004,2,0)),"0")</f>
        <v>COLÉGIO ENGENHEIRO SALVADOR ARENA</v>
      </c>
      <c r="AT136" s="33">
        <f>IF(AP136="","",IF(AP136=1,100,IF(AP136=2,80,IF(AP136=3,70,IF(AP136=4,50,IF(AP136=5,45,IF(AP136=6,40,IF(AP136=7,35,IF(AP136=8,30,IF(AP136=9,28,IF(AP136=10,28,IF(AP136=11,28,IF(AP136=12,28,IF(AP136=13,28,IF(AP136=14,28,IF(AP136=15,28,IF(AP136=16,28,IF(AP136&gt;16,"",""))))))))))))))))))</f>
        <v>100</v>
      </c>
      <c r="AU136" s="33">
        <f>IF(AP136="","",IF($AS$5="NÃO","",IF(AP136=1,100,IF(AP136=2,80,IF(AP136=3,70,IF(AP136=4,50,IF(AP136=5,45,IF(AP136=6,40,IF(AP136=7,35,IF(AP136=8,30,IF(AP136=9,28,IF(AP136=10,28,IF(AP136=11,28,IF(AP136=12,28,IF(AP136=13,28,IF(AP136=14,28,IF(AP136=15,28,IF(AP136=16,28,IF(AP136&gt;16,"","")))))))))))))))))))</f>
        <v>100</v>
      </c>
    </row>
    <row r="137" spans="2:48" ht="18" customHeight="1" thickBot="1" x14ac:dyDescent="0.3">
      <c r="B137" s="136"/>
      <c r="C137" s="172" t="str">
        <f>IFERROR(IF(C136="","",VLOOKUP(C136,LISTAS!$F$5:$G$1004,2,0)),"0")</f>
        <v>COLÉGIO ENGENHEIRO SALVADOR ARENA</v>
      </c>
      <c r="D137" s="267"/>
      <c r="E137" s="101"/>
      <c r="F137" s="101"/>
      <c r="G137" s="190"/>
      <c r="H137" s="101"/>
      <c r="I137" s="101"/>
      <c r="J137" s="101"/>
      <c r="K137" s="190"/>
      <c r="L137" s="29"/>
      <c r="M137" s="30"/>
      <c r="N137" s="30"/>
      <c r="O137" s="196"/>
      <c r="P137" s="30"/>
      <c r="Q137" s="37"/>
      <c r="R137" s="198"/>
      <c r="S137" s="37"/>
      <c r="T137" s="37"/>
      <c r="U137" s="37"/>
      <c r="V137" s="198"/>
      <c r="W137" s="37"/>
      <c r="X137" s="86"/>
      <c r="Y137" s="198"/>
      <c r="Z137" s="37"/>
      <c r="AA137" s="37"/>
      <c r="AB137" s="29"/>
      <c r="AC137" s="198"/>
      <c r="AD137" s="37"/>
      <c r="AE137" s="37"/>
      <c r="AF137" s="37"/>
      <c r="AG137" s="197"/>
      <c r="AH137" s="100"/>
      <c r="AI137" s="101"/>
      <c r="AJ137" s="267"/>
      <c r="AK137" s="172" t="str">
        <f>IFERROR(IF(AK136="","",VLOOKUP(AK136,LISTAS!$F$5:$G$1004,2,0)),"0")</f>
        <v>COLÉGIO ENGENHEIRO SALVADOR ARENA</v>
      </c>
      <c r="AL137" s="99"/>
      <c r="AP137" s="31">
        <f>IF(AR137&lt;&gt;"",1+COUNTIF(AP136,"1"),"")</f>
        <v>2</v>
      </c>
      <c r="AQ137" s="32" t="str">
        <f t="shared" ref="AQ137:AQ167" si="6">IF(AP137&lt;&gt;"","LUGAR","")</f>
        <v>LUGAR</v>
      </c>
      <c r="AR137" s="33" t="str">
        <f>IF(S164&lt;&gt;"",IF(U164&lt;&gt;"",IF(S164=U164,"",IF(S164&lt;U164,R164,V164)),""),"")</f>
        <v>LEANDRO SAKATA MOURA</v>
      </c>
      <c r="AS137" s="33" t="str">
        <f>IFERROR(IF(AR137="","",VLOOKUP(AR137,LISTAS!$F$5:$G$1004,2,0)),"0")</f>
        <v>ESCOLA PRÓ CONHECER</v>
      </c>
      <c r="AT137" s="33">
        <f t="shared" ref="AT137:AT166" si="7">IF(AP137="","",IF(AP137=1,100,IF(AP137=2,80,IF(AP137=3,70,IF(AP137=4,50,IF(AP137=5,45,IF(AP137=6,40,IF(AP137=7,35,IF(AP137=8,30,IF(AP137=9,28,IF(AP137=10,28,IF(AP137=11,28,IF(AP137=12,28,IF(AP137=13,28,IF(AP137=14,28,IF(AP137=15,28,IF(AP137=16,28,IF(AP137&gt;16,"",""))))))))))))))))))</f>
        <v>80</v>
      </c>
      <c r="AU137" s="33">
        <f t="shared" ref="AU137:AU166" si="8">IF(AP137="","",IF($AS$5="NÃO","",IF(AP137=1,100,IF(AP137=2,80,IF(AP137=3,70,IF(AP137=4,50,IF(AP137=5,45,IF(AP137=6,40,IF(AP137=7,35,IF(AP137=8,30,IF(AP137=9,28,IF(AP137=10,28,IF(AP137=11,28,IF(AP137=12,28,IF(AP137=13,28,IF(AP137=14,28,IF(AP137=15,28,IF(AP137=16,28,IF(AP137&gt;16,"","")))))))))))))))))))</f>
        <v>80</v>
      </c>
    </row>
    <row r="138" spans="2:48" ht="18" customHeight="1" x14ac:dyDescent="0.25">
      <c r="B138" s="133">
        <v>32</v>
      </c>
      <c r="C138" s="171" t="str">
        <f>IF('17M GRP'!G5&gt;=3,'17M GRP'!J426,IF('17M GRP'!G5=2,"",IF('17M GRP'!G5=1,"","")))</f>
        <v/>
      </c>
      <c r="D138" s="266">
        <v>0</v>
      </c>
      <c r="E138" s="107">
        <f>IF(D138&lt;&gt;"",D138,"")</f>
        <v>0</v>
      </c>
      <c r="F138" s="101" t="str">
        <f>IF(D138&lt;&gt;"",IF(C138="","",C138),"")</f>
        <v/>
      </c>
      <c r="G138" s="190" t="str">
        <f>VLOOKUP(G136,E136:F138,2,0)</f>
        <v/>
      </c>
      <c r="H138" s="101"/>
      <c r="I138" s="101"/>
      <c r="J138" s="101"/>
      <c r="K138" s="190"/>
      <c r="L138" s="29"/>
      <c r="M138" s="30"/>
      <c r="N138" s="30"/>
      <c r="O138" s="196"/>
      <c r="P138" s="30"/>
      <c r="Q138" s="37"/>
      <c r="R138" s="198"/>
      <c r="S138" s="37"/>
      <c r="T138" s="37"/>
      <c r="U138" s="37"/>
      <c r="V138" s="198"/>
      <c r="W138" s="37"/>
      <c r="X138" s="86"/>
      <c r="Y138" s="198"/>
      <c r="Z138" s="37"/>
      <c r="AA138" s="37"/>
      <c r="AB138" s="29"/>
      <c r="AC138" s="198"/>
      <c r="AD138" s="37"/>
      <c r="AE138" s="37"/>
      <c r="AF138" s="37"/>
      <c r="AG138" s="197">
        <f>IF(AJ138&lt;&gt;"",AJ138,"")</f>
        <v>0</v>
      </c>
      <c r="AH138" s="100" t="str">
        <f>IF(AJ138&lt;&gt;"",IF(AK138="","",AK138),"")</f>
        <v/>
      </c>
      <c r="AI138" s="102" t="str">
        <f>VLOOKUP(AI136,AG136:AH138,2,0)</f>
        <v/>
      </c>
      <c r="AJ138" s="266">
        <v>0</v>
      </c>
      <c r="AK138" s="171" t="str">
        <f>IF('17M GRP'!G5&gt;=3,'17M GRP'!J400,IF('17M GRP'!G5=2,"",IF('17M GRP'!G5=1,"","")))</f>
        <v/>
      </c>
      <c r="AL138" s="29">
        <v>30</v>
      </c>
      <c r="AP138" s="31">
        <f>IF(AR138&lt;&gt;"",1+COUNTIF(AP136:AP137,"1")+COUNTIF(AP136:AP137,"2"),"")</f>
        <v>3</v>
      </c>
      <c r="AQ138" s="32" t="str">
        <f t="shared" si="6"/>
        <v>LUGAR</v>
      </c>
      <c r="AR138" s="111" t="str">
        <f>IF(AR136&lt;&gt;"",IF(O163=AR136,O165,IF(O165=AR136,O163,IF(Y163=AR136,Y165,IF(Y165=AR136,Y163)))),"")</f>
        <v>MURILO ANDRADE</v>
      </c>
      <c r="AS138" s="33" t="str">
        <f>IFERROR(IF(AR138="","",VLOOKUP(AR138,LISTAS!$F$5:$G$1004,2,0)),"0")</f>
        <v>COLÉGIO ARBOS DE SÃO BERNARDO DO CAMPO</v>
      </c>
      <c r="AT138" s="33">
        <f t="shared" si="7"/>
        <v>70</v>
      </c>
      <c r="AU138" s="33">
        <f t="shared" si="8"/>
        <v>70</v>
      </c>
    </row>
    <row r="139" spans="2:48" ht="18" customHeight="1" thickBot="1" x14ac:dyDescent="0.3">
      <c r="B139" s="133"/>
      <c r="C139" s="172" t="str">
        <f>IFERROR(IF(C138="","",VLOOKUP(C138,LISTAS!$F$5:$G$1004,2,0)),"0")</f>
        <v/>
      </c>
      <c r="D139" s="267"/>
      <c r="E139" s="148"/>
      <c r="F139" s="101"/>
      <c r="G139" s="190"/>
      <c r="H139" s="101"/>
      <c r="I139" s="101"/>
      <c r="J139" s="101"/>
      <c r="K139" s="190"/>
      <c r="L139" s="29"/>
      <c r="M139" s="30"/>
      <c r="N139" s="30"/>
      <c r="O139" s="196"/>
      <c r="P139" s="30"/>
      <c r="Q139" s="37"/>
      <c r="R139" s="198"/>
      <c r="S139" s="37"/>
      <c r="T139" s="37"/>
      <c r="U139" s="37"/>
      <c r="V139" s="198"/>
      <c r="W139" s="37"/>
      <c r="X139" s="86"/>
      <c r="Y139" s="198"/>
      <c r="Z139" s="37"/>
      <c r="AA139" s="37"/>
      <c r="AB139" s="29"/>
      <c r="AC139" s="198"/>
      <c r="AD139" s="37"/>
      <c r="AE139" s="37"/>
      <c r="AF139" s="37"/>
      <c r="AG139" s="197"/>
      <c r="AH139" s="100"/>
      <c r="AI139" s="142"/>
      <c r="AJ139" s="267"/>
      <c r="AK139" s="172" t="str">
        <f>IFERROR(IF(AK138="","",VLOOKUP(AK138,LISTAS!$F$5:$G$1004,2,0)),"0")</f>
        <v/>
      </c>
      <c r="AL139" s="29"/>
      <c r="AP139" s="31">
        <f>IF(AR139&lt;&gt;"",1+COUNTIF(AP136:AP138,"1")+COUNTIF(AP136:AP138,"2")+COUNTIF(AP136:AP138,"3"),"")</f>
        <v>4</v>
      </c>
      <c r="AQ139" s="32" t="str">
        <f t="shared" si="6"/>
        <v>LUGAR</v>
      </c>
      <c r="AR139" s="111" t="str">
        <f>IF(AR137&lt;&gt;"",IF(O163=AR137,O165,IF(O165=AR137,O163,IF(Y163=AR137,Y165,IF(Y165=AR137,Y163)))),"")</f>
        <v>VINÍCIUS SELICHEVIC MESSIAS</v>
      </c>
      <c r="AS139" s="33" t="str">
        <f>IFERROR(IF(AR139="","",VLOOKUP(AR139,LISTAS!$F$5:$G$1004,2,0)),"0")</f>
        <v>COLÉGIO ENGENHEIRO SALVADOR ARENA</v>
      </c>
      <c r="AT139" s="33">
        <f t="shared" si="7"/>
        <v>50</v>
      </c>
      <c r="AU139" s="33">
        <f t="shared" si="8"/>
        <v>50</v>
      </c>
    </row>
    <row r="140" spans="2:48" ht="18" customHeight="1" x14ac:dyDescent="0.25">
      <c r="B140" s="133"/>
      <c r="C140" s="188"/>
      <c r="D140" s="29"/>
      <c r="E140" s="29"/>
      <c r="F140" s="34"/>
      <c r="G140" s="171" t="str">
        <f>IF(D136&lt;&gt;"",IF(D138&lt;&gt;"",IF(D136=D138,"",IF(D136&gt;D138,C136,C138)),""),"")</f>
        <v>ANDRÉ YUJI YOSHIDA MEIRA</v>
      </c>
      <c r="H140" s="266">
        <v>1</v>
      </c>
      <c r="I140" s="101">
        <f>IF(H140&lt;&gt;"",H140,"")</f>
        <v>1</v>
      </c>
      <c r="J140" s="101" t="str">
        <f>IF(H140&lt;&gt;"",IF(G140="","",G140),"")</f>
        <v>ANDRÉ YUJI YOSHIDA MEIRA</v>
      </c>
      <c r="K140" s="190">
        <f>IF(I140&lt;&gt;"",IF(I142&lt;&gt;"",SMALL(I140:J142,1),""),"")</f>
        <v>0</v>
      </c>
      <c r="L140" s="101"/>
      <c r="M140" s="101"/>
      <c r="N140" s="101"/>
      <c r="O140" s="188"/>
      <c r="P140" s="29"/>
      <c r="Q140" s="37"/>
      <c r="R140" s="198"/>
      <c r="S140" s="37"/>
      <c r="T140" s="37"/>
      <c r="U140" s="37"/>
      <c r="V140" s="198"/>
      <c r="W140" s="37"/>
      <c r="X140" s="86"/>
      <c r="Y140" s="198"/>
      <c r="Z140" s="37"/>
      <c r="AA140" s="37"/>
      <c r="AB140" s="29"/>
      <c r="AC140" s="198"/>
      <c r="AD140" s="37"/>
      <c r="AE140" s="95"/>
      <c r="AF140" s="266">
        <v>1</v>
      </c>
      <c r="AG140" s="171" t="str">
        <f>IF(AJ136&lt;&gt;"",IF(AJ138&lt;&gt;"",IF(AJ136=AJ138,"",IF(AJ136&gt;AJ138,AK136,AK138)),""),"")</f>
        <v>CAUÃ NAVARRO BRUZATI</v>
      </c>
      <c r="AH140" s="94"/>
      <c r="AI140" s="37"/>
      <c r="AJ140" s="29"/>
      <c r="AK140" s="188"/>
      <c r="AL140" s="29"/>
      <c r="AP140" s="31">
        <f>IF(AR140&lt;&gt;"",1+COUNTIF(AP136:AP139,"1")+COUNTIF(AP136:AP139,"2")+COUNTIF(AP136:AP139,"3")+COUNTIF(AP136:AP139,"4"),"")</f>
        <v>5</v>
      </c>
      <c r="AQ140" s="32" t="str">
        <f t="shared" si="6"/>
        <v>LUGAR</v>
      </c>
      <c r="AR140" s="111" t="str">
        <f>IF(AR136&lt;&gt;"",IF(K148=AR136,K150,IF(K150=AR136,K148,IF(K178=AR136,K180,IF(K180=AR136,K178,IF(AC148=AR136,AC150,IF(AC150=AR136,AC148,IF(AC178=AR136,AC180,IF(AC180=AR136,AC178)))))))),"")</f>
        <v>MARCO ANTONIO RODRIGUES TAVARES DA SILVA</v>
      </c>
      <c r="AS140" s="33" t="str">
        <f>IFERROR(IF(AR140="","",VLOOKUP(AR140,LISTAS!$F$5:$G$1004,2,0)),"0")</f>
        <v>COLÉGIO ENGENHEIRO SALVADOR ARENA</v>
      </c>
      <c r="AT140" s="33">
        <f t="shared" si="7"/>
        <v>45</v>
      </c>
      <c r="AU140" s="33">
        <f t="shared" si="8"/>
        <v>45</v>
      </c>
    </row>
    <row r="141" spans="2:48" ht="18" customHeight="1" thickBot="1" x14ac:dyDescent="0.3">
      <c r="B141" s="133"/>
      <c r="C141" s="188"/>
      <c r="D141" s="29"/>
      <c r="E141" s="29"/>
      <c r="F141" s="34"/>
      <c r="G141" s="172" t="str">
        <f>IFERROR(IF(G140="","",VLOOKUP(G140,LISTAS!$F$5:$G$1004,2,0)),"0")</f>
        <v>COLÉGIO ENGENHEIRO SALVADOR ARENA</v>
      </c>
      <c r="H141" s="267"/>
      <c r="I141" s="101"/>
      <c r="J141" s="101"/>
      <c r="K141" s="190"/>
      <c r="L141" s="101"/>
      <c r="M141" s="101"/>
      <c r="N141" s="101"/>
      <c r="O141" s="188"/>
      <c r="P141" s="29"/>
      <c r="Q141" s="37"/>
      <c r="R141" s="198"/>
      <c r="S141" s="37"/>
      <c r="T141" s="37"/>
      <c r="U141" s="37"/>
      <c r="V141" s="198"/>
      <c r="W141" s="37"/>
      <c r="X141" s="86"/>
      <c r="Y141" s="198"/>
      <c r="Z141" s="37"/>
      <c r="AA141" s="37"/>
      <c r="AB141" s="29"/>
      <c r="AC141" s="198"/>
      <c r="AD141" s="37"/>
      <c r="AE141" s="95"/>
      <c r="AF141" s="267"/>
      <c r="AG141" s="172" t="str">
        <f>IFERROR(IF(AG140="","",VLOOKUP(AG140,LISTAS!$F$5:$G$1004,2,0)),"0")</f>
        <v>COLÉGIO ENGENHEIRO SALVADOR ARENA</v>
      </c>
      <c r="AH141" s="94"/>
      <c r="AI141" s="37"/>
      <c r="AJ141" s="29"/>
      <c r="AK141" s="188"/>
      <c r="AL141" s="29"/>
      <c r="AP141" s="31" t="str">
        <f>IF(AR141&lt;&gt;"",1+COUNTIF(AP136:AP140,"1")+COUNTIF(AP136:AP140,"2")+COUNTIF(AP136:AP140,"3")+COUNTIF(AP136:AP140,"4")+COUNTIF(AP136:AP140,"5"),"")</f>
        <v/>
      </c>
      <c r="AQ141" s="32" t="str">
        <f t="shared" si="6"/>
        <v/>
      </c>
      <c r="AR141" s="111" t="str">
        <f>IF(AR137&lt;&gt;"",IF(K148=AR137,K150,IF(K150=AR137,K148,IF(K178=AR137,K180,IF(K180=AR137,K178,IF(AC148=AR137,AC150,IF(AC150=AR137,AC148,IF(AC178=AR137,AC180,IF(AC180=AR137,AC178)))))))),"")</f>
        <v/>
      </c>
      <c r="AS141" s="33" t="str">
        <f>IFERROR(IF(AR141="","",VLOOKUP(AR141,LISTAS!$F$5:$G$1004,2,0)),"0")</f>
        <v/>
      </c>
      <c r="AT141" s="33" t="str">
        <f t="shared" si="7"/>
        <v/>
      </c>
      <c r="AU141" s="33" t="str">
        <f t="shared" si="8"/>
        <v/>
      </c>
    </row>
    <row r="142" spans="2:48" ht="18" customHeight="1" x14ac:dyDescent="0.25">
      <c r="B142" s="133"/>
      <c r="C142" s="188"/>
      <c r="D142" s="29"/>
      <c r="E142" s="35"/>
      <c r="F142" s="36"/>
      <c r="G142" s="171" t="str">
        <f>IF(D144&lt;&gt;"",IF(D146&lt;&gt;"",IF(D144=D146,"",IF(D144&gt;D146,C144,C146)),""),"")</f>
        <v/>
      </c>
      <c r="H142" s="266">
        <v>0</v>
      </c>
      <c r="I142" s="107">
        <f>IF(H142&lt;&gt;"",H142,"")</f>
        <v>0</v>
      </c>
      <c r="J142" s="101" t="str">
        <f>IF(H142&lt;&gt;"",IF(G142="","",G142),"")</f>
        <v/>
      </c>
      <c r="K142" s="190" t="str">
        <f>VLOOKUP(K140,I140:J142,2,0)</f>
        <v/>
      </c>
      <c r="L142" s="101"/>
      <c r="M142" s="101"/>
      <c r="N142" s="101"/>
      <c r="O142" s="188"/>
      <c r="P142" s="29"/>
      <c r="Q142" s="37"/>
      <c r="R142" s="198"/>
      <c r="S142" s="37"/>
      <c r="T142" s="37"/>
      <c r="U142" s="37"/>
      <c r="V142" s="198"/>
      <c r="W142" s="37"/>
      <c r="X142" s="86"/>
      <c r="Y142" s="198"/>
      <c r="Z142" s="37"/>
      <c r="AA142" s="37"/>
      <c r="AB142" s="29"/>
      <c r="AC142" s="198"/>
      <c r="AD142" s="94"/>
      <c r="AE142" s="96"/>
      <c r="AF142" s="266">
        <v>0</v>
      </c>
      <c r="AG142" s="171" t="str">
        <f>IF(AJ144&lt;&gt;"",IF(AJ146&lt;&gt;"",IF(AJ144=AJ146,"",IF(AJ144&gt;AJ146,AK144,AK146)),""),"")</f>
        <v/>
      </c>
      <c r="AH142" s="98"/>
      <c r="AI142" s="37"/>
      <c r="AJ142" s="29"/>
      <c r="AK142" s="188"/>
      <c r="AL142" s="29"/>
      <c r="AN142" s="2"/>
      <c r="AO142" s="2"/>
      <c r="AP142" s="31">
        <f>IF(AR142&lt;&gt;"",1+COUNTIF(AP136:AP141,"1")+COUNTIF(AP136:AP141,"2")+COUNTIF(AP136:AP141,"3")+COUNTIF(AP136:AP141,"4")+COUNTIF(AP136:AP141,"5")+COUNTIF(AP136:AP141,"6"),"")</f>
        <v>6</v>
      </c>
      <c r="AQ142" s="32" t="str">
        <f t="shared" si="6"/>
        <v>LUGAR</v>
      </c>
      <c r="AR142" s="111" t="str">
        <f>IF(AR138&lt;&gt;"",IF(K148=AR138,K150,IF(K150=AR138,K148,IF(K178=AR138,K180,IF(K180=AR138,K178,IF(AC148=AR138,AC150,IF(AC150=AR138,AC148,IF(AC178=AR138,AC180,IF(AC180=AR138,AC178)))))))),"")</f>
        <v>ÁLVARO LUIS ALBANEZ VIEIRA DA SILVA</v>
      </c>
      <c r="AS142" s="33" t="str">
        <f>IFERROR(IF(AR142="","",VLOOKUP(AR142,LISTAS!$F$5:$G$1004,2,0)),"0")</f>
        <v>ESCOLA STAGIUM</v>
      </c>
      <c r="AT142" s="33">
        <f t="shared" si="7"/>
        <v>40</v>
      </c>
      <c r="AU142" s="33">
        <f t="shared" si="8"/>
        <v>40</v>
      </c>
      <c r="AV142" s="2"/>
    </row>
    <row r="143" spans="2:48" ht="18" customHeight="1" thickBot="1" x14ac:dyDescent="0.3">
      <c r="B143" s="133"/>
      <c r="C143" s="188"/>
      <c r="D143" s="29"/>
      <c r="E143" s="35"/>
      <c r="F143" s="29"/>
      <c r="G143" s="172" t="str">
        <f>IFERROR(IF(G142="","",VLOOKUP(G142,LISTAS!$F$5:$G$1004,2,0)),"0")</f>
        <v/>
      </c>
      <c r="H143" s="267"/>
      <c r="I143" s="138"/>
      <c r="J143" s="101"/>
      <c r="K143" s="190"/>
      <c r="L143" s="101"/>
      <c r="M143" s="101"/>
      <c r="N143" s="101"/>
      <c r="O143" s="188"/>
      <c r="P143" s="29"/>
      <c r="Q143" s="37"/>
      <c r="R143" s="198"/>
      <c r="S143" s="37"/>
      <c r="T143" s="37"/>
      <c r="U143" s="37"/>
      <c r="V143" s="198"/>
      <c r="W143" s="37"/>
      <c r="X143" s="86"/>
      <c r="Y143" s="198"/>
      <c r="Z143" s="37"/>
      <c r="AA143" s="37"/>
      <c r="AB143" s="29"/>
      <c r="AC143" s="198"/>
      <c r="AD143" s="94"/>
      <c r="AE143" s="37"/>
      <c r="AF143" s="267"/>
      <c r="AG143" s="172" t="str">
        <f>IFERROR(IF(AG142="","",VLOOKUP(AG142,LISTAS!$F$5:$G$1004,2,0)),"0")</f>
        <v/>
      </c>
      <c r="AH143" s="37"/>
      <c r="AI143" s="89"/>
      <c r="AJ143" s="29"/>
      <c r="AK143" s="188"/>
      <c r="AL143" s="29"/>
      <c r="AM143" s="2"/>
      <c r="AN143" s="2"/>
      <c r="AO143" s="2"/>
      <c r="AP143" s="31">
        <f>IF(AR143&lt;&gt;"",1+COUNTIF(AP136:AP142,"1")+COUNTIF(AP136:AP142,"2")+COUNTIF(AP136:AP142,"3")+COUNTIF(AP136:AP142,"4")+COUNTIF(AP136:AP142,"5")+COUNTIF(AP136:AP142,"6")+COUNTIF(AP136:AP142,"7"),"")</f>
        <v>7</v>
      </c>
      <c r="AQ143" s="32" t="str">
        <f t="shared" si="6"/>
        <v>LUGAR</v>
      </c>
      <c r="AR143" s="111" t="str">
        <f>IF(AR139&lt;&gt;"",IF(K148=AR139,K150,IF(K150=AR139,K148,IF(K178=AR139,K180,IF(K180=AR139,K178,IF(AC148=AR139,AC150,IF(AC150=AR139,AC148,IF(AC178=AR139,AC180,IF(AC180=AR139,AC178)))))))),"")</f>
        <v>CAUÃ NAVARRO BRUZATI</v>
      </c>
      <c r="AS143" s="33" t="str">
        <f>IFERROR(IF(AR143="","",VLOOKUP(AR143,LISTAS!$F$5:$G$1004,2,0)),"0")</f>
        <v>COLÉGIO ENGENHEIRO SALVADOR ARENA</v>
      </c>
      <c r="AT143" s="33">
        <f t="shared" si="7"/>
        <v>35</v>
      </c>
      <c r="AU143" s="33">
        <f t="shared" si="8"/>
        <v>35</v>
      </c>
      <c r="AV143" s="2"/>
    </row>
    <row r="144" spans="2:48" ht="18" customHeight="1" x14ac:dyDescent="0.25">
      <c r="B144" s="133">
        <v>17</v>
      </c>
      <c r="C144" s="171" t="str">
        <f>IF('17M GRP'!G5&gt;=3,'17M GRP'!J231,IF('17M GRP'!G5=2,"",IF('17M GRP'!G5=1,"","")))</f>
        <v/>
      </c>
      <c r="D144" s="266">
        <v>0</v>
      </c>
      <c r="E144" s="148">
        <f>IF(D144&lt;&gt;"",D144,"")</f>
        <v>0</v>
      </c>
      <c r="F144" s="101" t="str">
        <f>IF(D144&lt;&gt;"",IF(C144="","",C144),"")</f>
        <v/>
      </c>
      <c r="G144" s="190">
        <f>IF(E144&lt;&gt;"",IF(E146&lt;&gt;"",SMALL(E144:E146,1),""),"")</f>
        <v>0</v>
      </c>
      <c r="H144" s="101"/>
      <c r="I144" s="138"/>
      <c r="J144" s="29"/>
      <c r="K144" s="188"/>
      <c r="L144" s="29"/>
      <c r="M144" s="29"/>
      <c r="N144" s="29"/>
      <c r="O144" s="188"/>
      <c r="P144" s="29"/>
      <c r="Q144" s="37"/>
      <c r="R144" s="198"/>
      <c r="S144" s="37"/>
      <c r="T144" s="37"/>
      <c r="U144" s="37"/>
      <c r="V144" s="198"/>
      <c r="W144" s="37"/>
      <c r="X144" s="86"/>
      <c r="Y144" s="198"/>
      <c r="Z144" s="37"/>
      <c r="AA144" s="37"/>
      <c r="AB144" s="29"/>
      <c r="AC144" s="198"/>
      <c r="AD144" s="94"/>
      <c r="AE144" s="100"/>
      <c r="AF144" s="100"/>
      <c r="AG144" s="197">
        <f>IF(AJ144&lt;&gt;"",AJ144,"")</f>
        <v>0</v>
      </c>
      <c r="AH144" s="100" t="str">
        <f>IF(AJ144&lt;&gt;"",IF(AK144="","",AK144),"")</f>
        <v/>
      </c>
      <c r="AI144" s="137">
        <f>IF(AG144&lt;&gt;"",IF(AG146&lt;&gt;"",SMALL(AG144:AG146,1),""),"")</f>
        <v>0</v>
      </c>
      <c r="AJ144" s="266">
        <v>0</v>
      </c>
      <c r="AK144" s="39"/>
      <c r="AL144" s="29">
        <v>14</v>
      </c>
      <c r="AM144" s="2"/>
      <c r="AP144" s="31" t="str">
        <f>IF(AR144&lt;&gt;"",1+COUNTIF(AP136:AP143,"1")+COUNTIF(AP136:AP143,"2")+COUNTIF(AP136:AP143,"3")+COUNTIF(AP136:AP143,"4")+COUNTIF(AP136:AP143,"5")+COUNTIF(AP136:AP143,"6")+COUNTIF(AP136:AP143,"7")+COUNTIF(AP136:AP143,"8"),"")</f>
        <v/>
      </c>
      <c r="AQ144" s="32" t="str">
        <f t="shared" si="6"/>
        <v/>
      </c>
      <c r="AR144" s="111" t="str">
        <f>IF(AR136&lt;&gt;"",IF(G140=AR136,G142,IF(G142=AR136,G140,IF(G156=AR136,G158,IF(G158=AR136,G156,IF(AG140=AR136,AG142,IF(AG142=AR136,AG140,IF(AG156=AR136,AG158,IF(AG158=AR136,AG156,IF(G170=AR136,G172,IF(G172=AR136,G170,IF(G186=AR136,G188,IF(G188=AR136,G186,IF(AG170=AR136,AG172,IF(AG172=AR136,AG170,IF(AG186=AR136,AG188,IF(AG188=AR136,AG186)))))))))))))))),"")</f>
        <v/>
      </c>
      <c r="AS144" s="33" t="str">
        <f>IFERROR(IF(AR144="","",VLOOKUP(AR144,LISTAS!$F$5:$G$1004,2,0)),"0")</f>
        <v/>
      </c>
      <c r="AT144" s="33" t="str">
        <f t="shared" si="7"/>
        <v/>
      </c>
      <c r="AU144" s="33" t="str">
        <f t="shared" si="8"/>
        <v/>
      </c>
    </row>
    <row r="145" spans="2:47" ht="18" customHeight="1" thickBot="1" x14ac:dyDescent="0.3">
      <c r="B145" s="133"/>
      <c r="C145" s="172" t="str">
        <f>IFERROR(IF(C144="","",VLOOKUP(C144,LISTAS!$F$5:$G$1004,2,0)),"0")</f>
        <v/>
      </c>
      <c r="D145" s="267"/>
      <c r="E145" s="105"/>
      <c r="F145" s="101"/>
      <c r="G145" s="190"/>
      <c r="H145" s="101"/>
      <c r="I145" s="138"/>
      <c r="J145" s="29"/>
      <c r="K145" s="188"/>
      <c r="L145" s="29"/>
      <c r="M145" s="29"/>
      <c r="N145" s="29"/>
      <c r="O145" s="188"/>
      <c r="P145" s="29"/>
      <c r="Q145" s="37"/>
      <c r="R145" s="198"/>
      <c r="S145" s="37"/>
      <c r="T145" s="37"/>
      <c r="U145" s="37"/>
      <c r="V145" s="198"/>
      <c r="W145" s="37"/>
      <c r="X145" s="86"/>
      <c r="Y145" s="198"/>
      <c r="Z145" s="37"/>
      <c r="AA145" s="37"/>
      <c r="AB145" s="29"/>
      <c r="AC145" s="198"/>
      <c r="AD145" s="94"/>
      <c r="AE145" s="100"/>
      <c r="AF145" s="100"/>
      <c r="AG145" s="197"/>
      <c r="AH145" s="100"/>
      <c r="AI145" s="143"/>
      <c r="AJ145" s="267"/>
      <c r="AK145" s="172" t="str">
        <f>IFERROR(IF(AK144="","",VLOOKUP(AK144,LISTAS!$F$5:$G$1004,2,0)),"0")</f>
        <v/>
      </c>
      <c r="AL145" s="29"/>
      <c r="AP145" s="31">
        <f>IF(AR145&lt;&gt;"",1+COUNTIF(AP136:AP144,"1")+COUNTIF(AP136:AP144,"2")+COUNTIF(AP136:AP144,"3")+COUNTIF(AP136:AP144,"4")+COUNTIF(AP136:AP144,"5")+COUNTIF(AP136:AP144,"6")+COUNTIF(AP136:AP144,"7")+COUNTIF(AP136:AP144,"8")+COUNTIF(AP136:AP144,"9"),"")</f>
        <v>8</v>
      </c>
      <c r="AQ145" s="32" t="str">
        <f t="shared" si="6"/>
        <v>LUGAR</v>
      </c>
      <c r="AR145" s="111" t="str">
        <f>IF(AR137&lt;&gt;"",IF(G140=AR137,G142,IF(G142=AR137,G140,IF(G156=AR137,G158,IF(G158=AR137,G156,IF(AG140=AR137,AG142,IF(AG142=AR137,AG140,IF(AG156=AR137,AG158,IF(AG158=AR137,AG156,IF(G170=AR137,G172,IF(G172=AR137,G170,IF(G186=AR137,G188,IF(G188=AR137,G186,IF(AG170=AR137,AG172,IF(AG172=AR137,AG170,IF(AG186=AR137,AG188,IF(AG188=AR137,AG186)))))))))))))))),"")</f>
        <v>NÍCHOLAS SIMÕES VAZ</v>
      </c>
      <c r="AS145" s="33" t="str">
        <f>IFERROR(IF(AR145="","",VLOOKUP(AR145,LISTAS!$F$5:$G$1004,2,0)),"0")</f>
        <v>COLÉGIO ENGENHEIRO SALVADOR ARENA</v>
      </c>
      <c r="AT145" s="33">
        <f t="shared" si="7"/>
        <v>30</v>
      </c>
      <c r="AU145" s="33">
        <f t="shared" si="8"/>
        <v>30</v>
      </c>
    </row>
    <row r="146" spans="2:47" ht="18" customHeight="1" x14ac:dyDescent="0.25">
      <c r="B146" s="133">
        <v>16</v>
      </c>
      <c r="C146" s="171" t="str">
        <f>IF('17M GRP'!G5&gt;=3,'17M GRP'!J218,IF('17M GRP'!G5=2,"",IF('17M GRP'!G5=1,"","")))</f>
        <v/>
      </c>
      <c r="D146" s="266">
        <v>0</v>
      </c>
      <c r="E146" s="106">
        <f>IF(D146&lt;&gt;"",D146,"")</f>
        <v>0</v>
      </c>
      <c r="F146" s="101" t="str">
        <f>IF(D146&lt;&gt;"",IF(C146="","",C146),"")</f>
        <v/>
      </c>
      <c r="G146" s="190" t="str">
        <f>VLOOKUP(G144,E144:F146,2,0)</f>
        <v/>
      </c>
      <c r="H146" s="101"/>
      <c r="I146" s="138"/>
      <c r="J146" s="29"/>
      <c r="K146" s="188"/>
      <c r="L146" s="29"/>
      <c r="M146" s="29"/>
      <c r="N146" s="29"/>
      <c r="O146" s="188"/>
      <c r="P146" s="29"/>
      <c r="Q146" s="37"/>
      <c r="R146" s="198"/>
      <c r="S146" s="37"/>
      <c r="T146" s="37"/>
      <c r="U146" s="37"/>
      <c r="V146" s="198"/>
      <c r="W146" s="37"/>
      <c r="X146" s="86"/>
      <c r="Y146" s="198"/>
      <c r="Z146" s="37"/>
      <c r="AA146" s="37"/>
      <c r="AB146" s="29"/>
      <c r="AC146" s="198"/>
      <c r="AD146" s="94"/>
      <c r="AE146" s="100"/>
      <c r="AF146" s="100"/>
      <c r="AG146" s="197">
        <f>IF(AJ146&lt;&gt;"",AJ146,"")</f>
        <v>0</v>
      </c>
      <c r="AH146" s="100" t="str">
        <f>IF(AJ146&lt;&gt;"",IF(AK146="","",AK146),"")</f>
        <v/>
      </c>
      <c r="AI146" s="104" t="str">
        <f>VLOOKUP(AI144,AG144:AH146,2,0)</f>
        <v/>
      </c>
      <c r="AJ146" s="266">
        <v>0</v>
      </c>
      <c r="AK146" s="171" t="str">
        <f>IF('17M GRP'!G5&gt;=3,'17M GRP'!J257,IF('17M GRP'!G5=2,"",IF('17M GRP'!G5=1,"","")))</f>
        <v/>
      </c>
      <c r="AL146" s="29">
        <v>19</v>
      </c>
      <c r="AP146" s="31">
        <f>IF(AR146&lt;&gt;"",1+COUNTIF(AP136:AP145,"1")+COUNTIF(AP136:AP145,"2")+COUNTIF(AP136:AP145,"3")+COUNTIF(AP136:AP145,"4")+COUNTIF(AP136:AP145,"5")+COUNTIF(AP136:AP145,"6")+COUNTIF(AP136:AP145,"7")+COUNTIF(AP136:AP145,"8")+COUNTIF(AP136:AP145,"9")+COUNTIF(AP136:AP145,"10"),"")</f>
        <v>9</v>
      </c>
      <c r="AQ146" s="32" t="str">
        <f t="shared" si="6"/>
        <v>LUGAR</v>
      </c>
      <c r="AR146" s="111" t="str">
        <f>IF(AR138&lt;&gt;"",IF(G140=AR138,G142,IF(G142=AR138,G140,IF(G156=AR138,G158,IF(G158=AR138,G156,IF(AG140=AR138,AG142,IF(AG142=AR138,AG140,IF(AG156=AR138,AG158,IF(AG158=AR138,AG156,IF(G170=AR138,G172,IF(G172=AR138,G170,IF(G186=AR138,G188,IF(G188=AR138,G186,IF(AG170=AR138,AG172,IF(AG172=AR138,AG170,IF(AG186=AR138,AG188,IF(AG188=AR138,AG186)))))))))))))))),"")</f>
        <v>GUSTAVO FERNANDES</v>
      </c>
      <c r="AS146" s="33" t="str">
        <f>IFERROR(IF(AR146="","",VLOOKUP(AR146,LISTAS!$F$5:$G$1004,2,0)),"0")</f>
        <v>EDUCANDÁRIO - S.A</v>
      </c>
      <c r="AT146" s="33">
        <f t="shared" si="7"/>
        <v>28</v>
      </c>
      <c r="AU146" s="33">
        <f t="shared" si="8"/>
        <v>28</v>
      </c>
    </row>
    <row r="147" spans="2:47" ht="18" customHeight="1" thickBot="1" x14ac:dyDescent="0.3">
      <c r="B147" s="133"/>
      <c r="C147" s="172" t="str">
        <f>IFERROR(IF(C146="","",VLOOKUP(C146,LISTAS!$F$5:$G$1004,2,0)),"0")</f>
        <v/>
      </c>
      <c r="D147" s="267"/>
      <c r="E147" s="101"/>
      <c r="F147" s="101"/>
      <c r="G147" s="190"/>
      <c r="H147" s="101"/>
      <c r="I147" s="138"/>
      <c r="J147" s="29"/>
      <c r="K147" s="188"/>
      <c r="L147" s="29"/>
      <c r="M147" s="87"/>
      <c r="N147" s="87"/>
      <c r="O147" s="192"/>
      <c r="P147" s="29"/>
      <c r="Q147" s="37"/>
      <c r="R147" s="198"/>
      <c r="S147" s="37"/>
      <c r="T147" s="37"/>
      <c r="U147" s="37"/>
      <c r="V147" s="198"/>
      <c r="W147" s="37"/>
      <c r="X147" s="86"/>
      <c r="Y147" s="198"/>
      <c r="Z147" s="37"/>
      <c r="AA147" s="37"/>
      <c r="AB147" s="29"/>
      <c r="AC147" s="198"/>
      <c r="AD147" s="94"/>
      <c r="AE147" s="100"/>
      <c r="AF147" s="100"/>
      <c r="AG147" s="197"/>
      <c r="AH147" s="100"/>
      <c r="AI147" s="101"/>
      <c r="AJ147" s="267"/>
      <c r="AK147" s="172" t="str">
        <f>IFERROR(IF(AK146="","",VLOOKUP(AK146,LISTAS!$F$5:$G$1004,2,0)),"0")</f>
        <v/>
      </c>
      <c r="AL147" s="29"/>
      <c r="AP147" s="31">
        <f>IF(AR147&lt;&gt;"",1+COUNTIF(AP136:AP146,"1")+COUNTIF(AP136:AP146,"2")+COUNTIF(AP136:AP146,"3")+COUNTIF(AP136:AP146,"4")+COUNTIF(AP136:AP146,"5")+COUNTIF(AP136:AP146,"6")+COUNTIF(AP136:AP146,"7")+COUNTIF(AP136:AP146,"8")+COUNTIF(AP136:AP146,"9")+COUNTIF(AP136:AP146,"10")+COUNTIF(AP136:AP146,"11"),"")</f>
        <v>10</v>
      </c>
      <c r="AQ147" s="32" t="str">
        <f t="shared" si="6"/>
        <v>LUGAR</v>
      </c>
      <c r="AR147" s="111" t="str">
        <f>IF(AR139&lt;&gt;"",IF(G140=AR139,G142,IF(G142=AR139,G140,IF(G156=AR139,G158,IF(G158=AR139,G156,IF(AG140=AR139,AG142,IF(AG142=AR139,AG140,IF(AG156=AR139,AG158,IF(AG158=AR139,AG156,IF(G170=AR139,G172,IF(G172=AR139,G170,IF(G186=AR139,G188,IF(G188=AR139,G186,IF(AG170=AR139,AG172,IF(AG172=AR139,AG170,IF(AG186=AR139,AG188,IF(AG188=AR139,AG186)))))))))))))))),"")</f>
        <v>JOÃO FELIPE CAVALCANTE DE SÁ</v>
      </c>
      <c r="AS147" s="33" t="str">
        <f>IFERROR(IF(AR147="","",VLOOKUP(AR147,LISTAS!$F$5:$G$1004,2,0)),"0")</f>
        <v>COLÉGIO ENGENHEIRO SALVADOR ARENA</v>
      </c>
      <c r="AT147" s="33">
        <f t="shared" si="7"/>
        <v>28</v>
      </c>
      <c r="AU147" s="33">
        <f t="shared" si="8"/>
        <v>28</v>
      </c>
    </row>
    <row r="148" spans="2:47" ht="18" customHeight="1" x14ac:dyDescent="0.25">
      <c r="B148" s="133"/>
      <c r="C148" s="188"/>
      <c r="D148" s="29"/>
      <c r="E148" s="101"/>
      <c r="F148" s="101"/>
      <c r="G148" s="190"/>
      <c r="H148" s="101"/>
      <c r="I148" s="138"/>
      <c r="J148" s="29"/>
      <c r="K148" s="171" t="str">
        <f>IF(H140&lt;&gt;"",IF(H142&lt;&gt;"",IF(H140=H142,"",IF(H140&gt;H142,G140,G142)),""),"")</f>
        <v>ANDRÉ YUJI YOSHIDA MEIRA</v>
      </c>
      <c r="L148" s="266">
        <v>1</v>
      </c>
      <c r="M148" s="101">
        <f>IF(L148&lt;&gt;"",L148,"")</f>
        <v>1</v>
      </c>
      <c r="N148" s="101" t="str">
        <f>IF(L148&lt;&gt;"",IF(K148="","",K148),"")</f>
        <v>ANDRÉ YUJI YOSHIDA MEIRA</v>
      </c>
      <c r="O148" s="190">
        <f>IF(M148&lt;&gt;"",IF(M150&lt;&gt;"",SMALL(M148:N150,1),""),"")</f>
        <v>0</v>
      </c>
      <c r="P148" s="29"/>
      <c r="Q148" s="37"/>
      <c r="R148" s="272" t="s">
        <v>92</v>
      </c>
      <c r="S148" s="273"/>
      <c r="T148" s="273"/>
      <c r="U148" s="273"/>
      <c r="V148" s="273"/>
      <c r="W148" s="37"/>
      <c r="X148" s="86"/>
      <c r="Y148" s="198"/>
      <c r="Z148" s="37"/>
      <c r="AA148" s="37"/>
      <c r="AB148" s="266">
        <v>0</v>
      </c>
      <c r="AC148" s="171" t="str">
        <f>IF(AF140&lt;&gt;"",IF(AF142&lt;&gt;"",IF(AF140=AF142,"",IF(AF140&gt;AF142,AG140,AG142)),""),"")</f>
        <v>CAUÃ NAVARRO BRUZATI</v>
      </c>
      <c r="AD148" s="141"/>
      <c r="AE148" s="100"/>
      <c r="AF148" s="100"/>
      <c r="AG148" s="197"/>
      <c r="AH148" s="100"/>
      <c r="AI148" s="100"/>
      <c r="AJ148" s="29"/>
      <c r="AK148" s="188"/>
      <c r="AL148" s="29"/>
      <c r="AP148" s="31" t="str">
        <f>IF(AR148&lt;&gt;"",1+COUNTIF(AP136:AP147,"1")+COUNTIF(AP136:AP147,"2")+COUNTIF(AP136:AP147,"3")+COUNTIF(AP136:AP147,"4")+COUNTIF(AP136:AP147,"5")+COUNTIF(AP136:AP147,"6")+COUNTIF(AP136:AP147,"7")+COUNTIF(AP136:AP147,"8")+COUNTIF(AP136:AP147,"9")+COUNTIF(AP136:AP147,"10")+COUNTIF(AP136:AP147,"11")+COUNTIF(AP136:AP147,"12"),"")</f>
        <v/>
      </c>
      <c r="AQ148" s="32" t="str">
        <f t="shared" si="6"/>
        <v/>
      </c>
      <c r="AR148" s="111" t="str">
        <f>IF(AR140&lt;&gt;"",IF(G140=AR140,G142,IF(G142=AR140,G140,IF(G156=AR140,G158,IF(G158=AR140,G156,IF(AG140=AR140,AG142,IF(AG142=AR140,AG140,IF(AG156=AR140,AG158,IF(AG158=AR140,AG156,IF(G170=AR140,G172,IF(G172=AR140,G170,IF(G186=AR140,G188,IF(G188=AR140,G186,IF(AG170=AR140,AG172,IF(AG172=AR140,AG170,IF(AG186=AR140,AG188,IF(AG188=AR140,AG186)))))))))))))))),"")</f>
        <v/>
      </c>
      <c r="AS148" s="33" t="str">
        <f>IFERROR(IF(AR148="","",VLOOKUP(AR148,LISTAS!$F$5:$G$1004,2,0)),"0")</f>
        <v/>
      </c>
      <c r="AT148" s="33" t="str">
        <f t="shared" si="7"/>
        <v/>
      </c>
      <c r="AU148" s="33" t="str">
        <f t="shared" si="8"/>
        <v/>
      </c>
    </row>
    <row r="149" spans="2:47" ht="18" customHeight="1" thickBot="1" x14ac:dyDescent="0.3">
      <c r="B149" s="133"/>
      <c r="C149" s="188"/>
      <c r="D149" s="29"/>
      <c r="E149" s="101"/>
      <c r="F149" s="101"/>
      <c r="G149" s="190"/>
      <c r="H149" s="101"/>
      <c r="I149" s="138"/>
      <c r="J149" s="29"/>
      <c r="K149" s="172" t="str">
        <f>IFERROR(IF(K148="","",VLOOKUP(K148,LISTAS!$F$5:$G$1004,2,0)),"0")</f>
        <v>COLÉGIO ENGENHEIRO SALVADOR ARENA</v>
      </c>
      <c r="L149" s="267"/>
      <c r="M149" s="101"/>
      <c r="N149" s="101"/>
      <c r="O149" s="190"/>
      <c r="P149" s="29"/>
      <c r="Q149" s="37"/>
      <c r="R149" s="272" t="s">
        <v>34</v>
      </c>
      <c r="S149" s="273"/>
      <c r="T149" s="273"/>
      <c r="U149" s="273"/>
      <c r="V149" s="273"/>
      <c r="W149" s="37"/>
      <c r="X149" s="86"/>
      <c r="Y149" s="198"/>
      <c r="Z149" s="37"/>
      <c r="AA149" s="37"/>
      <c r="AB149" s="267"/>
      <c r="AC149" s="172" t="str">
        <f>IFERROR(IF(AC148="","",VLOOKUP(AC148,LISTAS!$F$5:$G$1004,2,0)),"0")</f>
        <v>COLÉGIO ENGENHEIRO SALVADOR ARENA</v>
      </c>
      <c r="AD149" s="37"/>
      <c r="AE149" s="144"/>
      <c r="AF149" s="100"/>
      <c r="AG149" s="197"/>
      <c r="AH149" s="100"/>
      <c r="AI149" s="100"/>
      <c r="AJ149" s="29"/>
      <c r="AK149" s="188"/>
      <c r="AL149" s="29"/>
      <c r="AP149" s="31" t="str">
        <f>IF(AR149&lt;&gt;"",1+COUNTIF(AP136:AP148,"1")+COUNTIF(AP136:AP148,"2")+COUNTIF(AP136:AP148,"3")+COUNTIF(AP136:AP148,"4")+COUNTIF(AP136:AP148,"5")+COUNTIF(AP136:AP148,"6")+COUNTIF(AP136:AP148,"7")+COUNTIF(AP136:AP148,"8")+COUNTIF(AP136:AP148,"9")+COUNTIF(AP136:AP148,"10")+COUNTIF(AP136:AP148,"11")+COUNTIF(AP136:AP148,"12")+COUNTIF(AP136:AP148,"13"),"")</f>
        <v/>
      </c>
      <c r="AQ149" s="32" t="str">
        <f t="shared" si="6"/>
        <v/>
      </c>
      <c r="AR149" s="111" t="str">
        <f>IF(AR141&lt;&gt;"",IF(G140=AR141,G142,IF(G142=AR141,G140,IF(G156=AR141,G158,IF(G158=AR141,G156,IF(AG140=AR141,AG142,IF(AG142=AR141,AG140,IF(AG156=AR141,AG158,IF(AG158=AR141,AG156,IF(G170=AR141,G172,IF(G172=AR141,G170,IF(G186=AR141,G188,IF(G188=AR141,G186,IF(AG170=AR141,AG172,IF(AG172=AR141,AG170,IF(AG186=AR141,AG188,IF(AG188=AR141,AG186)))))))))))))))),"")</f>
        <v/>
      </c>
      <c r="AS149" s="33" t="str">
        <f>IFERROR(IF(AR149="","",VLOOKUP(AR149,LISTAS!$F$5:$G$1004,2,0)),"0")</f>
        <v/>
      </c>
      <c r="AT149" s="33" t="str">
        <f t="shared" si="7"/>
        <v/>
      </c>
      <c r="AU149" s="33" t="str">
        <f t="shared" si="8"/>
        <v/>
      </c>
    </row>
    <row r="150" spans="2:47" ht="18" customHeight="1" x14ac:dyDescent="0.25">
      <c r="B150" s="133"/>
      <c r="C150" s="188"/>
      <c r="D150" s="29"/>
      <c r="E150" s="29"/>
      <c r="F150" s="29"/>
      <c r="G150" s="188"/>
      <c r="H150" s="29"/>
      <c r="I150" s="35"/>
      <c r="J150" s="36"/>
      <c r="K150" s="171" t="str">
        <f>IF(H156&lt;&gt;"",IF(H158&lt;&gt;"",IF(H156=H158,"",IF(H156&gt;H158,G156,G158)),""),"")</f>
        <v>MARCO ANTONIO RODRIGUES TAVARES DA SILVA</v>
      </c>
      <c r="L150" s="266">
        <v>0</v>
      </c>
      <c r="M150" s="107">
        <f>IF(L150&lt;&gt;"",L150,"")</f>
        <v>0</v>
      </c>
      <c r="N150" s="101" t="str">
        <f>IF(L150&lt;&gt;"",IF(K150="","",K150),"")</f>
        <v>MARCO ANTONIO RODRIGUES TAVARES DA SILVA</v>
      </c>
      <c r="O150" s="190" t="str">
        <f>VLOOKUP(O148,M148:N150,2,0)</f>
        <v>MARCO ANTONIO RODRIGUES TAVARES DA SILVA</v>
      </c>
      <c r="P150" s="29"/>
      <c r="Q150" s="37"/>
      <c r="R150" s="198"/>
      <c r="S150" s="37"/>
      <c r="T150" s="37"/>
      <c r="U150" s="37"/>
      <c r="V150" s="198"/>
      <c r="W150" s="37"/>
      <c r="X150" s="86"/>
      <c r="Y150" s="198"/>
      <c r="Z150" s="94"/>
      <c r="AA150" s="96"/>
      <c r="AB150" s="266">
        <v>1</v>
      </c>
      <c r="AC150" s="171" t="str">
        <f>IF(AF156&lt;&gt;"",IF(AF158&lt;&gt;"",IF(AF156=AF158,"",IF(AF156&gt;AF158,AG156,AG158)),""),"")</f>
        <v>VINÍCIUS SELICHEVIC MESSIAS</v>
      </c>
      <c r="AD150" s="37"/>
      <c r="AE150" s="144"/>
      <c r="AF150" s="100"/>
      <c r="AG150" s="197"/>
      <c r="AH150" s="100"/>
      <c r="AI150" s="100"/>
      <c r="AJ150" s="29"/>
      <c r="AK150" s="188"/>
      <c r="AL150" s="29"/>
      <c r="AP150" s="31" t="str">
        <f>IF(AR150&lt;&gt;"",1+COUNTIF(AP136:AP149,"1")+COUNTIF(AP136:AP149,"2")+COUNTIF(AP136:AP149,"3")+COUNTIF(AP136:AP149,"4")+COUNTIF(AP136:AP149,"5")+COUNTIF(AP136:AP149,"6")+COUNTIF(AP136:AP149,"7")+COUNTIF(AP136:AP149,"8")+COUNTIF(AP136:AP149,"9")+COUNTIF(AP136:AP149,"10")+COUNTIF(AP136:AP149,"11")+COUNTIF(AP136:AP149,"12")+COUNTIF(AP136:AP149,"13")+COUNTIF(AP136:AP149,"14"),"")</f>
        <v/>
      </c>
      <c r="AQ150" s="32" t="str">
        <f t="shared" si="6"/>
        <v/>
      </c>
      <c r="AR150" s="111" t="str">
        <f>IF(AR142&lt;&gt;"",IF(G140=AR142,G142,IF(G142=AR142,G140,IF(G156=AR142,G158,IF(G158=AR142,G156,IF(AG140=AR142,AG142,IF(AG142=AR142,AG140,IF(AG156=AR142,AG158,IF(AG158=AR142,AG156,IF(G170=AR142,G172,IF(G172=AR142,G170,IF(G186=AR142,G188,IF(G188=AR142,G186,IF(AG170=AR142,AG172,IF(AG172=AR142,AG170,IF(AG186=AR142,AG188,IF(AG188=AR142,AG186)))))))))))))))),"")</f>
        <v/>
      </c>
      <c r="AS150" s="33" t="str">
        <f>IFERROR(IF(AR150="","",VLOOKUP(AR150,LISTAS!$F$5:$G$1004,2,0)),"0")</f>
        <v/>
      </c>
      <c r="AT150" s="33" t="str">
        <f t="shared" si="7"/>
        <v/>
      </c>
      <c r="AU150" s="33" t="str">
        <f t="shared" si="8"/>
        <v/>
      </c>
    </row>
    <row r="151" spans="2:47" ht="18" customHeight="1" thickBot="1" x14ac:dyDescent="0.3">
      <c r="B151" s="133"/>
      <c r="C151" s="188"/>
      <c r="D151" s="29"/>
      <c r="E151" s="29"/>
      <c r="F151" s="29"/>
      <c r="G151" s="188"/>
      <c r="H151" s="29"/>
      <c r="I151" s="35"/>
      <c r="J151" s="29"/>
      <c r="K151" s="172" t="str">
        <f>IFERROR(IF(K150="","",VLOOKUP(K150,LISTAS!$F$5:$G$1004,2,0)),"0")</f>
        <v>COLÉGIO ENGENHEIRO SALVADOR ARENA</v>
      </c>
      <c r="L151" s="267"/>
      <c r="M151" s="138"/>
      <c r="N151" s="101"/>
      <c r="O151" s="190"/>
      <c r="P151" s="29"/>
      <c r="Q151" s="37"/>
      <c r="R151" s="198"/>
      <c r="S151" s="37"/>
      <c r="T151" s="37"/>
      <c r="U151" s="37"/>
      <c r="V151" s="198"/>
      <c r="W151" s="37"/>
      <c r="X151" s="86"/>
      <c r="Y151" s="198"/>
      <c r="Z151" s="94"/>
      <c r="AA151" s="37"/>
      <c r="AB151" s="267"/>
      <c r="AC151" s="172" t="str">
        <f>IFERROR(IF(AC150="","",VLOOKUP(AC150,LISTAS!$F$5:$G$1004,2,0)),"0")</f>
        <v>COLÉGIO ENGENHEIRO SALVADOR ARENA</v>
      </c>
      <c r="AD151" s="37"/>
      <c r="AE151" s="144"/>
      <c r="AF151" s="100"/>
      <c r="AG151" s="197"/>
      <c r="AH151" s="100"/>
      <c r="AI151" s="100"/>
      <c r="AJ151" s="29"/>
      <c r="AK151" s="188"/>
      <c r="AL151" s="29"/>
      <c r="AP151" s="31" t="str">
        <f>IF(AR151&lt;&gt;"",1+COUNTIF(AP136:AP150,"1")+COUNTIF(AP136:AP150,"2")+COUNTIF(AP136:AP150,"3")+COUNTIF(AP136:AP150,"4")+COUNTIF(AP136:AP150,"5")+COUNTIF(AP136:AP150,"6")+COUNTIF(AP136:AP150,"7")+COUNTIF(AP136:AP150,"8")+COUNTIF(AP136:AP150,"9")+COUNTIF(AP136:AP150,"10")+COUNTIF(AP136:AP150,"11")+COUNTIF(AP136:AP150,"12")+COUNTIF(AP136:AP150,"13")+COUNTIF(AP136:AP150,"14")+COUNTIF(AP136:AP150,"15"),"")</f>
        <v/>
      </c>
      <c r="AQ151" s="32" t="str">
        <f t="shared" si="6"/>
        <v/>
      </c>
      <c r="AR151" s="111" t="str">
        <f>IF(AR143&lt;&gt;"",IF(G140=AR143,G142,IF(G142=AR143,G140,IF(G156=AR143,G158,IF(G158=AR143,G156,IF(AG140=AR143,AG142,IF(AG142=AR143,AG140,IF(AG156=AR143,AG158,IF(AG158=AR143,AG156,IF(G170=AR143,G172,IF(G172=AR143,G170,IF(G186=AR143,G188,IF(G188=AR143,G186,IF(AG170=AR143,AG172,IF(AG172=AR143,AG170,IF(AG186=AR143,AG188,IF(AG188=AR143,AG186)))))))))))))))),"")</f>
        <v/>
      </c>
      <c r="AS151" s="33" t="str">
        <f>IFERROR(IF(AR151="","",VLOOKUP(AR151,LISTAS!$F$5:$G$1004,2,0)),"0")</f>
        <v/>
      </c>
      <c r="AT151" s="33" t="str">
        <f t="shared" si="7"/>
        <v/>
      </c>
      <c r="AU151" s="33" t="str">
        <f t="shared" si="8"/>
        <v/>
      </c>
    </row>
    <row r="152" spans="2:47" ht="18" customHeight="1" x14ac:dyDescent="0.25">
      <c r="B152" s="133">
        <v>9</v>
      </c>
      <c r="C152" s="171" t="str">
        <f>IF('17M GRP'!G5&gt;=3,'17M GRP'!J127,IF('17M GRP'!G5=2,"",IF('17M GRP'!G5=1,"","")))</f>
        <v>MARCO ANTONIO RODRIGUES TAVARES DA SILVA</v>
      </c>
      <c r="D152" s="266">
        <v>1</v>
      </c>
      <c r="E152" s="101">
        <f>IF(D152&lt;&gt;"",D152,"")</f>
        <v>1</v>
      </c>
      <c r="F152" s="101" t="str">
        <f>IF(D152&lt;&gt;"",IF(C152="","",C152),"")</f>
        <v>MARCO ANTONIO RODRIGUES TAVARES DA SILVA</v>
      </c>
      <c r="G152" s="190">
        <f>IF(E152&lt;&gt;"",IF(E154&lt;&gt;"",SMALL(E152:E154,1),""),"")</f>
        <v>0</v>
      </c>
      <c r="H152" s="101"/>
      <c r="I152" s="138"/>
      <c r="J152" s="29"/>
      <c r="K152" s="188"/>
      <c r="L152" s="29"/>
      <c r="M152" s="138"/>
      <c r="N152" s="101"/>
      <c r="O152" s="190"/>
      <c r="P152" s="29"/>
      <c r="Q152" s="37"/>
      <c r="R152" s="198"/>
      <c r="S152" s="37"/>
      <c r="T152" s="37"/>
      <c r="U152" s="37"/>
      <c r="V152" s="198"/>
      <c r="W152" s="37"/>
      <c r="X152" s="86"/>
      <c r="Y152" s="198"/>
      <c r="Z152" s="94"/>
      <c r="AA152" s="37"/>
      <c r="AB152" s="29"/>
      <c r="AC152" s="198"/>
      <c r="AD152" s="37"/>
      <c r="AE152" s="144"/>
      <c r="AF152" s="100"/>
      <c r="AG152" s="197">
        <f>IF(AJ152&lt;&gt;"",AJ152,"")</f>
        <v>0</v>
      </c>
      <c r="AH152" s="100" t="str">
        <f>IF(AJ152&lt;&gt;"",IF(AK152="","",AK152),"")</f>
        <v/>
      </c>
      <c r="AI152" s="101">
        <f>IF(AG152&lt;&gt;"",IF(AG154&lt;&gt;"",SMALL(AG152:AG154,1),""),"")</f>
        <v>0</v>
      </c>
      <c r="AJ152" s="266">
        <v>0</v>
      </c>
      <c r="AK152" s="171" t="str">
        <f>IF('17M GRP'!G5&gt;=3,'17M GRP'!J296,IF('17M GRP'!G5=2,"",IF('17M GRP'!G5=1,"","")))</f>
        <v/>
      </c>
      <c r="AL152" s="29">
        <v>22</v>
      </c>
      <c r="AP152" s="31" t="str">
        <f>IF(AR152&lt;&gt;"",1+COUNTIF(AP136:AP151,"1")+COUNTIF(AP136:AP151,"2")+COUNTIF(AP136:AP151,"3")+COUNTIF(AP136:AP151,"4")+COUNTIF(AP136:AP151,"5")+COUNTIF(AP136:AP151,"6")+COUNTIF(AP136:AP151,"7")+COUNTIF(AP136:AP151,"8")+COUNTIF(AP136:AP151,"9")+COUNTIF(AP136:AP151,"10")+COUNTIF(AP136:AP151,"11")+COUNTIF(AP136:AP151,"12")+COUNTIF(AP136:AP151,"13")+COUNTIF(AP136:AP151,"14")+COUNTIF(AP136:AP151,"15")+COUNTIF(AP136:AP151,"16"),"")</f>
        <v/>
      </c>
      <c r="AQ152" s="32" t="str">
        <f t="shared" si="6"/>
        <v/>
      </c>
      <c r="AR152" s="111" t="str">
        <f>IF(AR136&lt;&gt;"",IF(C136=AR136,G138,IF(C138=AR136,G138,IF(C144=AR136,G146,IF(C146=AR136,G146,IF(C166=AR136,G168,IF(C168=AR136,G168,IF(C174=AR136,G176,IF(C176=AR136,G176,IF(C152=AR136,G154,IF(C154=AR136,G154,IF(C160=AR136,G162,IF(C162=AR136,G162,IF(C182=AR136,G184,IF(C184=AR136,G184,IF(C190=AR136,G192,IF(C192=AR136,G192,IF(AK136=AR136,AI138,IF(AK138=AR136,AI138,IF(AK144=AR136,AI146,IF(AK146=AR136,AI146,IF(AK166=AR136,AI168,IF(AK168=AR136,AI168,IF(AK174=AR136,AI176,IF(AK176=AR136,AI176,IF(AK152=AR136,AI154,IF(AK154=AR136,AI154,IF(AK160=AR136,AI162,IF(AK162=AR136,AI162,IF(AK182=AR136,AI184,IF(AK184=AR136,AI184,IF(AK190=AR136,AI192,IF(AK192=AR136,AI192)))))))))))))))))))))))))))))))),"")</f>
        <v/>
      </c>
      <c r="AS152" s="33" t="str">
        <f>IFERROR(IF(AR152="","",VLOOKUP(AR152,LISTAS!$F$5:$G$1004,2,0)),"0")</f>
        <v/>
      </c>
      <c r="AT152" s="33" t="str">
        <f t="shared" si="7"/>
        <v/>
      </c>
      <c r="AU152" s="33" t="str">
        <f t="shared" si="8"/>
        <v/>
      </c>
    </row>
    <row r="153" spans="2:47" ht="18" customHeight="1" thickBot="1" x14ac:dyDescent="0.3">
      <c r="B153" s="133"/>
      <c r="C153" s="172" t="str">
        <f>IFERROR(IF(C152="","",VLOOKUP(C152,LISTAS!$F$5:$G$1004,2,0)),"0")</f>
        <v>COLÉGIO ENGENHEIRO SALVADOR ARENA</v>
      </c>
      <c r="D153" s="267"/>
      <c r="E153" s="101"/>
      <c r="F153" s="101"/>
      <c r="G153" s="190"/>
      <c r="H153" s="101"/>
      <c r="I153" s="138"/>
      <c r="J153" s="29"/>
      <c r="K153" s="188"/>
      <c r="L153" s="29"/>
      <c r="M153" s="138"/>
      <c r="N153" s="101"/>
      <c r="O153" s="190"/>
      <c r="P153" s="29"/>
      <c r="Q153" s="37"/>
      <c r="R153" s="198"/>
      <c r="S153" s="37"/>
      <c r="T153" s="37"/>
      <c r="U153" s="37"/>
      <c r="V153" s="198"/>
      <c r="W153" s="37"/>
      <c r="X153" s="86"/>
      <c r="Y153" s="198"/>
      <c r="Z153" s="94"/>
      <c r="AA153" s="37"/>
      <c r="AB153" s="29"/>
      <c r="AC153" s="198"/>
      <c r="AD153" s="37"/>
      <c r="AE153" s="144"/>
      <c r="AF153" s="100"/>
      <c r="AG153" s="197"/>
      <c r="AH153" s="100"/>
      <c r="AI153" s="101"/>
      <c r="AJ153" s="267"/>
      <c r="AK153" s="172" t="str">
        <f>IFERROR(IF(AK152="","",VLOOKUP(AK152,LISTAS!$F$5:$G$1004,2,0)),"0")</f>
        <v/>
      </c>
      <c r="AL153" s="29"/>
      <c r="AP153" s="31" t="str">
        <f>IF(AR153&lt;&gt;"",1+COUNTIF(AP136:AP152,"1")+COUNTIF(AP136:AP152,"2")+COUNTIF(AP136:AP152,"3")+COUNTIF(AP136:AP152,"4")+COUNTIF(AP136:AP152,"5")+COUNTIF(AP136:AP152,"6")+COUNTIF(AP136:AP152,"7")+COUNTIF(AP136:AP152,"8")+COUNTIF(AP136:AP152,"9")+COUNTIF(AP136:AP152,"10")+COUNTIF(AP136:AP152,"11")+COUNTIF(AP136:AP152,"12")+COUNTIF(AP136:AP152,"13")+COUNTIF(AP136:AP152,"14")+COUNTIF(AP136:AP152,"15")+COUNTIF(AP136:AP152,"16")+COUNTIF(AP136:AP152,"17"),"")</f>
        <v/>
      </c>
      <c r="AQ153" s="32" t="str">
        <f t="shared" si="6"/>
        <v/>
      </c>
      <c r="AR153" s="111" t="str">
        <f>IF(AR137&lt;&gt;"",IF(C136=AR137,G138,IF(C138=AR137,G138,IF(C144=AR137,G146,IF(C146=AR137,G146,IF(C166=AR137,G168,IF(C168=AR137,G168,IF(C174=AR137,G176,IF(C176=AR137,G176,IF(C152=AR137,G154,IF(C154=AR137,G154,IF(C160=AR137,G162,IF(C162=AR137,G162,IF(C182=AR137,G184,IF(C184=AR137,G184,IF(C190=AR137,G192,IF(C192=AR137,G192,IF(AK136=AR137,AI138,IF(AK138=AR137,AI138,IF(AK144=AR137,AI146,IF(AK146=AR137,AI146,IF(AK166=AR137,AI168,IF(AK168=AR137,AI168,IF(AK174=AR137,AI176,IF(AK176=AR137,AI176,IF(AK152=AR137,AI154,IF(AK154=AR137,AI154,IF(AK160=AR137,AI162,IF(AK162=AR137,AI162,IF(AK182=AR137,AI184,IF(AK184=AR137,AI184,IF(AK190=AR137,AI192,IF(AK192=AR137,AI192)))))))))))))))))))))))))))))))),"")</f>
        <v/>
      </c>
      <c r="AS153" s="33" t="str">
        <f>IFERROR(IF(AR153="","",VLOOKUP(AR153,LISTAS!$F$5:$G$1004,2,0)),"0")</f>
        <v/>
      </c>
      <c r="AT153" s="33" t="str">
        <f t="shared" si="7"/>
        <v/>
      </c>
      <c r="AU153" s="33" t="str">
        <f t="shared" si="8"/>
        <v/>
      </c>
    </row>
    <row r="154" spans="2:47" ht="18" customHeight="1" x14ac:dyDescent="0.25">
      <c r="B154" s="133">
        <v>24</v>
      </c>
      <c r="C154" s="171" t="str">
        <f>IF('17M GRP'!G5&gt;=3,'17M GRP'!J322,IF('17M GRP'!G5=2,"",IF('17M GRP'!G5=1,"","")))</f>
        <v/>
      </c>
      <c r="D154" s="266">
        <v>0</v>
      </c>
      <c r="E154" s="107">
        <f>IF(D154&lt;&gt;"",D154,"")</f>
        <v>0</v>
      </c>
      <c r="F154" s="101" t="str">
        <f>IF(D154&lt;&gt;"",IF(C154="","",C154),"")</f>
        <v/>
      </c>
      <c r="G154" s="190" t="str">
        <f>VLOOKUP(G152,E152:F154,2,0)</f>
        <v/>
      </c>
      <c r="H154" s="101"/>
      <c r="I154" s="138"/>
      <c r="J154" s="29"/>
      <c r="K154" s="188"/>
      <c r="L154" s="29"/>
      <c r="M154" s="35"/>
      <c r="N154" s="29"/>
      <c r="O154" s="188"/>
      <c r="P154" s="29"/>
      <c r="Q154" s="37"/>
      <c r="R154" s="198"/>
      <c r="S154" s="37"/>
      <c r="T154" s="37"/>
      <c r="U154" s="37"/>
      <c r="V154" s="198"/>
      <c r="W154" s="37"/>
      <c r="X154" s="86"/>
      <c r="Y154" s="198"/>
      <c r="Z154" s="94"/>
      <c r="AA154" s="37"/>
      <c r="AB154" s="29"/>
      <c r="AC154" s="198"/>
      <c r="AD154" s="37"/>
      <c r="AE154" s="144"/>
      <c r="AF154" s="100"/>
      <c r="AG154" s="197">
        <f>IF(AJ154&lt;&gt;"",AJ154,"")</f>
        <v>1</v>
      </c>
      <c r="AH154" s="100" t="str">
        <f>IF(AJ154&lt;&gt;"",IF(AK154="","",AK154),"")</f>
        <v>VINÍCIUS SELICHEVIC MESSIAS</v>
      </c>
      <c r="AI154" s="102" t="str">
        <f>VLOOKUP(AI152,AG152:AH154,2,0)</f>
        <v/>
      </c>
      <c r="AJ154" s="266">
        <v>1</v>
      </c>
      <c r="AK154" s="171" t="str">
        <f>IF('17M GRP'!G5&gt;=3,'17M GRP'!J153,IF('17M GRP'!G5=2,"",IF('17M GRP'!G5=1,"","")))</f>
        <v>VINÍCIUS SELICHEVIC MESSIAS</v>
      </c>
      <c r="AL154" s="29">
        <v>11</v>
      </c>
      <c r="AP154" s="31" t="str">
        <f>IF(AR154&lt;&gt;"",1+COUNTIF(AP136:AP153,"1")+COUNTIF(AP136:AP153,"2")+COUNTIF(AP136:AP153,"3")+COUNTIF(AP136:AP153,"4")+COUNTIF(AP136:AP153,"5")+COUNTIF(AP136:AP153,"6")+COUNTIF(AP136:AP153,"7")+COUNTIF(AP136:AP153,"8")+COUNTIF(AP136:AP153,"9")+COUNTIF(AP136:AP153,"10")+COUNTIF(AP136:AP153,"11")+COUNTIF(AP136:AP153,"12")+COUNTIF(AP136:AP153,"13")+COUNTIF(AP136:AP153,"14")+COUNTIF(AP136:AP153,"15")+COUNTIF(AP136:AP153,"16")+COUNTIF(AP136:AP153,"17")+COUNTIF(AP136:AP153,"18"),"")</f>
        <v/>
      </c>
      <c r="AQ154" s="32" t="str">
        <f t="shared" si="6"/>
        <v/>
      </c>
      <c r="AR154" s="111" t="str">
        <f>IF(AR138&lt;&gt;"",IF(C136=AR138,G138,IF(C138=AR138,G138,IF(C144=AR138,G146,IF(C146=AR138,G146,IF(C166=AR138,G168,IF(C168=AR138,G168,IF(C174=AR138,G176,IF(C176=AR138,G176,IF(C152=AR138,G154,IF(C154=AR138,G154,IF(C160=AR138,G162,IF(C162=AR138,G162,IF(C182=AR138,G184,IF(C184=AR138,G184,IF(C190=AR138,G192,IF(C192=AR138,G192,IF(AK136=AR138,AI138,IF(AK138=AR138,AI138,IF(AK144=AR138,AI146,IF(AK146=AR138,AI146,IF(AK166=AR138,AI168,IF(AK168=AR138,AI168,IF(AK174=AR138,AI176,IF(AK176=AR138,AI176,IF(AK152=AR138,AI154,IF(AK154=AR138,AI154,IF(AK160=AR138,AI162,IF(AK162=AR138,AI162,IF(AK182=AR138,AI184,IF(AK184=AR138,AI184,IF(AK190=AR138,AI192,IF(AK192=AR138,AI192)))))))))))))))))))))))))))))))),"")</f>
        <v/>
      </c>
      <c r="AS154" s="33" t="str">
        <f>IFERROR(IF(AR154="","",VLOOKUP(AR154,LISTAS!$F$5:$G$1004,2,0)),"0")</f>
        <v/>
      </c>
      <c r="AT154" s="33" t="str">
        <f t="shared" si="7"/>
        <v/>
      </c>
      <c r="AU154" s="33" t="str">
        <f t="shared" si="8"/>
        <v/>
      </c>
    </row>
    <row r="155" spans="2:47" ht="18" customHeight="1" thickBot="1" x14ac:dyDescent="0.3">
      <c r="B155" s="133"/>
      <c r="C155" s="172" t="str">
        <f>IFERROR(IF(C154="","",VLOOKUP(C154,LISTAS!$F$5:$G$1004,2,0)),"0")</f>
        <v/>
      </c>
      <c r="D155" s="267"/>
      <c r="E155" s="148"/>
      <c r="F155" s="101"/>
      <c r="G155" s="190"/>
      <c r="H155" s="101"/>
      <c r="I155" s="138"/>
      <c r="J155" s="87"/>
      <c r="K155" s="192"/>
      <c r="L155" s="87"/>
      <c r="M155" s="93"/>
      <c r="N155" s="29"/>
      <c r="O155" s="188"/>
      <c r="P155" s="29"/>
      <c r="Q155" s="37"/>
      <c r="R155" s="198"/>
      <c r="S155" s="37"/>
      <c r="T155" s="37"/>
      <c r="U155" s="37"/>
      <c r="V155" s="198"/>
      <c r="W155" s="37"/>
      <c r="X155" s="86"/>
      <c r="Y155" s="198"/>
      <c r="Z155" s="94"/>
      <c r="AA155" s="37"/>
      <c r="AB155" s="29"/>
      <c r="AC155" s="198"/>
      <c r="AD155" s="37"/>
      <c r="AE155" s="144"/>
      <c r="AF155" s="100"/>
      <c r="AG155" s="197"/>
      <c r="AH155" s="100"/>
      <c r="AI155" s="142"/>
      <c r="AJ155" s="267"/>
      <c r="AK155" s="172" t="str">
        <f>IFERROR(IF(AK154="","",VLOOKUP(AK154,LISTAS!$F$5:$G$1004,2,0)),"0")</f>
        <v>COLÉGIO ENGENHEIRO SALVADOR ARENA</v>
      </c>
      <c r="AL155" s="29"/>
      <c r="AP155" s="31" t="str">
        <f>IF(AR155&lt;&gt;"",1+COUNTIF(AP136:AP154,"1")+COUNTIF(AP136:AP154,"2")+COUNTIF(AP136:AP154,"3")+COUNTIF(AP136:AP154,"4")+COUNTIF(AP136:AP154,"5")+COUNTIF(AP136:AP154,"6")+COUNTIF(AP136:AP154,"7")+COUNTIF(AP136:AP154,"8")+COUNTIF(AP136:AP154,"9")+COUNTIF(AP136:AP154,"10")+COUNTIF(AP136:AP154,"11")+COUNTIF(AP136:AP154,"12")+COUNTIF(AP136:AP154,"13")+COUNTIF(AP136:AP154,"14")+COUNTIF(AP136:AP154,"15")+COUNTIF(AP136:AP154,"16")+COUNTIF(AP136:AP154,"17")+COUNTIF(AP136:AP154,"18")+COUNTIF(AP136:AP154,"19"),"")</f>
        <v/>
      </c>
      <c r="AQ155" s="32" t="str">
        <f t="shared" si="6"/>
        <v/>
      </c>
      <c r="AR155" s="111" t="str">
        <f>IF(AR139&lt;&gt;"",IF(C136=AR139,G138,IF(C138=AR139,G138,IF(C144=AR139,G146,IF(C146=AR139,G146,IF(C166=AR139,G168,IF(C168=AR139,G168,IF(C174=AR139,G176,IF(C176=AR139,G176,IF(C152=AR139,G154,IF(C154=AR139,G154,IF(C160=AR139,G162,IF(C162=AR139,G162,IF(C182=AR139,G184,IF(C184=AR139,G184,IF(C190=AR139,G192,IF(C192=AR139,G192,IF(AK136=AR139,AI138,IF(AK138=AR139,AI138,IF(AK144=AR139,AI146,IF(AK146=AR139,AI146,IF(AK166=AR139,AI168,IF(AK168=AR139,AI168,IF(AK174=AR139,AI176,IF(AK176=AR139,AI176,IF(AK152=AR139,AI154,IF(AK154=AR139,AI154,IF(AK160=AR139,AI162,IF(AK162=AR139,AI162,IF(AK182=AR139,AI184,IF(AK184=AR139,AI184,IF(AK190=AR139,AI192,IF(AK192=AR139,AI192)))))))))))))))))))))))))))))))),"")</f>
        <v/>
      </c>
      <c r="AS155" s="33" t="str">
        <f>IFERROR(IF(AR155="","",VLOOKUP(AR155,LISTAS!$F$5:$G$1004,2,0)),"0")</f>
        <v/>
      </c>
      <c r="AT155" s="33" t="str">
        <f t="shared" si="7"/>
        <v/>
      </c>
      <c r="AU155" s="33" t="str">
        <f t="shared" si="8"/>
        <v/>
      </c>
    </row>
    <row r="156" spans="2:47" ht="18" customHeight="1" x14ac:dyDescent="0.25">
      <c r="B156" s="133"/>
      <c r="C156" s="188"/>
      <c r="D156" s="29"/>
      <c r="E156" s="29"/>
      <c r="F156" s="34"/>
      <c r="G156" s="171" t="str">
        <f>IF(D152&lt;&gt;"",IF(D154&lt;&gt;"",IF(D152=D154,"",IF(D152&gt;D154,C152,C154)),""),"")</f>
        <v>MARCO ANTONIO RODRIGUES TAVARES DA SILVA</v>
      </c>
      <c r="H156" s="266">
        <v>1</v>
      </c>
      <c r="I156" s="148">
        <f>IF(H156&lt;&gt;"",H156,"")</f>
        <v>1</v>
      </c>
      <c r="J156" s="101" t="str">
        <f>IF(H156&lt;&gt;"",IF(G156="","",G156),"")</f>
        <v>MARCO ANTONIO RODRIGUES TAVARES DA SILVA</v>
      </c>
      <c r="K156" s="190">
        <f>IF(I156&lt;&gt;"",IF(I158&lt;&gt;"",SMALL(I156:J158,1),""),"")</f>
        <v>0</v>
      </c>
      <c r="L156" s="101"/>
      <c r="M156" s="93"/>
      <c r="N156" s="29"/>
      <c r="O156" s="188"/>
      <c r="P156" s="29"/>
      <c r="Q156" s="37"/>
      <c r="R156" s="198"/>
      <c r="S156" s="37"/>
      <c r="T156" s="37"/>
      <c r="U156" s="37"/>
      <c r="V156" s="198"/>
      <c r="W156" s="37"/>
      <c r="X156" s="86"/>
      <c r="Y156" s="198"/>
      <c r="Z156" s="94"/>
      <c r="AA156" s="37"/>
      <c r="AB156" s="29"/>
      <c r="AC156" s="198"/>
      <c r="AD156" s="37"/>
      <c r="AE156" s="34"/>
      <c r="AF156" s="266">
        <v>1</v>
      </c>
      <c r="AG156" s="171" t="str">
        <f>IF(AJ152&lt;&gt;"",IF(AJ154&lt;&gt;"",IF(AJ152=AJ154,"",IF(AJ152&gt;AJ154,AK152,AK154)),""),"")</f>
        <v>VINÍCIUS SELICHEVIC MESSIAS</v>
      </c>
      <c r="AH156" s="94"/>
      <c r="AI156" s="37"/>
      <c r="AJ156" s="29"/>
      <c r="AK156" s="188"/>
      <c r="AL156" s="29"/>
      <c r="AP156" s="31" t="str">
        <f>IF(AR156&lt;&gt;"",1+COUNTIF(AP136:AP155,"1")+COUNTIF(AP136:AP155,"2")+COUNTIF(AP136:AP155,"3")+COUNTIF(AP136:AP155,"4")+COUNTIF(AP136:AP155,"5")+COUNTIF(AP136:AP155,"6")+COUNTIF(AP136:AP155,"7")+COUNTIF(AP136:AP155,"8")+COUNTIF(AP136:AP155,"9")+COUNTIF(AP136:AP155,"10")+COUNTIF(AP136:AP155,"11")+COUNTIF(AP136:AP155,"12")+COUNTIF(AP136:AP155,"13")+COUNTIF(AP136:AP155,"14")+COUNTIF(AP136:AP155,"15")+COUNTIF(AP136:AP155,"16")+COUNTIF(AP136:AP155,"17")+COUNTIF(AP136:AP155,"18")+COUNTIF(AP136:AP155,"19")+COUNTIF(AP136:AP155,"20"),"")</f>
        <v/>
      </c>
      <c r="AQ156" s="32" t="str">
        <f t="shared" si="6"/>
        <v/>
      </c>
      <c r="AR156" s="111" t="str">
        <f>IF(AR140&lt;&gt;"",IF(C136=AR140,G138,IF(C138=AR140,G138,IF(C144=AR140,G146,IF(C146=AR140,G146,IF(C166=AR140,G168,IF(C168=AR140,G168,IF(C174=AR140,G176,IF(C176=AR140,G176,IF(C152=AR140,G154,IF(C154=AR140,G154,IF(C160=AR140,G162,IF(C162=AR140,G162,IF(C182=AR140,G184,IF(C184=AR140,G184,IF(C190=AR140,G192,IF(C192=AR140,G192,IF(AK136=AR140,AI138,IF(AK138=AR140,AI138,IF(AK144=AR140,AI146,IF(AK146=AR140,AI146,IF(AK166=AR140,AI168,IF(AK168=AR140,AI168,IF(AK174=AR140,AI176,IF(AK176=AR140,AI176,IF(AK152=AR140,AI154,IF(AK154=AR140,AI154,IF(AK160=AR140,AI162,IF(AK162=AR140,AI162,IF(AK182=AR140,AI184,IF(AK184=AR140,AI184,IF(AK190=AR140,AI192,IF(AK192=AR140,AI192)))))))))))))))))))))))))))))))),"")</f>
        <v/>
      </c>
      <c r="AS156" s="33" t="str">
        <f>IFERROR(IF(AR156="","",VLOOKUP(AR156,LISTAS!$F$5:$G$1004,2,0)),"0")</f>
        <v/>
      </c>
      <c r="AT156" s="33" t="str">
        <f t="shared" si="7"/>
        <v/>
      </c>
      <c r="AU156" s="33" t="str">
        <f t="shared" si="8"/>
        <v/>
      </c>
    </row>
    <row r="157" spans="2:47" ht="18" customHeight="1" thickBot="1" x14ac:dyDescent="0.3">
      <c r="B157" s="133"/>
      <c r="C157" s="188"/>
      <c r="D157" s="29"/>
      <c r="E157" s="29"/>
      <c r="F157" s="34"/>
      <c r="G157" s="172" t="str">
        <f>IFERROR(IF(G156="","",VLOOKUP(G156,LISTAS!$F$5:$G$1004,2,0)),"0")</f>
        <v>COLÉGIO ENGENHEIRO SALVADOR ARENA</v>
      </c>
      <c r="H157" s="267"/>
      <c r="I157" s="105">
        <v>1</v>
      </c>
      <c r="J157" s="101"/>
      <c r="K157" s="190"/>
      <c r="L157" s="101"/>
      <c r="M157" s="93"/>
      <c r="N157" s="29"/>
      <c r="O157" s="188"/>
      <c r="P157" s="29"/>
      <c r="Q157" s="37"/>
      <c r="R157" s="198"/>
      <c r="S157" s="37"/>
      <c r="T157" s="37"/>
      <c r="U157" s="37"/>
      <c r="V157" s="198"/>
      <c r="W157" s="37"/>
      <c r="X157" s="86"/>
      <c r="Y157" s="198"/>
      <c r="Z157" s="94"/>
      <c r="AA157" s="37"/>
      <c r="AB157" s="29"/>
      <c r="AC157" s="198"/>
      <c r="AD157" s="37"/>
      <c r="AE157" s="140"/>
      <c r="AF157" s="267"/>
      <c r="AG157" s="172" t="str">
        <f>IFERROR(IF(AG156="","",VLOOKUP(AG156,LISTAS!$F$5:$G$1004,2,0)),"0")</f>
        <v>COLÉGIO ENGENHEIRO SALVADOR ARENA</v>
      </c>
      <c r="AH157" s="94"/>
      <c r="AI157" s="37"/>
      <c r="AJ157" s="29"/>
      <c r="AK157" s="188"/>
      <c r="AL157" s="29"/>
      <c r="AP157" s="31" t="str">
        <f>IF(AR157&lt;&gt;"",1+COUNTIF(AP136:AP156,"1")+COUNTIF(AP136:AP156,"2")+COUNTIF(AP136:AP156,"3")+COUNTIF(AP136:AP156,"4")+COUNTIF(AP136:AP156,"5")+COUNTIF(AP136:AP156,"6")+COUNTIF(AP136:AP156,"7")+COUNTIF(AP136:AP156,"8")+COUNTIF(AP136:AP156,"9")+COUNTIF(AP136:AP156,"10")+COUNTIF(AP136:AP156,"11")+COUNTIF(AP136:AP156,"12")+COUNTIF(AP136:AP156,"13")+COUNTIF(AP136:AP156,"14")+COUNTIF(AP136:AP156,"15")+COUNTIF(AP136:AP156,"16")+COUNTIF(AP136:AP156,"17")+COUNTIF(AP136:AP156,"18")+COUNTIF(AP136:AP156,"19")+COUNTIF(AP136:AP156,"20")+COUNTIF(AP136:AP156,"21"),"")</f>
        <v/>
      </c>
      <c r="AQ157" s="32" t="str">
        <f t="shared" si="6"/>
        <v/>
      </c>
      <c r="AR157" s="111" t="str">
        <f>IF(AR141&lt;&gt;"",IF(C136=AR141,G138,IF(C138=AR141,G138,IF(C144=AR141,G146,IF(C146=AR141,G146,IF(C166=AR141,G168,IF(C168=AR141,G168,IF(C174=AR141,G176,IF(C176=AR141,G176,IF(C152=AR141,G154,IF(C154=AR141,G154,IF(C160=AR141,G162,IF(C162=AR141,G162,IF(C182=AR141,G184,IF(C184=AR141,G184,IF(C190=AR141,G192,IF(C192=AR141,G192,IF(AK136=AR141,AI138,IF(AK138=AR141,AI138,IF(AK144=AR141,AI146,IF(AK146=AR141,AI146,IF(AK166=AR141,AI168,IF(AK168=AR141,AI168,IF(AK174=AR141,AI176,IF(AK176=AR141,AI176,IF(AK152=AR141,AI154,IF(AK154=AR141,AI154,IF(AK160=AR141,AI162,IF(AK162=AR141,AI162,IF(AK182=AR141,AI184,IF(AK184=AR141,AI184,IF(AK190=AR141,AI192,IF(AK192=AR141,AI192)))))))))))))))))))))))))))))))),"")</f>
        <v/>
      </c>
      <c r="AS157" s="33" t="str">
        <f>IFERROR(IF(AR157="","",VLOOKUP(AR157,LISTAS!$F$5:$G$1004,2,0)),"0")</f>
        <v/>
      </c>
      <c r="AT157" s="33" t="str">
        <f t="shared" si="7"/>
        <v/>
      </c>
      <c r="AU157" s="33" t="str">
        <f t="shared" si="8"/>
        <v/>
      </c>
    </row>
    <row r="158" spans="2:47" ht="18" customHeight="1" x14ac:dyDescent="0.25">
      <c r="B158" s="133"/>
      <c r="C158" s="188"/>
      <c r="D158" s="29"/>
      <c r="E158" s="35"/>
      <c r="F158" s="36"/>
      <c r="G158" s="171" t="str">
        <f>IF(D160&lt;&gt;"",IF(D162&lt;&gt;"",IF(D160=D162,"",IF(D160&gt;D162,C160,C162)),""),"")</f>
        <v/>
      </c>
      <c r="H158" s="266">
        <v>0</v>
      </c>
      <c r="I158" s="106">
        <f>IF(H158&lt;&gt;"",H158,"")</f>
        <v>0</v>
      </c>
      <c r="J158" s="101" t="str">
        <f>IF(H158&lt;&gt;"",IF(G158="","",G158),"")</f>
        <v/>
      </c>
      <c r="K158" s="190" t="str">
        <f>VLOOKUP(K156,I156:J158,2,0)</f>
        <v/>
      </c>
      <c r="L158" s="101"/>
      <c r="M158" s="93"/>
      <c r="N158" s="29"/>
      <c r="O158" s="188"/>
      <c r="P158" s="29"/>
      <c r="Q158" s="37"/>
      <c r="R158" s="198"/>
      <c r="S158" s="37"/>
      <c r="T158" s="37"/>
      <c r="U158" s="37"/>
      <c r="V158" s="198"/>
      <c r="W158" s="37"/>
      <c r="X158" s="86"/>
      <c r="Y158" s="198"/>
      <c r="Z158" s="94"/>
      <c r="AA158" s="37"/>
      <c r="AB158" s="29"/>
      <c r="AC158" s="198"/>
      <c r="AD158" s="37"/>
      <c r="AE158" s="91"/>
      <c r="AF158" s="266">
        <v>0</v>
      </c>
      <c r="AG158" s="171" t="str">
        <f>IF(AJ160&lt;&gt;"",IF(AJ162&lt;&gt;"",IF(AJ160=AJ162,"",IF(AJ160&gt;AJ162,AK160,AK162)),""),"")</f>
        <v>JOÃO FELIPE CAVALCANTE DE SÁ</v>
      </c>
      <c r="AH158" s="98"/>
      <c r="AI158" s="37"/>
      <c r="AJ158" s="29"/>
      <c r="AK158" s="188"/>
      <c r="AL158" s="29"/>
      <c r="AP158" s="31" t="str">
        <f>IF(AR158&lt;&gt;"",1+COUNTIF(AP136:AP157,"1")+COUNTIF(AP136:AP157,"2")+COUNTIF(AP136:AP157,"3")+COUNTIF(AP136:AP157,"4")+COUNTIF(AP136:AP157,"5")+COUNTIF(AP136:AP157,"6")+COUNTIF(AP136:AP157,"7")+COUNTIF(AP136:AP157,"8")+COUNTIF(AP136:AP157,"9")+COUNTIF(AP136:AP157,"10")+COUNTIF(AP136:AP157,"11")+COUNTIF(AP136:AP157,"12")+COUNTIF(AP136:AP157,"13")+COUNTIF(AP136:AP157,"14")+COUNTIF(AP136:AP157,"15")+COUNTIF(AP136:AP157,"16")+COUNTIF(AP136:AP157,"17")+COUNTIF(AP136:AP157,"18")+COUNTIF(AP136:AP157,"19")+COUNTIF(AP136:AP157,"20")+COUNTIF(AP136:AP157,"21")+COUNTIF(AP136:AP157,"22"),"")</f>
        <v/>
      </c>
      <c r="AQ158" s="32" t="str">
        <f t="shared" si="6"/>
        <v/>
      </c>
      <c r="AR158" s="111" t="str">
        <f>IF(AR142&lt;&gt;"",IF(C136=AR142,G138,IF(C138=AR142,G138,IF(C144=AR142,G146,IF(C146=AR142,G146,IF(C166=AR142,G168,IF(C168=AR142,G168,IF(C174=AR142,G176,IF(C176=AR142,G176,IF(C152=AR142,G154,IF(C154=AR142,G154,IF(C160=AR142,G162,IF(C162=AR142,G162,IF(C182=AR142,G184,IF(C184=AR142,G184,IF(C190=AR142,G192,IF(C192=AR142,G192,IF(AK136=AR142,AI138,IF(AK138=AR142,AI138,IF(AK144=AR142,AI146,IF(AK146=AR142,AI146,IF(AK166=AR142,AI168,IF(AK168=AR142,AI168,IF(AK174=AR142,AI176,IF(AK176=AR142,AI176,IF(AK152=AR142,AI154,IF(AK154=AR142,AI154,IF(AK160=AR142,AI162,IF(AK162=AR142,AI162,IF(AK182=AR142,AI184,IF(AK184=AR142,AI184,IF(AK190=AR142,AI192,IF(AK192=AR142,AI192)))))))))))))))))))))))))))))))),"")</f>
        <v/>
      </c>
      <c r="AS158" s="33" t="str">
        <f>IFERROR(IF(AR158="","",VLOOKUP(AR158,LISTAS!$F$5:$G$1004,2,0)),"0")</f>
        <v/>
      </c>
      <c r="AT158" s="33" t="str">
        <f t="shared" si="7"/>
        <v/>
      </c>
      <c r="AU158" s="33" t="str">
        <f t="shared" si="8"/>
        <v/>
      </c>
    </row>
    <row r="159" spans="2:47" ht="18" customHeight="1" thickBot="1" x14ac:dyDescent="0.3">
      <c r="B159" s="133"/>
      <c r="C159" s="188"/>
      <c r="D159" s="29"/>
      <c r="E159" s="35"/>
      <c r="F159" s="29"/>
      <c r="G159" s="172" t="str">
        <f>IFERROR(IF(G158="","",VLOOKUP(G158,LISTAS!$F$5:$G$1004,2,0)),"0")</f>
        <v/>
      </c>
      <c r="H159" s="267"/>
      <c r="I159" s="101"/>
      <c r="J159" s="101"/>
      <c r="K159" s="190"/>
      <c r="L159" s="101"/>
      <c r="M159" s="93"/>
      <c r="N159" s="29"/>
      <c r="O159" s="188"/>
      <c r="P159" s="29"/>
      <c r="Q159" s="37"/>
      <c r="R159" s="198"/>
      <c r="S159" s="37"/>
      <c r="T159" s="37"/>
      <c r="U159" s="37"/>
      <c r="V159" s="198"/>
      <c r="W159" s="37"/>
      <c r="X159" s="86"/>
      <c r="Y159" s="198"/>
      <c r="Z159" s="94"/>
      <c r="AA159" s="37"/>
      <c r="AB159" s="29"/>
      <c r="AC159" s="198"/>
      <c r="AD159" s="37"/>
      <c r="AE159" s="37"/>
      <c r="AF159" s="267"/>
      <c r="AG159" s="172" t="str">
        <f>IFERROR(IF(AG158="","",VLOOKUP(AG158,LISTAS!$F$5:$G$1004,2,0)),"0")</f>
        <v>COLÉGIO ENGENHEIRO SALVADOR ARENA</v>
      </c>
      <c r="AH159" s="37"/>
      <c r="AI159" s="89"/>
      <c r="AJ159" s="29"/>
      <c r="AK159" s="188"/>
      <c r="AL159" s="29"/>
      <c r="AP159" s="31" t="str">
        <f>IF(AR159&lt;&gt;"",1+COUNTIF(AP136:AP158,"1")+COUNTIF(AP136:AP158,"2")+COUNTIF(AP136:AP158,"3")+COUNTIF(AP136:AP158,"4")+COUNTIF(AP136:AP158,"5")+COUNTIF(AP136:AP158,"6")+COUNTIF(AP136:AP158,"7")+COUNTIF(AP136:AP158,"8")+COUNTIF(AP136:AP158,"9")+COUNTIF(AP136:AP158,"10")+COUNTIF(AP136:AP158,"11")+COUNTIF(AP136:AP158,"12")+COUNTIF(AP136:AP158,"13")+COUNTIF(AP136:AP158,"14")+COUNTIF(AP136:AP158,"15")+COUNTIF(AP136:AP158,"16")+COUNTIF(AP136:AP158,"17")+COUNTIF(AP136:AP158,"18")+COUNTIF(AP136:AP158,"19")+COUNTIF(AP136:AP158,"20")+COUNTIF(AP136:AP158,"21")+COUNTIF(AP136:AP158,"22")+COUNTIF(AP136:AP158,"23"),"")</f>
        <v/>
      </c>
      <c r="AQ159" s="32" t="str">
        <f t="shared" si="6"/>
        <v/>
      </c>
      <c r="AR159" s="111" t="str">
        <f>IF(AR143&lt;&gt;"",IF(C136=AR143,G138,IF(C138=AR143,G138,IF(C144=AR143,G146,IF(C146=AR143,G146,IF(C166=AR143,G168,IF(C168=AR143,G168,IF(C174=AR143,G176,IF(C176=AR143,G176,IF(C152=AR143,G154,IF(C154=AR143,G154,IF(C160=AR143,G162,IF(C162=AR143,G162,IF(C182=AR143,G184,IF(C184=AR143,G184,IF(C190=AR143,G192,IF(C192=AR143,G192,IF(AK136=AR143,AI138,IF(AK138=AR143,AI138,IF(AK144=AR143,AI146,IF(AK146=AR143,AI146,IF(AK166=AR143,AI168,IF(AK168=AR143,AI168,IF(AK174=AR143,AI176,IF(AK176=AR143,AI176,IF(AK152=AR143,AI154,IF(AK154=AR143,AI154,IF(AK160=AR143,AI162,IF(AK162=AR143,AI162,IF(AK182=AR143,AI184,IF(AK184=AR143,AI184,IF(AK190=AR143,AI192,IF(AK192=AR143,AI192)))))))))))))))))))))))))))))))),"")</f>
        <v/>
      </c>
      <c r="AS159" s="33" t="str">
        <f>IFERROR(IF(AR159="","",VLOOKUP(AR159,LISTAS!$F$5:$G$1004,2,0)),"0")</f>
        <v/>
      </c>
      <c r="AT159" s="33" t="str">
        <f t="shared" si="7"/>
        <v/>
      </c>
      <c r="AU159" s="33" t="str">
        <f t="shared" si="8"/>
        <v/>
      </c>
    </row>
    <row r="160" spans="2:47" ht="18" customHeight="1" x14ac:dyDescent="0.25">
      <c r="B160" s="133">
        <v>25</v>
      </c>
      <c r="C160" s="171" t="str">
        <f>IF('17M GRP'!G5&gt;=3,'17M GRP'!J335,IF('17M GRP'!G5=2,"",IF('17M GRP'!G5=1,"","")))</f>
        <v/>
      </c>
      <c r="D160" s="266">
        <v>0</v>
      </c>
      <c r="E160" s="148">
        <f>IF(D160&lt;&gt;"",D160,"")</f>
        <v>0</v>
      </c>
      <c r="F160" s="101" t="str">
        <f>IF(D160&lt;&gt;"",IF(C160="","",C160),"")</f>
        <v/>
      </c>
      <c r="G160" s="190">
        <f>IF(E160&lt;&gt;"",IF(E162&lt;&gt;"",SMALL(E160:E162,1),""),"")</f>
        <v>0</v>
      </c>
      <c r="H160" s="101"/>
      <c r="I160" s="101"/>
      <c r="J160" s="101"/>
      <c r="K160" s="190"/>
      <c r="L160" s="101"/>
      <c r="M160" s="93"/>
      <c r="N160" s="29"/>
      <c r="O160" s="188"/>
      <c r="P160" s="29"/>
      <c r="Q160" s="37"/>
      <c r="R160" s="198"/>
      <c r="S160" s="37"/>
      <c r="T160" s="37"/>
      <c r="U160" s="37"/>
      <c r="V160" s="198"/>
      <c r="W160" s="37"/>
      <c r="X160" s="86"/>
      <c r="Y160" s="198"/>
      <c r="Z160" s="94"/>
      <c r="AA160" s="37"/>
      <c r="AB160" s="29"/>
      <c r="AC160" s="198"/>
      <c r="AD160" s="37"/>
      <c r="AE160" s="100"/>
      <c r="AF160" s="100"/>
      <c r="AG160" s="197">
        <f>IF(AJ160&lt;&gt;"",AJ160,"")</f>
        <v>0</v>
      </c>
      <c r="AH160" s="100" t="str">
        <f>IF(AJ160&lt;&gt;"",IF(AK160="","",AK160),"")</f>
        <v/>
      </c>
      <c r="AI160" s="137">
        <f>IF(AG160&lt;&gt;"",IF(AG162&lt;&gt;"",SMALL(AG160:AG162,1),""),"")</f>
        <v>0</v>
      </c>
      <c r="AJ160" s="270">
        <v>0</v>
      </c>
      <c r="AK160" s="201" t="str">
        <f>IF('17M GRP'!G5&gt;=3,'17M GRP'!J361,IF('17M GRP'!G5=2,"",IF('17M GRP'!G5=1,"","")))</f>
        <v/>
      </c>
      <c r="AL160" s="29">
        <v>27</v>
      </c>
      <c r="AP160" s="31" t="str">
        <f>IF(AR160&lt;&gt;"",1+COUNTIF(AP136:AP159,"1")+COUNTIF(AP136:AP159,"2")+COUNTIF(AP136:AP159,"3")+COUNTIF(AP136:AP159,"4")+COUNTIF(AP136:AP159,"5")+COUNTIF(AP136:AP159,"6")+COUNTIF(AP136:AP159,"7")+COUNTIF(AP136:AP159,"8")+COUNTIF(AP136:AP159,"9")+COUNTIF(AP136:AP159,"10")+COUNTIF(AP136:AP159,"11")+COUNTIF(AP136:AP159,"12")+COUNTIF(AP136:AP159,"13")+COUNTIF(AP136:AP159,"14")+COUNTIF(AP136:AP159,"15")+COUNTIF(AP136:AP159,"16")+COUNTIF(AP136:AP159,"17")+COUNTIF(AP136:AP159,"18")+COUNTIF(AP136:AP159,"19")+COUNTIF(AP136:AP159,"20")+COUNTIF(AP136:AP159,"21")+COUNTIF(AP136:AP159,"22")+COUNTIF(AP136:AP159,"23")+COUNTIF(AP136:AP159,"24"),"")</f>
        <v/>
      </c>
      <c r="AQ160" s="32" t="str">
        <f t="shared" si="6"/>
        <v/>
      </c>
      <c r="AR160" s="111" t="str">
        <f>IF(AR144&lt;&gt;"",IF(C136=AR144,G138,IF(C138=AR144,G138,IF(C144=AR144,G146,IF(C146=AR144,G146,IF(C166=AR144,G168,IF(C168=AR144,G168,IF(C174=AR144,G176,IF(C176=AR144,G176,IF(C152=AR144,G154,IF(C154=AR144,G154,IF(C160=AR144,G162,IF(C162=AR144,G162,IF(C182=AR144,G184,IF(C184=AR144,G184,IF(C190=AR144,G192,IF(C192=AR144,G192,IF(AK136=AR144,AI138,IF(AK138=AR144,AI138,IF(AK144=AR144,AI146,IF(AK146=AR144,AI146,IF(AK166=AR144,AI168,IF(AK168=AR144,AI168,IF(AK174=AR144,AI176,IF(AK176=AR144,AI176,IF(AK152=AR144,AI154,IF(AK154=AR144,AI154,IF(AK160=AR144,AI162,IF(AK162=AR144,AI162,IF(AK182=AR144,AI184,IF(AK184=AR144,AI184,IF(AK190=AR144,AI192,IF(AK192=AR144,AI192)))))))))))))))))))))))))))))))),"")</f>
        <v/>
      </c>
      <c r="AS160" s="33" t="str">
        <f>IFERROR(IF(AR160="","",VLOOKUP(AR160,LISTAS!$F$5:$G$1004,2,0)),"0")</f>
        <v/>
      </c>
      <c r="AT160" s="33" t="str">
        <f t="shared" si="7"/>
        <v/>
      </c>
      <c r="AU160" s="33" t="str">
        <f t="shared" si="8"/>
        <v/>
      </c>
    </row>
    <row r="161" spans="2:47" ht="18" customHeight="1" thickBot="1" x14ac:dyDescent="0.3">
      <c r="B161" s="133"/>
      <c r="C161" s="172" t="str">
        <f>IFERROR(IF(C160="","",VLOOKUP(C160,LISTAS!$F$5:$G$1004,2,0)),"0")</f>
        <v/>
      </c>
      <c r="D161" s="267"/>
      <c r="E161" s="105"/>
      <c r="F161" s="101"/>
      <c r="G161" s="190"/>
      <c r="H161" s="101"/>
      <c r="I161" s="101"/>
      <c r="J161" s="101"/>
      <c r="K161" s="190"/>
      <c r="L161" s="101"/>
      <c r="M161" s="35"/>
      <c r="N161" s="29"/>
      <c r="O161" s="188"/>
      <c r="P161" s="29"/>
      <c r="Q161" s="37"/>
      <c r="R161" s="198"/>
      <c r="S161" s="37"/>
      <c r="T161" s="37"/>
      <c r="U161" s="37"/>
      <c r="V161" s="198"/>
      <c r="W161" s="37"/>
      <c r="X161" s="86"/>
      <c r="Y161" s="198"/>
      <c r="Z161" s="94"/>
      <c r="AA161" s="37"/>
      <c r="AB161" s="29"/>
      <c r="AC161" s="198"/>
      <c r="AD161" s="37"/>
      <c r="AE161" s="100"/>
      <c r="AF161" s="100"/>
      <c r="AG161" s="197"/>
      <c r="AH161" s="100"/>
      <c r="AI161" s="143"/>
      <c r="AJ161" s="271"/>
      <c r="AK161" s="172" t="str">
        <f>IFERROR(IF(AK160="","",VLOOKUP(AK160,LISTAS!$F$5:$G$1004,2,0)),"0")</f>
        <v/>
      </c>
      <c r="AL161" s="29"/>
      <c r="AP161" s="31" t="str">
        <f>IF(AR161&lt;&gt;"",1+COUNTIF(AP136:AP160,"1")+COUNTIF(AP136:AP160,"2")+COUNTIF(AP136:AP160,"3")+COUNTIF(AP136:AP160,"4")+COUNTIF(AP136:AP160,"5")+COUNTIF(AP136:AP160,"6")+COUNTIF(AP136:AP160,"7")+COUNTIF(AP136:AP160,"8")+COUNTIF(AP136:AP160,"9")+COUNTIF(AP136:AP160,"10")+COUNTIF(AP136:AP160,"11")+COUNTIF(AP136:AP160,"12")+COUNTIF(AP136:AP160,"13")+COUNTIF(AP136:AP160,"14")+COUNTIF(AP136:AP160,"15")+COUNTIF(AP136:AP160,"16")+COUNTIF(AP136:AP160,"17")+COUNTIF(AP136:AP160,"18")+COUNTIF(AP136:AP160,"19")+COUNTIF(AP136:AP160,"20")+COUNTIF(AP136:AP160,"21")+COUNTIF(AP136:AP160,"22")+COUNTIF(AP136:AP160,"23")+COUNTIF(AP136:AP160,"24")+COUNTIF(AP136:AP160,"25"),"")</f>
        <v/>
      </c>
      <c r="AQ161" s="32" t="str">
        <f t="shared" si="6"/>
        <v/>
      </c>
      <c r="AR161" s="111" t="str">
        <f>IF(AR145&lt;&gt;"",IF(C136=AR145,G138,IF(C138=AR145,G138,IF(C144=AR145,G146,IF(C146=AR145,G146,IF(C166=AR145,G168,IF(C168=AR145,G168,IF(C174=AR145,G176,IF(C176=AR145,G176,IF(C152=AR145,G154,IF(C154=AR145,G154,IF(C160=AR145,G162,IF(C162=AR145,G162,IF(C182=AR145,G184,IF(C184=AR145,G184,IF(C190=AR145,G192,IF(C192=AR145,G192,IF(AK136=AR145,AI138,IF(AK138=AR145,AI138,IF(AK144=AR145,AI146,IF(AK146=AR145,AI146,IF(AK166=AR145,AI168,IF(AK168=AR145,AI168,IF(AK174=AR145,AI176,IF(AK176=AR145,AI176,IF(AK152=AR145,AI154,IF(AK154=AR145,AI154,IF(AK160=AR145,AI162,IF(AK162=AR145,AI162,IF(AK182=AR145,AI184,IF(AK184=AR145,AI184,IF(AK190=AR145,AI192,IF(AK192=AR145,AI192)))))))))))))))))))))))))))))))),"")</f>
        <v/>
      </c>
      <c r="AS161" s="33" t="str">
        <f>IFERROR(IF(AR161="","",VLOOKUP(AR161,LISTAS!$F$5:$G$1004,2,0)),"0")</f>
        <v/>
      </c>
      <c r="AT161" s="33" t="str">
        <f t="shared" si="7"/>
        <v/>
      </c>
      <c r="AU161" s="33" t="str">
        <f t="shared" si="8"/>
        <v/>
      </c>
    </row>
    <row r="162" spans="2:47" ht="18" customHeight="1" thickBot="1" x14ac:dyDescent="0.3">
      <c r="B162" s="133">
        <v>8</v>
      </c>
      <c r="C162" s="171"/>
      <c r="D162" s="266">
        <v>0</v>
      </c>
      <c r="E162" s="106">
        <f>IF(D162&lt;&gt;"",D162,"")</f>
        <v>0</v>
      </c>
      <c r="F162" s="101" t="str">
        <f>IF(D162&lt;&gt;"",IF(C162="","",C162),"")</f>
        <v/>
      </c>
      <c r="G162" s="190" t="str">
        <f>VLOOKUP(G160,E160:F162,2,0)</f>
        <v/>
      </c>
      <c r="H162" s="101"/>
      <c r="I162" s="29"/>
      <c r="J162" s="29"/>
      <c r="K162" s="188"/>
      <c r="L162" s="29"/>
      <c r="M162" s="35"/>
      <c r="N162" s="29"/>
      <c r="O162" s="188"/>
      <c r="P162" s="29"/>
      <c r="Q162" s="37"/>
      <c r="R162" s="268" t="s">
        <v>37</v>
      </c>
      <c r="S162" s="268"/>
      <c r="T162" s="268"/>
      <c r="U162" s="268"/>
      <c r="V162" s="268"/>
      <c r="W162" s="37"/>
      <c r="X162" s="86"/>
      <c r="Y162" s="198"/>
      <c r="Z162" s="94"/>
      <c r="AA162" s="37"/>
      <c r="AB162" s="29"/>
      <c r="AC162" s="198"/>
      <c r="AD162" s="37"/>
      <c r="AE162" s="100"/>
      <c r="AF162" s="100"/>
      <c r="AG162" s="197">
        <f>IF(AJ162&lt;&gt;"",AJ162,"")</f>
        <v>1</v>
      </c>
      <c r="AH162" s="100" t="str">
        <f>IF(AJ162&lt;&gt;"",IF(AK162="","",AK162),"")</f>
        <v>JOÃO FELIPE CAVALCANTE DE SÁ</v>
      </c>
      <c r="AI162" s="145" t="str">
        <f>VLOOKUP(AI160,AG160:AH162,2,0)</f>
        <v/>
      </c>
      <c r="AJ162" s="266">
        <v>1</v>
      </c>
      <c r="AK162" s="171" t="str">
        <f>IF('17M GRP'!G5&gt;=3,'17M GRP'!J88,IF('17M GRP'!G5=2,"",IF('17M GRP'!G5=1,"","")))</f>
        <v>JOÃO FELIPE CAVALCANTE DE SÁ</v>
      </c>
      <c r="AL162" s="29">
        <v>6</v>
      </c>
      <c r="AP162" s="31" t="str">
        <f>IF(AR162&lt;&gt;"",1+COUNTIF(AP136:AP161,"1")+COUNTIF(AP136:AP161,"2")+COUNTIF(AP136:AP161,"3")+COUNTIF(AP136:AP161,"4")+COUNTIF(AP136:AP161,"5")+COUNTIF(AP136:AP161,"6")+COUNTIF(AP136:AP161,"7")+COUNTIF(AP136:AP161,"8")+COUNTIF(AP136:AP161,"9")+COUNTIF(AP136:AP161,"10")+COUNTIF(AP136:AP161,"11")+COUNTIF(AP136:AP161,"12")+COUNTIF(AP136:AP161,"13")+COUNTIF(AP136:AP161,"14")+COUNTIF(AP136:AP161,"15")+COUNTIF(AP136:AP161,"16")+COUNTIF(AP136:AP161,"17")+COUNTIF(AP136:AP161,"18")+COUNTIF(AP136:AP161,"19")+COUNTIF(AP136:AP161,"20")+COUNTIF(AP136:AP161,"21")+COUNTIF(AP136:AP161,"22")+COUNTIF(AP136:AP161,"23")+COUNTIF(AP136:AP161,"24")+COUNTIF(AP136:AP161,"25")+COUNTIF(AP136:AP161,"26"),"")</f>
        <v/>
      </c>
      <c r="AQ162" s="32" t="str">
        <f t="shared" si="6"/>
        <v/>
      </c>
      <c r="AR162" s="111" t="str">
        <f>IF(AR146&lt;&gt;"",IF(C136=AR146,G138,IF(C138=AR146,G138,IF(C144=AR146,G146,IF(C146=AR146,G146,IF(C166=AR146,G168,IF(C168=AR146,G168,IF(C174=AR146,G176,IF(C176=AR146,G176,IF(C152=AR146,G154,IF(C154=AR146,G154,IF(C160=AR146,G162,IF(C162=AR146,G162,IF(C182=AR146,G184,IF(C184=AR146,G184,IF(C190=AR146,G192,IF(C192=AR146,G192,IF(AK136=AR146,AI138,IF(AK138=AR146,AI138,IF(AK144=AR146,AI146,IF(AK146=AR146,AI146,IF(AK166=AR146,AI168,IF(AK168=AR146,AI168,IF(AK174=AR146,AI176,IF(AK176=AR146,AI176,IF(AK152=AR146,AI154,IF(AK154=AR146,AI154,IF(AK160=AR146,AI162,IF(AK162=AR146,AI162,IF(AK182=AR146,AI184,IF(AK184=AR146,AI184,IF(AK190=AR146,AI192,IF(AK192=AR146,AI192)))))))))))))))))))))))))))))))),"")</f>
        <v/>
      </c>
      <c r="AS162" s="33" t="str">
        <f>IFERROR(IF(AR162="","",VLOOKUP(AR162,LISTAS!$F$5:$G$1004,2,0)),"0")</f>
        <v/>
      </c>
      <c r="AT162" s="33" t="str">
        <f t="shared" si="7"/>
        <v/>
      </c>
      <c r="AU162" s="33" t="str">
        <f t="shared" si="8"/>
        <v/>
      </c>
    </row>
    <row r="163" spans="2:47" ht="18" customHeight="1" thickBot="1" x14ac:dyDescent="0.3">
      <c r="B163" s="133"/>
      <c r="C163" s="172" t="str">
        <f>IFERROR(IF(C162="","",VLOOKUP(C162,LISTAS!$F$5:$G$1004,2,0)),"0")</f>
        <v/>
      </c>
      <c r="D163" s="267"/>
      <c r="E163" s="101"/>
      <c r="F163" s="101"/>
      <c r="G163" s="190"/>
      <c r="H163" s="101"/>
      <c r="I163" s="29"/>
      <c r="J163" s="29"/>
      <c r="K163" s="188"/>
      <c r="L163" s="29"/>
      <c r="M163" s="35"/>
      <c r="N163" s="29"/>
      <c r="O163" s="171" t="str">
        <f>IF(L148&lt;&gt;"",IF(L150&lt;&gt;"",IF(L148=L150,"",IF(L148&gt;L150,K148,K150)),""),"")</f>
        <v>ANDRÉ YUJI YOSHIDA MEIRA</v>
      </c>
      <c r="P163" s="266">
        <v>1</v>
      </c>
      <c r="Q163" s="37"/>
      <c r="R163" s="189"/>
      <c r="S163" s="84"/>
      <c r="T163" s="84"/>
      <c r="U163" s="84"/>
      <c r="V163" s="189"/>
      <c r="W163" s="37"/>
      <c r="X163" s="266">
        <v>0</v>
      </c>
      <c r="Y163" s="171" t="str">
        <f>IF(AB148&lt;&gt;"",IF(AB150&lt;&gt;"",IF(AB148=AB150,"",IF(AB148&gt;AB150,AC148,AC150)),""),"")</f>
        <v>VINÍCIUS SELICHEVIC MESSIAS</v>
      </c>
      <c r="Z163" s="94"/>
      <c r="AA163" s="37"/>
      <c r="AB163" s="29"/>
      <c r="AC163" s="198"/>
      <c r="AD163" s="37"/>
      <c r="AE163" s="100"/>
      <c r="AF163" s="100"/>
      <c r="AG163" s="197"/>
      <c r="AH163" s="100"/>
      <c r="AI163" s="101"/>
      <c r="AJ163" s="267"/>
      <c r="AK163" s="172" t="str">
        <f>IFERROR(IF(AK162="","",VLOOKUP(AK162,LISTAS!$F$5:$G$1004,2,0)),"0")</f>
        <v>COLÉGIO ENGENHEIRO SALVADOR ARENA</v>
      </c>
      <c r="AL163" s="29"/>
      <c r="AP163" s="31" t="str">
        <f>IF(AR163&lt;&gt;"",1+COUNTIF(AP136:AP162,"1")+COUNTIF(AP136:AP162,"2")+COUNTIF(AP136:AP162,"3")+COUNTIF(AP136:AP162,"4")+COUNTIF(AP136:AP162,"5")+COUNTIF(AP136:AP162,"6")+COUNTIF(AP136:AP162,"7")+COUNTIF(AP136:AP162,"8")+COUNTIF(AP136:AP162,"9")+COUNTIF(AP136:AP162,"10")+COUNTIF(AP136:AP162,"11")+COUNTIF(AP136:AP162,"12")+COUNTIF(AP136:AP162,"13")+COUNTIF(AP136:AP162,"14")+COUNTIF(AP136:AP162,"15")+COUNTIF(AP136:AP162,"16")+COUNTIF(AP136:AP162,"17")+COUNTIF(AP136:AP162,"18")+COUNTIF(AP136:AP162,"19")+COUNTIF(AP136:AP162,"20")+COUNTIF(AP136:AP162,"21")+COUNTIF(AP136:AP162,"22")+COUNTIF(AP136:AP162,"23")+COUNTIF(AP136:AP162,"24")+COUNTIF(AP136:AP162,"25")+COUNTIF(AP136:AP162,"26")+COUNTIF(AP136:AP162,"27"),"")</f>
        <v/>
      </c>
      <c r="AQ163" s="32" t="str">
        <f t="shared" si="6"/>
        <v/>
      </c>
      <c r="AR163" s="111" t="str">
        <f>IF(AR147&lt;&gt;"",IF(C136=AR147,G138,IF(C138=AR147,G138,IF(C144=AR147,G146,IF(C146=AR147,G146,IF(C166=AR147,G168,IF(C168=AR147,G168,IF(C174=AR147,G176,IF(C176=AR147,G176,IF(C152=AR147,G154,IF(C154=AR147,G154,IF(C160=AR147,G162,IF(C162=AR147,G162,IF(C182=AR147,G184,IF(C184=AR147,G184,IF(C190=AR147,G192,IF(C192=AR147,G192,IF(AK136=AR147,AI138,IF(AK138=AR147,AI138,IF(AK144=AR147,AI146,IF(AK146=AR147,AI146,IF(AK166=AR147,AI168,IF(AK168=AR147,AI168,IF(AK174=AR147,AI176,IF(AK176=AR147,AI176,IF(AK152=AR147,AI154,IF(AK154=AR147,AI154,IF(AK160=AR147,AI162,IF(AK162=AR147,AI162,IF(AK182=AR147,AI184,IF(AK184=AR147,AI184,IF(AK190=AR147,AI192,IF(AK192=AR147,AI192)))))))))))))))))))))))))))))))),"")</f>
        <v/>
      </c>
      <c r="AS163" s="33" t="str">
        <f>IFERROR(IF(AR163="","",VLOOKUP(AR163,LISTAS!$F$5:$G$1004,2,0)),"0")</f>
        <v/>
      </c>
      <c r="AT163" s="33" t="str">
        <f t="shared" si="7"/>
        <v/>
      </c>
      <c r="AU163" s="33" t="str">
        <f t="shared" si="8"/>
        <v/>
      </c>
    </row>
    <row r="164" spans="2:47" ht="18" customHeight="1" thickBot="1" x14ac:dyDescent="0.3">
      <c r="B164" s="133"/>
      <c r="C164" s="188"/>
      <c r="D164" s="29"/>
      <c r="E164" s="29"/>
      <c r="F164" s="29"/>
      <c r="G164" s="188"/>
      <c r="H164" s="29"/>
      <c r="I164" s="29"/>
      <c r="J164" s="29"/>
      <c r="K164" s="188"/>
      <c r="L164" s="29"/>
      <c r="M164" s="35"/>
      <c r="N164" s="29"/>
      <c r="O164" s="172" t="str">
        <f>IFERROR(IF(O163="","",VLOOKUP(O163,LISTAS!$F$5:$G$1004,2,0)),"0")</f>
        <v>COLÉGIO ENGENHEIRO SALVADOR ARENA</v>
      </c>
      <c r="P164" s="267"/>
      <c r="Q164" s="37"/>
      <c r="R164" s="171" t="str">
        <f>IF(P163&lt;&gt;"",IF(P165&lt;&gt;"",IF(P163=P165,"",IF(P163&gt;P165,O163,O165)),""),"")</f>
        <v>ANDRÉ YUJI YOSHIDA MEIRA</v>
      </c>
      <c r="S164" s="266">
        <v>1</v>
      </c>
      <c r="T164" s="269" t="s">
        <v>38</v>
      </c>
      <c r="U164" s="266">
        <v>0</v>
      </c>
      <c r="V164" s="171" t="str">
        <f>IF(X163&lt;&gt;"",IF(X165&lt;&gt;"",IF(X163=X165,"",IF(X163&gt;X165,Y163,Y165)),""),"")</f>
        <v>LEANDRO SAKATA MOURA</v>
      </c>
      <c r="W164" s="141"/>
      <c r="X164" s="267"/>
      <c r="Y164" s="172" t="str">
        <f>IFERROR(IF(Y163="","",VLOOKUP(Y163,LISTAS!$F$5:$G$1004,2,0)),"0")</f>
        <v>COLÉGIO ENGENHEIRO SALVADOR ARENA</v>
      </c>
      <c r="Z164" s="141"/>
      <c r="AA164" s="37"/>
      <c r="AB164" s="29"/>
      <c r="AC164" s="198"/>
      <c r="AD164" s="37"/>
      <c r="AE164" s="100"/>
      <c r="AF164" s="100"/>
      <c r="AG164" s="197"/>
      <c r="AH164" s="100"/>
      <c r="AI164" s="100"/>
      <c r="AJ164" s="29"/>
      <c r="AK164" s="188"/>
      <c r="AL164" s="29"/>
      <c r="AP164" s="31" t="str">
        <f>IF(AR164&lt;&gt;"",1+COUNTIF(AP136:AP163,"1")+COUNTIF(AP136:AP163,"2")+COUNTIF(AP136:AP163,"3")+COUNTIF(AP136:AP163,"4")+COUNTIF(AP136:AP163,"5")+COUNTIF(AP136:AP163,"6")+COUNTIF(AP136:AP163,"7")+COUNTIF(AP136:AP163,"8")+COUNTIF(AP136:AP163,"9")+COUNTIF(AP136:AP163,"10")+COUNTIF(AP136:AP163,"11")+COUNTIF(AP136:AP163,"12")+COUNTIF(AP136:AP163,"13")+COUNTIF(AP136:AP163,"14")+COUNTIF(AP136:AP163,"15")+COUNTIF(AP136:AP163,"16")+COUNTIF(AP136:AP163,"17")+COUNTIF(AP136:AP163,"18")+COUNTIF(AP136:AP163,"19")+COUNTIF(AP136:AP163,"20")+COUNTIF(AP136:AP163,"21")+COUNTIF(AP136:AP163,"22")+COUNTIF(AP136:AP163,"23")+COUNTIF(AP136:AP163,"24")+COUNTIF(AP136:AP163,"25")+COUNTIF(AP136:AP163,"26")+COUNTIF(AP136:AP163,"27")+COUNTIF(AP136:AP163,"28"),"")</f>
        <v/>
      </c>
      <c r="AQ164" s="32" t="str">
        <f t="shared" si="6"/>
        <v/>
      </c>
      <c r="AR164" s="111" t="str">
        <f>IF(AR148&lt;&gt;"",IF(C136=AR148,G138,IF(C138=AR148,G138,IF(C144=AR148,G146,IF(C146=AR148,G146,IF(C166=AR148,G168,IF(C168=AR148,G168,IF(C174=AR148,G176,IF(C176=AR148,G176,IF(C152=AR148,G154,IF(C154=AR148,G154,IF(C160=AR148,G162,IF(C162=AR148,G162,IF(C182=AR148,G184,IF(C184=AR148,G184,IF(C190=AR148,G192,IF(C192=AR148,G192,IF(AK136=AR148,AI138,IF(AK138=AR148,AI138,IF(AK144=AR148,AI146,IF(AK146=AR148,AI146,IF(AK166=AR148,AI168,IF(AK168=AR148,AI168,IF(AK174=AR148,AI176,IF(AK176=AR148,AI176,IF(AK152=AR148,AI154,IF(AK154=AR148,AI154,IF(AK160=AR148,AI162,IF(AK162=AR148,AI162,IF(AK182=AR148,AI184,IF(AK184=AR148,AI184,IF(AK190=AR148,AI192,IF(AK192=AR148,AI192)))))))))))))))))))))))))))))))),"")</f>
        <v/>
      </c>
      <c r="AS164" s="33" t="str">
        <f>IFERROR(IF(AR164="","",VLOOKUP(AR164,LISTAS!$F$5:$G$1004,2,0)),"0")</f>
        <v/>
      </c>
      <c r="AT164" s="33" t="str">
        <f t="shared" si="7"/>
        <v/>
      </c>
      <c r="AU164" s="33" t="str">
        <f t="shared" si="8"/>
        <v/>
      </c>
    </row>
    <row r="165" spans="2:47" ht="18" customHeight="1" thickBot="1" x14ac:dyDescent="0.3">
      <c r="B165" s="133"/>
      <c r="C165" s="188"/>
      <c r="D165" s="29"/>
      <c r="E165" s="29"/>
      <c r="F165" s="29"/>
      <c r="G165" s="188"/>
      <c r="H165" s="29"/>
      <c r="I165" s="29"/>
      <c r="J165" s="29"/>
      <c r="K165" s="188"/>
      <c r="L165" s="29"/>
      <c r="M165" s="35"/>
      <c r="N165" s="36"/>
      <c r="O165" s="171" t="str">
        <f>IF(L178&lt;&gt;"",IF(L180&lt;&gt;"",IF(L178=L180,"",IF(L178&gt;L180,K178,K180)),""),"")</f>
        <v>MURILO ANDRADE</v>
      </c>
      <c r="P165" s="266">
        <v>0</v>
      </c>
      <c r="Q165" s="97"/>
      <c r="R165" s="172" t="str">
        <f>IFERROR(IF(R164="","",VLOOKUP(R164,LISTAS!$F$5:$G$1004,2,0)),"0")</f>
        <v>COLÉGIO ENGENHEIRO SALVADOR ARENA</v>
      </c>
      <c r="S165" s="267"/>
      <c r="T165" s="269"/>
      <c r="U165" s="267"/>
      <c r="V165" s="172" t="str">
        <f>IFERROR(IF(V164="","",VLOOKUP(V164,LISTAS!$F$5:$G$1004,2,0)),"0")</f>
        <v>ESCOLA PRÓ CONHECER</v>
      </c>
      <c r="W165" s="98"/>
      <c r="X165" s="266">
        <v>1</v>
      </c>
      <c r="Y165" s="171" t="str">
        <f>IF(AB178&lt;&gt;"",IF(AB180&lt;&gt;"",IF(AB178=AB180,"",IF(AB178&gt;AB180,AC178,AC180)),""),"")</f>
        <v>LEANDRO SAKATA MOURA</v>
      </c>
      <c r="Z165" s="98"/>
      <c r="AA165" s="37"/>
      <c r="AB165" s="29"/>
      <c r="AC165" s="198"/>
      <c r="AD165" s="37"/>
      <c r="AE165" s="100"/>
      <c r="AF165" s="100"/>
      <c r="AG165" s="197"/>
      <c r="AH165" s="100"/>
      <c r="AI165" s="100"/>
      <c r="AJ165" s="29"/>
      <c r="AK165" s="188"/>
      <c r="AL165" s="29"/>
      <c r="AP165" s="31" t="str">
        <f>IF(AR165&lt;&gt;"",1+COUNTIF(AP136:AP164,"1")+COUNTIF(AP136:AP164,"2")+COUNTIF(AP136:AP164,"3")+COUNTIF(AP136:AP164,"4")+COUNTIF(AP136:AP164,"5")+COUNTIF(AP136:AP164,"6")+COUNTIF(AP136:AP164,"7")+COUNTIF(AP136:AP164,"8")+COUNTIF(AP136:AP164,"9")+COUNTIF(AP136:AP164,"10")+COUNTIF(AP136:AP164,"11")+COUNTIF(AP136:AP164,"12")+COUNTIF(AP136:AP164,"13")+COUNTIF(AP136:AP164,"14")+COUNTIF(AP136:AP164,"15")+COUNTIF(AP136:AP164,"16")+COUNTIF(AP136:AP164,"17")+COUNTIF(AP136:AP164,"18")+COUNTIF(AP136:AP164,"19")+COUNTIF(AP136:AP164,"20")+COUNTIF(AP136:AP164,"21")+COUNTIF(AP136:AP164,"22")+COUNTIF(AP136:AP164,"23")+COUNTIF(AP136:AP164,"24")+COUNTIF(AP136:AP164,"25")+COUNTIF(AP136:AP164,"26")+COUNTIF(AP136:AP164,"27")+COUNTIF(AP136:AP164,"28")+COUNTIF(AP136:AP164,"29"),"")</f>
        <v/>
      </c>
      <c r="AQ165" s="32" t="str">
        <f t="shared" si="6"/>
        <v/>
      </c>
      <c r="AR165" s="111" t="str">
        <f>IF(AR149&lt;&gt;"",IF(C136=AR149,G138,IF(C138=AR149,G138,IF(C144=AR149,G146,IF(C146=AR149,G146,IF(C166=AR149,G168,IF(C168=AR149,G168,IF(C174=AR149,G176,IF(C176=AR149,G176,IF(C152=AR149,G154,IF(C154=AR149,G154,IF(C160=AR149,G162,IF(C162=AR149,G162,IF(C182=AR149,G184,IF(C184=AR149,G184,IF(C190=AR149,G192,IF(C192=AR149,G192,IF(AK136=AR149,AI138,IF(AK138=AR149,AI138,IF(AK144=AR149,AI146,IF(AK146=AR149,AI146,IF(AK166=AR149,AI168,IF(AK168=AR149,AI168,IF(AK174=AR149,AI176,IF(AK176=AR149,AI176,IF(AK152=AR149,AI154,IF(AK154=AR149,AI154,IF(AK160=AR149,AI162,IF(AK162=AR149,AI162,IF(AK182=AR149,AI184,IF(AK184=AR149,AI184,IF(AK190=AR149,AI192,IF(AK192=AR149,AI192)))))))))))))))))))))))))))))))),"")</f>
        <v/>
      </c>
      <c r="AS165" s="33" t="str">
        <f>IFERROR(IF(AR165="","",VLOOKUP(AR165,LISTAS!$F$5:$G$1004,2,0)),"0")</f>
        <v/>
      </c>
      <c r="AT165" s="33" t="str">
        <f t="shared" si="7"/>
        <v/>
      </c>
      <c r="AU165" s="33" t="str">
        <f t="shared" si="8"/>
        <v/>
      </c>
    </row>
    <row r="166" spans="2:47" ht="18" customHeight="1" thickBot="1" x14ac:dyDescent="0.3">
      <c r="B166" s="133">
        <v>5</v>
      </c>
      <c r="C166" s="171" t="str">
        <f>IF('17M GRP'!G5&gt;=3,'17M GRP'!J75,IF('17M GRP'!G5=2,"",IF('17M GRP'!G5=1,"","")))</f>
        <v>MURILO ANDRADE</v>
      </c>
      <c r="D166" s="266">
        <v>1</v>
      </c>
      <c r="E166" s="101">
        <f>IF(D166&lt;&gt;"",D166,"")</f>
        <v>1</v>
      </c>
      <c r="F166" s="101" t="str">
        <f>IF(D166&lt;&gt;"",IF(C166="","",C166),"")</f>
        <v>MURILO ANDRADE</v>
      </c>
      <c r="G166" s="190">
        <f>IF(E166&lt;&gt;"",IF(E168&lt;&gt;"",SMALL(E166:E168,1),""),"")</f>
        <v>0</v>
      </c>
      <c r="H166" s="101"/>
      <c r="I166" s="101"/>
      <c r="J166" s="101"/>
      <c r="K166" s="190"/>
      <c r="L166" s="29"/>
      <c r="M166" s="35"/>
      <c r="N166" s="37"/>
      <c r="O166" s="172" t="str">
        <f>IFERROR(IF(O165="","",VLOOKUP(O165,LISTAS!$F$5:$G$1004,2,0)),"0")</f>
        <v>COLÉGIO ARBOS DE SÃO BERNARDO DO CAMPO</v>
      </c>
      <c r="P166" s="267"/>
      <c r="Q166" s="85"/>
      <c r="R166" s="198"/>
      <c r="S166" s="37"/>
      <c r="T166" s="37"/>
      <c r="U166" s="37"/>
      <c r="V166" s="198"/>
      <c r="W166" s="37"/>
      <c r="X166" s="267"/>
      <c r="Y166" s="172" t="str">
        <f>IFERROR(IF(Y165="","",VLOOKUP(Y165,LISTAS!$F$5:$G$1004,2,0)),"0")</f>
        <v>ESCOLA PRÓ CONHECER</v>
      </c>
      <c r="Z166" s="94"/>
      <c r="AA166" s="37"/>
      <c r="AB166" s="29"/>
      <c r="AC166" s="198"/>
      <c r="AD166" s="37"/>
      <c r="AE166" s="100"/>
      <c r="AF166" s="100"/>
      <c r="AG166" s="197">
        <f>IF(AJ166&lt;&gt;"",AJ166,"")</f>
        <v>1</v>
      </c>
      <c r="AH166" s="100" t="str">
        <f>IF(AJ166&lt;&gt;"",IF(AK166="","",AK166),"")</f>
        <v>LEANDRO SAKATA MOURA</v>
      </c>
      <c r="AI166" s="101">
        <f>IF(AG166&lt;&gt;"",IF(AG168&lt;&gt;"",SMALL(AG166:AG168,1),""),"")</f>
        <v>0</v>
      </c>
      <c r="AJ166" s="266">
        <v>1</v>
      </c>
      <c r="AK166" s="171" t="str">
        <f>IF('17M GRP'!G5&gt;=3,'17M GRP'!J101,IF('17M GRP'!G5=2,"",IF('17M GRP'!G5=1,"","")))</f>
        <v>LEANDRO SAKATA MOURA</v>
      </c>
      <c r="AL166" s="29">
        <v>7</v>
      </c>
      <c r="AP166" s="31" t="str">
        <f>IF(AR166&lt;&gt;"",1+COUNTIF(AP136:AP165,"1")+COUNTIF(AP136:AP165,"2")+COUNTIF(AP136:AP165,"3")+COUNTIF(AP136:AP165,"4")+COUNTIF(AP136:AP165,"5")+COUNTIF(AP136:AP165,"6")+COUNTIF(AP136:AP165,"7")+COUNTIF(AP136:AP165,"8")+COUNTIF(AP136:AP165,"9")+COUNTIF(AP136:AP165,"10")+COUNTIF(AP136:AP165,"11")+COUNTIF(AP136:AP165,"12")+COUNTIF(AP136:AP165,"13")+COUNTIF(AP136:AP165,"14")+COUNTIF(AP136:AP165,"15")+COUNTIF(AP136:AP165,"16")+COUNTIF(AP136:AP165,"17")+COUNTIF(AP136:AP165,"18")+COUNTIF(AP136:AP165,"19")+COUNTIF(AP136:AP165,"20")+COUNTIF(AP136:AP165,"21")+COUNTIF(AP136:AP165,"22")+COUNTIF(AP136:AP165,"23")+COUNTIF(AP136:AP165,"24")+COUNTIF(AP136:AP165,"25")+COUNTIF(AP136:AP165,"26")+COUNTIF(AP136:AP165,"27")+COUNTIF(AP136:AP165,"28")+COUNTIF(AP136:AP165,"29")+COUNTIF(AP136:AP165,"30"),"")</f>
        <v/>
      </c>
      <c r="AQ166" s="32" t="str">
        <f t="shared" si="6"/>
        <v/>
      </c>
      <c r="AR166" s="111" t="str">
        <f>IF(AR150&lt;&gt;"",IF(C136=AR150,G138,IF(C138=AR150,G138,IF(C144=AR150,G146,IF(C146=AR150,G146,IF(C166=AR150,G168,IF(C168=AR150,G168,IF(C174=AR150,G176,IF(C176=AR150,G176,IF(C152=AR150,G154,IF(C154=AR150,G154,IF(C160=AR150,G162,IF(C162=AR150,G162,IF(C182=AR150,G184,IF(C184=AR150,G184,IF(C190=AR150,G192,IF(C192=AR150,G192,IF(AK136=AR150,AI138,IF(AK138=AR150,AI138,IF(AK144=AR150,AI146,IF(AK146=AR150,AI146,IF(AK166=AR150,AI168,IF(AK168=AR150,AI168,IF(AK174=AR150,AI176,IF(AK176=AR150,AI176,IF(AK152=AR150,AI154,IF(AK154=AR150,AI154,IF(AK160=AR150,AI162,IF(AK162=AR150,AI162,IF(AK182=AR150,AI184,IF(AK184=AR150,AI184,IF(AK190=AR150,AI192,IF(AK192=AR150,AI192)))))))))))))))))))))))))))))))),"")</f>
        <v/>
      </c>
      <c r="AS166" s="33" t="str">
        <f>IFERROR(IF(AR166="","",VLOOKUP(AR166,LISTAS!$F$5:$G$1004,2,0)),"0")</f>
        <v/>
      </c>
      <c r="AT166" s="33" t="str">
        <f t="shared" si="7"/>
        <v/>
      </c>
      <c r="AU166" s="33" t="str">
        <f t="shared" si="8"/>
        <v/>
      </c>
    </row>
    <row r="167" spans="2:47" ht="18" customHeight="1" thickBot="1" x14ac:dyDescent="0.3">
      <c r="B167" s="133"/>
      <c r="C167" s="172" t="str">
        <f>IFERROR(IF(C166="","",VLOOKUP(C166,LISTAS!$F$5:$G$1004,2,0)),"0")</f>
        <v>COLÉGIO ARBOS DE SÃO BERNARDO DO CAMPO</v>
      </c>
      <c r="D167" s="267"/>
      <c r="E167" s="101"/>
      <c r="F167" s="101"/>
      <c r="G167" s="190"/>
      <c r="H167" s="101"/>
      <c r="I167" s="101"/>
      <c r="J167" s="101"/>
      <c r="K167" s="190"/>
      <c r="L167" s="101"/>
      <c r="M167" s="138"/>
      <c r="N167" s="100"/>
      <c r="O167" s="197"/>
      <c r="P167" s="100"/>
      <c r="Q167" s="100"/>
      <c r="R167" s="197"/>
      <c r="S167" s="37"/>
      <c r="T167" s="37"/>
      <c r="U167" s="37"/>
      <c r="V167" s="198"/>
      <c r="W167" s="37"/>
      <c r="X167" s="86"/>
      <c r="Y167" s="198"/>
      <c r="Z167" s="94"/>
      <c r="AA167" s="37"/>
      <c r="AB167" s="29"/>
      <c r="AC167" s="198"/>
      <c r="AD167" s="37"/>
      <c r="AE167" s="100"/>
      <c r="AF167" s="100"/>
      <c r="AG167" s="197"/>
      <c r="AH167" s="100"/>
      <c r="AI167" s="101"/>
      <c r="AJ167" s="267"/>
      <c r="AK167" s="172" t="str">
        <f>IFERROR(IF(AK166="","",VLOOKUP(AK166,LISTAS!$F$5:$G$1004,2,0)),"0")</f>
        <v>ESCOLA PRÓ CONHECER</v>
      </c>
      <c r="AL167" s="29"/>
      <c r="AP167" s="31" t="str">
        <f>IF(AR167&lt;&gt;"",1+COUNTIF(AP136:AP166,"1")+COUNTIF(AP136:AP166,"2")+COUNTIF(AP136:AP166,"3")+COUNTIF(AP136:AP166,"4")+COUNTIF(AP136:AP166,"5")+COUNTIF(AP136:AP166,"6")+COUNTIF(AP136:AP166,"7")+COUNTIF(AP136:AP166,"8")+COUNTIF(AP136:AP166,"9")+COUNTIF(AP136:AP166,"10")+COUNTIF(AP136:AP166,"11")+COUNTIF(AP136:AP166,"12")+COUNTIF(AP136:AP166,"13")+COUNTIF(AP136:AP166,"14")+COUNTIF(AP136:AP166,"15")+COUNTIF(AP136:AP166,"16")+COUNTIF(AP136:AP166,"17")+COUNTIF(AP136:AP166,"18")+COUNTIF(AP136:AP166,"19")+COUNTIF(AP136:AP166,"20")+COUNTIF(AP136:AP166,"21")+COUNTIF(AP136:AP166,"22")+COUNTIF(AP136:AP166,"23")+COUNTIF(AP136:AP166,"24")+COUNTIF(AP136:AP166,"25")+COUNTIF(AP136:AP166,"26")+COUNTIF(AP136:AP166,"27")+COUNTIF(AP136:AP166,"28")+COUNTIF(AP136:AP166,"29")+COUNTIF(AP136:AP166,"30")+COUNTIF(AP136:AP166,"31"),"")</f>
        <v/>
      </c>
      <c r="AQ167" s="32" t="str">
        <f t="shared" si="6"/>
        <v/>
      </c>
      <c r="AR167" s="111" t="str">
        <f>IF(AR151&lt;&gt;"",IF(C136=AR151,G138,IF(C138=AR151,G138,IF(C144=AR151,G146,IF(C146=AR151,G146,IF(C166=AR151,G168,IF(C168=AR151,G168,IF(C174=AR151,G176,IF(C176=AR151,G176,IF(C152=AR151,G154,IF(C154=AR151,G154,IF(C160=AR151,G162,IF(C162=AR151,G162,IF(C182=AR151,G184,IF(C184=AR151,G184,IF(C190=AR151,G192,IF(C192=AR151,G192,IF(AK136=AR151,AI138,IF(AK138=AR151,AI138,IF(AK144=AR151,AI146,IF(AK146=AR151,AI146,IF(AK166=AR151,AI168,IF(AK168=AR151,AI168,IF(AK174=AR151,AI176,IF(AK176=AR151,AI176,IF(AK152=AR151,AI154,IF(AK154=AR151,AI154,IF(AK160=AR151,AI162,IF(AK162=AR151,AI162,IF(AK182=AR151,AI184,IF(AK184=AR151,AI184,IF(AK190=AR151,AI192,IF(AK192=AR151,AI192)))))))))))))))))))))))))))))))),"")</f>
        <v/>
      </c>
      <c r="AS167" s="33" t="str">
        <f>IFERROR(IF(AR167="","",VLOOKUP(AR167,LISTAS!$F$5:$G$1004,2,0)),"0")</f>
        <v/>
      </c>
      <c r="AT167" s="33" t="str">
        <f>IF(AP167="","",IF(AP167=1,100,IF(AP167=2,80,IF(AP167=3,70,IF(AP167=4,50,IF(AP167=5,45,IF(AP167=6,40,IF(AP167=7,35,IF(AP167=8,30,IF(AP167=9,28,IF(AP167=10,28,IF(AP167=11,28,IF(AP167=12,28,IF(AP167=13,28,IF(AP167=14,28,IF(AP167=15,28,IF(AP167=16,28,IF(AP167&gt;16,"",""))))))))))))))))))</f>
        <v/>
      </c>
      <c r="AU167" s="33" t="str">
        <f>IF(AP167="","",IF($AS$5="NÃO","",IF(AP167=1,100,IF(AP167=2,80,IF(AP167=3,70,IF(AP167=4,50,IF(AP167=5,45,IF(AP167=6,40,IF(AP167=7,35,IF(AP167=8,30,IF(AP167=9,28,IF(AP167=10,28,IF(AP167=11,28,IF(AP167=12,28,IF(AP167=13,28,IF(AP167=14,28,IF(AP167=15,28,IF(AP167=16,28,IF(AP167&gt;16,"","")))))))))))))))))))</f>
        <v/>
      </c>
    </row>
    <row r="168" spans="2:47" ht="18" customHeight="1" x14ac:dyDescent="0.25">
      <c r="B168" s="133">
        <v>28</v>
      </c>
      <c r="C168" s="171" t="str">
        <f>IF('17M GRP'!G5&gt;=3,'17M GRP'!J374,IF('17M GRP'!G5=2,"",IF('17M GRP'!G5=1,"","")))</f>
        <v/>
      </c>
      <c r="D168" s="266">
        <v>0</v>
      </c>
      <c r="E168" s="107">
        <f>IF(D168&lt;&gt;"",D168,"")</f>
        <v>0</v>
      </c>
      <c r="F168" s="101" t="str">
        <f>IF(D168&lt;&gt;"",IF(C168="","",C168),"")</f>
        <v/>
      </c>
      <c r="G168" s="190" t="str">
        <f>VLOOKUP(G166,E166:F168,2,0)</f>
        <v/>
      </c>
      <c r="H168" s="101"/>
      <c r="I168" s="101"/>
      <c r="J168" s="101"/>
      <c r="K168" s="190"/>
      <c r="L168" s="101"/>
      <c r="M168" s="138"/>
      <c r="N168" s="101">
        <f>IF(P163&lt;&gt;"",P163,"")</f>
        <v>1</v>
      </c>
      <c r="O168" s="190" t="str">
        <f>IF(P163&lt;&gt;"",O163,"")</f>
        <v>ANDRÉ YUJI YOSHIDA MEIRA</v>
      </c>
      <c r="P168" s="101">
        <f>IF(N168&lt;&gt;"",IF(N170&lt;&gt;"",LARGE(N168:N170,1),""),"")</f>
        <v>1</v>
      </c>
      <c r="Q168" s="100"/>
      <c r="R168" s="197"/>
      <c r="S168" s="37"/>
      <c r="T168" s="37"/>
      <c r="U168" s="37"/>
      <c r="V168" s="198"/>
      <c r="W168" s="37"/>
      <c r="X168" s="86"/>
      <c r="Y168" s="198"/>
      <c r="Z168" s="94"/>
      <c r="AA168" s="37"/>
      <c r="AB168" s="29"/>
      <c r="AC168" s="198"/>
      <c r="AD168" s="37"/>
      <c r="AE168" s="100"/>
      <c r="AF168" s="100"/>
      <c r="AG168" s="197">
        <f>IF(AJ168&lt;&gt;"",AJ168,"")</f>
        <v>0</v>
      </c>
      <c r="AH168" s="100" t="str">
        <f>IF(AJ168&lt;&gt;"",IF(AK168="","",AK168),"")</f>
        <v/>
      </c>
      <c r="AI168" s="102" t="str">
        <f>VLOOKUP(AI166,AG166:AH168,2,0)</f>
        <v/>
      </c>
      <c r="AJ168" s="266">
        <v>0</v>
      </c>
      <c r="AK168" s="171" t="str">
        <f>IF('17M GRP'!G5&gt;=3,'17M GRP'!J348,IF('17M GRP'!G5=2,"",IF('17M GRP'!G5=1,"","")))</f>
        <v/>
      </c>
      <c r="AL168" s="29">
        <v>26</v>
      </c>
    </row>
    <row r="169" spans="2:47" ht="18" customHeight="1" thickBot="1" x14ac:dyDescent="0.3">
      <c r="B169" s="133"/>
      <c r="C169" s="172" t="str">
        <f>IFERROR(IF(C168="","",VLOOKUP(C168,LISTAS!$F$5:$G$1004,2,0)),"0")</f>
        <v/>
      </c>
      <c r="D169" s="267"/>
      <c r="E169" s="148"/>
      <c r="F169" s="101"/>
      <c r="G169" s="190"/>
      <c r="H169" s="101"/>
      <c r="I169" s="101"/>
      <c r="J169" s="101"/>
      <c r="K169" s="190"/>
      <c r="L169" s="101"/>
      <c r="M169" s="138"/>
      <c r="N169" s="101"/>
      <c r="O169" s="190"/>
      <c r="P169" s="101"/>
      <c r="Q169" s="100"/>
      <c r="R169" s="197"/>
      <c r="S169" s="37"/>
      <c r="T169" s="37"/>
      <c r="U169" s="37"/>
      <c r="V169" s="198"/>
      <c r="W169" s="37"/>
      <c r="X169" s="86"/>
      <c r="Y169" s="198"/>
      <c r="Z169" s="94"/>
      <c r="AA169" s="37"/>
      <c r="AB169" s="29"/>
      <c r="AC169" s="198"/>
      <c r="AD169" s="37"/>
      <c r="AE169" s="100"/>
      <c r="AF169" s="100"/>
      <c r="AG169" s="197"/>
      <c r="AH169" s="100"/>
      <c r="AI169" s="142"/>
      <c r="AJ169" s="267"/>
      <c r="AK169" s="172" t="str">
        <f>IFERROR(IF(AK168="","",VLOOKUP(AK168,LISTAS!$F$5:$G$1004,2,0)),"0")</f>
        <v/>
      </c>
      <c r="AL169" s="29"/>
    </row>
    <row r="170" spans="2:47" ht="18" customHeight="1" x14ac:dyDescent="0.25">
      <c r="B170" s="133"/>
      <c r="C170" s="190"/>
      <c r="D170" s="101"/>
      <c r="E170" s="101"/>
      <c r="F170" s="137"/>
      <c r="G170" s="171" t="str">
        <f>IF(D166&lt;&gt;"",IF(D168&lt;&gt;"",IF(D166=D168,"",IF(D166&gt;D168,C166,C168)),""),"")</f>
        <v>MURILO ANDRADE</v>
      </c>
      <c r="H170" s="266">
        <v>1</v>
      </c>
      <c r="I170" s="101">
        <f>IF(H170&lt;&gt;"",H170,"")</f>
        <v>1</v>
      </c>
      <c r="J170" s="101" t="str">
        <f>IF(H170&lt;&gt;"",IF(G170="","",G170),"")</f>
        <v>MURILO ANDRADE</v>
      </c>
      <c r="K170" s="190">
        <f>IF(I170&lt;&gt;"",IF(I172&lt;&gt;"",SMALL(I170:J172,1),""),"")</f>
        <v>0</v>
      </c>
      <c r="L170" s="101"/>
      <c r="M170" s="138"/>
      <c r="N170" s="101">
        <f>IF(P165&lt;&gt;"",P165,"")</f>
        <v>0</v>
      </c>
      <c r="O170" s="190" t="str">
        <f>IF(P165&lt;&gt;"",O165,"")</f>
        <v>MURILO ANDRADE</v>
      </c>
      <c r="P170" s="101" t="str">
        <f>VLOOKUP(P168,N168:O170,2,0)</f>
        <v>ANDRÉ YUJI YOSHIDA MEIRA</v>
      </c>
      <c r="Q170" s="100"/>
      <c r="R170" s="197"/>
      <c r="S170" s="37"/>
      <c r="T170" s="37"/>
      <c r="U170" s="37"/>
      <c r="V170" s="198"/>
      <c r="W170" s="37"/>
      <c r="X170" s="86"/>
      <c r="Y170" s="198"/>
      <c r="Z170" s="94"/>
      <c r="AA170" s="37"/>
      <c r="AB170" s="29"/>
      <c r="AC170" s="198"/>
      <c r="AD170" s="37"/>
      <c r="AE170" s="95"/>
      <c r="AF170" s="266">
        <v>1</v>
      </c>
      <c r="AG170" s="171" t="str">
        <f>IF(AJ166&lt;&gt;"",IF(AJ168&lt;&gt;"",IF(AJ166=AJ168,"",IF(AJ166&gt;AJ168,AK166,AK168)),""),"")</f>
        <v>LEANDRO SAKATA MOURA</v>
      </c>
      <c r="AH170" s="94"/>
      <c r="AI170" s="37"/>
      <c r="AJ170" s="29"/>
      <c r="AK170" s="188"/>
      <c r="AL170" s="29"/>
      <c r="AP170" s="2"/>
      <c r="AQ170" s="2"/>
      <c r="AR170" s="2"/>
      <c r="AS170" s="2"/>
      <c r="AT170" s="2"/>
      <c r="AU170" s="2"/>
    </row>
    <row r="171" spans="2:47" ht="18" customHeight="1" thickBot="1" x14ac:dyDescent="0.3">
      <c r="B171" s="133"/>
      <c r="C171" s="190"/>
      <c r="D171" s="101"/>
      <c r="E171" s="101"/>
      <c r="F171" s="137"/>
      <c r="G171" s="172" t="str">
        <f>IFERROR(IF(G170="","",VLOOKUP(G170,LISTAS!$F$5:$G$1004,2,0)),"0")</f>
        <v>COLÉGIO ARBOS DE SÃO BERNARDO DO CAMPO</v>
      </c>
      <c r="H171" s="267"/>
      <c r="I171" s="101"/>
      <c r="J171" s="101"/>
      <c r="K171" s="190"/>
      <c r="L171" s="101"/>
      <c r="M171" s="138"/>
      <c r="N171" s="101"/>
      <c r="O171" s="190"/>
      <c r="P171" s="101"/>
      <c r="Q171" s="100"/>
      <c r="R171" s="197"/>
      <c r="S171" s="37"/>
      <c r="T171" s="37"/>
      <c r="U171" s="37"/>
      <c r="V171" s="198"/>
      <c r="W171" s="37"/>
      <c r="X171" s="86"/>
      <c r="Y171" s="198"/>
      <c r="Z171" s="94"/>
      <c r="AA171" s="37"/>
      <c r="AB171" s="29"/>
      <c r="AC171" s="198"/>
      <c r="AD171" s="37"/>
      <c r="AE171" s="95"/>
      <c r="AF171" s="267"/>
      <c r="AG171" s="172" t="str">
        <f>IFERROR(IF(AG170="","",VLOOKUP(AG170,LISTAS!$F$5:$G$1004,2,0)),"0")</f>
        <v>ESCOLA PRÓ CONHECER</v>
      </c>
      <c r="AH171" s="94"/>
      <c r="AI171" s="37"/>
      <c r="AJ171" s="29"/>
      <c r="AK171" s="188"/>
      <c r="AL171" s="29"/>
      <c r="AP171" s="2"/>
      <c r="AQ171" s="2"/>
      <c r="AR171" s="2"/>
      <c r="AS171" s="2"/>
      <c r="AT171" s="2"/>
      <c r="AU171" s="2"/>
    </row>
    <row r="172" spans="2:47" ht="18" customHeight="1" x14ac:dyDescent="0.25">
      <c r="B172" s="133"/>
      <c r="C172" s="190"/>
      <c r="D172" s="101"/>
      <c r="E172" s="138"/>
      <c r="F172" s="102"/>
      <c r="G172" s="171" t="str">
        <f>IF(D174&lt;&gt;"",IF(D176&lt;&gt;"",IF(D174=D176,"",IF(D174&gt;D176,C174,C176)),""),"")</f>
        <v>GUSTAVO FERNANDES</v>
      </c>
      <c r="H172" s="266">
        <v>0</v>
      </c>
      <c r="I172" s="107">
        <f>IF(H172&lt;&gt;"",H172,"")</f>
        <v>0</v>
      </c>
      <c r="J172" s="101" t="str">
        <f>IF(H172&lt;&gt;"",IF(G172="","",G172),"")</f>
        <v>GUSTAVO FERNANDES</v>
      </c>
      <c r="K172" s="190" t="str">
        <f>VLOOKUP(K170,I170:J172,2,0)</f>
        <v>GUSTAVO FERNANDES</v>
      </c>
      <c r="L172" s="101"/>
      <c r="M172" s="138"/>
      <c r="N172" s="101">
        <f>IF(P163&lt;&gt;"",P163,"")</f>
        <v>1</v>
      </c>
      <c r="O172" s="190" t="str">
        <f>IF(P163&lt;&gt;"",O163,"")</f>
        <v>ANDRÉ YUJI YOSHIDA MEIRA</v>
      </c>
      <c r="P172" s="101">
        <f>IF(N172&lt;&gt;"",IF(N174&lt;&gt;"",SMALL(N172:N174,1),""),"")</f>
        <v>0</v>
      </c>
      <c r="Q172" s="100"/>
      <c r="R172" s="197"/>
      <c r="S172" s="37"/>
      <c r="T172" s="37"/>
      <c r="U172" s="37"/>
      <c r="V172" s="198"/>
      <c r="W172" s="37"/>
      <c r="X172" s="86"/>
      <c r="Y172" s="198"/>
      <c r="Z172" s="94"/>
      <c r="AA172" s="37"/>
      <c r="AB172" s="29"/>
      <c r="AC172" s="198"/>
      <c r="AD172" s="94"/>
      <c r="AE172" s="96"/>
      <c r="AF172" s="266">
        <v>0</v>
      </c>
      <c r="AG172" s="171" t="str">
        <f>IF(AJ174&lt;&gt;"",IF(AJ176&lt;&gt;"",IF(AJ174=AJ176,"",IF(AJ174&gt;AJ176,AK174,AK176)),""),"")</f>
        <v>NÍCHOLAS SIMÕES VAZ</v>
      </c>
      <c r="AH172" s="98"/>
      <c r="AI172" s="37"/>
      <c r="AJ172" s="29"/>
      <c r="AK172" s="188"/>
      <c r="AL172" s="29"/>
    </row>
    <row r="173" spans="2:47" ht="18" customHeight="1" thickBot="1" x14ac:dyDescent="0.3">
      <c r="B173" s="133"/>
      <c r="C173" s="190"/>
      <c r="D173" s="101"/>
      <c r="E173" s="138"/>
      <c r="F173" s="101"/>
      <c r="G173" s="172" t="str">
        <f>IFERROR(IF(G172="","",VLOOKUP(G172,LISTAS!$F$5:$G$1004,2,0)),"0")</f>
        <v>EDUCANDÁRIO - S.A</v>
      </c>
      <c r="H173" s="267"/>
      <c r="I173" s="138"/>
      <c r="J173" s="101"/>
      <c r="K173" s="190"/>
      <c r="L173" s="101"/>
      <c r="M173" s="138"/>
      <c r="N173" s="101"/>
      <c r="O173" s="190"/>
      <c r="P173" s="101"/>
      <c r="Q173" s="100"/>
      <c r="R173" s="197"/>
      <c r="S173" s="37"/>
      <c r="T173" s="37"/>
      <c r="U173" s="37"/>
      <c r="V173" s="198"/>
      <c r="W173" s="37"/>
      <c r="X173" s="86"/>
      <c r="Y173" s="198"/>
      <c r="Z173" s="37"/>
      <c r="AA173" s="89"/>
      <c r="AB173" s="29"/>
      <c r="AC173" s="198"/>
      <c r="AD173" s="94"/>
      <c r="AE173" s="37"/>
      <c r="AF173" s="267"/>
      <c r="AG173" s="172" t="str">
        <f>IFERROR(IF(AG172="","",VLOOKUP(AG172,LISTAS!$F$5:$G$1004,2,0)),"0")</f>
        <v>COLÉGIO ENGENHEIRO SALVADOR ARENA</v>
      </c>
      <c r="AH173" s="37"/>
      <c r="AI173" s="89"/>
      <c r="AJ173" s="29"/>
      <c r="AK173" s="188"/>
      <c r="AL173" s="29"/>
    </row>
    <row r="174" spans="2:47" ht="18" customHeight="1" x14ac:dyDescent="0.25">
      <c r="B174" s="133">
        <v>12</v>
      </c>
      <c r="C174" s="171" t="str">
        <f>IF('17M GRP'!G5&gt;=3,'17M GRP'!J166,IF('17M GRP'!G5=2,"",IF('17M GRP'!G5=1,"","")))</f>
        <v>GUSTAVO FERNANDES</v>
      </c>
      <c r="D174" s="266">
        <v>1</v>
      </c>
      <c r="E174" s="148">
        <f>IF(D174&lt;&gt;"",D174,"")</f>
        <v>1</v>
      </c>
      <c r="F174" s="101" t="str">
        <f>IF(D174&lt;&gt;"",IF(C174="","",C174),"")</f>
        <v>GUSTAVO FERNANDES</v>
      </c>
      <c r="G174" s="190">
        <f>IF(E174&lt;&gt;"",IF(E176&lt;&gt;"",SMALL(E174:E176,1),""),"")</f>
        <v>0</v>
      </c>
      <c r="H174" s="101"/>
      <c r="I174" s="138"/>
      <c r="J174" s="101"/>
      <c r="K174" s="190"/>
      <c r="L174" s="101"/>
      <c r="M174" s="138"/>
      <c r="N174" s="101">
        <f>IF(P165&lt;&gt;"",P165,"")</f>
        <v>0</v>
      </c>
      <c r="O174" s="190" t="str">
        <f>IF(P165&lt;&gt;"",O165,"")</f>
        <v>MURILO ANDRADE</v>
      </c>
      <c r="P174" s="101" t="str">
        <f>VLOOKUP(P172,N172:O174,2,0)</f>
        <v>MURILO ANDRADE</v>
      </c>
      <c r="Q174" s="100"/>
      <c r="R174" s="197"/>
      <c r="S174" s="37"/>
      <c r="T174" s="37"/>
      <c r="U174" s="37"/>
      <c r="V174" s="198"/>
      <c r="W174" s="37"/>
      <c r="X174" s="86"/>
      <c r="Y174" s="198"/>
      <c r="Z174" s="37"/>
      <c r="AA174" s="89"/>
      <c r="AB174" s="29"/>
      <c r="AC174" s="198"/>
      <c r="AD174" s="146"/>
      <c r="AE174" s="100"/>
      <c r="AF174" s="100"/>
      <c r="AG174" s="197">
        <f>IF(AJ174&lt;&gt;"",AJ174,"")</f>
        <v>1</v>
      </c>
      <c r="AH174" s="100" t="str">
        <f>IF(AJ174&lt;&gt;"",IF(AK174="","",AK174),"")</f>
        <v>NÍCHOLAS SIMÕES VAZ</v>
      </c>
      <c r="AI174" s="137">
        <f>IF(AG174&lt;&gt;"",IF(AG176&lt;&gt;"",SMALL(AG174:AG176,1),""),"")</f>
        <v>0</v>
      </c>
      <c r="AJ174" s="266">
        <v>1</v>
      </c>
      <c r="AK174" s="171" t="str">
        <f>IF('17M GRP'!G5&gt;=3,'17M GRP'!J140,IF('17M GRP'!G5=2,"",IF('17M GRP'!G5=1,"","")))</f>
        <v>NÍCHOLAS SIMÕES VAZ</v>
      </c>
      <c r="AL174" s="29">
        <v>10</v>
      </c>
    </row>
    <row r="175" spans="2:47" ht="18" customHeight="1" thickBot="1" x14ac:dyDescent="0.3">
      <c r="B175" s="133"/>
      <c r="C175" s="172" t="str">
        <f>IFERROR(IF(C174="","",VLOOKUP(C174,LISTAS!$F$5:$G$1004,2,0)),"0")</f>
        <v>EDUCANDÁRIO - S.A</v>
      </c>
      <c r="D175" s="267"/>
      <c r="E175" s="105"/>
      <c r="F175" s="101"/>
      <c r="G175" s="190"/>
      <c r="H175" s="101"/>
      <c r="I175" s="138"/>
      <c r="J175" s="101"/>
      <c r="K175" s="190"/>
      <c r="L175" s="101"/>
      <c r="M175" s="138"/>
      <c r="N175" s="101"/>
      <c r="O175" s="190"/>
      <c r="P175" s="101"/>
      <c r="Q175" s="100"/>
      <c r="R175" s="197"/>
      <c r="S175" s="37"/>
      <c r="T175" s="37"/>
      <c r="U175" s="37"/>
      <c r="V175" s="198"/>
      <c r="W175" s="37"/>
      <c r="X175" s="86"/>
      <c r="Y175" s="198"/>
      <c r="Z175" s="37"/>
      <c r="AA175" s="89"/>
      <c r="AB175" s="29"/>
      <c r="AC175" s="198"/>
      <c r="AD175" s="146"/>
      <c r="AE175" s="100"/>
      <c r="AF175" s="100"/>
      <c r="AG175" s="197"/>
      <c r="AH175" s="100"/>
      <c r="AI175" s="143"/>
      <c r="AJ175" s="267"/>
      <c r="AK175" s="172" t="str">
        <f>IFERROR(IF(AK174="","",VLOOKUP(AK174,LISTAS!$F$5:$G$1004,2,0)),"0")</f>
        <v>COLÉGIO ENGENHEIRO SALVADOR ARENA</v>
      </c>
      <c r="AL175" s="29"/>
    </row>
    <row r="176" spans="2:47" ht="18" customHeight="1" x14ac:dyDescent="0.25">
      <c r="B176" s="133">
        <v>21</v>
      </c>
      <c r="C176" s="171" t="str">
        <f>IF('17M GRP'!G5&gt;=3,'17M GRP'!J283,IF('17M GRP'!G5=2,"",IF('17M GRP'!G5=1,"","")))</f>
        <v/>
      </c>
      <c r="D176" s="266">
        <v>0</v>
      </c>
      <c r="E176" s="106">
        <f>IF(D176&lt;&gt;"",D176,"")</f>
        <v>0</v>
      </c>
      <c r="F176" s="101" t="str">
        <f>IF(D176&lt;&gt;"",IF(C176="","",C176),"")</f>
        <v/>
      </c>
      <c r="G176" s="190" t="str">
        <f>VLOOKUP(G174,E174:F176,2,0)</f>
        <v/>
      </c>
      <c r="H176" s="101"/>
      <c r="I176" s="138"/>
      <c r="J176" s="101"/>
      <c r="K176" s="190"/>
      <c r="L176" s="101"/>
      <c r="M176" s="138"/>
      <c r="N176" s="101"/>
      <c r="O176" s="190"/>
      <c r="P176" s="101"/>
      <c r="Q176" s="100"/>
      <c r="R176" s="197"/>
      <c r="S176" s="37"/>
      <c r="T176" s="37"/>
      <c r="U176" s="37"/>
      <c r="V176" s="198"/>
      <c r="W176" s="37"/>
      <c r="X176" s="86"/>
      <c r="Y176" s="198"/>
      <c r="Z176" s="37"/>
      <c r="AA176" s="89"/>
      <c r="AB176" s="29"/>
      <c r="AC176" s="198"/>
      <c r="AD176" s="146"/>
      <c r="AE176" s="100"/>
      <c r="AF176" s="100"/>
      <c r="AG176" s="197">
        <f>IF(AJ176&lt;&gt;"",AJ176,"")</f>
        <v>0</v>
      </c>
      <c r="AH176" s="100" t="str">
        <f>IF(AJ176&lt;&gt;"",IF(AK176="","",AK176),"")</f>
        <v/>
      </c>
      <c r="AI176" s="145" t="str">
        <f>VLOOKUP(AI174,AG174:AH176,2,0)</f>
        <v/>
      </c>
      <c r="AJ176" s="266">
        <v>0</v>
      </c>
      <c r="AK176" s="171" t="str">
        <f>IF('17M GRP'!G5&gt;=3,'17M GRP'!J309,IF('17M GRP'!G5=2,"",IF('17M GRP'!G5=1,"","")))</f>
        <v/>
      </c>
      <c r="AL176" s="29">
        <v>23</v>
      </c>
    </row>
    <row r="177" spans="2:38" ht="18" customHeight="1" thickBot="1" x14ac:dyDescent="0.3">
      <c r="B177" s="133"/>
      <c r="C177" s="172" t="str">
        <f>IFERROR(IF(C176="","",VLOOKUP(C176,LISTAS!$F$5:$G$1004,2,0)),"0")</f>
        <v/>
      </c>
      <c r="D177" s="267"/>
      <c r="E177" s="101"/>
      <c r="F177" s="101"/>
      <c r="G177" s="190"/>
      <c r="H177" s="101"/>
      <c r="I177" s="138"/>
      <c r="J177" s="101"/>
      <c r="K177" s="190"/>
      <c r="L177" s="101"/>
      <c r="M177" s="138"/>
      <c r="N177" s="101"/>
      <c r="O177" s="190"/>
      <c r="P177" s="101"/>
      <c r="Q177" s="100"/>
      <c r="R177" s="197"/>
      <c r="S177" s="37"/>
      <c r="T177" s="37"/>
      <c r="U177" s="37"/>
      <c r="V177" s="198"/>
      <c r="W177" s="37"/>
      <c r="X177" s="86"/>
      <c r="Y177" s="198"/>
      <c r="Z177" s="37"/>
      <c r="AA177" s="89"/>
      <c r="AB177" s="29"/>
      <c r="AC177" s="198"/>
      <c r="AD177" s="146"/>
      <c r="AE177" s="100"/>
      <c r="AF177" s="100"/>
      <c r="AG177" s="197"/>
      <c r="AH177" s="100"/>
      <c r="AI177" s="101"/>
      <c r="AJ177" s="267"/>
      <c r="AK177" s="172" t="str">
        <f>IFERROR(IF(AK176="","",VLOOKUP(AK176,LISTAS!$F$5:$G$1004,2,0)),"0")</f>
        <v/>
      </c>
      <c r="AL177" s="29"/>
    </row>
    <row r="178" spans="2:38" ht="18" customHeight="1" x14ac:dyDescent="0.25">
      <c r="B178" s="133"/>
      <c r="C178" s="188"/>
      <c r="D178" s="29"/>
      <c r="E178" s="29"/>
      <c r="F178" s="29"/>
      <c r="G178" s="188"/>
      <c r="H178" s="29"/>
      <c r="I178" s="35"/>
      <c r="J178" s="29"/>
      <c r="K178" s="171" t="str">
        <f>IF(H170&lt;&gt;"",IF(H172&lt;&gt;"",IF(H170=H172,"",IF(H170&gt;H172,G170,G172)),""),"")</f>
        <v>MURILO ANDRADE</v>
      </c>
      <c r="L178" s="266">
        <v>1</v>
      </c>
      <c r="M178" s="148">
        <f>IF(L178&lt;&gt;"",L178,"")</f>
        <v>1</v>
      </c>
      <c r="N178" s="101" t="str">
        <f>IF(L178&lt;&gt;"",IF(K178="","",K178),"")</f>
        <v>MURILO ANDRADE</v>
      </c>
      <c r="O178" s="190">
        <f>IF(M178&lt;&gt;"",IF(M180&lt;&gt;"",SMALL(M178:N180,1),""),"")</f>
        <v>0</v>
      </c>
      <c r="P178" s="101"/>
      <c r="Q178" s="100"/>
      <c r="R178" s="197"/>
      <c r="S178" s="37"/>
      <c r="T178" s="37"/>
      <c r="U178" s="37"/>
      <c r="V178" s="198"/>
      <c r="W178" s="37"/>
      <c r="X178" s="86"/>
      <c r="Y178" s="198"/>
      <c r="Z178" s="37"/>
      <c r="AA178" s="89"/>
      <c r="AB178" s="266">
        <v>1</v>
      </c>
      <c r="AC178" s="171" t="str">
        <f>IF(AF170&lt;&gt;"",IF(AF172&lt;&gt;"",IF(AF170=AF172,"",IF(AF170&gt;AF172,AG170,AG172)),""),"")</f>
        <v>LEANDRO SAKATA MOURA</v>
      </c>
      <c r="AD178" s="147"/>
      <c r="AE178" s="100"/>
      <c r="AF178" s="100"/>
      <c r="AG178" s="197"/>
      <c r="AH178" s="100"/>
      <c r="AI178" s="100"/>
      <c r="AJ178" s="29"/>
      <c r="AK178" s="188"/>
      <c r="AL178" s="29"/>
    </row>
    <row r="179" spans="2:38" ht="18" customHeight="1" thickBot="1" x14ac:dyDescent="0.3">
      <c r="B179" s="133"/>
      <c r="C179" s="188"/>
      <c r="D179" s="29"/>
      <c r="E179" s="29"/>
      <c r="F179" s="29"/>
      <c r="G179" s="188"/>
      <c r="H179" s="29"/>
      <c r="I179" s="35"/>
      <c r="J179" s="29"/>
      <c r="K179" s="172" t="str">
        <f>IFERROR(IF(K178="","",VLOOKUP(K178,LISTAS!$F$5:$G$1004,2,0)),"0")</f>
        <v>COLÉGIO ARBOS DE SÃO BERNARDO DO CAMPO</v>
      </c>
      <c r="L179" s="267"/>
      <c r="M179" s="105"/>
      <c r="N179" s="101"/>
      <c r="O179" s="190"/>
      <c r="P179" s="101"/>
      <c r="Q179" s="100"/>
      <c r="R179" s="197"/>
      <c r="S179" s="37"/>
      <c r="T179" s="37"/>
      <c r="U179" s="37"/>
      <c r="V179" s="198"/>
      <c r="W179" s="37"/>
      <c r="X179" s="86"/>
      <c r="Y179" s="198"/>
      <c r="Z179" s="37"/>
      <c r="AA179" s="139"/>
      <c r="AB179" s="267"/>
      <c r="AC179" s="172" t="str">
        <f>IFERROR(IF(AC178="","",VLOOKUP(AC178,LISTAS!$F$5:$G$1004,2,0)),"0")</f>
        <v>ESCOLA PRÓ CONHECER</v>
      </c>
      <c r="AD179" s="37"/>
      <c r="AE179" s="89"/>
      <c r="AF179" s="37"/>
      <c r="AG179" s="198"/>
      <c r="AH179" s="37"/>
      <c r="AI179" s="37"/>
      <c r="AJ179" s="29"/>
      <c r="AK179" s="188"/>
      <c r="AL179" s="29"/>
    </row>
    <row r="180" spans="2:38" ht="18" customHeight="1" x14ac:dyDescent="0.25">
      <c r="B180" s="133"/>
      <c r="C180" s="188"/>
      <c r="D180" s="29"/>
      <c r="E180" s="29"/>
      <c r="F180" s="29"/>
      <c r="G180" s="188"/>
      <c r="H180" s="29"/>
      <c r="I180" s="35"/>
      <c r="J180" s="36"/>
      <c r="K180" s="171" t="str">
        <f>IF(H186&lt;&gt;"",IF(H188&lt;&gt;"",IF(H186=H188,"",IF(H186&gt;H188,G186,G188)),""),"")</f>
        <v>ÁLVARO LUIS ALBANEZ VIEIRA DA SILVA</v>
      </c>
      <c r="L180" s="266">
        <v>0</v>
      </c>
      <c r="M180" s="106">
        <f>IF(L180&lt;&gt;"",L180,"")</f>
        <v>0</v>
      </c>
      <c r="N180" s="101" t="str">
        <f>IF(L180&lt;&gt;"",IF(K180="","",K180),"")</f>
        <v>ÁLVARO LUIS ALBANEZ VIEIRA DA SILVA</v>
      </c>
      <c r="O180" s="190" t="str">
        <f>VLOOKUP(O178,M178:N180,2,0)</f>
        <v>ÁLVARO LUIS ALBANEZ VIEIRA DA SILVA</v>
      </c>
      <c r="P180" s="101"/>
      <c r="Q180" s="100"/>
      <c r="R180" s="197"/>
      <c r="S180" s="37"/>
      <c r="T180" s="37"/>
      <c r="U180" s="37"/>
      <c r="V180" s="198"/>
      <c r="W180" s="37"/>
      <c r="X180" s="86"/>
      <c r="Y180" s="198"/>
      <c r="Z180" s="37"/>
      <c r="AA180" s="37"/>
      <c r="AB180" s="266">
        <v>0</v>
      </c>
      <c r="AC180" s="171" t="str">
        <f>IF(AF186&lt;&gt;"",IF(AF188&lt;&gt;"",IF(AF186=AF188,"",IF(AF186&gt;AF188,AG186,AG188)),""),"")</f>
        <v/>
      </c>
      <c r="AD180" s="37"/>
      <c r="AE180" s="89"/>
      <c r="AF180" s="37"/>
      <c r="AG180" s="198"/>
      <c r="AH180" s="37"/>
      <c r="AI180" s="37"/>
      <c r="AJ180" s="29"/>
      <c r="AK180" s="188"/>
      <c r="AL180" s="29"/>
    </row>
    <row r="181" spans="2:38" ht="18" customHeight="1" thickBot="1" x14ac:dyDescent="0.3">
      <c r="B181" s="133"/>
      <c r="C181" s="188"/>
      <c r="D181" s="29"/>
      <c r="E181" s="29"/>
      <c r="F181" s="29"/>
      <c r="G181" s="188"/>
      <c r="H181" s="29"/>
      <c r="I181" s="35"/>
      <c r="J181" s="29"/>
      <c r="K181" s="172" t="str">
        <f>IFERROR(IF(K180="","",VLOOKUP(K180,LISTAS!$F$5:$G$1004,2,0)),"0")</f>
        <v>ESCOLA STAGIUM</v>
      </c>
      <c r="L181" s="267"/>
      <c r="M181" s="101"/>
      <c r="N181" s="101"/>
      <c r="O181" s="190"/>
      <c r="P181" s="101"/>
      <c r="Q181" s="100"/>
      <c r="R181" s="197"/>
      <c r="S181" s="37"/>
      <c r="T181" s="37"/>
      <c r="U181" s="37"/>
      <c r="V181" s="198"/>
      <c r="W181" s="37"/>
      <c r="X181" s="86"/>
      <c r="Y181" s="198"/>
      <c r="Z181" s="37"/>
      <c r="AA181" s="37"/>
      <c r="AB181" s="267"/>
      <c r="AC181" s="172" t="str">
        <f>IFERROR(IF(AC180="","",VLOOKUP(AC180,LISTAS!$F$5:$G$1004,2,0)),"0")</f>
        <v/>
      </c>
      <c r="AD181" s="100"/>
      <c r="AE181" s="144"/>
      <c r="AF181" s="100"/>
      <c r="AG181" s="197"/>
      <c r="AH181" s="100"/>
      <c r="AI181" s="100"/>
      <c r="AJ181" s="29"/>
      <c r="AK181" s="188"/>
      <c r="AL181" s="29"/>
    </row>
    <row r="182" spans="2:38" ht="18" customHeight="1" x14ac:dyDescent="0.25">
      <c r="B182" s="133">
        <v>20</v>
      </c>
      <c r="C182" s="171" t="str">
        <f>IF('17M GRP'!G5&gt;=3,'17M GRP'!J270,IF('17M GRP'!G5=2,"",IF('17M GRP'!G5=1,"","")))</f>
        <v/>
      </c>
      <c r="D182" s="266">
        <v>0</v>
      </c>
      <c r="E182" s="101">
        <f>IF(D182&lt;&gt;"",D182,"")</f>
        <v>0</v>
      </c>
      <c r="F182" s="101" t="str">
        <f>IF(D182&lt;&gt;"",IF(C182="","",C182),"")</f>
        <v/>
      </c>
      <c r="G182" s="190">
        <f>IF(E182&lt;&gt;"",IF(E184&lt;&gt;"",SMALL(E182:E184,1),""),"")</f>
        <v>0</v>
      </c>
      <c r="H182" s="101"/>
      <c r="I182" s="35"/>
      <c r="J182" s="29"/>
      <c r="K182" s="188"/>
      <c r="L182" s="29"/>
      <c r="M182" s="101"/>
      <c r="N182" s="101"/>
      <c r="O182" s="190"/>
      <c r="P182" s="101"/>
      <c r="Q182" s="100"/>
      <c r="R182" s="197"/>
      <c r="S182" s="37"/>
      <c r="T182" s="37"/>
      <c r="U182" s="37"/>
      <c r="V182" s="198"/>
      <c r="W182" s="37"/>
      <c r="X182" s="86"/>
      <c r="Y182" s="198"/>
      <c r="Z182" s="37"/>
      <c r="AA182" s="37"/>
      <c r="AB182" s="29"/>
      <c r="AC182" s="198"/>
      <c r="AD182" s="100"/>
      <c r="AE182" s="144"/>
      <c r="AF182" s="100"/>
      <c r="AG182" s="197">
        <f>IF(AJ182&lt;&gt;"",AJ182,"")</f>
        <v>0</v>
      </c>
      <c r="AH182" s="100" t="str">
        <f>IF(AJ182&lt;&gt;"",IF(AK182="","",AK182),"")</f>
        <v/>
      </c>
      <c r="AI182" s="101">
        <f>IF(AG182&lt;&gt;"",IF(AG184&lt;&gt;"",SMALL(AG182:AG184,1),""),"")</f>
        <v>0</v>
      </c>
      <c r="AJ182" s="266">
        <v>0</v>
      </c>
      <c r="AK182" s="171" t="str">
        <f>IF('17M GRP'!G5&gt;=3,'17M GRP'!J205,IF('17M GRP'!G5=2,"",IF('17M GRP'!G5=1,"","")))</f>
        <v/>
      </c>
      <c r="AL182" s="29">
        <v>15</v>
      </c>
    </row>
    <row r="183" spans="2:38" ht="18" customHeight="1" thickBot="1" x14ac:dyDescent="0.3">
      <c r="B183" s="133"/>
      <c r="C183" s="172" t="str">
        <f>IFERROR(IF(C182="","",VLOOKUP(C182,LISTAS!$F$5:$G$1004,2,0)),"0")</f>
        <v/>
      </c>
      <c r="D183" s="267"/>
      <c r="E183" s="101"/>
      <c r="F183" s="101"/>
      <c r="G183" s="190"/>
      <c r="H183" s="101"/>
      <c r="I183" s="35"/>
      <c r="J183" s="29"/>
      <c r="K183" s="188"/>
      <c r="L183" s="29"/>
      <c r="M183" s="101"/>
      <c r="N183" s="101"/>
      <c r="O183" s="190"/>
      <c r="P183" s="101"/>
      <c r="Q183" s="100"/>
      <c r="R183" s="197"/>
      <c r="S183" s="37"/>
      <c r="T183" s="37"/>
      <c r="U183" s="37"/>
      <c r="V183" s="198"/>
      <c r="W183" s="37"/>
      <c r="X183" s="86"/>
      <c r="Y183" s="198"/>
      <c r="Z183" s="37"/>
      <c r="AA183" s="37"/>
      <c r="AB183" s="29"/>
      <c r="AC183" s="198"/>
      <c r="AD183" s="100"/>
      <c r="AE183" s="144"/>
      <c r="AF183" s="100"/>
      <c r="AG183" s="197"/>
      <c r="AH183" s="100"/>
      <c r="AI183" s="101"/>
      <c r="AJ183" s="267"/>
      <c r="AK183" s="172" t="str">
        <f>IFERROR(IF(AK182="","",VLOOKUP(AK182,LISTAS!$F$5:$G$1004,2,0)),"0")</f>
        <v/>
      </c>
      <c r="AL183" s="29"/>
    </row>
    <row r="184" spans="2:38" ht="18" customHeight="1" x14ac:dyDescent="0.25">
      <c r="B184" s="133">
        <v>13</v>
      </c>
      <c r="C184" s="171"/>
      <c r="D184" s="266">
        <v>0</v>
      </c>
      <c r="E184" s="107">
        <f>IF(D184&lt;&gt;"",D184,"")</f>
        <v>0</v>
      </c>
      <c r="F184" s="101" t="str">
        <f>IF(D184&lt;&gt;"",IF(C184="","",C184),"")</f>
        <v/>
      </c>
      <c r="G184" s="190" t="str">
        <f>VLOOKUP(G182,E182:F184,2,0)</f>
        <v/>
      </c>
      <c r="H184" s="101"/>
      <c r="I184" s="35"/>
      <c r="J184" s="29"/>
      <c r="K184" s="188"/>
      <c r="L184" s="29"/>
      <c r="M184" s="101"/>
      <c r="N184" s="101"/>
      <c r="O184" s="190"/>
      <c r="P184" s="101"/>
      <c r="Q184" s="100"/>
      <c r="R184" s="197"/>
      <c r="S184" s="37"/>
      <c r="T184" s="37"/>
      <c r="U184" s="37"/>
      <c r="V184" s="198"/>
      <c r="W184" s="37"/>
      <c r="X184" s="86"/>
      <c r="Y184" s="198"/>
      <c r="Z184" s="37"/>
      <c r="AA184" s="37"/>
      <c r="AB184" s="29"/>
      <c r="AC184" s="198"/>
      <c r="AD184" s="100"/>
      <c r="AE184" s="144"/>
      <c r="AF184" s="100"/>
      <c r="AG184" s="197">
        <f>IF(AJ184&lt;&gt;"",AJ184,"")</f>
        <v>0</v>
      </c>
      <c r="AH184" s="100" t="str">
        <f>IF(AJ184&lt;&gt;"",IF(AK184="","",AK184),"")</f>
        <v/>
      </c>
      <c r="AI184" s="102" t="str">
        <f>VLOOKUP(AI182,AG182:AH184,2,0)</f>
        <v/>
      </c>
      <c r="AJ184" s="266">
        <v>0</v>
      </c>
      <c r="AK184" s="171" t="str">
        <f>IF('17M GRP'!G5&gt;=3,'17M GRP'!J244,IF('17M GRP'!G5=2,"",IF('17M GRP'!G5=1,"","")))</f>
        <v/>
      </c>
      <c r="AL184" s="29">
        <v>18</v>
      </c>
    </row>
    <row r="185" spans="2:38" ht="18" customHeight="1" thickBot="1" x14ac:dyDescent="0.3">
      <c r="B185" s="133"/>
      <c r="C185" s="172" t="str">
        <f>IFERROR(IF(C184="","",VLOOKUP(C184,LISTAS!$F$5:$G$1004,2,0)),"0")</f>
        <v/>
      </c>
      <c r="D185" s="267"/>
      <c r="E185" s="148"/>
      <c r="F185" s="101"/>
      <c r="G185" s="190"/>
      <c r="H185" s="101"/>
      <c r="I185" s="35"/>
      <c r="J185" s="29"/>
      <c r="K185" s="188"/>
      <c r="L185" s="29"/>
      <c r="M185" s="29"/>
      <c r="N185" s="29"/>
      <c r="O185" s="188"/>
      <c r="P185" s="29"/>
      <c r="Q185" s="37"/>
      <c r="R185" s="198"/>
      <c r="S185" s="37"/>
      <c r="T185" s="37"/>
      <c r="U185" s="37"/>
      <c r="V185" s="198"/>
      <c r="W185" s="37"/>
      <c r="X185" s="86"/>
      <c r="Y185" s="198"/>
      <c r="Z185" s="37"/>
      <c r="AA185" s="37"/>
      <c r="AB185" s="29"/>
      <c r="AC185" s="198"/>
      <c r="AD185" s="100"/>
      <c r="AE185" s="144"/>
      <c r="AF185" s="100"/>
      <c r="AG185" s="197"/>
      <c r="AH185" s="146"/>
      <c r="AI185" s="101"/>
      <c r="AJ185" s="267"/>
      <c r="AK185" s="172" t="str">
        <f>IFERROR(IF(AK184="","",VLOOKUP(AK184,LISTAS!$F$5:$G$1004,2,0)),"0")</f>
        <v/>
      </c>
      <c r="AL185" s="29"/>
    </row>
    <row r="186" spans="2:38" ht="18" customHeight="1" x14ac:dyDescent="0.25">
      <c r="B186" s="133"/>
      <c r="C186" s="188"/>
      <c r="D186" s="29"/>
      <c r="E186" s="29"/>
      <c r="F186" s="34"/>
      <c r="G186" s="171" t="str">
        <f>IF(D182&lt;&gt;"",IF(D184&lt;&gt;"",IF(D182=D184,"",IF(D182&gt;D184,C182,C184)),""),"")</f>
        <v/>
      </c>
      <c r="H186" s="266">
        <v>0</v>
      </c>
      <c r="I186" s="148">
        <f>IF(H186&lt;&gt;"",H186,"")</f>
        <v>0</v>
      </c>
      <c r="J186" s="101" t="str">
        <f>IF(H186&lt;&gt;"",IF(G186="","",G186),"")</f>
        <v/>
      </c>
      <c r="K186" s="190">
        <f>IF(I186&lt;&gt;"",IF(I188&lt;&gt;"",SMALL(I186:J188,1),""),"")</f>
        <v>0</v>
      </c>
      <c r="L186" s="101"/>
      <c r="M186" s="29"/>
      <c r="N186" s="29"/>
      <c r="O186" s="188"/>
      <c r="P186" s="29"/>
      <c r="Q186" s="37"/>
      <c r="R186" s="198"/>
      <c r="S186" s="37"/>
      <c r="T186" s="37"/>
      <c r="U186" s="37"/>
      <c r="V186" s="198"/>
      <c r="W186" s="37"/>
      <c r="X186" s="86"/>
      <c r="Y186" s="198"/>
      <c r="Z186" s="37"/>
      <c r="AA186" s="37"/>
      <c r="AB186" s="29"/>
      <c r="AC186" s="198"/>
      <c r="AD186" s="37"/>
      <c r="AE186" s="89"/>
      <c r="AF186" s="266">
        <v>0</v>
      </c>
      <c r="AG186" s="171" t="str">
        <f>IF(AJ182&lt;&gt;"",IF(AJ184&lt;&gt;"",IF(AJ182=AJ184,"",IF(AJ182&gt;AJ184,AK182,AK184)),""),"")</f>
        <v/>
      </c>
      <c r="AH186" s="94"/>
      <c r="AI186" s="37"/>
      <c r="AJ186" s="29"/>
      <c r="AK186" s="188"/>
      <c r="AL186" s="29"/>
    </row>
    <row r="187" spans="2:38" ht="18" customHeight="1" thickBot="1" x14ac:dyDescent="0.3">
      <c r="B187" s="133"/>
      <c r="C187" s="188"/>
      <c r="D187" s="29"/>
      <c r="E187" s="29"/>
      <c r="F187" s="34"/>
      <c r="G187" s="172" t="str">
        <f>IFERROR(IF(G186="","",VLOOKUP(G186,LISTAS!$F$5:$G$1004,2,0)),"0")</f>
        <v/>
      </c>
      <c r="H187" s="267"/>
      <c r="I187" s="105"/>
      <c r="J187" s="101"/>
      <c r="K187" s="190"/>
      <c r="L187" s="101"/>
      <c r="M187" s="29"/>
      <c r="N187" s="29"/>
      <c r="O187" s="188"/>
      <c r="P187" s="29"/>
      <c r="Q187" s="37"/>
      <c r="R187" s="198"/>
      <c r="S187" s="37"/>
      <c r="T187" s="37"/>
      <c r="U187" s="37"/>
      <c r="V187" s="198"/>
      <c r="W187" s="37"/>
      <c r="X187" s="86"/>
      <c r="Y187" s="198"/>
      <c r="Z187" s="37"/>
      <c r="AA187" s="37"/>
      <c r="AB187" s="29"/>
      <c r="AC187" s="198"/>
      <c r="AD187" s="37"/>
      <c r="AE187" s="90"/>
      <c r="AF187" s="267"/>
      <c r="AG187" s="172" t="str">
        <f>IFERROR(IF(AG186="","",VLOOKUP(AG186,LISTAS!$F$5:$G$1004,2,0)),"0")</f>
        <v/>
      </c>
      <c r="AH187" s="94"/>
      <c r="AI187" s="37"/>
      <c r="AJ187" s="29"/>
      <c r="AK187" s="188"/>
      <c r="AL187" s="29"/>
    </row>
    <row r="188" spans="2:38" ht="18" customHeight="1" x14ac:dyDescent="0.25">
      <c r="B188" s="133"/>
      <c r="C188" s="188"/>
      <c r="D188" s="29"/>
      <c r="E188" s="35"/>
      <c r="F188" s="36"/>
      <c r="G188" s="171" t="str">
        <f>IF(D190&lt;&gt;"",IF(D192&lt;&gt;"",IF(D190=D192,"",IF(D190&gt;D192,C190,C192)),""),"")</f>
        <v>ÁLVARO LUIS ALBANEZ VIEIRA DA SILVA</v>
      </c>
      <c r="H188" s="266">
        <v>1</v>
      </c>
      <c r="I188" s="106">
        <f>IF(H188&lt;&gt;"",H188,"")</f>
        <v>1</v>
      </c>
      <c r="J188" s="101" t="str">
        <f>IF(H188&lt;&gt;"",IF(G188="","",G188),"")</f>
        <v>ÁLVARO LUIS ALBANEZ VIEIRA DA SILVA</v>
      </c>
      <c r="K188" s="190" t="str">
        <f>VLOOKUP(K186,I186:J188,2,0)</f>
        <v/>
      </c>
      <c r="L188" s="101"/>
      <c r="M188" s="29"/>
      <c r="N188" s="29"/>
      <c r="O188" s="188"/>
      <c r="P188" s="29"/>
      <c r="Q188" s="37"/>
      <c r="R188" s="198"/>
      <c r="S188" s="37"/>
      <c r="T188" s="37"/>
      <c r="U188" s="37"/>
      <c r="V188" s="198"/>
      <c r="W188" s="37"/>
      <c r="X188" s="86"/>
      <c r="Y188" s="198"/>
      <c r="Z188" s="37"/>
      <c r="AA188" s="37"/>
      <c r="AB188" s="29"/>
      <c r="AC188" s="198"/>
      <c r="AD188" s="37"/>
      <c r="AE188" s="91"/>
      <c r="AF188" s="266">
        <v>1</v>
      </c>
      <c r="AG188" s="171" t="str">
        <f>IF(AJ190&lt;&gt;"",IF(AJ192&lt;&gt;"",IF(AJ190=AJ192,"",IF(AJ190&gt;AJ192,AK190,AK192)),""),"")</f>
        <v/>
      </c>
      <c r="AH188" s="98"/>
      <c r="AI188" s="37"/>
      <c r="AJ188" s="29"/>
      <c r="AK188" s="188"/>
      <c r="AL188" s="29"/>
    </row>
    <row r="189" spans="2:38" ht="18" customHeight="1" thickBot="1" x14ac:dyDescent="0.3">
      <c r="B189" s="133"/>
      <c r="C189" s="188"/>
      <c r="D189" s="29"/>
      <c r="E189" s="35"/>
      <c r="F189" s="29"/>
      <c r="G189" s="172" t="str">
        <f>IFERROR(IF(G188="","",VLOOKUP(G188,LISTAS!$F$5:$G$1004,2,0)),"0")</f>
        <v>ESCOLA STAGIUM</v>
      </c>
      <c r="H189" s="267"/>
      <c r="I189" s="101"/>
      <c r="J189" s="101"/>
      <c r="K189" s="190"/>
      <c r="L189" s="101"/>
      <c r="M189" s="29"/>
      <c r="N189" s="29"/>
      <c r="O189" s="188"/>
      <c r="P189" s="29"/>
      <c r="Q189" s="37"/>
      <c r="R189" s="198"/>
      <c r="S189" s="37"/>
      <c r="T189" s="37"/>
      <c r="U189" s="37"/>
      <c r="V189" s="198"/>
      <c r="W189" s="37"/>
      <c r="X189" s="86"/>
      <c r="Y189" s="198"/>
      <c r="Z189" s="37"/>
      <c r="AA189" s="37"/>
      <c r="AB189" s="29"/>
      <c r="AC189" s="198"/>
      <c r="AD189" s="37"/>
      <c r="AE189" s="37"/>
      <c r="AF189" s="267"/>
      <c r="AG189" s="172" t="str">
        <f>IFERROR(IF(AG188="","",VLOOKUP(AG188,LISTAS!$F$5:$G$1004,2,0)),"0")</f>
        <v/>
      </c>
      <c r="AH189" s="37"/>
      <c r="AI189" s="89"/>
      <c r="AJ189" s="29"/>
      <c r="AK189" s="188"/>
      <c r="AL189" s="29"/>
    </row>
    <row r="190" spans="2:38" ht="18" customHeight="1" x14ac:dyDescent="0.25">
      <c r="B190" s="133">
        <v>29</v>
      </c>
      <c r="C190" s="171"/>
      <c r="D190" s="266">
        <v>0</v>
      </c>
      <c r="E190" s="148">
        <f>IF(D190&lt;&gt;"",D190,"")</f>
        <v>0</v>
      </c>
      <c r="F190" s="101" t="str">
        <f>IF(D190&lt;&gt;"",IF(C190="","",C190),"")</f>
        <v/>
      </c>
      <c r="G190" s="190">
        <f>IF(E190&lt;&gt;"",IF(E192&lt;&gt;"",SMALL(E190:E192,1),""),"")</f>
        <v>0</v>
      </c>
      <c r="H190" s="101"/>
      <c r="I190" s="101"/>
      <c r="J190" s="101"/>
      <c r="K190" s="190"/>
      <c r="L190" s="101"/>
      <c r="M190" s="29"/>
      <c r="N190" s="29"/>
      <c r="O190" s="188"/>
      <c r="P190" s="29"/>
      <c r="Q190" s="37"/>
      <c r="R190" s="198"/>
      <c r="S190" s="37"/>
      <c r="T190" s="37"/>
      <c r="U190" s="37"/>
      <c r="V190" s="198"/>
      <c r="W190" s="37"/>
      <c r="X190" s="86"/>
      <c r="Y190" s="198"/>
      <c r="Z190" s="37"/>
      <c r="AA190" s="37"/>
      <c r="AB190" s="29"/>
      <c r="AC190" s="198"/>
      <c r="AD190" s="100"/>
      <c r="AE190" s="100"/>
      <c r="AF190" s="100"/>
      <c r="AG190" s="197">
        <f>IF(AJ190&lt;&gt;"",AJ190,"")</f>
        <v>0</v>
      </c>
      <c r="AH190" s="100" t="str">
        <f>IF(AJ190&lt;&gt;"",IF(AK190="","",AK190),"")</f>
        <v/>
      </c>
      <c r="AI190" s="137">
        <f>IF(AG190&lt;&gt;"",IF(AG192&lt;&gt;"",SMALL(AG190:AG192,1),""),"")</f>
        <v>0</v>
      </c>
      <c r="AJ190" s="266">
        <v>0</v>
      </c>
      <c r="AK190" s="171" t="str">
        <f>IF('17M GRP'!G5&gt;=3,'17M GRP'!J413,IF('17M GRP'!G5=2,"",IF('17M GRP'!G5=1,"","")))</f>
        <v/>
      </c>
      <c r="AL190" s="29">
        <v>31</v>
      </c>
    </row>
    <row r="191" spans="2:38" ht="18" customHeight="1" thickBot="1" x14ac:dyDescent="0.3">
      <c r="B191" s="133"/>
      <c r="C191" s="172" t="str">
        <f>IFERROR(IF(C190="","",VLOOKUP(C190,LISTAS!$F$5:$G$1004,2,0)),"0")</f>
        <v/>
      </c>
      <c r="D191" s="267"/>
      <c r="E191" s="105"/>
      <c r="F191" s="101"/>
      <c r="G191" s="190"/>
      <c r="H191" s="101"/>
      <c r="I191" s="101"/>
      <c r="J191" s="101"/>
      <c r="K191" s="190"/>
      <c r="L191" s="101"/>
      <c r="M191" s="29"/>
      <c r="N191" s="29"/>
      <c r="O191" s="188"/>
      <c r="P191" s="29"/>
      <c r="Q191" s="37"/>
      <c r="R191" s="198"/>
      <c r="S191" s="37"/>
      <c r="T191" s="37"/>
      <c r="U191" s="37"/>
      <c r="V191" s="198"/>
      <c r="W191" s="37"/>
      <c r="X191" s="86"/>
      <c r="Y191" s="198"/>
      <c r="Z191" s="37"/>
      <c r="AA191" s="37"/>
      <c r="AB191" s="29"/>
      <c r="AC191" s="198"/>
      <c r="AD191" s="100"/>
      <c r="AE191" s="100"/>
      <c r="AF191" s="100"/>
      <c r="AG191" s="197"/>
      <c r="AH191" s="100"/>
      <c r="AI191" s="103"/>
      <c r="AJ191" s="267"/>
      <c r="AK191" s="172" t="str">
        <f>IFERROR(IF(AK190="","",VLOOKUP(AK190,LISTAS!$F$5:$G$1004,2,0)),"0")</f>
        <v/>
      </c>
      <c r="AL191" s="29"/>
    </row>
    <row r="192" spans="2:38" ht="30" x14ac:dyDescent="0.25">
      <c r="B192" s="133">
        <v>4</v>
      </c>
      <c r="C192" s="171" t="str">
        <f>IF('17M GRP'!G5&gt;=3,'17M GRP'!J62,IF('17M GRP'!G5=2,"",IF('17M GRP'!G5=1,"","")))</f>
        <v>ÁLVARO LUIS ALBANEZ VIEIRA DA SILVA</v>
      </c>
      <c r="D192" s="266">
        <v>1</v>
      </c>
      <c r="E192" s="106">
        <f>IF(D192&lt;&gt;"",D192,"")</f>
        <v>1</v>
      </c>
      <c r="F192" s="101" t="str">
        <f>IF(D192&lt;&gt;"",IF(C192="","",C192),"")</f>
        <v>ÁLVARO LUIS ALBANEZ VIEIRA DA SILVA</v>
      </c>
      <c r="G192" s="190" t="str">
        <f>VLOOKUP(G190,E190:F192,2,0)</f>
        <v/>
      </c>
      <c r="H192" s="101"/>
      <c r="I192" s="101"/>
      <c r="J192" s="101"/>
      <c r="K192" s="190"/>
      <c r="L192" s="101"/>
      <c r="M192" s="29"/>
      <c r="N192" s="29"/>
      <c r="O192" s="188"/>
      <c r="P192" s="29"/>
      <c r="Q192" s="37"/>
      <c r="R192" s="198"/>
      <c r="S192" s="37"/>
      <c r="T192" s="37"/>
      <c r="U192" s="37"/>
      <c r="V192" s="198"/>
      <c r="W192" s="37"/>
      <c r="X192" s="86"/>
      <c r="Y192" s="198"/>
      <c r="Z192" s="37"/>
      <c r="AA192" s="37"/>
      <c r="AB192" s="29"/>
      <c r="AC192" s="198"/>
      <c r="AD192" s="100"/>
      <c r="AE192" s="100"/>
      <c r="AF192" s="100"/>
      <c r="AG192" s="197">
        <f>IF(AJ192&lt;&gt;"",AJ192,"")</f>
        <v>0</v>
      </c>
      <c r="AH192" s="100" t="str">
        <f>IF(AJ192&lt;&gt;"",IF(AK192="","",AK192),"")</f>
        <v/>
      </c>
      <c r="AI192" s="104" t="str">
        <f>VLOOKUP(AI190,AG190:AH192,2,0)</f>
        <v/>
      </c>
      <c r="AJ192" s="266">
        <v>0</v>
      </c>
      <c r="AK192" s="171"/>
      <c r="AL192" s="29">
        <v>2</v>
      </c>
    </row>
    <row r="193" spans="2:38" ht="14.25" customHeight="1" thickBot="1" x14ac:dyDescent="0.3">
      <c r="B193" s="133"/>
      <c r="C193" s="172" t="str">
        <f>IFERROR(IF(C192="","",VLOOKUP(C192,LISTAS!$F$5:$G$1004,2,0)),"0")</f>
        <v>ESCOLA STAGIUM</v>
      </c>
      <c r="D193" s="267"/>
      <c r="E193" s="101"/>
      <c r="F193" s="101"/>
      <c r="G193" s="190"/>
      <c r="H193" s="101"/>
      <c r="I193" s="101"/>
      <c r="J193" s="101"/>
      <c r="K193" s="190"/>
      <c r="L193" s="101"/>
      <c r="M193" s="29"/>
      <c r="N193" s="29"/>
      <c r="O193" s="188"/>
      <c r="P193" s="29"/>
      <c r="Q193" s="37"/>
      <c r="R193" s="198"/>
      <c r="S193" s="37"/>
      <c r="T193" s="37"/>
      <c r="U193" s="37"/>
      <c r="V193" s="198"/>
      <c r="W193" s="37"/>
      <c r="X193" s="86"/>
      <c r="Y193" s="198"/>
      <c r="Z193" s="37"/>
      <c r="AA193" s="37"/>
      <c r="AB193" s="29"/>
      <c r="AC193" s="198"/>
      <c r="AD193" s="100"/>
      <c r="AE193" s="100"/>
      <c r="AF193" s="100"/>
      <c r="AG193" s="197"/>
      <c r="AH193" s="100"/>
      <c r="AI193" s="101"/>
      <c r="AJ193" s="267"/>
      <c r="AK193" s="172" t="str">
        <f>IFERROR(IF(AK192="","",VLOOKUP(AK192,LISTAS!$F$5:$G$1004,2,0)),"0")</f>
        <v/>
      </c>
      <c r="AL193" s="29"/>
    </row>
    <row r="194" spans="2:38" x14ac:dyDescent="0.25">
      <c r="B194" s="133"/>
      <c r="C194" s="189"/>
      <c r="D194" s="84"/>
      <c r="E194" s="149"/>
      <c r="F194" s="149"/>
      <c r="G194" s="194"/>
      <c r="H194" s="149"/>
      <c r="I194" s="149"/>
      <c r="J194" s="149"/>
      <c r="K194" s="194"/>
      <c r="L194" s="149"/>
      <c r="M194" s="84"/>
      <c r="N194" s="84"/>
      <c r="O194" s="189"/>
      <c r="P194" s="84"/>
      <c r="Q194" s="37"/>
      <c r="R194" s="198"/>
      <c r="S194" s="37"/>
      <c r="T194" s="37"/>
      <c r="U194" s="37"/>
      <c r="V194" s="198"/>
      <c r="W194" s="37"/>
      <c r="X194" s="86"/>
      <c r="Y194" s="198"/>
      <c r="Z194" s="37"/>
      <c r="AA194" s="37"/>
      <c r="AB194" s="29"/>
      <c r="AC194" s="198"/>
      <c r="AD194" s="100"/>
      <c r="AE194" s="100"/>
      <c r="AF194" s="100"/>
      <c r="AG194" s="197"/>
      <c r="AH194" s="100"/>
      <c r="AI194" s="100"/>
      <c r="AJ194" s="84"/>
      <c r="AK194" s="189"/>
      <c r="AL194" s="29"/>
    </row>
    <row r="195" spans="2:38" x14ac:dyDescent="0.25">
      <c r="B195" s="29"/>
      <c r="C195" s="189"/>
      <c r="D195" s="84"/>
      <c r="E195" s="84"/>
      <c r="F195" s="84"/>
      <c r="G195" s="189"/>
      <c r="H195" s="84"/>
      <c r="I195" s="84"/>
      <c r="J195" s="84"/>
      <c r="K195" s="189"/>
      <c r="L195" s="84"/>
      <c r="M195" s="84"/>
      <c r="N195" s="84"/>
      <c r="O195" s="189"/>
      <c r="P195" s="84"/>
      <c r="Q195" s="37"/>
      <c r="R195" s="198"/>
      <c r="S195" s="37"/>
      <c r="T195" s="37"/>
      <c r="U195" s="37"/>
      <c r="V195" s="198"/>
      <c r="W195" s="37"/>
      <c r="X195" s="86"/>
      <c r="Y195" s="198"/>
      <c r="Z195" s="37"/>
      <c r="AA195" s="37"/>
      <c r="AB195" s="29"/>
      <c r="AC195" s="198"/>
      <c r="AD195" s="37"/>
      <c r="AE195" s="37"/>
      <c r="AF195" s="37"/>
      <c r="AG195" s="198"/>
      <c r="AH195" s="37"/>
      <c r="AI195" s="37"/>
      <c r="AJ195" s="84"/>
      <c r="AK195" s="189"/>
      <c r="AL195" s="29"/>
    </row>
    <row r="196" spans="2:38" x14ac:dyDescent="0.25">
      <c r="B196" s="2"/>
      <c r="D196" s="2"/>
      <c r="E196" s="2"/>
      <c r="F196" s="2"/>
      <c r="G196" s="163"/>
      <c r="H196" s="2"/>
      <c r="I196" s="2"/>
      <c r="J196" s="2"/>
      <c r="K196" s="163"/>
      <c r="L196" s="2"/>
      <c r="M196" s="2"/>
      <c r="N196" s="2"/>
      <c r="O196" s="163"/>
      <c r="P196" s="2"/>
      <c r="W196" s="2"/>
      <c r="Y196" s="163"/>
      <c r="Z196" s="2"/>
      <c r="AA196" s="2"/>
      <c r="AB196" s="2"/>
      <c r="AC196" s="163"/>
      <c r="AD196" s="2"/>
      <c r="AE196" s="2"/>
      <c r="AF196" s="2"/>
      <c r="AG196" s="163"/>
      <c r="AH196" s="2"/>
      <c r="AI196" s="2"/>
      <c r="AJ196" s="2"/>
      <c r="AK196" s="163"/>
    </row>
    <row r="197" spans="2:38" x14ac:dyDescent="0.25">
      <c r="B197" s="2"/>
      <c r="D197" s="2"/>
      <c r="E197" s="2"/>
      <c r="F197" s="2"/>
      <c r="G197" s="163"/>
      <c r="H197" s="2"/>
      <c r="I197" s="2"/>
      <c r="J197" s="2"/>
      <c r="K197" s="163"/>
      <c r="L197" s="2"/>
      <c r="M197" s="2"/>
      <c r="N197" s="2"/>
      <c r="O197" s="163"/>
      <c r="P197" s="2"/>
      <c r="W197" s="2"/>
      <c r="Y197" s="163"/>
      <c r="Z197" s="2"/>
      <c r="AA197" s="2"/>
      <c r="AB197" s="2"/>
      <c r="AC197" s="163"/>
      <c r="AD197" s="2"/>
      <c r="AE197" s="2"/>
      <c r="AF197" s="2"/>
      <c r="AG197" s="163"/>
      <c r="AH197" s="2"/>
      <c r="AI197" s="2"/>
      <c r="AJ197" s="2"/>
      <c r="AK197" s="163"/>
    </row>
    <row r="198" spans="2:38" x14ac:dyDescent="0.25">
      <c r="B198" s="2"/>
      <c r="D198" s="2"/>
      <c r="E198" s="2"/>
      <c r="F198" s="2"/>
      <c r="G198" s="163"/>
      <c r="H198" s="2"/>
      <c r="I198" s="2"/>
      <c r="J198" s="2"/>
      <c r="K198" s="163"/>
      <c r="L198" s="2"/>
      <c r="M198" s="2"/>
      <c r="N198" s="2"/>
      <c r="O198" s="163"/>
      <c r="P198" s="2"/>
      <c r="W198" s="2"/>
      <c r="Y198" s="163"/>
      <c r="Z198" s="2"/>
      <c r="AA198" s="2"/>
      <c r="AB198" s="2"/>
      <c r="AC198" s="163"/>
      <c r="AD198" s="2"/>
      <c r="AE198" s="2"/>
      <c r="AF198" s="2"/>
      <c r="AG198" s="163"/>
      <c r="AH198" s="2"/>
      <c r="AI198" s="2"/>
      <c r="AJ198" s="2"/>
      <c r="AK198" s="163"/>
    </row>
    <row r="199" spans="2:38" x14ac:dyDescent="0.25">
      <c r="B199" s="2"/>
      <c r="D199" s="2"/>
      <c r="E199" s="2"/>
      <c r="F199" s="2"/>
      <c r="G199" s="163"/>
      <c r="H199" s="2"/>
      <c r="I199" s="2"/>
      <c r="J199" s="2"/>
      <c r="K199" s="163"/>
      <c r="L199" s="2"/>
      <c r="M199" s="2"/>
      <c r="N199" s="2"/>
      <c r="O199" s="163"/>
      <c r="P199" s="2"/>
      <c r="W199" s="2"/>
      <c r="Y199" s="163"/>
      <c r="Z199" s="2"/>
      <c r="AA199" s="2"/>
      <c r="AB199" s="2"/>
      <c r="AC199" s="163"/>
      <c r="AD199" s="2"/>
      <c r="AE199" s="2"/>
      <c r="AF199" s="2"/>
      <c r="AG199" s="163"/>
      <c r="AH199" s="2"/>
      <c r="AI199" s="2"/>
      <c r="AJ199" s="2"/>
      <c r="AK199" s="163"/>
    </row>
    <row r="200" spans="2:38" x14ac:dyDescent="0.25">
      <c r="B200" s="2"/>
      <c r="D200" s="2"/>
      <c r="E200" s="2"/>
      <c r="F200" s="2"/>
      <c r="G200" s="163"/>
      <c r="H200" s="2"/>
      <c r="I200" s="2"/>
      <c r="J200" s="2"/>
      <c r="K200" s="163"/>
      <c r="L200" s="2"/>
      <c r="M200" s="2"/>
      <c r="N200" s="2"/>
      <c r="O200" s="163"/>
      <c r="P200" s="2"/>
      <c r="W200" s="2"/>
      <c r="Y200" s="163"/>
      <c r="Z200" s="2"/>
      <c r="AA200" s="2"/>
      <c r="AB200" s="2"/>
      <c r="AC200" s="163"/>
      <c r="AD200" s="2"/>
      <c r="AE200" s="2"/>
      <c r="AF200" s="2"/>
      <c r="AG200" s="163"/>
      <c r="AH200" s="2"/>
      <c r="AI200" s="2"/>
      <c r="AJ200" s="2"/>
      <c r="AK200" s="163"/>
    </row>
  </sheetData>
  <mergeCells count="211">
    <mergeCell ref="B2:AL4"/>
    <mergeCell ref="B5:D5"/>
    <mergeCell ref="AP5:AQ5"/>
    <mergeCell ref="B6:AL6"/>
    <mergeCell ref="H14:H15"/>
    <mergeCell ref="AF14:AF15"/>
    <mergeCell ref="D16:D17"/>
    <mergeCell ref="AJ16:AJ17"/>
    <mergeCell ref="AP2:AU3"/>
    <mergeCell ref="AP6:AU6"/>
    <mergeCell ref="D18:D19"/>
    <mergeCell ref="AJ18:AJ19"/>
    <mergeCell ref="AP7:AQ7"/>
    <mergeCell ref="D8:D9"/>
    <mergeCell ref="AJ8:AJ9"/>
    <mergeCell ref="D10:D11"/>
    <mergeCell ref="AJ10:AJ11"/>
    <mergeCell ref="H12:H13"/>
    <mergeCell ref="AF12:AF13"/>
    <mergeCell ref="D26:D27"/>
    <mergeCell ref="AJ26:AJ27"/>
    <mergeCell ref="H28:H29"/>
    <mergeCell ref="AF28:AF29"/>
    <mergeCell ref="H30:H31"/>
    <mergeCell ref="AF30:AF31"/>
    <mergeCell ref="L20:L21"/>
    <mergeCell ref="AB20:AB21"/>
    <mergeCell ref="L22:L23"/>
    <mergeCell ref="AB22:AB23"/>
    <mergeCell ref="D24:D25"/>
    <mergeCell ref="AJ24:AJ25"/>
    <mergeCell ref="R20:V20"/>
    <mergeCell ref="R21:V21"/>
    <mergeCell ref="P37:P38"/>
    <mergeCell ref="X37:X38"/>
    <mergeCell ref="D38:D39"/>
    <mergeCell ref="AJ38:AJ39"/>
    <mergeCell ref="D40:D41"/>
    <mergeCell ref="AJ40:AJ41"/>
    <mergeCell ref="D32:D33"/>
    <mergeCell ref="AJ32:AJ33"/>
    <mergeCell ref="D34:D35"/>
    <mergeCell ref="R34:V34"/>
    <mergeCell ref="AJ34:AJ35"/>
    <mergeCell ref="P35:P36"/>
    <mergeCell ref="X35:X36"/>
    <mergeCell ref="S36:S37"/>
    <mergeCell ref="T36:T37"/>
    <mergeCell ref="U36:U37"/>
    <mergeCell ref="D48:D49"/>
    <mergeCell ref="AJ48:AJ49"/>
    <mergeCell ref="L50:L51"/>
    <mergeCell ref="AB50:AB51"/>
    <mergeCell ref="L52:L53"/>
    <mergeCell ref="AB52:AB53"/>
    <mergeCell ref="H42:H43"/>
    <mergeCell ref="AF42:AF43"/>
    <mergeCell ref="H44:H45"/>
    <mergeCell ref="AF44:AF45"/>
    <mergeCell ref="D46:D47"/>
    <mergeCell ref="AJ46:AJ47"/>
    <mergeCell ref="H60:H61"/>
    <mergeCell ref="AF60:AF61"/>
    <mergeCell ref="D62:D63"/>
    <mergeCell ref="AJ62:AJ63"/>
    <mergeCell ref="D64:D65"/>
    <mergeCell ref="AJ64:AJ65"/>
    <mergeCell ref="D54:D55"/>
    <mergeCell ref="AJ54:AJ55"/>
    <mergeCell ref="D56:D57"/>
    <mergeCell ref="AJ56:AJ57"/>
    <mergeCell ref="H58:H59"/>
    <mergeCell ref="AF58:AF59"/>
    <mergeCell ref="H76:H77"/>
    <mergeCell ref="AF76:AF77"/>
    <mergeCell ref="H78:H79"/>
    <mergeCell ref="AF78:AF79"/>
    <mergeCell ref="D80:D81"/>
    <mergeCell ref="AJ80:AJ81"/>
    <mergeCell ref="B70:AL70"/>
    <mergeCell ref="AP71:AQ71"/>
    <mergeCell ref="D72:D73"/>
    <mergeCell ref="AJ72:AJ73"/>
    <mergeCell ref="D74:D75"/>
    <mergeCell ref="AJ74:AJ75"/>
    <mergeCell ref="AP70:AU70"/>
    <mergeCell ref="D88:D89"/>
    <mergeCell ref="AJ88:AJ89"/>
    <mergeCell ref="D90:D91"/>
    <mergeCell ref="AJ90:AJ91"/>
    <mergeCell ref="H92:H93"/>
    <mergeCell ref="AF92:AF93"/>
    <mergeCell ref="D82:D83"/>
    <mergeCell ref="AJ82:AJ83"/>
    <mergeCell ref="L84:L85"/>
    <mergeCell ref="AB84:AB85"/>
    <mergeCell ref="L86:L87"/>
    <mergeCell ref="AB86:AB87"/>
    <mergeCell ref="R84:V84"/>
    <mergeCell ref="R85:V85"/>
    <mergeCell ref="H94:H95"/>
    <mergeCell ref="AF94:AF95"/>
    <mergeCell ref="D96:D97"/>
    <mergeCell ref="AJ96:AJ97"/>
    <mergeCell ref="D98:D99"/>
    <mergeCell ref="R98:V98"/>
    <mergeCell ref="AJ98:AJ99"/>
    <mergeCell ref="P99:P100"/>
    <mergeCell ref="X99:X100"/>
    <mergeCell ref="S100:S101"/>
    <mergeCell ref="D104:D105"/>
    <mergeCell ref="AJ104:AJ105"/>
    <mergeCell ref="H106:H107"/>
    <mergeCell ref="AF106:AF107"/>
    <mergeCell ref="H108:H109"/>
    <mergeCell ref="AF108:AF109"/>
    <mergeCell ref="T100:T101"/>
    <mergeCell ref="U100:U101"/>
    <mergeCell ref="P101:P102"/>
    <mergeCell ref="X101:X102"/>
    <mergeCell ref="D102:D103"/>
    <mergeCell ref="AJ102:AJ103"/>
    <mergeCell ref="L116:L117"/>
    <mergeCell ref="AB116:AB117"/>
    <mergeCell ref="D118:D119"/>
    <mergeCell ref="AJ118:AJ119"/>
    <mergeCell ref="D120:D121"/>
    <mergeCell ref="AJ120:AJ121"/>
    <mergeCell ref="D110:D111"/>
    <mergeCell ref="AJ110:AJ111"/>
    <mergeCell ref="D112:D113"/>
    <mergeCell ref="AJ112:AJ113"/>
    <mergeCell ref="L114:L115"/>
    <mergeCell ref="AB114:AB115"/>
    <mergeCell ref="D128:D129"/>
    <mergeCell ref="AJ128:AJ129"/>
    <mergeCell ref="B134:AL134"/>
    <mergeCell ref="AP135:AQ135"/>
    <mergeCell ref="D136:D137"/>
    <mergeCell ref="AJ136:AJ137"/>
    <mergeCell ref="H122:H123"/>
    <mergeCell ref="AF122:AF123"/>
    <mergeCell ref="H124:H125"/>
    <mergeCell ref="AF124:AF125"/>
    <mergeCell ref="D126:D127"/>
    <mergeCell ref="AJ126:AJ127"/>
    <mergeCell ref="AP134:AU134"/>
    <mergeCell ref="D144:D145"/>
    <mergeCell ref="AJ144:AJ145"/>
    <mergeCell ref="D146:D147"/>
    <mergeCell ref="AJ146:AJ147"/>
    <mergeCell ref="L148:L149"/>
    <mergeCell ref="AB148:AB149"/>
    <mergeCell ref="D138:D139"/>
    <mergeCell ref="AJ138:AJ139"/>
    <mergeCell ref="H140:H141"/>
    <mergeCell ref="AF140:AF141"/>
    <mergeCell ref="H142:H143"/>
    <mergeCell ref="AF142:AF143"/>
    <mergeCell ref="R148:V148"/>
    <mergeCell ref="R149:V149"/>
    <mergeCell ref="H156:H157"/>
    <mergeCell ref="AF156:AF157"/>
    <mergeCell ref="H158:H159"/>
    <mergeCell ref="AF158:AF159"/>
    <mergeCell ref="D160:D161"/>
    <mergeCell ref="AJ160:AJ161"/>
    <mergeCell ref="L150:L151"/>
    <mergeCell ref="AB150:AB151"/>
    <mergeCell ref="D152:D153"/>
    <mergeCell ref="AJ152:AJ153"/>
    <mergeCell ref="D154:D155"/>
    <mergeCell ref="AJ154:AJ155"/>
    <mergeCell ref="D166:D167"/>
    <mergeCell ref="AJ166:AJ167"/>
    <mergeCell ref="D168:D169"/>
    <mergeCell ref="AJ168:AJ169"/>
    <mergeCell ref="H170:H171"/>
    <mergeCell ref="AF170:AF171"/>
    <mergeCell ref="D162:D163"/>
    <mergeCell ref="R162:V162"/>
    <mergeCell ref="AJ162:AJ163"/>
    <mergeCell ref="P163:P164"/>
    <mergeCell ref="X163:X164"/>
    <mergeCell ref="S164:S165"/>
    <mergeCell ref="T164:T165"/>
    <mergeCell ref="U164:U165"/>
    <mergeCell ref="P165:P166"/>
    <mergeCell ref="X165:X166"/>
    <mergeCell ref="L178:L179"/>
    <mergeCell ref="AB178:AB179"/>
    <mergeCell ref="L180:L181"/>
    <mergeCell ref="AB180:AB181"/>
    <mergeCell ref="D182:D183"/>
    <mergeCell ref="AJ182:AJ183"/>
    <mergeCell ref="H172:H173"/>
    <mergeCell ref="AF172:AF173"/>
    <mergeCell ref="D174:D175"/>
    <mergeCell ref="AJ174:AJ175"/>
    <mergeCell ref="D176:D177"/>
    <mergeCell ref="AJ176:AJ177"/>
    <mergeCell ref="D190:D191"/>
    <mergeCell ref="AJ190:AJ191"/>
    <mergeCell ref="D192:D193"/>
    <mergeCell ref="AJ192:AJ193"/>
    <mergeCell ref="D184:D185"/>
    <mergeCell ref="AJ184:AJ185"/>
    <mergeCell ref="H186:H187"/>
    <mergeCell ref="AF186:AF187"/>
    <mergeCell ref="H188:H189"/>
    <mergeCell ref="AF188:AF189"/>
  </mergeCells>
  <printOptions horizontalCentered="1"/>
  <pageMargins left="0.23622047244094491" right="0.23622047244094491" top="0.74803149606299213" bottom="0.74803149606299213" header="0.31496062992125984" footer="0.31496062992125984"/>
  <pageSetup paperSize="9" scale="13"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LISTAS!$D$5:$D$6</xm:f>
          </x14:formula1>
          <xm:sqref>AS5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22">
    <tabColor theme="0" tint="-0.499984740745262"/>
  </sheetPr>
  <dimension ref="B1:I5649"/>
  <sheetViews>
    <sheetView showGridLines="0" topLeftCell="B244" workbookViewId="0">
      <selection activeCell="B438" sqref="B438"/>
    </sheetView>
  </sheetViews>
  <sheetFormatPr defaultRowHeight="15" x14ac:dyDescent="0.25"/>
  <cols>
    <col min="1" max="1" width="1.5703125" customWidth="1"/>
    <col min="2" max="2" width="43.7109375" style="38" bestFit="1" customWidth="1"/>
    <col min="3" max="3" width="2.7109375" customWidth="1"/>
    <col min="4" max="4" width="26.85546875" bestFit="1" customWidth="1"/>
    <col min="5" max="5" width="2.7109375" customWidth="1"/>
    <col min="6" max="6" width="43.42578125" style="38" customWidth="1"/>
    <col min="7" max="7" width="43.7109375" bestFit="1" customWidth="1"/>
    <col min="8" max="8" width="19.7109375" customWidth="1"/>
    <col min="9" max="9" width="11.7109375" bestFit="1" customWidth="1"/>
    <col min="10" max="10" width="6.85546875" bestFit="1" customWidth="1"/>
  </cols>
  <sheetData>
    <row r="1" spans="2:9" x14ac:dyDescent="0.25">
      <c r="F1" s="283" t="s">
        <v>27</v>
      </c>
      <c r="G1" s="284"/>
      <c r="H1" s="284"/>
      <c r="I1" s="284"/>
    </row>
    <row r="2" spans="2:9" ht="8.25" customHeight="1" x14ac:dyDescent="0.25">
      <c r="F2" s="285"/>
      <c r="G2" s="286"/>
      <c r="H2" s="286"/>
      <c r="I2" s="286"/>
    </row>
    <row r="3" spans="2:9" x14ac:dyDescent="0.25">
      <c r="B3" s="282" t="s">
        <v>26</v>
      </c>
      <c r="D3" s="282" t="s">
        <v>1</v>
      </c>
      <c r="F3" s="282" t="s">
        <v>36</v>
      </c>
      <c r="G3" s="282" t="s">
        <v>0</v>
      </c>
      <c r="H3" s="282" t="s">
        <v>84</v>
      </c>
      <c r="I3" s="282" t="s">
        <v>85</v>
      </c>
    </row>
    <row r="4" spans="2:9" x14ac:dyDescent="0.25">
      <c r="B4" s="282"/>
      <c r="D4" s="282"/>
      <c r="F4" s="282"/>
      <c r="G4" s="282"/>
      <c r="H4" s="282"/>
      <c r="I4" s="282"/>
    </row>
    <row r="5" spans="2:9" x14ac:dyDescent="0.25">
      <c r="B5" s="39" t="s">
        <v>127</v>
      </c>
      <c r="D5" s="39" t="s">
        <v>14</v>
      </c>
      <c r="F5" s="39" t="s">
        <v>478</v>
      </c>
      <c r="G5" s="39" t="s">
        <v>147</v>
      </c>
      <c r="H5" s="39" t="s">
        <v>479</v>
      </c>
      <c r="I5" s="39" t="s">
        <v>110</v>
      </c>
    </row>
    <row r="6" spans="2:9" ht="15" customHeight="1" x14ac:dyDescent="0.25">
      <c r="B6" s="39" t="s">
        <v>139</v>
      </c>
      <c r="D6" s="39" t="s">
        <v>28</v>
      </c>
      <c r="F6" s="39" t="s">
        <v>480</v>
      </c>
      <c r="G6" s="39" t="s">
        <v>149</v>
      </c>
      <c r="H6" s="39" t="s">
        <v>479</v>
      </c>
      <c r="I6" s="39" t="s">
        <v>110</v>
      </c>
    </row>
    <row r="7" spans="2:9" ht="15" customHeight="1" x14ac:dyDescent="0.25">
      <c r="B7" s="39" t="s">
        <v>391</v>
      </c>
      <c r="F7" s="39" t="s">
        <v>367</v>
      </c>
      <c r="G7" s="39" t="s">
        <v>127</v>
      </c>
      <c r="H7" s="39" t="s">
        <v>368</v>
      </c>
      <c r="I7" s="39" t="s">
        <v>106</v>
      </c>
    </row>
    <row r="8" spans="2:9" x14ac:dyDescent="0.25">
      <c r="B8" s="39" t="s">
        <v>115</v>
      </c>
      <c r="D8" s="282" t="s">
        <v>82</v>
      </c>
      <c r="F8" s="39" t="s">
        <v>654</v>
      </c>
      <c r="G8" s="39" t="s">
        <v>651</v>
      </c>
      <c r="H8" s="39" t="s">
        <v>210</v>
      </c>
      <c r="I8" s="39"/>
    </row>
    <row r="9" spans="2:9" x14ac:dyDescent="0.25">
      <c r="B9" s="39" t="s">
        <v>118</v>
      </c>
      <c r="D9" s="282"/>
      <c r="F9" s="39" t="s">
        <v>105</v>
      </c>
      <c r="G9" s="39" t="s">
        <v>107</v>
      </c>
      <c r="H9" s="39" t="s">
        <v>108</v>
      </c>
      <c r="I9" s="39" t="s">
        <v>106</v>
      </c>
    </row>
    <row r="10" spans="2:9" ht="15" customHeight="1" x14ac:dyDescent="0.25">
      <c r="B10" s="39" t="s">
        <v>149</v>
      </c>
      <c r="D10" s="39">
        <v>1</v>
      </c>
      <c r="F10" s="39" t="s">
        <v>209</v>
      </c>
      <c r="G10" s="39" t="s">
        <v>107</v>
      </c>
      <c r="H10" s="39" t="s">
        <v>210</v>
      </c>
      <c r="I10" s="39" t="s">
        <v>110</v>
      </c>
    </row>
    <row r="11" spans="2:9" x14ac:dyDescent="0.25">
      <c r="B11" s="39" t="s">
        <v>120</v>
      </c>
      <c r="D11" s="39">
        <v>2</v>
      </c>
      <c r="F11" s="39" t="s">
        <v>211</v>
      </c>
      <c r="G11" s="39" t="s">
        <v>124</v>
      </c>
      <c r="H11" s="39" t="s">
        <v>210</v>
      </c>
      <c r="I11" s="39" t="s">
        <v>106</v>
      </c>
    </row>
    <row r="12" spans="2:9" x14ac:dyDescent="0.25">
      <c r="B12" s="39" t="s">
        <v>275</v>
      </c>
      <c r="D12" s="39">
        <v>3</v>
      </c>
      <c r="F12" s="39" t="s">
        <v>547</v>
      </c>
      <c r="G12" s="39" t="s">
        <v>376</v>
      </c>
      <c r="H12" s="39" t="s">
        <v>548</v>
      </c>
      <c r="I12" s="39" t="s">
        <v>106</v>
      </c>
    </row>
    <row r="13" spans="2:9" x14ac:dyDescent="0.25">
      <c r="B13" s="39" t="s">
        <v>111</v>
      </c>
      <c r="D13" s="39">
        <v>4</v>
      </c>
      <c r="F13" s="39" t="s">
        <v>549</v>
      </c>
      <c r="G13" s="39" t="s">
        <v>111</v>
      </c>
      <c r="H13" s="39" t="s">
        <v>548</v>
      </c>
      <c r="I13" s="39" t="s">
        <v>110</v>
      </c>
    </row>
    <row r="14" spans="2:9" x14ac:dyDescent="0.25">
      <c r="B14" s="39" t="s">
        <v>154</v>
      </c>
      <c r="D14" s="39">
        <v>5</v>
      </c>
      <c r="F14" s="39" t="s">
        <v>369</v>
      </c>
      <c r="G14" s="39" t="s">
        <v>129</v>
      </c>
      <c r="H14" s="39" t="s">
        <v>368</v>
      </c>
      <c r="I14" s="39" t="s">
        <v>110</v>
      </c>
    </row>
    <row r="15" spans="2:9" x14ac:dyDescent="0.25">
      <c r="B15" s="39" t="s">
        <v>188</v>
      </c>
      <c r="D15" s="39">
        <v>6</v>
      </c>
      <c r="F15" s="39" t="s">
        <v>481</v>
      </c>
      <c r="G15" s="39" t="s">
        <v>107</v>
      </c>
      <c r="H15" s="39" t="s">
        <v>479</v>
      </c>
      <c r="I15" s="39" t="s">
        <v>110</v>
      </c>
    </row>
    <row r="16" spans="2:9" x14ac:dyDescent="0.25">
      <c r="B16" s="152" t="s">
        <v>232</v>
      </c>
      <c r="D16" s="39">
        <v>7</v>
      </c>
      <c r="F16" s="39" t="s">
        <v>109</v>
      </c>
      <c r="G16" s="39" t="s">
        <v>111</v>
      </c>
      <c r="H16" s="39" t="s">
        <v>108</v>
      </c>
      <c r="I16" s="39" t="s">
        <v>110</v>
      </c>
    </row>
    <row r="17" spans="2:9" ht="15" customHeight="1" x14ac:dyDescent="0.25">
      <c r="B17" s="39" t="s">
        <v>147</v>
      </c>
      <c r="D17" s="39">
        <v>8</v>
      </c>
      <c r="F17" s="39" t="s">
        <v>550</v>
      </c>
      <c r="G17" s="39" t="s">
        <v>111</v>
      </c>
      <c r="H17" s="39" t="s">
        <v>548</v>
      </c>
      <c r="I17" s="39" t="s">
        <v>106</v>
      </c>
    </row>
    <row r="18" spans="2:9" ht="16.5" customHeight="1" x14ac:dyDescent="0.25">
      <c r="B18" s="39" t="s">
        <v>222</v>
      </c>
      <c r="D18" s="39">
        <v>9</v>
      </c>
      <c r="F18" s="39" t="s">
        <v>112</v>
      </c>
      <c r="G18" s="39" t="s">
        <v>113</v>
      </c>
      <c r="H18" s="39" t="s">
        <v>108</v>
      </c>
      <c r="I18" s="39" t="s">
        <v>106</v>
      </c>
    </row>
    <row r="19" spans="2:9" x14ac:dyDescent="0.25">
      <c r="B19" s="39" t="s">
        <v>525</v>
      </c>
      <c r="D19" s="39">
        <v>10</v>
      </c>
      <c r="F19" s="39" t="s">
        <v>212</v>
      </c>
      <c r="G19" s="39" t="s">
        <v>127</v>
      </c>
      <c r="H19" s="39" t="s">
        <v>210</v>
      </c>
      <c r="I19" s="39" t="s">
        <v>106</v>
      </c>
    </row>
    <row r="20" spans="2:9" ht="16.5" customHeight="1" x14ac:dyDescent="0.25">
      <c r="B20" s="39" t="s">
        <v>383</v>
      </c>
      <c r="D20" s="39">
        <v>11</v>
      </c>
      <c r="F20" s="39" t="s">
        <v>370</v>
      </c>
      <c r="G20" s="39" t="s">
        <v>115</v>
      </c>
      <c r="H20" s="39" t="s">
        <v>368</v>
      </c>
      <c r="I20" s="39" t="s">
        <v>106</v>
      </c>
    </row>
    <row r="21" spans="2:9" ht="16.5" customHeight="1" x14ac:dyDescent="0.25">
      <c r="B21" s="39" t="s">
        <v>582</v>
      </c>
      <c r="D21" s="39">
        <v>12</v>
      </c>
      <c r="F21" s="39" t="s">
        <v>371</v>
      </c>
      <c r="G21" s="39" t="s">
        <v>107</v>
      </c>
      <c r="H21" s="39" t="s">
        <v>368</v>
      </c>
      <c r="I21" s="39" t="s">
        <v>106</v>
      </c>
    </row>
    <row r="22" spans="2:9" ht="16.5" customHeight="1" x14ac:dyDescent="0.25">
      <c r="B22" s="39" t="s">
        <v>181</v>
      </c>
      <c r="D22" s="39">
        <v>13</v>
      </c>
      <c r="F22" s="39" t="s">
        <v>635</v>
      </c>
      <c r="G22" s="39" t="s">
        <v>621</v>
      </c>
      <c r="H22" s="39" t="s">
        <v>368</v>
      </c>
      <c r="I22" s="39" t="s">
        <v>106</v>
      </c>
    </row>
    <row r="23" spans="2:9" ht="16.5" customHeight="1" x14ac:dyDescent="0.25">
      <c r="B23" s="39" t="s">
        <v>515</v>
      </c>
      <c r="D23" s="39">
        <v>14</v>
      </c>
      <c r="F23" s="39" t="s">
        <v>213</v>
      </c>
      <c r="G23" s="39" t="s">
        <v>181</v>
      </c>
      <c r="H23" s="39" t="s">
        <v>210</v>
      </c>
      <c r="I23" s="39" t="s">
        <v>106</v>
      </c>
    </row>
    <row r="24" spans="2:9" x14ac:dyDescent="0.25">
      <c r="B24" s="39" t="s">
        <v>376</v>
      </c>
      <c r="D24" s="39">
        <v>15</v>
      </c>
      <c r="F24" s="39" t="s">
        <v>214</v>
      </c>
      <c r="G24" s="39" t="s">
        <v>107</v>
      </c>
      <c r="H24" s="39" t="s">
        <v>210</v>
      </c>
      <c r="I24" s="39" t="s">
        <v>106</v>
      </c>
    </row>
    <row r="25" spans="2:9" x14ac:dyDescent="0.25">
      <c r="B25" s="39" t="s">
        <v>107</v>
      </c>
      <c r="D25" s="39">
        <v>16</v>
      </c>
      <c r="F25" s="39" t="s">
        <v>114</v>
      </c>
      <c r="G25" s="39" t="s">
        <v>115</v>
      </c>
      <c r="H25" s="39" t="s">
        <v>108</v>
      </c>
      <c r="I25" s="39" t="s">
        <v>106</v>
      </c>
    </row>
    <row r="26" spans="2:9" x14ac:dyDescent="0.25">
      <c r="B26" s="39" t="s">
        <v>249</v>
      </c>
      <c r="D26" s="39">
        <v>17</v>
      </c>
      <c r="F26" s="39" t="s">
        <v>215</v>
      </c>
      <c r="G26" s="39" t="s">
        <v>188</v>
      </c>
      <c r="H26" s="39" t="s">
        <v>210</v>
      </c>
      <c r="I26" s="39" t="s">
        <v>106</v>
      </c>
    </row>
    <row r="27" spans="2:9" x14ac:dyDescent="0.25">
      <c r="B27" s="39" t="s">
        <v>156</v>
      </c>
      <c r="D27" s="39">
        <v>18</v>
      </c>
      <c r="F27" s="39" t="s">
        <v>482</v>
      </c>
      <c r="G27" s="39" t="s">
        <v>154</v>
      </c>
      <c r="H27" s="39" t="s">
        <v>479</v>
      </c>
      <c r="I27" s="39" t="s">
        <v>106</v>
      </c>
    </row>
    <row r="28" spans="2:9" x14ac:dyDescent="0.25">
      <c r="B28" s="39" t="s">
        <v>113</v>
      </c>
      <c r="D28" s="39">
        <v>19</v>
      </c>
      <c r="F28" s="39" t="s">
        <v>372</v>
      </c>
      <c r="G28" s="39" t="s">
        <v>115</v>
      </c>
      <c r="H28" s="39" t="s">
        <v>368</v>
      </c>
      <c r="I28" s="39" t="s">
        <v>106</v>
      </c>
    </row>
    <row r="29" spans="2:9" x14ac:dyDescent="0.25">
      <c r="B29" s="39" t="s">
        <v>129</v>
      </c>
      <c r="D29" s="39">
        <v>20</v>
      </c>
      <c r="F29" s="39" t="s">
        <v>116</v>
      </c>
      <c r="G29" s="39" t="s">
        <v>107</v>
      </c>
      <c r="H29" s="39" t="s">
        <v>108</v>
      </c>
      <c r="I29" s="39" t="s">
        <v>106</v>
      </c>
    </row>
    <row r="30" spans="2:9" x14ac:dyDescent="0.25">
      <c r="B30" s="39" t="s">
        <v>122</v>
      </c>
      <c r="D30" s="39">
        <v>21</v>
      </c>
      <c r="F30" s="39" t="s">
        <v>551</v>
      </c>
      <c r="G30" s="39" t="s">
        <v>115</v>
      </c>
      <c r="H30" s="39" t="s">
        <v>548</v>
      </c>
      <c r="I30" s="39" t="s">
        <v>106</v>
      </c>
    </row>
    <row r="31" spans="2:9" x14ac:dyDescent="0.25">
      <c r="B31" s="39" t="s">
        <v>124</v>
      </c>
      <c r="D31" s="39">
        <v>22</v>
      </c>
      <c r="F31" s="39" t="s">
        <v>483</v>
      </c>
      <c r="G31" s="39" t="s">
        <v>115</v>
      </c>
      <c r="H31" s="39" t="s">
        <v>479</v>
      </c>
      <c r="I31" s="39" t="s">
        <v>106</v>
      </c>
    </row>
    <row r="32" spans="2:9" x14ac:dyDescent="0.25">
      <c r="B32" s="39" t="s">
        <v>621</v>
      </c>
      <c r="D32" s="39">
        <v>23</v>
      </c>
      <c r="F32" s="39" t="s">
        <v>117</v>
      </c>
      <c r="G32" s="39" t="s">
        <v>118</v>
      </c>
      <c r="H32" s="39" t="s">
        <v>108</v>
      </c>
      <c r="I32" s="39" t="s">
        <v>106</v>
      </c>
    </row>
    <row r="33" spans="2:9" x14ac:dyDescent="0.25">
      <c r="B33" s="39" t="s">
        <v>651</v>
      </c>
      <c r="D33" s="39">
        <v>24</v>
      </c>
      <c r="F33" s="39" t="s">
        <v>373</v>
      </c>
      <c r="G33" s="39" t="s">
        <v>115</v>
      </c>
      <c r="H33" s="39" t="s">
        <v>368</v>
      </c>
      <c r="I33" s="39" t="s">
        <v>106</v>
      </c>
    </row>
    <row r="34" spans="2:9" x14ac:dyDescent="0.25">
      <c r="B34" s="39" t="s">
        <v>661</v>
      </c>
      <c r="D34" s="39">
        <v>25</v>
      </c>
      <c r="F34" s="39" t="s">
        <v>119</v>
      </c>
      <c r="G34" s="39" t="s">
        <v>120</v>
      </c>
      <c r="H34" s="39" t="s">
        <v>108</v>
      </c>
      <c r="I34" s="39" t="s">
        <v>106</v>
      </c>
    </row>
    <row r="35" spans="2:9" x14ac:dyDescent="0.25">
      <c r="B35" s="39"/>
      <c r="D35" s="39">
        <v>26</v>
      </c>
      <c r="F35" s="39" t="s">
        <v>484</v>
      </c>
      <c r="G35" s="39" t="s">
        <v>376</v>
      </c>
      <c r="H35" s="39" t="s">
        <v>479</v>
      </c>
      <c r="I35" s="39" t="s">
        <v>106</v>
      </c>
    </row>
    <row r="36" spans="2:9" x14ac:dyDescent="0.25">
      <c r="B36" s="39"/>
      <c r="D36" s="39">
        <v>27</v>
      </c>
      <c r="F36" s="39" t="s">
        <v>121</v>
      </c>
      <c r="G36" s="39" t="s">
        <v>122</v>
      </c>
      <c r="H36" s="39" t="s">
        <v>108</v>
      </c>
      <c r="I36" s="39" t="s">
        <v>106</v>
      </c>
    </row>
    <row r="37" spans="2:9" x14ac:dyDescent="0.25">
      <c r="B37" s="39"/>
      <c r="D37" s="39">
        <v>28</v>
      </c>
      <c r="F37" s="39" t="s">
        <v>216</v>
      </c>
      <c r="G37" s="39" t="s">
        <v>127</v>
      </c>
      <c r="H37" s="39" t="s">
        <v>210</v>
      </c>
      <c r="I37" s="39" t="s">
        <v>106</v>
      </c>
    </row>
    <row r="38" spans="2:9" x14ac:dyDescent="0.25">
      <c r="B38" s="39"/>
      <c r="D38" s="39">
        <v>29</v>
      </c>
      <c r="F38" s="39" t="s">
        <v>374</v>
      </c>
      <c r="G38" s="39" t="s">
        <v>188</v>
      </c>
      <c r="H38" s="39" t="s">
        <v>368</v>
      </c>
      <c r="I38" s="39" t="s">
        <v>106</v>
      </c>
    </row>
    <row r="39" spans="2:9" x14ac:dyDescent="0.25">
      <c r="B39" s="39"/>
      <c r="D39" s="39">
        <v>30</v>
      </c>
      <c r="F39" s="39" t="s">
        <v>375</v>
      </c>
      <c r="G39" s="39" t="s">
        <v>376</v>
      </c>
      <c r="H39" s="39" t="s">
        <v>368</v>
      </c>
      <c r="I39" s="39" t="s">
        <v>106</v>
      </c>
    </row>
    <row r="40" spans="2:9" x14ac:dyDescent="0.25">
      <c r="B40" s="39"/>
      <c r="D40" s="39">
        <v>31</v>
      </c>
      <c r="F40" s="39" t="s">
        <v>552</v>
      </c>
      <c r="G40" s="39" t="s">
        <v>111</v>
      </c>
      <c r="H40" s="39" t="s">
        <v>548</v>
      </c>
      <c r="I40" s="39" t="s">
        <v>110</v>
      </c>
    </row>
    <row r="41" spans="2:9" x14ac:dyDescent="0.25">
      <c r="B41" s="39"/>
      <c r="D41" s="39">
        <v>32</v>
      </c>
      <c r="F41" s="39" t="s">
        <v>553</v>
      </c>
      <c r="G41" s="39" t="s">
        <v>149</v>
      </c>
      <c r="H41" s="39" t="s">
        <v>548</v>
      </c>
      <c r="I41" s="39" t="s">
        <v>110</v>
      </c>
    </row>
    <row r="42" spans="2:9" x14ac:dyDescent="0.25">
      <c r="B42" s="39"/>
      <c r="F42" s="39" t="s">
        <v>217</v>
      </c>
      <c r="G42" s="39" t="s">
        <v>129</v>
      </c>
      <c r="H42" s="39" t="s">
        <v>210</v>
      </c>
      <c r="I42" s="39" t="s">
        <v>110</v>
      </c>
    </row>
    <row r="43" spans="2:9" x14ac:dyDescent="0.25">
      <c r="B43" s="39"/>
      <c r="F43" s="39" t="s">
        <v>485</v>
      </c>
      <c r="G43" s="39" t="s">
        <v>154</v>
      </c>
      <c r="H43" s="39" t="s">
        <v>479</v>
      </c>
      <c r="I43" s="39" t="s">
        <v>110</v>
      </c>
    </row>
    <row r="44" spans="2:9" x14ac:dyDescent="0.25">
      <c r="B44" s="39"/>
      <c r="F44" s="39" t="s">
        <v>377</v>
      </c>
      <c r="G44" s="39" t="s">
        <v>129</v>
      </c>
      <c r="H44" s="39" t="s">
        <v>368</v>
      </c>
      <c r="I44" s="39" t="s">
        <v>110</v>
      </c>
    </row>
    <row r="45" spans="2:9" x14ac:dyDescent="0.25">
      <c r="B45"/>
      <c r="F45" s="39" t="s">
        <v>218</v>
      </c>
      <c r="G45" s="39" t="s">
        <v>149</v>
      </c>
      <c r="H45" s="39" t="s">
        <v>210</v>
      </c>
      <c r="I45" s="39" t="s">
        <v>106</v>
      </c>
    </row>
    <row r="46" spans="2:9" x14ac:dyDescent="0.25">
      <c r="B46"/>
      <c r="F46" s="39" t="s">
        <v>378</v>
      </c>
      <c r="G46" s="39" t="s">
        <v>115</v>
      </c>
      <c r="H46" s="39" t="s">
        <v>368</v>
      </c>
      <c r="I46" s="39" t="s">
        <v>106</v>
      </c>
    </row>
    <row r="47" spans="2:9" x14ac:dyDescent="0.25">
      <c r="B47"/>
      <c r="F47" s="39" t="s">
        <v>379</v>
      </c>
      <c r="G47" s="39" t="s">
        <v>188</v>
      </c>
      <c r="H47" s="39" t="s">
        <v>368</v>
      </c>
      <c r="I47" s="39" t="s">
        <v>106</v>
      </c>
    </row>
    <row r="48" spans="2:9" x14ac:dyDescent="0.25">
      <c r="B48"/>
      <c r="F48" s="39" t="s">
        <v>219</v>
      </c>
      <c r="G48" s="39" t="s">
        <v>188</v>
      </c>
      <c r="H48" s="39" t="s">
        <v>210</v>
      </c>
      <c r="I48" s="39" t="s">
        <v>106</v>
      </c>
    </row>
    <row r="49" spans="2:9" x14ac:dyDescent="0.25">
      <c r="B49"/>
      <c r="F49" s="39" t="s">
        <v>220</v>
      </c>
      <c r="G49" s="39" t="s">
        <v>129</v>
      </c>
      <c r="H49" s="39" t="s">
        <v>210</v>
      </c>
      <c r="I49" s="39" t="s">
        <v>106</v>
      </c>
    </row>
    <row r="50" spans="2:9" x14ac:dyDescent="0.25">
      <c r="B50"/>
      <c r="F50" s="39" t="s">
        <v>123</v>
      </c>
      <c r="G50" s="39" t="s">
        <v>124</v>
      </c>
      <c r="H50" s="39" t="s">
        <v>108</v>
      </c>
      <c r="I50" s="39" t="s">
        <v>106</v>
      </c>
    </row>
    <row r="51" spans="2:9" x14ac:dyDescent="0.25">
      <c r="B51"/>
      <c r="F51" s="39" t="s">
        <v>486</v>
      </c>
      <c r="G51" s="39" t="s">
        <v>376</v>
      </c>
      <c r="H51" s="39" t="s">
        <v>479</v>
      </c>
      <c r="I51" s="39" t="s">
        <v>106</v>
      </c>
    </row>
    <row r="52" spans="2:9" x14ac:dyDescent="0.25">
      <c r="B52"/>
      <c r="F52" s="39" t="s">
        <v>643</v>
      </c>
      <c r="G52" s="39" t="s">
        <v>621</v>
      </c>
      <c r="H52" s="39" t="s">
        <v>368</v>
      </c>
      <c r="I52" s="39" t="s">
        <v>106</v>
      </c>
    </row>
    <row r="53" spans="2:9" x14ac:dyDescent="0.25">
      <c r="B53"/>
      <c r="F53" s="39" t="s">
        <v>380</v>
      </c>
      <c r="G53" s="39" t="s">
        <v>147</v>
      </c>
      <c r="H53" s="39" t="s">
        <v>368</v>
      </c>
      <c r="I53" s="39" t="s">
        <v>106</v>
      </c>
    </row>
    <row r="54" spans="2:9" x14ac:dyDescent="0.25">
      <c r="B54"/>
      <c r="F54" s="39" t="s">
        <v>381</v>
      </c>
      <c r="G54" s="39" t="s">
        <v>127</v>
      </c>
      <c r="H54" s="39" t="s">
        <v>368</v>
      </c>
      <c r="I54" s="39" t="s">
        <v>106</v>
      </c>
    </row>
    <row r="55" spans="2:9" x14ac:dyDescent="0.25">
      <c r="B55"/>
      <c r="F55" s="39" t="s">
        <v>382</v>
      </c>
      <c r="G55" s="39" t="s">
        <v>383</v>
      </c>
      <c r="H55" s="39" t="s">
        <v>368</v>
      </c>
      <c r="I55" s="39" t="s">
        <v>106</v>
      </c>
    </row>
    <row r="56" spans="2:9" x14ac:dyDescent="0.25">
      <c r="B56"/>
      <c r="F56" s="39" t="s">
        <v>221</v>
      </c>
      <c r="G56" s="39" t="s">
        <v>222</v>
      </c>
      <c r="H56" s="39" t="s">
        <v>210</v>
      </c>
      <c r="I56" s="39" t="s">
        <v>106</v>
      </c>
    </row>
    <row r="57" spans="2:9" x14ac:dyDescent="0.25">
      <c r="B57"/>
      <c r="F57" s="39" t="s">
        <v>125</v>
      </c>
      <c r="G57" s="39" t="s">
        <v>118</v>
      </c>
      <c r="H57" s="39" t="s">
        <v>108</v>
      </c>
      <c r="I57" s="39" t="s">
        <v>106</v>
      </c>
    </row>
    <row r="58" spans="2:9" x14ac:dyDescent="0.25">
      <c r="B58"/>
      <c r="F58" s="39" t="s">
        <v>384</v>
      </c>
      <c r="G58" s="39" t="s">
        <v>115</v>
      </c>
      <c r="H58" s="39" t="s">
        <v>368</v>
      </c>
      <c r="I58" s="39" t="s">
        <v>106</v>
      </c>
    </row>
    <row r="59" spans="2:9" x14ac:dyDescent="0.25">
      <c r="B59"/>
      <c r="F59" s="39" t="s">
        <v>126</v>
      </c>
      <c r="G59" s="39" t="s">
        <v>127</v>
      </c>
      <c r="H59" s="39" t="s">
        <v>108</v>
      </c>
      <c r="I59" s="39" t="s">
        <v>106</v>
      </c>
    </row>
    <row r="60" spans="2:9" x14ac:dyDescent="0.25">
      <c r="B60"/>
      <c r="F60" s="39" t="s">
        <v>385</v>
      </c>
      <c r="G60" s="39" t="s">
        <v>149</v>
      </c>
      <c r="H60" s="39" t="s">
        <v>368</v>
      </c>
      <c r="I60" s="39" t="s">
        <v>106</v>
      </c>
    </row>
    <row r="61" spans="2:9" x14ac:dyDescent="0.25">
      <c r="B61"/>
      <c r="F61" s="39" t="s">
        <v>223</v>
      </c>
      <c r="G61" s="39" t="s">
        <v>127</v>
      </c>
      <c r="H61" s="39" t="s">
        <v>210</v>
      </c>
      <c r="I61" s="39" t="s">
        <v>106</v>
      </c>
    </row>
    <row r="62" spans="2:9" x14ac:dyDescent="0.25">
      <c r="B62"/>
      <c r="F62" s="39" t="s">
        <v>224</v>
      </c>
      <c r="G62" s="39" t="s">
        <v>127</v>
      </c>
      <c r="H62" s="39" t="s">
        <v>210</v>
      </c>
      <c r="I62" s="39" t="s">
        <v>106</v>
      </c>
    </row>
    <row r="63" spans="2:9" x14ac:dyDescent="0.25">
      <c r="B63"/>
      <c r="F63" s="39" t="s">
        <v>386</v>
      </c>
      <c r="G63" s="39" t="s">
        <v>129</v>
      </c>
      <c r="H63" s="39" t="s">
        <v>368</v>
      </c>
      <c r="I63" s="39" t="s">
        <v>106</v>
      </c>
    </row>
    <row r="64" spans="2:9" x14ac:dyDescent="0.25">
      <c r="B64"/>
      <c r="F64" s="39" t="s">
        <v>387</v>
      </c>
      <c r="G64" s="39" t="s">
        <v>127</v>
      </c>
      <c r="H64" s="39" t="s">
        <v>368</v>
      </c>
      <c r="I64" s="39" t="s">
        <v>106</v>
      </c>
    </row>
    <row r="65" spans="2:9" x14ac:dyDescent="0.25">
      <c r="B65"/>
      <c r="F65" s="39" t="s">
        <v>625</v>
      </c>
      <c r="G65" s="39" t="s">
        <v>621</v>
      </c>
      <c r="H65" s="39" t="s">
        <v>623</v>
      </c>
      <c r="I65" s="39" t="s">
        <v>106</v>
      </c>
    </row>
    <row r="66" spans="2:9" x14ac:dyDescent="0.25">
      <c r="B66"/>
      <c r="F66" s="39" t="s">
        <v>487</v>
      </c>
      <c r="G66" s="39" t="s">
        <v>120</v>
      </c>
      <c r="H66" s="39" t="s">
        <v>479</v>
      </c>
      <c r="I66" s="39" t="s">
        <v>110</v>
      </c>
    </row>
    <row r="67" spans="2:9" x14ac:dyDescent="0.25">
      <c r="B67"/>
      <c r="F67" s="39" t="s">
        <v>554</v>
      </c>
      <c r="G67" s="39" t="s">
        <v>111</v>
      </c>
      <c r="H67" s="39" t="s">
        <v>548</v>
      </c>
      <c r="I67" s="39" t="s">
        <v>106</v>
      </c>
    </row>
    <row r="68" spans="2:9" x14ac:dyDescent="0.25">
      <c r="B68"/>
      <c r="F68" s="39" t="s">
        <v>488</v>
      </c>
      <c r="G68" s="39" t="s">
        <v>115</v>
      </c>
      <c r="H68" s="39" t="s">
        <v>479</v>
      </c>
      <c r="I68" s="39" t="s">
        <v>106</v>
      </c>
    </row>
    <row r="69" spans="2:9" x14ac:dyDescent="0.25">
      <c r="B69"/>
      <c r="F69" s="39" t="s">
        <v>225</v>
      </c>
      <c r="G69" s="39" t="s">
        <v>113</v>
      </c>
      <c r="H69" s="39" t="s">
        <v>210</v>
      </c>
      <c r="I69" s="39" t="s">
        <v>106</v>
      </c>
    </row>
    <row r="70" spans="2:9" x14ac:dyDescent="0.25">
      <c r="B70"/>
      <c r="F70" s="39" t="s">
        <v>388</v>
      </c>
      <c r="G70" s="39" t="s">
        <v>222</v>
      </c>
      <c r="H70" s="39" t="s">
        <v>368</v>
      </c>
      <c r="I70" s="39" t="s">
        <v>106</v>
      </c>
    </row>
    <row r="71" spans="2:9" x14ac:dyDescent="0.25">
      <c r="B71"/>
      <c r="F71" s="39" t="s">
        <v>226</v>
      </c>
      <c r="G71" s="39" t="s">
        <v>154</v>
      </c>
      <c r="H71" s="39" t="s">
        <v>210</v>
      </c>
      <c r="I71" s="39" t="s">
        <v>106</v>
      </c>
    </row>
    <row r="72" spans="2:9" x14ac:dyDescent="0.25">
      <c r="B72"/>
      <c r="F72" s="39" t="s">
        <v>128</v>
      </c>
      <c r="G72" s="39" t="s">
        <v>129</v>
      </c>
      <c r="H72" s="39" t="s">
        <v>108</v>
      </c>
      <c r="I72" s="39" t="s">
        <v>106</v>
      </c>
    </row>
    <row r="73" spans="2:9" x14ac:dyDescent="0.25">
      <c r="B73"/>
      <c r="F73" s="39" t="s">
        <v>601</v>
      </c>
      <c r="G73" s="39" t="s">
        <v>601</v>
      </c>
      <c r="H73" s="39"/>
      <c r="I73" s="39"/>
    </row>
    <row r="74" spans="2:9" x14ac:dyDescent="0.25">
      <c r="B74"/>
      <c r="F74" s="39" t="s">
        <v>227</v>
      </c>
      <c r="G74" s="39" t="s">
        <v>115</v>
      </c>
      <c r="H74" s="39" t="s">
        <v>210</v>
      </c>
      <c r="I74" s="39" t="s">
        <v>106</v>
      </c>
    </row>
    <row r="75" spans="2:9" x14ac:dyDescent="0.25">
      <c r="B75"/>
      <c r="F75" s="39" t="s">
        <v>489</v>
      </c>
      <c r="G75" s="39" t="s">
        <v>376</v>
      </c>
      <c r="H75" s="39" t="s">
        <v>479</v>
      </c>
      <c r="I75" s="39" t="s">
        <v>106</v>
      </c>
    </row>
    <row r="76" spans="2:9" x14ac:dyDescent="0.25">
      <c r="B76"/>
      <c r="F76" s="39" t="s">
        <v>389</v>
      </c>
      <c r="G76" s="39" t="s">
        <v>127</v>
      </c>
      <c r="H76" s="39" t="s">
        <v>368</v>
      </c>
      <c r="I76" s="39" t="s">
        <v>106</v>
      </c>
    </row>
    <row r="77" spans="2:9" x14ac:dyDescent="0.25">
      <c r="B77"/>
      <c r="F77" s="39" t="s">
        <v>390</v>
      </c>
      <c r="G77" s="39" t="s">
        <v>391</v>
      </c>
      <c r="H77" s="39" t="s">
        <v>368</v>
      </c>
      <c r="I77" s="39" t="s">
        <v>106</v>
      </c>
    </row>
    <row r="78" spans="2:9" x14ac:dyDescent="0.25">
      <c r="B78"/>
      <c r="F78" s="39" t="s">
        <v>555</v>
      </c>
      <c r="G78" s="39" t="s">
        <v>111</v>
      </c>
      <c r="H78" s="39" t="s">
        <v>548</v>
      </c>
      <c r="I78" s="39" t="s">
        <v>106</v>
      </c>
    </row>
    <row r="79" spans="2:9" x14ac:dyDescent="0.25">
      <c r="B79"/>
      <c r="F79" s="39" t="s">
        <v>130</v>
      </c>
      <c r="G79" s="39" t="s">
        <v>107</v>
      </c>
      <c r="H79" s="39" t="s">
        <v>108</v>
      </c>
      <c r="I79" s="39" t="s">
        <v>106</v>
      </c>
    </row>
    <row r="80" spans="2:9" x14ac:dyDescent="0.25">
      <c r="B80"/>
      <c r="F80" s="39" t="s">
        <v>228</v>
      </c>
      <c r="G80" s="39" t="s">
        <v>115</v>
      </c>
      <c r="H80" s="39" t="s">
        <v>210</v>
      </c>
      <c r="I80" s="39" t="s">
        <v>110</v>
      </c>
    </row>
    <row r="81" spans="2:9" x14ac:dyDescent="0.25">
      <c r="B81"/>
      <c r="F81" s="39" t="s">
        <v>229</v>
      </c>
      <c r="G81" s="39" t="s">
        <v>115</v>
      </c>
      <c r="H81" s="39" t="s">
        <v>210</v>
      </c>
      <c r="I81" s="39" t="s">
        <v>110</v>
      </c>
    </row>
    <row r="82" spans="2:9" x14ac:dyDescent="0.25">
      <c r="B82"/>
      <c r="F82" s="39" t="s">
        <v>230</v>
      </c>
      <c r="G82" s="39" t="s">
        <v>154</v>
      </c>
      <c r="H82" s="39" t="s">
        <v>210</v>
      </c>
      <c r="I82" s="39" t="s">
        <v>106</v>
      </c>
    </row>
    <row r="83" spans="2:9" x14ac:dyDescent="0.25">
      <c r="B83"/>
      <c r="F83" s="39" t="s">
        <v>131</v>
      </c>
      <c r="G83" s="39" t="s">
        <v>129</v>
      </c>
      <c r="H83" s="39" t="s">
        <v>108</v>
      </c>
      <c r="I83" s="39" t="s">
        <v>110</v>
      </c>
    </row>
    <row r="84" spans="2:9" x14ac:dyDescent="0.25">
      <c r="B84"/>
      <c r="F84" s="39" t="s">
        <v>392</v>
      </c>
      <c r="G84" s="39" t="s">
        <v>115</v>
      </c>
      <c r="H84" s="39" t="s">
        <v>368</v>
      </c>
      <c r="I84" s="39" t="s">
        <v>106</v>
      </c>
    </row>
    <row r="85" spans="2:9" x14ac:dyDescent="0.25">
      <c r="B85"/>
      <c r="F85" s="39" t="s">
        <v>132</v>
      </c>
      <c r="G85" s="39" t="s">
        <v>129</v>
      </c>
      <c r="H85" s="39" t="s">
        <v>108</v>
      </c>
      <c r="I85" s="39" t="s">
        <v>106</v>
      </c>
    </row>
    <row r="86" spans="2:9" x14ac:dyDescent="0.25">
      <c r="B86"/>
      <c r="F86" s="39" t="s">
        <v>393</v>
      </c>
      <c r="G86" s="39" t="s">
        <v>188</v>
      </c>
      <c r="H86" s="39" t="s">
        <v>368</v>
      </c>
      <c r="I86" s="39" t="s">
        <v>106</v>
      </c>
    </row>
    <row r="87" spans="2:9" x14ac:dyDescent="0.25">
      <c r="B87"/>
      <c r="F87" s="39" t="s">
        <v>231</v>
      </c>
      <c r="G87" s="39" t="s">
        <v>232</v>
      </c>
      <c r="H87" s="39" t="s">
        <v>210</v>
      </c>
      <c r="I87" s="39" t="s">
        <v>106</v>
      </c>
    </row>
    <row r="88" spans="2:9" x14ac:dyDescent="0.25">
      <c r="B88"/>
      <c r="F88" s="39" t="s">
        <v>233</v>
      </c>
      <c r="G88" s="39" t="s">
        <v>107</v>
      </c>
      <c r="H88" s="39" t="s">
        <v>210</v>
      </c>
      <c r="I88" s="39" t="s">
        <v>106</v>
      </c>
    </row>
    <row r="89" spans="2:9" x14ac:dyDescent="0.25">
      <c r="B89"/>
      <c r="F89" s="39" t="s">
        <v>638</v>
      </c>
      <c r="G89" s="39" t="s">
        <v>621</v>
      </c>
      <c r="H89" s="39" t="s">
        <v>368</v>
      </c>
      <c r="I89" s="39" t="s">
        <v>106</v>
      </c>
    </row>
    <row r="90" spans="2:9" x14ac:dyDescent="0.25">
      <c r="B90"/>
      <c r="F90" s="39" t="s">
        <v>631</v>
      </c>
      <c r="G90" s="39" t="s">
        <v>621</v>
      </c>
      <c r="H90" s="39" t="s">
        <v>623</v>
      </c>
      <c r="I90" s="39" t="s">
        <v>106</v>
      </c>
    </row>
    <row r="91" spans="2:9" x14ac:dyDescent="0.25">
      <c r="B91"/>
      <c r="F91" s="39" t="s">
        <v>133</v>
      </c>
      <c r="G91" s="39" t="s">
        <v>129</v>
      </c>
      <c r="H91" s="39" t="s">
        <v>108</v>
      </c>
      <c r="I91" s="39" t="s">
        <v>106</v>
      </c>
    </row>
    <row r="92" spans="2:9" x14ac:dyDescent="0.25">
      <c r="B92"/>
      <c r="F92" s="39" t="s">
        <v>234</v>
      </c>
      <c r="G92" s="39" t="s">
        <v>120</v>
      </c>
      <c r="H92" s="39" t="s">
        <v>210</v>
      </c>
      <c r="I92" s="39" t="s">
        <v>106</v>
      </c>
    </row>
    <row r="93" spans="2:9" x14ac:dyDescent="0.25">
      <c r="B93"/>
      <c r="F93" s="39" t="s">
        <v>394</v>
      </c>
      <c r="G93" s="39" t="s">
        <v>127</v>
      </c>
      <c r="H93" s="39" t="s">
        <v>368</v>
      </c>
      <c r="I93" s="39" t="s">
        <v>106</v>
      </c>
    </row>
    <row r="94" spans="2:9" x14ac:dyDescent="0.25">
      <c r="B94"/>
      <c r="F94" s="39" t="s">
        <v>490</v>
      </c>
      <c r="G94" s="39" t="s">
        <v>188</v>
      </c>
      <c r="H94" s="39" t="s">
        <v>479</v>
      </c>
      <c r="I94" s="39" t="s">
        <v>106</v>
      </c>
    </row>
    <row r="95" spans="2:9" x14ac:dyDescent="0.25">
      <c r="B95"/>
      <c r="F95" s="39" t="s">
        <v>235</v>
      </c>
      <c r="G95" s="39" t="s">
        <v>107</v>
      </c>
      <c r="H95" s="39" t="s">
        <v>210</v>
      </c>
      <c r="I95" s="39" t="s">
        <v>106</v>
      </c>
    </row>
    <row r="96" spans="2:9" x14ac:dyDescent="0.25">
      <c r="B96"/>
      <c r="F96" s="39" t="s">
        <v>236</v>
      </c>
      <c r="G96" s="39" t="s">
        <v>111</v>
      </c>
      <c r="H96" s="39" t="s">
        <v>210</v>
      </c>
      <c r="I96" s="39" t="s">
        <v>106</v>
      </c>
    </row>
    <row r="97" spans="2:9" x14ac:dyDescent="0.25">
      <c r="B97"/>
      <c r="F97" s="39" t="s">
        <v>395</v>
      </c>
      <c r="G97" s="39" t="s">
        <v>115</v>
      </c>
      <c r="H97" s="39" t="s">
        <v>368</v>
      </c>
      <c r="I97" s="39" t="s">
        <v>106</v>
      </c>
    </row>
    <row r="98" spans="2:9" x14ac:dyDescent="0.25">
      <c r="B98"/>
      <c r="F98" s="39" t="s">
        <v>134</v>
      </c>
      <c r="G98" s="39" t="s">
        <v>115</v>
      </c>
      <c r="H98" s="39" t="s">
        <v>108</v>
      </c>
      <c r="I98" s="39" t="s">
        <v>106</v>
      </c>
    </row>
    <row r="99" spans="2:9" x14ac:dyDescent="0.25">
      <c r="B99"/>
      <c r="F99" s="39" t="s">
        <v>237</v>
      </c>
      <c r="G99" s="39" t="s">
        <v>115</v>
      </c>
      <c r="H99" s="39" t="s">
        <v>210</v>
      </c>
      <c r="I99" s="39" t="s">
        <v>106</v>
      </c>
    </row>
    <row r="100" spans="2:9" x14ac:dyDescent="0.25">
      <c r="B100"/>
      <c r="F100" s="39" t="s">
        <v>238</v>
      </c>
      <c r="G100" s="39" t="s">
        <v>129</v>
      </c>
      <c r="H100" s="39" t="s">
        <v>210</v>
      </c>
      <c r="I100" s="39" t="s">
        <v>110</v>
      </c>
    </row>
    <row r="101" spans="2:9" x14ac:dyDescent="0.25">
      <c r="B101"/>
      <c r="F101" s="39" t="s">
        <v>396</v>
      </c>
      <c r="G101" s="39" t="s">
        <v>127</v>
      </c>
      <c r="H101" s="39" t="s">
        <v>368</v>
      </c>
      <c r="I101" s="39" t="s">
        <v>106</v>
      </c>
    </row>
    <row r="102" spans="2:9" x14ac:dyDescent="0.25">
      <c r="B102"/>
      <c r="F102" s="39" t="s">
        <v>397</v>
      </c>
      <c r="G102" s="39" t="s">
        <v>188</v>
      </c>
      <c r="H102" s="39" t="s">
        <v>368</v>
      </c>
      <c r="I102" s="39" t="s">
        <v>106</v>
      </c>
    </row>
    <row r="103" spans="2:9" x14ac:dyDescent="0.25">
      <c r="B103"/>
      <c r="F103" s="39" t="s">
        <v>135</v>
      </c>
      <c r="G103" s="39" t="s">
        <v>120</v>
      </c>
      <c r="H103" s="39" t="s">
        <v>108</v>
      </c>
      <c r="I103" s="39" t="s">
        <v>110</v>
      </c>
    </row>
    <row r="104" spans="2:9" x14ac:dyDescent="0.25">
      <c r="B104"/>
      <c r="F104" s="39" t="s">
        <v>398</v>
      </c>
      <c r="G104" s="39" t="s">
        <v>147</v>
      </c>
      <c r="H104" s="39" t="s">
        <v>368</v>
      </c>
      <c r="I104" s="39" t="s">
        <v>106</v>
      </c>
    </row>
    <row r="105" spans="2:9" x14ac:dyDescent="0.25">
      <c r="B105"/>
      <c r="F105" s="39" t="s">
        <v>556</v>
      </c>
      <c r="G105" s="39" t="s">
        <v>188</v>
      </c>
      <c r="H105" s="39" t="s">
        <v>548</v>
      </c>
      <c r="I105" s="39" t="s">
        <v>106</v>
      </c>
    </row>
    <row r="106" spans="2:9" x14ac:dyDescent="0.25">
      <c r="B106"/>
      <c r="F106" s="39" t="s">
        <v>399</v>
      </c>
      <c r="G106" s="39" t="s">
        <v>120</v>
      </c>
      <c r="H106" s="39" t="s">
        <v>368</v>
      </c>
      <c r="I106" s="39" t="s">
        <v>106</v>
      </c>
    </row>
    <row r="107" spans="2:9" x14ac:dyDescent="0.25">
      <c r="B107"/>
      <c r="F107" s="39" t="s">
        <v>400</v>
      </c>
      <c r="G107" s="39" t="s">
        <v>383</v>
      </c>
      <c r="H107" s="39" t="s">
        <v>368</v>
      </c>
      <c r="I107" s="39" t="s">
        <v>106</v>
      </c>
    </row>
    <row r="108" spans="2:9" x14ac:dyDescent="0.25">
      <c r="B108"/>
      <c r="F108" s="39" t="s">
        <v>401</v>
      </c>
      <c r="G108" s="39" t="s">
        <v>127</v>
      </c>
      <c r="H108" s="39" t="s">
        <v>368</v>
      </c>
      <c r="I108" s="39" t="s">
        <v>106</v>
      </c>
    </row>
    <row r="109" spans="2:9" x14ac:dyDescent="0.25">
      <c r="B109"/>
      <c r="F109" s="39" t="s">
        <v>239</v>
      </c>
      <c r="G109" s="39" t="s">
        <v>127</v>
      </c>
      <c r="H109" s="39" t="s">
        <v>210</v>
      </c>
      <c r="I109" s="39" t="s">
        <v>106</v>
      </c>
    </row>
    <row r="110" spans="2:9" x14ac:dyDescent="0.25">
      <c r="B110"/>
      <c r="F110" s="39" t="s">
        <v>240</v>
      </c>
      <c r="G110" s="39" t="s">
        <v>129</v>
      </c>
      <c r="H110" s="39" t="s">
        <v>210</v>
      </c>
      <c r="I110" s="39" t="s">
        <v>106</v>
      </c>
    </row>
    <row r="111" spans="2:9" x14ac:dyDescent="0.25">
      <c r="B111"/>
      <c r="F111" s="39" t="s">
        <v>136</v>
      </c>
      <c r="G111" s="39" t="s">
        <v>115</v>
      </c>
      <c r="H111" s="39" t="s">
        <v>108</v>
      </c>
      <c r="I111" s="39" t="s">
        <v>106</v>
      </c>
    </row>
    <row r="112" spans="2:9" x14ac:dyDescent="0.25">
      <c r="B112"/>
      <c r="F112" s="39" t="s">
        <v>137</v>
      </c>
      <c r="G112" s="39" t="s">
        <v>127</v>
      </c>
      <c r="H112" s="39" t="s">
        <v>108</v>
      </c>
      <c r="I112" s="39" t="s">
        <v>106</v>
      </c>
    </row>
    <row r="113" spans="2:9" x14ac:dyDescent="0.25">
      <c r="B113"/>
      <c r="F113" s="39" t="s">
        <v>138</v>
      </c>
      <c r="G113" s="39" t="s">
        <v>139</v>
      </c>
      <c r="H113" s="39" t="s">
        <v>108</v>
      </c>
      <c r="I113" s="39" t="s">
        <v>106</v>
      </c>
    </row>
    <row r="114" spans="2:9" x14ac:dyDescent="0.25">
      <c r="B114"/>
      <c r="F114" s="39" t="s">
        <v>402</v>
      </c>
      <c r="G114" s="39" t="s">
        <v>376</v>
      </c>
      <c r="H114" s="39" t="s">
        <v>368</v>
      </c>
      <c r="I114" s="39" t="s">
        <v>106</v>
      </c>
    </row>
    <row r="115" spans="2:9" x14ac:dyDescent="0.25">
      <c r="B115"/>
      <c r="F115" s="39" t="s">
        <v>241</v>
      </c>
      <c r="G115" s="39" t="s">
        <v>127</v>
      </c>
      <c r="H115" s="39" t="s">
        <v>210</v>
      </c>
      <c r="I115" s="39" t="s">
        <v>106</v>
      </c>
    </row>
    <row r="116" spans="2:9" x14ac:dyDescent="0.25">
      <c r="B116"/>
      <c r="F116" s="39" t="s">
        <v>242</v>
      </c>
      <c r="G116" s="39" t="s">
        <v>115</v>
      </c>
      <c r="H116" s="39" t="s">
        <v>210</v>
      </c>
      <c r="I116" s="39" t="s">
        <v>106</v>
      </c>
    </row>
    <row r="117" spans="2:9" x14ac:dyDescent="0.25">
      <c r="B117"/>
      <c r="F117" s="39" t="s">
        <v>243</v>
      </c>
      <c r="G117" s="39" t="s">
        <v>120</v>
      </c>
      <c r="H117" s="39" t="s">
        <v>210</v>
      </c>
      <c r="I117" s="39" t="s">
        <v>106</v>
      </c>
    </row>
    <row r="118" spans="2:9" x14ac:dyDescent="0.25">
      <c r="B118"/>
      <c r="F118" s="39" t="s">
        <v>244</v>
      </c>
      <c r="G118" s="39" t="s">
        <v>188</v>
      </c>
      <c r="H118" s="39" t="s">
        <v>210</v>
      </c>
      <c r="I118" s="39" t="s">
        <v>106</v>
      </c>
    </row>
    <row r="119" spans="2:9" x14ac:dyDescent="0.25">
      <c r="B119"/>
      <c r="F119" s="39" t="s">
        <v>245</v>
      </c>
      <c r="G119" s="39" t="s">
        <v>127</v>
      </c>
      <c r="H119" s="39" t="s">
        <v>210</v>
      </c>
      <c r="I119" s="39" t="s">
        <v>106</v>
      </c>
    </row>
    <row r="120" spans="2:9" x14ac:dyDescent="0.25">
      <c r="B120"/>
      <c r="F120" s="39" t="s">
        <v>403</v>
      </c>
      <c r="G120" s="39" t="s">
        <v>188</v>
      </c>
      <c r="H120" s="39" t="s">
        <v>368</v>
      </c>
      <c r="I120" s="39" t="s">
        <v>106</v>
      </c>
    </row>
    <row r="121" spans="2:9" x14ac:dyDescent="0.25">
      <c r="B121"/>
      <c r="F121" s="39" t="s">
        <v>557</v>
      </c>
      <c r="G121" s="39" t="s">
        <v>149</v>
      </c>
      <c r="H121" s="39" t="s">
        <v>548</v>
      </c>
      <c r="I121" s="39" t="s">
        <v>106</v>
      </c>
    </row>
    <row r="122" spans="2:9" x14ac:dyDescent="0.25">
      <c r="B122"/>
      <c r="F122" s="39" t="s">
        <v>558</v>
      </c>
      <c r="G122" s="39" t="s">
        <v>129</v>
      </c>
      <c r="H122" s="39" t="s">
        <v>548</v>
      </c>
      <c r="I122" s="39" t="s">
        <v>110</v>
      </c>
    </row>
    <row r="123" spans="2:9" x14ac:dyDescent="0.25">
      <c r="B123"/>
      <c r="F123" s="39" t="s">
        <v>246</v>
      </c>
      <c r="G123" s="39" t="s">
        <v>154</v>
      </c>
      <c r="H123" s="39" t="s">
        <v>210</v>
      </c>
      <c r="I123" s="39" t="s">
        <v>110</v>
      </c>
    </row>
    <row r="124" spans="2:9" x14ac:dyDescent="0.25">
      <c r="B124"/>
      <c r="F124" s="39" t="s">
        <v>247</v>
      </c>
      <c r="G124" s="39" t="s">
        <v>113</v>
      </c>
      <c r="H124" s="39" t="s">
        <v>210</v>
      </c>
      <c r="I124" s="39" t="s">
        <v>110</v>
      </c>
    </row>
    <row r="125" spans="2:9" x14ac:dyDescent="0.25">
      <c r="B125"/>
      <c r="F125" s="39" t="s">
        <v>491</v>
      </c>
      <c r="G125" s="39" t="s">
        <v>188</v>
      </c>
      <c r="H125" s="39" t="s">
        <v>479</v>
      </c>
      <c r="I125" s="39" t="s">
        <v>106</v>
      </c>
    </row>
    <row r="126" spans="2:9" x14ac:dyDescent="0.25">
      <c r="B126"/>
      <c r="F126" s="39" t="s">
        <v>248</v>
      </c>
      <c r="G126" s="39" t="s">
        <v>249</v>
      </c>
      <c r="H126" s="39" t="s">
        <v>210</v>
      </c>
      <c r="I126" s="39" t="s">
        <v>106</v>
      </c>
    </row>
    <row r="127" spans="2:9" x14ac:dyDescent="0.25">
      <c r="B127"/>
      <c r="F127" s="39" t="s">
        <v>140</v>
      </c>
      <c r="G127" s="39" t="s">
        <v>122</v>
      </c>
      <c r="H127" s="39" t="s">
        <v>108</v>
      </c>
      <c r="I127" s="39" t="s">
        <v>106</v>
      </c>
    </row>
    <row r="128" spans="2:9" x14ac:dyDescent="0.25">
      <c r="B128"/>
      <c r="F128" s="39" t="s">
        <v>559</v>
      </c>
      <c r="G128" s="39" t="s">
        <v>129</v>
      </c>
      <c r="H128" s="39" t="s">
        <v>548</v>
      </c>
      <c r="I128" s="39" t="s">
        <v>106</v>
      </c>
    </row>
    <row r="129" spans="2:9" x14ac:dyDescent="0.25">
      <c r="B129"/>
      <c r="F129" s="39" t="s">
        <v>250</v>
      </c>
      <c r="G129" s="39" t="s">
        <v>127</v>
      </c>
      <c r="H129" s="39" t="s">
        <v>210</v>
      </c>
      <c r="I129" s="39" t="s">
        <v>106</v>
      </c>
    </row>
    <row r="130" spans="2:9" x14ac:dyDescent="0.25">
      <c r="B130"/>
      <c r="F130" s="39" t="s">
        <v>404</v>
      </c>
      <c r="G130" s="39" t="s">
        <v>188</v>
      </c>
      <c r="H130" s="39" t="s">
        <v>368</v>
      </c>
      <c r="I130" s="39" t="s">
        <v>106</v>
      </c>
    </row>
    <row r="131" spans="2:9" x14ac:dyDescent="0.25">
      <c r="B131"/>
      <c r="F131" s="39" t="s">
        <v>405</v>
      </c>
      <c r="G131" s="39" t="s">
        <v>383</v>
      </c>
      <c r="H131" s="39" t="s">
        <v>368</v>
      </c>
      <c r="I131" s="39" t="s">
        <v>106</v>
      </c>
    </row>
    <row r="132" spans="2:9" x14ac:dyDescent="0.25">
      <c r="B132"/>
      <c r="F132" s="39" t="s">
        <v>141</v>
      </c>
      <c r="G132" s="39" t="s">
        <v>127</v>
      </c>
      <c r="H132" s="39" t="s">
        <v>108</v>
      </c>
      <c r="I132" s="39" t="s">
        <v>106</v>
      </c>
    </row>
    <row r="133" spans="2:9" x14ac:dyDescent="0.25">
      <c r="B133"/>
      <c r="F133" s="39" t="s">
        <v>142</v>
      </c>
      <c r="G133" s="39" t="s">
        <v>122</v>
      </c>
      <c r="H133" s="39" t="s">
        <v>108</v>
      </c>
      <c r="I133" s="39" t="s">
        <v>106</v>
      </c>
    </row>
    <row r="134" spans="2:9" x14ac:dyDescent="0.25">
      <c r="B134"/>
      <c r="F134" s="39" t="s">
        <v>143</v>
      </c>
      <c r="G134" s="39" t="s">
        <v>122</v>
      </c>
      <c r="H134" s="39" t="s">
        <v>108</v>
      </c>
      <c r="I134" s="39" t="s">
        <v>106</v>
      </c>
    </row>
    <row r="135" spans="2:9" x14ac:dyDescent="0.25">
      <c r="B135"/>
      <c r="F135" s="39" t="s">
        <v>251</v>
      </c>
      <c r="G135" s="39" t="s">
        <v>118</v>
      </c>
      <c r="H135" s="39" t="s">
        <v>210</v>
      </c>
      <c r="I135" s="39" t="s">
        <v>106</v>
      </c>
    </row>
    <row r="136" spans="2:9" x14ac:dyDescent="0.25">
      <c r="B136"/>
      <c r="F136" s="39" t="s">
        <v>659</v>
      </c>
      <c r="G136" s="39" t="s">
        <v>651</v>
      </c>
      <c r="H136" s="39" t="s">
        <v>479</v>
      </c>
      <c r="I136" s="39"/>
    </row>
    <row r="137" spans="2:9" x14ac:dyDescent="0.25">
      <c r="B137"/>
      <c r="F137" s="39" t="s">
        <v>252</v>
      </c>
      <c r="G137" s="39" t="s">
        <v>129</v>
      </c>
      <c r="H137" s="39" t="s">
        <v>210</v>
      </c>
      <c r="I137" s="39" t="s">
        <v>106</v>
      </c>
    </row>
    <row r="138" spans="2:9" x14ac:dyDescent="0.25">
      <c r="B138"/>
      <c r="F138" s="39" t="s">
        <v>144</v>
      </c>
      <c r="G138" s="39" t="s">
        <v>115</v>
      </c>
      <c r="H138" s="39" t="s">
        <v>108</v>
      </c>
      <c r="I138" s="39" t="s">
        <v>106</v>
      </c>
    </row>
    <row r="139" spans="2:9" x14ac:dyDescent="0.25">
      <c r="B139"/>
      <c r="F139" s="39" t="s">
        <v>253</v>
      </c>
      <c r="G139" s="39" t="s">
        <v>149</v>
      </c>
      <c r="H139" s="39" t="s">
        <v>210</v>
      </c>
      <c r="I139" s="39" t="s">
        <v>106</v>
      </c>
    </row>
    <row r="140" spans="2:9" x14ac:dyDescent="0.25">
      <c r="B140"/>
      <c r="F140" s="39" t="s">
        <v>406</v>
      </c>
      <c r="G140" s="39" t="s">
        <v>149</v>
      </c>
      <c r="H140" s="39" t="s">
        <v>368</v>
      </c>
      <c r="I140" s="39" t="s">
        <v>106</v>
      </c>
    </row>
    <row r="141" spans="2:9" x14ac:dyDescent="0.25">
      <c r="B141"/>
      <c r="F141" s="39" t="s">
        <v>254</v>
      </c>
      <c r="G141" s="39" t="s">
        <v>127</v>
      </c>
      <c r="H141" s="39" t="s">
        <v>210</v>
      </c>
      <c r="I141" s="39" t="s">
        <v>106</v>
      </c>
    </row>
    <row r="142" spans="2:9" x14ac:dyDescent="0.25">
      <c r="B142"/>
      <c r="F142" s="39" t="s">
        <v>407</v>
      </c>
      <c r="G142" s="39" t="s">
        <v>115</v>
      </c>
      <c r="H142" s="39" t="s">
        <v>368</v>
      </c>
      <c r="I142" s="39" t="s">
        <v>106</v>
      </c>
    </row>
    <row r="143" spans="2:9" x14ac:dyDescent="0.25">
      <c r="B143"/>
      <c r="F143" s="39" t="s">
        <v>255</v>
      </c>
      <c r="G143" s="39" t="s">
        <v>107</v>
      </c>
      <c r="H143" s="39" t="s">
        <v>210</v>
      </c>
      <c r="I143" s="39" t="s">
        <v>106</v>
      </c>
    </row>
    <row r="144" spans="2:9" x14ac:dyDescent="0.25">
      <c r="B144"/>
      <c r="F144" s="39" t="s">
        <v>145</v>
      </c>
      <c r="G144" s="39" t="s">
        <v>120</v>
      </c>
      <c r="H144" s="39" t="s">
        <v>108</v>
      </c>
      <c r="I144" s="39" t="s">
        <v>106</v>
      </c>
    </row>
    <row r="145" spans="2:9" x14ac:dyDescent="0.25">
      <c r="B145"/>
      <c r="F145" s="39" t="s">
        <v>146</v>
      </c>
      <c r="G145" s="39" t="s">
        <v>147</v>
      </c>
      <c r="H145" s="39" t="s">
        <v>108</v>
      </c>
      <c r="I145" s="39" t="s">
        <v>106</v>
      </c>
    </row>
    <row r="146" spans="2:9" x14ac:dyDescent="0.25">
      <c r="B146"/>
      <c r="F146" s="39" t="s">
        <v>560</v>
      </c>
      <c r="G146" s="39" t="s">
        <v>111</v>
      </c>
      <c r="H146" s="39" t="s">
        <v>548</v>
      </c>
      <c r="I146" s="39" t="s">
        <v>106</v>
      </c>
    </row>
    <row r="147" spans="2:9" x14ac:dyDescent="0.25">
      <c r="B147"/>
      <c r="F147" s="39" t="s">
        <v>256</v>
      </c>
      <c r="G147" s="39" t="s">
        <v>181</v>
      </c>
      <c r="H147" s="39" t="s">
        <v>210</v>
      </c>
      <c r="I147" s="39" t="s">
        <v>106</v>
      </c>
    </row>
    <row r="148" spans="2:9" x14ac:dyDescent="0.25">
      <c r="B148"/>
      <c r="F148" s="39" t="s">
        <v>492</v>
      </c>
      <c r="G148" s="39" t="s">
        <v>115</v>
      </c>
      <c r="H148" s="39" t="s">
        <v>479</v>
      </c>
      <c r="I148" s="39" t="s">
        <v>106</v>
      </c>
    </row>
    <row r="149" spans="2:9" x14ac:dyDescent="0.25">
      <c r="B149"/>
      <c r="F149" s="39" t="s">
        <v>257</v>
      </c>
      <c r="G149" s="39" t="s">
        <v>115</v>
      </c>
      <c r="H149" s="39" t="s">
        <v>210</v>
      </c>
      <c r="I149" s="39" t="s">
        <v>106</v>
      </c>
    </row>
    <row r="150" spans="2:9" x14ac:dyDescent="0.25">
      <c r="B150"/>
      <c r="F150" s="39" t="s">
        <v>408</v>
      </c>
      <c r="G150" s="39" t="s">
        <v>376</v>
      </c>
      <c r="H150" s="39" t="s">
        <v>368</v>
      </c>
      <c r="I150" s="39" t="s">
        <v>106</v>
      </c>
    </row>
    <row r="151" spans="2:9" x14ac:dyDescent="0.25">
      <c r="B151"/>
      <c r="F151" s="39" t="s">
        <v>258</v>
      </c>
      <c r="G151" s="39" t="s">
        <v>127</v>
      </c>
      <c r="H151" s="39" t="s">
        <v>210</v>
      </c>
      <c r="I151" s="39" t="s">
        <v>106</v>
      </c>
    </row>
    <row r="152" spans="2:9" x14ac:dyDescent="0.25">
      <c r="B152"/>
      <c r="F152" s="39" t="s">
        <v>561</v>
      </c>
      <c r="G152" s="39" t="s">
        <v>149</v>
      </c>
      <c r="H152" s="39" t="s">
        <v>548</v>
      </c>
      <c r="I152" s="39" t="s">
        <v>106</v>
      </c>
    </row>
    <row r="153" spans="2:9" x14ac:dyDescent="0.25">
      <c r="B153"/>
      <c r="F153" s="39" t="s">
        <v>493</v>
      </c>
      <c r="G153" s="39" t="s">
        <v>118</v>
      </c>
      <c r="H153" s="39" t="s">
        <v>479</v>
      </c>
      <c r="I153" s="39" t="s">
        <v>106</v>
      </c>
    </row>
    <row r="154" spans="2:9" x14ac:dyDescent="0.25">
      <c r="B154"/>
      <c r="F154" s="39" t="s">
        <v>494</v>
      </c>
      <c r="G154" s="39" t="s">
        <v>147</v>
      </c>
      <c r="H154" s="39" t="s">
        <v>479</v>
      </c>
      <c r="I154" s="39" t="s">
        <v>106</v>
      </c>
    </row>
    <row r="155" spans="2:9" x14ac:dyDescent="0.25">
      <c r="B155"/>
      <c r="F155" s="39" t="s">
        <v>619</v>
      </c>
      <c r="G155" s="39" t="s">
        <v>181</v>
      </c>
      <c r="H155" s="39"/>
      <c r="I155" s="39"/>
    </row>
    <row r="156" spans="2:9" x14ac:dyDescent="0.25">
      <c r="B156"/>
      <c r="F156" s="39" t="s">
        <v>409</v>
      </c>
      <c r="G156" s="39" t="s">
        <v>391</v>
      </c>
      <c r="H156" s="39" t="s">
        <v>368</v>
      </c>
      <c r="I156" s="39" t="s">
        <v>106</v>
      </c>
    </row>
    <row r="157" spans="2:9" x14ac:dyDescent="0.25">
      <c r="B157"/>
      <c r="F157" s="39" t="s">
        <v>495</v>
      </c>
      <c r="G157" s="39" t="s">
        <v>107</v>
      </c>
      <c r="H157" s="39" t="s">
        <v>479</v>
      </c>
      <c r="I157" s="39" t="s">
        <v>106</v>
      </c>
    </row>
    <row r="158" spans="2:9" x14ac:dyDescent="0.25">
      <c r="B158"/>
      <c r="F158" s="39" t="s">
        <v>410</v>
      </c>
      <c r="G158" s="39" t="s">
        <v>129</v>
      </c>
      <c r="H158" s="39" t="s">
        <v>368</v>
      </c>
      <c r="I158" s="39" t="s">
        <v>106</v>
      </c>
    </row>
    <row r="159" spans="2:9" x14ac:dyDescent="0.25">
      <c r="B159"/>
      <c r="F159" s="39" t="s">
        <v>411</v>
      </c>
      <c r="G159" s="39" t="s">
        <v>115</v>
      </c>
      <c r="H159" s="39" t="s">
        <v>368</v>
      </c>
      <c r="I159" s="39" t="s">
        <v>106</v>
      </c>
    </row>
    <row r="160" spans="2:9" x14ac:dyDescent="0.25">
      <c r="B160"/>
      <c r="F160" s="39" t="s">
        <v>259</v>
      </c>
      <c r="G160" s="39" t="s">
        <v>127</v>
      </c>
      <c r="H160" s="39" t="s">
        <v>210</v>
      </c>
      <c r="I160" s="39" t="s">
        <v>106</v>
      </c>
    </row>
    <row r="161" spans="2:9" x14ac:dyDescent="0.25">
      <c r="B161"/>
      <c r="F161" s="39" t="s">
        <v>412</v>
      </c>
      <c r="G161" s="39" t="s">
        <v>149</v>
      </c>
      <c r="H161" s="39" t="s">
        <v>368</v>
      </c>
      <c r="I161" s="39" t="s">
        <v>106</v>
      </c>
    </row>
    <row r="162" spans="2:9" x14ac:dyDescent="0.25">
      <c r="B162"/>
      <c r="F162" s="39" t="s">
        <v>496</v>
      </c>
      <c r="G162" s="39" t="s">
        <v>115</v>
      </c>
      <c r="H162" s="39" t="s">
        <v>479</v>
      </c>
      <c r="I162" s="39" t="s">
        <v>110</v>
      </c>
    </row>
    <row r="163" spans="2:9" x14ac:dyDescent="0.25">
      <c r="B163"/>
      <c r="F163" s="39" t="s">
        <v>148</v>
      </c>
      <c r="G163" s="39" t="s">
        <v>149</v>
      </c>
      <c r="H163" s="39" t="s">
        <v>108</v>
      </c>
      <c r="I163" s="39" t="s">
        <v>110</v>
      </c>
    </row>
    <row r="164" spans="2:9" x14ac:dyDescent="0.25">
      <c r="B164"/>
      <c r="F164" s="39" t="s">
        <v>260</v>
      </c>
      <c r="G164" s="39" t="s">
        <v>118</v>
      </c>
      <c r="H164" s="39" t="s">
        <v>210</v>
      </c>
      <c r="I164" s="39" t="s">
        <v>106</v>
      </c>
    </row>
    <row r="165" spans="2:9" x14ac:dyDescent="0.25">
      <c r="B165"/>
      <c r="F165" s="39" t="s">
        <v>261</v>
      </c>
      <c r="G165" s="39" t="s">
        <v>129</v>
      </c>
      <c r="H165" s="39" t="s">
        <v>210</v>
      </c>
      <c r="I165" s="39" t="s">
        <v>106</v>
      </c>
    </row>
    <row r="166" spans="2:9" x14ac:dyDescent="0.25">
      <c r="B166"/>
      <c r="F166" s="39" t="s">
        <v>262</v>
      </c>
      <c r="G166" s="39" t="s">
        <v>120</v>
      </c>
      <c r="H166" s="39" t="s">
        <v>210</v>
      </c>
      <c r="I166" s="39" t="s">
        <v>106</v>
      </c>
    </row>
    <row r="167" spans="2:9" x14ac:dyDescent="0.25">
      <c r="B167"/>
      <c r="F167" s="39" t="s">
        <v>263</v>
      </c>
      <c r="G167" s="39" t="s">
        <v>149</v>
      </c>
      <c r="H167" s="39" t="s">
        <v>210</v>
      </c>
      <c r="I167" s="39" t="s">
        <v>106</v>
      </c>
    </row>
    <row r="168" spans="2:9" x14ac:dyDescent="0.25">
      <c r="B168"/>
      <c r="F168" s="39" t="s">
        <v>622</v>
      </c>
      <c r="G168" s="39" t="s">
        <v>621</v>
      </c>
      <c r="H168" s="39" t="s">
        <v>623</v>
      </c>
      <c r="I168" s="39" t="s">
        <v>110</v>
      </c>
    </row>
    <row r="169" spans="2:9" x14ac:dyDescent="0.25">
      <c r="B169"/>
      <c r="F169" s="39" t="s">
        <v>264</v>
      </c>
      <c r="G169" s="39" t="s">
        <v>115</v>
      </c>
      <c r="H169" s="39" t="s">
        <v>210</v>
      </c>
      <c r="I169" s="39" t="s">
        <v>106</v>
      </c>
    </row>
    <row r="170" spans="2:9" x14ac:dyDescent="0.25">
      <c r="B170"/>
      <c r="F170" s="39" t="s">
        <v>413</v>
      </c>
      <c r="G170" s="39" t="s">
        <v>111</v>
      </c>
      <c r="H170" s="39" t="s">
        <v>368</v>
      </c>
      <c r="I170" s="39" t="s">
        <v>110</v>
      </c>
    </row>
    <row r="171" spans="2:9" x14ac:dyDescent="0.25">
      <c r="B171"/>
      <c r="F171" s="39" t="s">
        <v>649</v>
      </c>
      <c r="G171" s="39" t="s">
        <v>122</v>
      </c>
      <c r="H171" s="39" t="s">
        <v>368</v>
      </c>
      <c r="I171" s="39"/>
    </row>
    <row r="172" spans="2:9" x14ac:dyDescent="0.25">
      <c r="B172"/>
      <c r="F172" s="39" t="s">
        <v>634</v>
      </c>
      <c r="G172" s="39" t="s">
        <v>621</v>
      </c>
      <c r="H172" s="39" t="s">
        <v>368</v>
      </c>
      <c r="I172" s="39" t="s">
        <v>106</v>
      </c>
    </row>
    <row r="173" spans="2:9" x14ac:dyDescent="0.25">
      <c r="B173"/>
      <c r="F173" s="39" t="s">
        <v>497</v>
      </c>
      <c r="G173" s="39" t="s">
        <v>124</v>
      </c>
      <c r="H173" s="39" t="s">
        <v>479</v>
      </c>
      <c r="I173" s="39" t="s">
        <v>106</v>
      </c>
    </row>
    <row r="174" spans="2:9" x14ac:dyDescent="0.25">
      <c r="B174"/>
      <c r="F174" s="39" t="s">
        <v>694</v>
      </c>
      <c r="G174" s="39" t="s">
        <v>156</v>
      </c>
      <c r="H174" s="39" t="s">
        <v>210</v>
      </c>
      <c r="I174" s="39" t="s">
        <v>106</v>
      </c>
    </row>
    <row r="175" spans="2:9" x14ac:dyDescent="0.25">
      <c r="B175"/>
      <c r="F175" s="39" t="s">
        <v>266</v>
      </c>
      <c r="G175" s="39" t="s">
        <v>188</v>
      </c>
      <c r="H175" s="39" t="s">
        <v>210</v>
      </c>
      <c r="I175" s="39" t="s">
        <v>106</v>
      </c>
    </row>
    <row r="176" spans="2:9" x14ac:dyDescent="0.25">
      <c r="B176"/>
      <c r="F176" s="39" t="s">
        <v>414</v>
      </c>
      <c r="G176" s="39" t="s">
        <v>149</v>
      </c>
      <c r="H176" s="39" t="s">
        <v>368</v>
      </c>
      <c r="I176" s="39" t="s">
        <v>106</v>
      </c>
    </row>
    <row r="177" spans="2:9" x14ac:dyDescent="0.25">
      <c r="B177"/>
      <c r="F177" s="39" t="s">
        <v>150</v>
      </c>
      <c r="G177" s="39" t="s">
        <v>120</v>
      </c>
      <c r="H177" s="39" t="s">
        <v>108</v>
      </c>
      <c r="I177" s="39" t="s">
        <v>106</v>
      </c>
    </row>
    <row r="178" spans="2:9" x14ac:dyDescent="0.25">
      <c r="B178"/>
      <c r="F178" s="39" t="s">
        <v>267</v>
      </c>
      <c r="G178" s="39" t="s">
        <v>118</v>
      </c>
      <c r="H178" s="39" t="s">
        <v>210</v>
      </c>
      <c r="I178" s="39" t="s">
        <v>106</v>
      </c>
    </row>
    <row r="179" spans="2:9" x14ac:dyDescent="0.25">
      <c r="B179"/>
      <c r="F179" s="39" t="s">
        <v>268</v>
      </c>
      <c r="G179" s="39" t="s">
        <v>122</v>
      </c>
      <c r="H179" s="39" t="s">
        <v>210</v>
      </c>
      <c r="I179" s="39" t="s">
        <v>106</v>
      </c>
    </row>
    <row r="180" spans="2:9" x14ac:dyDescent="0.25">
      <c r="B180"/>
      <c r="F180" s="39" t="s">
        <v>626</v>
      </c>
      <c r="G180" s="39" t="s">
        <v>621</v>
      </c>
      <c r="H180" s="39" t="s">
        <v>623</v>
      </c>
      <c r="I180" s="39" t="s">
        <v>106</v>
      </c>
    </row>
    <row r="181" spans="2:9" x14ac:dyDescent="0.25">
      <c r="B181"/>
      <c r="F181" s="39" t="s">
        <v>562</v>
      </c>
      <c r="G181" s="39" t="s">
        <v>149</v>
      </c>
      <c r="H181" s="39" t="s">
        <v>548</v>
      </c>
      <c r="I181" s="39" t="s">
        <v>106</v>
      </c>
    </row>
    <row r="182" spans="2:9" x14ac:dyDescent="0.25">
      <c r="B182"/>
      <c r="F182" s="39" t="s">
        <v>498</v>
      </c>
      <c r="G182" s="39" t="s">
        <v>111</v>
      </c>
      <c r="H182" s="39" t="s">
        <v>479</v>
      </c>
      <c r="I182" s="39" t="s">
        <v>106</v>
      </c>
    </row>
    <row r="183" spans="2:9" x14ac:dyDescent="0.25">
      <c r="B183"/>
      <c r="F183" s="39" t="s">
        <v>415</v>
      </c>
      <c r="G183" s="39" t="s">
        <v>188</v>
      </c>
      <c r="H183" s="39" t="s">
        <v>368</v>
      </c>
      <c r="I183" s="39" t="s">
        <v>106</v>
      </c>
    </row>
    <row r="184" spans="2:9" x14ac:dyDescent="0.25">
      <c r="B184"/>
      <c r="F184" s="39" t="s">
        <v>602</v>
      </c>
      <c r="G184" s="39" t="s">
        <v>124</v>
      </c>
      <c r="H184" s="39" t="s">
        <v>479</v>
      </c>
      <c r="I184" s="39" t="s">
        <v>106</v>
      </c>
    </row>
    <row r="185" spans="2:9" x14ac:dyDescent="0.25">
      <c r="B185"/>
      <c r="F185" s="39" t="s">
        <v>151</v>
      </c>
      <c r="G185" s="39" t="s">
        <v>115</v>
      </c>
      <c r="H185" s="39" t="s">
        <v>108</v>
      </c>
      <c r="I185" s="39" t="s">
        <v>106</v>
      </c>
    </row>
    <row r="186" spans="2:9" x14ac:dyDescent="0.25">
      <c r="B186"/>
      <c r="F186" s="39" t="s">
        <v>658</v>
      </c>
      <c r="G186" s="39" t="s">
        <v>651</v>
      </c>
      <c r="H186" s="39" t="s">
        <v>368</v>
      </c>
      <c r="I186" s="39"/>
    </row>
    <row r="187" spans="2:9" x14ac:dyDescent="0.25">
      <c r="B187"/>
      <c r="F187" s="39" t="s">
        <v>269</v>
      </c>
      <c r="G187" s="39" t="s">
        <v>115</v>
      </c>
      <c r="H187" s="39" t="s">
        <v>210</v>
      </c>
      <c r="I187" s="39" t="s">
        <v>106</v>
      </c>
    </row>
    <row r="188" spans="2:9" x14ac:dyDescent="0.25">
      <c r="B188"/>
      <c r="F188" s="39" t="s">
        <v>656</v>
      </c>
      <c r="G188" s="39" t="s">
        <v>651</v>
      </c>
      <c r="H188" s="39" t="s">
        <v>368</v>
      </c>
      <c r="I188" s="39"/>
    </row>
    <row r="189" spans="2:9" x14ac:dyDescent="0.25">
      <c r="B189"/>
      <c r="F189" s="39" t="s">
        <v>563</v>
      </c>
      <c r="G189" s="39" t="s">
        <v>149</v>
      </c>
      <c r="H189" s="39" t="s">
        <v>548</v>
      </c>
      <c r="I189" s="39" t="s">
        <v>106</v>
      </c>
    </row>
    <row r="190" spans="2:9" x14ac:dyDescent="0.25">
      <c r="B190"/>
      <c r="F190" s="39" t="s">
        <v>564</v>
      </c>
      <c r="G190" s="39" t="s">
        <v>111</v>
      </c>
      <c r="H190" s="39" t="s">
        <v>548</v>
      </c>
      <c r="I190" s="39" t="s">
        <v>106</v>
      </c>
    </row>
    <row r="191" spans="2:9" x14ac:dyDescent="0.25">
      <c r="B191"/>
      <c r="F191" s="39" t="s">
        <v>499</v>
      </c>
      <c r="G191" s="39" t="s">
        <v>149</v>
      </c>
      <c r="H191" s="39" t="s">
        <v>479</v>
      </c>
      <c r="I191" s="39" t="s">
        <v>106</v>
      </c>
    </row>
    <row r="192" spans="2:9" x14ac:dyDescent="0.25">
      <c r="B192"/>
      <c r="F192" s="39" t="s">
        <v>416</v>
      </c>
      <c r="G192" s="39" t="s">
        <v>391</v>
      </c>
      <c r="H192" s="39" t="s">
        <v>368</v>
      </c>
      <c r="I192" s="39" t="s">
        <v>106</v>
      </c>
    </row>
    <row r="193" spans="2:9" x14ac:dyDescent="0.25">
      <c r="B193"/>
      <c r="F193" s="39" t="s">
        <v>500</v>
      </c>
      <c r="G193" s="39" t="s">
        <v>129</v>
      </c>
      <c r="H193" s="39" t="s">
        <v>479</v>
      </c>
      <c r="I193" s="39" t="s">
        <v>106</v>
      </c>
    </row>
    <row r="194" spans="2:9" x14ac:dyDescent="0.25">
      <c r="B194"/>
      <c r="F194" s="39" t="s">
        <v>270</v>
      </c>
      <c r="G194" s="39" t="s">
        <v>120</v>
      </c>
      <c r="H194" s="39" t="s">
        <v>210</v>
      </c>
      <c r="I194" s="39" t="s">
        <v>106</v>
      </c>
    </row>
    <row r="195" spans="2:9" x14ac:dyDescent="0.25">
      <c r="B195"/>
      <c r="F195" s="39" t="s">
        <v>152</v>
      </c>
      <c r="G195" s="39" t="s">
        <v>122</v>
      </c>
      <c r="H195" s="39" t="s">
        <v>108</v>
      </c>
      <c r="I195" s="39" t="s">
        <v>106</v>
      </c>
    </row>
    <row r="196" spans="2:9" x14ac:dyDescent="0.25">
      <c r="B196"/>
      <c r="F196" s="39" t="s">
        <v>417</v>
      </c>
      <c r="G196" s="39" t="s">
        <v>120</v>
      </c>
      <c r="H196" s="39" t="s">
        <v>368</v>
      </c>
      <c r="I196" s="39" t="s">
        <v>106</v>
      </c>
    </row>
    <row r="197" spans="2:9" x14ac:dyDescent="0.25">
      <c r="B197"/>
      <c r="F197" s="39" t="s">
        <v>418</v>
      </c>
      <c r="G197" s="39" t="s">
        <v>115</v>
      </c>
      <c r="H197" s="39" t="s">
        <v>368</v>
      </c>
      <c r="I197" s="39" t="s">
        <v>106</v>
      </c>
    </row>
    <row r="198" spans="2:9" x14ac:dyDescent="0.25">
      <c r="B198"/>
      <c r="F198" s="39" t="s">
        <v>629</v>
      </c>
      <c r="G198" s="39" t="s">
        <v>621</v>
      </c>
      <c r="H198" s="39" t="s">
        <v>623</v>
      </c>
      <c r="I198" s="39" t="s">
        <v>106</v>
      </c>
    </row>
    <row r="199" spans="2:9" x14ac:dyDescent="0.25">
      <c r="B199"/>
      <c r="F199" s="39" t="s">
        <v>271</v>
      </c>
      <c r="G199" s="39" t="s">
        <v>120</v>
      </c>
      <c r="H199" s="39" t="s">
        <v>210</v>
      </c>
      <c r="I199" s="39" t="s">
        <v>106</v>
      </c>
    </row>
    <row r="200" spans="2:9" x14ac:dyDescent="0.25">
      <c r="B200"/>
      <c r="F200" s="39" t="s">
        <v>153</v>
      </c>
      <c r="G200" s="39" t="s">
        <v>154</v>
      </c>
      <c r="H200" s="39" t="s">
        <v>108</v>
      </c>
      <c r="I200" s="39" t="s">
        <v>106</v>
      </c>
    </row>
    <row r="201" spans="2:9" x14ac:dyDescent="0.25">
      <c r="B201"/>
      <c r="F201" s="39" t="s">
        <v>272</v>
      </c>
      <c r="G201" s="39" t="s">
        <v>120</v>
      </c>
      <c r="H201" s="39" t="s">
        <v>210</v>
      </c>
      <c r="I201" s="39" t="s">
        <v>106</v>
      </c>
    </row>
    <row r="202" spans="2:9" x14ac:dyDescent="0.25">
      <c r="B202"/>
      <c r="F202" s="39" t="s">
        <v>273</v>
      </c>
      <c r="G202" s="39" t="s">
        <v>149</v>
      </c>
      <c r="H202" s="39" t="s">
        <v>210</v>
      </c>
      <c r="I202" s="39" t="s">
        <v>106</v>
      </c>
    </row>
    <row r="203" spans="2:9" x14ac:dyDescent="0.25">
      <c r="B203"/>
      <c r="F203" s="39" t="s">
        <v>274</v>
      </c>
      <c r="G203" s="39" t="s">
        <v>275</v>
      </c>
      <c r="H203" s="39" t="s">
        <v>210</v>
      </c>
      <c r="I203" s="39" t="s">
        <v>110</v>
      </c>
    </row>
    <row r="204" spans="2:9" x14ac:dyDescent="0.25">
      <c r="B204"/>
      <c r="F204" s="39" t="s">
        <v>276</v>
      </c>
      <c r="G204" s="39" t="s">
        <v>222</v>
      </c>
      <c r="H204" s="39" t="s">
        <v>210</v>
      </c>
      <c r="I204" s="39" t="s">
        <v>110</v>
      </c>
    </row>
    <row r="205" spans="2:9" x14ac:dyDescent="0.25">
      <c r="B205"/>
      <c r="F205" s="39" t="s">
        <v>565</v>
      </c>
      <c r="G205" s="39" t="s">
        <v>111</v>
      </c>
      <c r="H205" s="39" t="s">
        <v>548</v>
      </c>
      <c r="I205" s="39" t="s">
        <v>110</v>
      </c>
    </row>
    <row r="206" spans="2:9" x14ac:dyDescent="0.25">
      <c r="B206"/>
      <c r="F206" s="39" t="s">
        <v>155</v>
      </c>
      <c r="G206" s="39" t="s">
        <v>156</v>
      </c>
      <c r="H206" s="39" t="s">
        <v>108</v>
      </c>
      <c r="I206" s="39" t="s">
        <v>110</v>
      </c>
    </row>
    <row r="207" spans="2:9" x14ac:dyDescent="0.25">
      <c r="B207"/>
      <c r="F207" s="39" t="s">
        <v>277</v>
      </c>
      <c r="G207" s="39" t="s">
        <v>111</v>
      </c>
      <c r="H207" s="39" t="s">
        <v>210</v>
      </c>
      <c r="I207" s="39" t="s">
        <v>110</v>
      </c>
    </row>
    <row r="208" spans="2:9" x14ac:dyDescent="0.25">
      <c r="B208"/>
      <c r="F208" s="39" t="s">
        <v>566</v>
      </c>
      <c r="G208" s="39" t="s">
        <v>383</v>
      </c>
      <c r="H208" s="39" t="s">
        <v>548</v>
      </c>
      <c r="I208" s="39" t="s">
        <v>106</v>
      </c>
    </row>
    <row r="209" spans="2:9" x14ac:dyDescent="0.25">
      <c r="B209"/>
      <c r="F209" s="39" t="s">
        <v>419</v>
      </c>
      <c r="G209" s="39" t="s">
        <v>188</v>
      </c>
      <c r="H209" s="39" t="s">
        <v>368</v>
      </c>
      <c r="I209" s="39" t="s">
        <v>106</v>
      </c>
    </row>
    <row r="210" spans="2:9" x14ac:dyDescent="0.25">
      <c r="B210"/>
      <c r="F210" s="39" t="s">
        <v>157</v>
      </c>
      <c r="G210" s="39" t="s">
        <v>120</v>
      </c>
      <c r="H210" s="39" t="s">
        <v>108</v>
      </c>
      <c r="I210" s="39" t="s">
        <v>106</v>
      </c>
    </row>
    <row r="211" spans="2:9" x14ac:dyDescent="0.25">
      <c r="B211"/>
      <c r="F211" s="39" t="s">
        <v>158</v>
      </c>
      <c r="G211" s="39" t="s">
        <v>122</v>
      </c>
      <c r="H211" s="39" t="s">
        <v>108</v>
      </c>
      <c r="I211" s="39" t="s">
        <v>106</v>
      </c>
    </row>
    <row r="212" spans="2:9" x14ac:dyDescent="0.25">
      <c r="B212"/>
      <c r="F212" s="39" t="s">
        <v>501</v>
      </c>
      <c r="G212" s="39" t="s">
        <v>275</v>
      </c>
      <c r="H212" s="39" t="s">
        <v>479</v>
      </c>
      <c r="I212" s="39" t="s">
        <v>106</v>
      </c>
    </row>
    <row r="213" spans="2:9" x14ac:dyDescent="0.25">
      <c r="B213"/>
      <c r="F213" s="39" t="s">
        <v>278</v>
      </c>
      <c r="G213" s="39" t="s">
        <v>118</v>
      </c>
      <c r="H213" s="39" t="s">
        <v>210</v>
      </c>
      <c r="I213" s="39" t="s">
        <v>106</v>
      </c>
    </row>
    <row r="214" spans="2:9" x14ac:dyDescent="0.25">
      <c r="B214"/>
      <c r="F214" s="39" t="s">
        <v>420</v>
      </c>
      <c r="G214" s="39" t="s">
        <v>120</v>
      </c>
      <c r="H214" s="39" t="s">
        <v>368</v>
      </c>
      <c r="I214" s="39" t="s">
        <v>106</v>
      </c>
    </row>
    <row r="215" spans="2:9" x14ac:dyDescent="0.25">
      <c r="B215"/>
      <c r="F215" s="39" t="s">
        <v>279</v>
      </c>
      <c r="G215" s="39" t="s">
        <v>124</v>
      </c>
      <c r="H215" s="39" t="s">
        <v>210</v>
      </c>
      <c r="I215" s="39" t="s">
        <v>106</v>
      </c>
    </row>
    <row r="216" spans="2:9" x14ac:dyDescent="0.25">
      <c r="B216"/>
      <c r="F216" s="39" t="s">
        <v>280</v>
      </c>
      <c r="G216" s="39" t="s">
        <v>149</v>
      </c>
      <c r="H216" s="39" t="s">
        <v>210</v>
      </c>
      <c r="I216" s="39" t="s">
        <v>106</v>
      </c>
    </row>
    <row r="217" spans="2:9" x14ac:dyDescent="0.25">
      <c r="B217"/>
      <c r="F217" s="39" t="s">
        <v>567</v>
      </c>
      <c r="G217" s="39" t="s">
        <v>111</v>
      </c>
      <c r="H217" s="39" t="s">
        <v>548</v>
      </c>
      <c r="I217" s="39" t="s">
        <v>110</v>
      </c>
    </row>
    <row r="218" spans="2:9" x14ac:dyDescent="0.25">
      <c r="B218"/>
      <c r="F218" s="39" t="s">
        <v>281</v>
      </c>
      <c r="G218" s="39" t="s">
        <v>107</v>
      </c>
      <c r="H218" s="39" t="s">
        <v>210</v>
      </c>
      <c r="I218" s="39" t="s">
        <v>106</v>
      </c>
    </row>
    <row r="219" spans="2:9" x14ac:dyDescent="0.25">
      <c r="B219"/>
      <c r="F219" s="39" t="s">
        <v>159</v>
      </c>
      <c r="G219" s="39" t="s">
        <v>115</v>
      </c>
      <c r="H219" s="39" t="s">
        <v>108</v>
      </c>
      <c r="I219" s="39" t="s">
        <v>106</v>
      </c>
    </row>
    <row r="220" spans="2:9" x14ac:dyDescent="0.25">
      <c r="B220"/>
      <c r="F220" s="39" t="s">
        <v>502</v>
      </c>
      <c r="G220" s="39" t="s">
        <v>115</v>
      </c>
      <c r="H220" s="39" t="s">
        <v>479</v>
      </c>
      <c r="I220" s="39" t="s">
        <v>106</v>
      </c>
    </row>
    <row r="221" spans="2:9" x14ac:dyDescent="0.25">
      <c r="B221"/>
      <c r="F221" s="39" t="s">
        <v>568</v>
      </c>
      <c r="G221" s="39" t="s">
        <v>111</v>
      </c>
      <c r="H221" s="39" t="s">
        <v>548</v>
      </c>
      <c r="I221" s="39" t="s">
        <v>106</v>
      </c>
    </row>
    <row r="222" spans="2:9" x14ac:dyDescent="0.25">
      <c r="B222"/>
      <c r="F222" s="39" t="s">
        <v>421</v>
      </c>
      <c r="G222" s="39" t="s">
        <v>127</v>
      </c>
      <c r="H222" s="39" t="s">
        <v>368</v>
      </c>
      <c r="I222" s="39" t="s">
        <v>106</v>
      </c>
    </row>
    <row r="223" spans="2:9" x14ac:dyDescent="0.25">
      <c r="B223"/>
      <c r="F223" s="39" t="s">
        <v>422</v>
      </c>
      <c r="G223" s="39" t="s">
        <v>129</v>
      </c>
      <c r="H223" s="39" t="s">
        <v>368</v>
      </c>
      <c r="I223" s="39" t="s">
        <v>106</v>
      </c>
    </row>
    <row r="224" spans="2:9" x14ac:dyDescent="0.25">
      <c r="B224"/>
      <c r="F224" s="39" t="s">
        <v>160</v>
      </c>
      <c r="G224" s="39" t="s">
        <v>127</v>
      </c>
      <c r="H224" s="39" t="s">
        <v>108</v>
      </c>
      <c r="I224" s="39" t="s">
        <v>106</v>
      </c>
    </row>
    <row r="225" spans="2:9" x14ac:dyDescent="0.25">
      <c r="B225"/>
      <c r="F225" s="39" t="s">
        <v>423</v>
      </c>
      <c r="G225" s="39" t="s">
        <v>188</v>
      </c>
      <c r="H225" s="39" t="s">
        <v>368</v>
      </c>
      <c r="I225" s="39" t="s">
        <v>106</v>
      </c>
    </row>
    <row r="226" spans="2:9" x14ac:dyDescent="0.25">
      <c r="B226"/>
      <c r="F226" s="39" t="s">
        <v>424</v>
      </c>
      <c r="G226" s="39" t="s">
        <v>124</v>
      </c>
      <c r="H226" s="39" t="s">
        <v>368</v>
      </c>
      <c r="I226" s="39" t="s">
        <v>106</v>
      </c>
    </row>
    <row r="227" spans="2:9" x14ac:dyDescent="0.25">
      <c r="B227"/>
      <c r="F227" s="39" t="s">
        <v>282</v>
      </c>
      <c r="G227" s="39" t="s">
        <v>188</v>
      </c>
      <c r="H227" s="39" t="s">
        <v>210</v>
      </c>
      <c r="I227" s="39" t="s">
        <v>106</v>
      </c>
    </row>
    <row r="228" spans="2:9" x14ac:dyDescent="0.25">
      <c r="B228"/>
      <c r="F228" s="39" t="s">
        <v>645</v>
      </c>
      <c r="G228" s="39" t="s">
        <v>621</v>
      </c>
      <c r="H228" s="39" t="s">
        <v>368</v>
      </c>
      <c r="I228" s="39" t="s">
        <v>106</v>
      </c>
    </row>
    <row r="229" spans="2:9" x14ac:dyDescent="0.25">
      <c r="B229"/>
      <c r="F229" s="39" t="s">
        <v>425</v>
      </c>
      <c r="G229" s="39" t="s">
        <v>391</v>
      </c>
      <c r="H229" s="39" t="s">
        <v>368</v>
      </c>
      <c r="I229" s="39" t="s">
        <v>106</v>
      </c>
    </row>
    <row r="230" spans="2:9" x14ac:dyDescent="0.25">
      <c r="B230"/>
      <c r="F230" s="39" t="s">
        <v>426</v>
      </c>
      <c r="G230" s="39" t="s">
        <v>376</v>
      </c>
      <c r="H230" s="39" t="s">
        <v>368</v>
      </c>
      <c r="I230" s="39" t="s">
        <v>106</v>
      </c>
    </row>
    <row r="231" spans="2:9" x14ac:dyDescent="0.25">
      <c r="B231"/>
      <c r="F231" s="39" t="s">
        <v>427</v>
      </c>
      <c r="G231" s="39" t="s">
        <v>376</v>
      </c>
      <c r="H231" s="39" t="s">
        <v>368</v>
      </c>
      <c r="I231" s="39" t="s">
        <v>106</v>
      </c>
    </row>
    <row r="232" spans="2:9" x14ac:dyDescent="0.25">
      <c r="B232"/>
      <c r="F232" s="39" t="s">
        <v>283</v>
      </c>
      <c r="G232" s="39" t="s">
        <v>139</v>
      </c>
      <c r="H232" s="39" t="s">
        <v>210</v>
      </c>
      <c r="I232" s="39" t="s">
        <v>106</v>
      </c>
    </row>
    <row r="233" spans="2:9" x14ac:dyDescent="0.25">
      <c r="B233"/>
      <c r="F233" s="39" t="s">
        <v>652</v>
      </c>
      <c r="G233" s="39" t="s">
        <v>651</v>
      </c>
      <c r="H233" s="39" t="s">
        <v>108</v>
      </c>
      <c r="I233" s="39"/>
    </row>
    <row r="234" spans="2:9" x14ac:dyDescent="0.25">
      <c r="B234"/>
      <c r="F234" s="39" t="s">
        <v>161</v>
      </c>
      <c r="G234" s="39" t="s">
        <v>120</v>
      </c>
      <c r="H234" s="39" t="s">
        <v>108</v>
      </c>
      <c r="I234" s="39" t="s">
        <v>106</v>
      </c>
    </row>
    <row r="235" spans="2:9" x14ac:dyDescent="0.25">
      <c r="B235"/>
      <c r="F235" s="39" t="s">
        <v>503</v>
      </c>
      <c r="G235" s="39" t="s">
        <v>118</v>
      </c>
      <c r="H235" s="39" t="s">
        <v>479</v>
      </c>
      <c r="I235" s="39" t="s">
        <v>106</v>
      </c>
    </row>
    <row r="236" spans="2:9" x14ac:dyDescent="0.25">
      <c r="B236"/>
      <c r="F236" s="39" t="s">
        <v>162</v>
      </c>
      <c r="G236" s="39" t="s">
        <v>127</v>
      </c>
      <c r="H236" s="39" t="s">
        <v>108</v>
      </c>
      <c r="I236" s="39" t="s">
        <v>106</v>
      </c>
    </row>
    <row r="237" spans="2:9" x14ac:dyDescent="0.25">
      <c r="B237"/>
      <c r="F237" s="39" t="s">
        <v>504</v>
      </c>
      <c r="G237" s="39" t="s">
        <v>147</v>
      </c>
      <c r="H237" s="39" t="s">
        <v>479</v>
      </c>
      <c r="I237" s="39" t="s">
        <v>106</v>
      </c>
    </row>
    <row r="238" spans="2:9" x14ac:dyDescent="0.25">
      <c r="B238"/>
      <c r="F238" s="39" t="s">
        <v>505</v>
      </c>
      <c r="G238" s="39" t="s">
        <v>111</v>
      </c>
      <c r="H238" s="39" t="s">
        <v>479</v>
      </c>
      <c r="I238" s="39" t="s">
        <v>110</v>
      </c>
    </row>
    <row r="239" spans="2:9" x14ac:dyDescent="0.25">
      <c r="B239"/>
      <c r="F239" s="39" t="s">
        <v>569</v>
      </c>
      <c r="G239" s="39" t="s">
        <v>115</v>
      </c>
      <c r="H239" s="39" t="s">
        <v>548</v>
      </c>
      <c r="I239" s="39" t="s">
        <v>110</v>
      </c>
    </row>
    <row r="240" spans="2:9" x14ac:dyDescent="0.25">
      <c r="B240"/>
      <c r="F240" s="39" t="s">
        <v>284</v>
      </c>
      <c r="G240" s="39" t="s">
        <v>188</v>
      </c>
      <c r="H240" s="39" t="s">
        <v>210</v>
      </c>
      <c r="I240" s="39" t="s">
        <v>110</v>
      </c>
    </row>
    <row r="241" spans="2:9" x14ac:dyDescent="0.25">
      <c r="B241"/>
      <c r="F241" s="39" t="s">
        <v>285</v>
      </c>
      <c r="G241" s="39" t="s">
        <v>232</v>
      </c>
      <c r="H241" s="39" t="s">
        <v>210</v>
      </c>
      <c r="I241" s="39" t="s">
        <v>110</v>
      </c>
    </row>
    <row r="242" spans="2:9" x14ac:dyDescent="0.25">
      <c r="B242"/>
      <c r="F242" s="39" t="s">
        <v>570</v>
      </c>
      <c r="G242" s="39" t="s">
        <v>111</v>
      </c>
      <c r="H242" s="39" t="s">
        <v>548</v>
      </c>
      <c r="I242" s="39" t="s">
        <v>110</v>
      </c>
    </row>
    <row r="243" spans="2:9" x14ac:dyDescent="0.25">
      <c r="B243"/>
      <c r="F243" s="39" t="s">
        <v>428</v>
      </c>
      <c r="G243" s="39" t="s">
        <v>107</v>
      </c>
      <c r="H243" s="39" t="s">
        <v>368</v>
      </c>
      <c r="I243" s="39" t="s">
        <v>106</v>
      </c>
    </row>
    <row r="244" spans="2:9" x14ac:dyDescent="0.25">
      <c r="B244"/>
      <c r="F244" s="39" t="s">
        <v>286</v>
      </c>
      <c r="G244" s="39" t="s">
        <v>120</v>
      </c>
      <c r="H244" s="39" t="s">
        <v>210</v>
      </c>
      <c r="I244" s="39" t="s">
        <v>106</v>
      </c>
    </row>
    <row r="245" spans="2:9" x14ac:dyDescent="0.25">
      <c r="B245"/>
      <c r="F245" s="39" t="s">
        <v>506</v>
      </c>
      <c r="G245" s="39" t="s">
        <v>111</v>
      </c>
      <c r="H245" s="39" t="s">
        <v>479</v>
      </c>
      <c r="I245" s="39" t="s">
        <v>106</v>
      </c>
    </row>
    <row r="246" spans="2:9" x14ac:dyDescent="0.25">
      <c r="B246"/>
      <c r="F246" s="39" t="s">
        <v>287</v>
      </c>
      <c r="G246" s="39" t="s">
        <v>111</v>
      </c>
      <c r="H246" s="39" t="s">
        <v>210</v>
      </c>
      <c r="I246" s="39" t="s">
        <v>110</v>
      </c>
    </row>
    <row r="247" spans="2:9" x14ac:dyDescent="0.25">
      <c r="B247"/>
      <c r="F247" s="39" t="s">
        <v>507</v>
      </c>
      <c r="G247" s="39" t="s">
        <v>154</v>
      </c>
      <c r="H247" s="39" t="s">
        <v>479</v>
      </c>
      <c r="I247" s="39" t="s">
        <v>106</v>
      </c>
    </row>
    <row r="248" spans="2:9" x14ac:dyDescent="0.25">
      <c r="B248"/>
      <c r="F248" s="39" t="s">
        <v>288</v>
      </c>
      <c r="G248" s="39" t="s">
        <v>113</v>
      </c>
      <c r="H248" s="39" t="s">
        <v>210</v>
      </c>
      <c r="I248" s="39" t="s">
        <v>106</v>
      </c>
    </row>
    <row r="249" spans="2:9" x14ac:dyDescent="0.25">
      <c r="B249"/>
      <c r="F249" s="39" t="s">
        <v>571</v>
      </c>
      <c r="G249" s="39" t="s">
        <v>111</v>
      </c>
      <c r="H249" s="39" t="s">
        <v>548</v>
      </c>
      <c r="I249" s="39" t="s">
        <v>106</v>
      </c>
    </row>
    <row r="250" spans="2:9" x14ac:dyDescent="0.25">
      <c r="B250"/>
      <c r="F250" s="39" t="s">
        <v>572</v>
      </c>
      <c r="G250" s="39" t="s">
        <v>118</v>
      </c>
      <c r="H250" s="39" t="s">
        <v>548</v>
      </c>
      <c r="I250" s="39" t="s">
        <v>106</v>
      </c>
    </row>
    <row r="251" spans="2:9" x14ac:dyDescent="0.25">
      <c r="B251"/>
      <c r="F251" s="39" t="s">
        <v>429</v>
      </c>
      <c r="G251" s="39" t="s">
        <v>391</v>
      </c>
      <c r="H251" s="39" t="s">
        <v>368</v>
      </c>
      <c r="I251" s="39" t="s">
        <v>106</v>
      </c>
    </row>
    <row r="252" spans="2:9" x14ac:dyDescent="0.25">
      <c r="B252"/>
      <c r="F252" s="39" t="s">
        <v>163</v>
      </c>
      <c r="G252" s="39" t="s">
        <v>115</v>
      </c>
      <c r="H252" s="39" t="s">
        <v>108</v>
      </c>
      <c r="I252" s="39" t="s">
        <v>110</v>
      </c>
    </row>
    <row r="253" spans="2:9" x14ac:dyDescent="0.25">
      <c r="B253"/>
      <c r="F253" s="39" t="s">
        <v>430</v>
      </c>
      <c r="G253" s="39" t="s">
        <v>127</v>
      </c>
      <c r="H253" s="39" t="s">
        <v>368</v>
      </c>
      <c r="I253" s="39" t="s">
        <v>110</v>
      </c>
    </row>
    <row r="254" spans="2:9" x14ac:dyDescent="0.25">
      <c r="B254"/>
      <c r="F254" s="39" t="s">
        <v>431</v>
      </c>
      <c r="G254" s="39" t="s">
        <v>149</v>
      </c>
      <c r="H254" s="39" t="s">
        <v>368</v>
      </c>
      <c r="I254" s="39" t="s">
        <v>110</v>
      </c>
    </row>
    <row r="255" spans="2:9" x14ac:dyDescent="0.25">
      <c r="B255"/>
      <c r="F255" s="39" t="s">
        <v>289</v>
      </c>
      <c r="G255" s="39" t="s">
        <v>113</v>
      </c>
      <c r="H255" s="39" t="s">
        <v>210</v>
      </c>
      <c r="I255" s="39" t="s">
        <v>110</v>
      </c>
    </row>
    <row r="256" spans="2:9" x14ac:dyDescent="0.25">
      <c r="B256"/>
      <c r="F256" s="39" t="s">
        <v>573</v>
      </c>
      <c r="G256" s="39" t="s">
        <v>149</v>
      </c>
      <c r="H256" s="39" t="s">
        <v>548</v>
      </c>
      <c r="I256" s="39" t="s">
        <v>110</v>
      </c>
    </row>
    <row r="257" spans="2:9" x14ac:dyDescent="0.25">
      <c r="B257"/>
      <c r="F257" s="39" t="s">
        <v>164</v>
      </c>
      <c r="G257" s="39" t="s">
        <v>129</v>
      </c>
      <c r="H257" s="39" t="s">
        <v>108</v>
      </c>
      <c r="I257" s="39" t="s">
        <v>110</v>
      </c>
    </row>
    <row r="258" spans="2:9" x14ac:dyDescent="0.25">
      <c r="B258"/>
      <c r="F258" s="39" t="s">
        <v>290</v>
      </c>
      <c r="G258" s="39" t="s">
        <v>107</v>
      </c>
      <c r="H258" s="39" t="s">
        <v>210</v>
      </c>
      <c r="I258" s="39" t="s">
        <v>110</v>
      </c>
    </row>
    <row r="259" spans="2:9" x14ac:dyDescent="0.25">
      <c r="B259"/>
      <c r="F259" s="39" t="s">
        <v>432</v>
      </c>
      <c r="G259" s="39" t="s">
        <v>149</v>
      </c>
      <c r="H259" s="39" t="s">
        <v>368</v>
      </c>
      <c r="I259" s="39" t="s">
        <v>110</v>
      </c>
    </row>
    <row r="260" spans="2:9" x14ac:dyDescent="0.25">
      <c r="B260"/>
      <c r="F260" s="39" t="s">
        <v>433</v>
      </c>
      <c r="G260" s="39" t="s">
        <v>154</v>
      </c>
      <c r="H260" s="39" t="s">
        <v>368</v>
      </c>
      <c r="I260" s="39" t="s">
        <v>110</v>
      </c>
    </row>
    <row r="261" spans="2:9" x14ac:dyDescent="0.25">
      <c r="B261"/>
      <c r="F261" s="39" t="s">
        <v>291</v>
      </c>
      <c r="G261" s="39" t="s">
        <v>115</v>
      </c>
      <c r="H261" s="39" t="s">
        <v>210</v>
      </c>
      <c r="I261" s="39" t="s">
        <v>110</v>
      </c>
    </row>
    <row r="262" spans="2:9" x14ac:dyDescent="0.25">
      <c r="B262"/>
      <c r="F262" s="39" t="s">
        <v>574</v>
      </c>
      <c r="G262" s="39" t="s">
        <v>515</v>
      </c>
      <c r="H262" s="39" t="s">
        <v>548</v>
      </c>
      <c r="I262" s="39" t="s">
        <v>106</v>
      </c>
    </row>
    <row r="263" spans="2:9" x14ac:dyDescent="0.25">
      <c r="B263"/>
      <c r="F263" s="39" t="s">
        <v>292</v>
      </c>
      <c r="G263" s="39" t="s">
        <v>115</v>
      </c>
      <c r="H263" s="39" t="s">
        <v>210</v>
      </c>
      <c r="I263" s="39" t="s">
        <v>106</v>
      </c>
    </row>
    <row r="264" spans="2:9" x14ac:dyDescent="0.25">
      <c r="B264"/>
      <c r="F264" s="39" t="s">
        <v>508</v>
      </c>
      <c r="G264" s="39" t="s">
        <v>115</v>
      </c>
      <c r="H264" s="39" t="s">
        <v>479</v>
      </c>
      <c r="I264" s="39" t="s">
        <v>106</v>
      </c>
    </row>
    <row r="265" spans="2:9" x14ac:dyDescent="0.25">
      <c r="B265"/>
      <c r="F265" s="39" t="s">
        <v>509</v>
      </c>
      <c r="G265" s="39" t="s">
        <v>129</v>
      </c>
      <c r="H265" s="39" t="s">
        <v>479</v>
      </c>
      <c r="I265" s="39" t="s">
        <v>106</v>
      </c>
    </row>
    <row r="266" spans="2:9" x14ac:dyDescent="0.25">
      <c r="B266"/>
      <c r="F266" s="39" t="s">
        <v>633</v>
      </c>
      <c r="G266" s="39" t="s">
        <v>621</v>
      </c>
      <c r="H266" s="39" t="s">
        <v>368</v>
      </c>
      <c r="I266" s="39" t="s">
        <v>106</v>
      </c>
    </row>
    <row r="267" spans="2:9" x14ac:dyDescent="0.25">
      <c r="B267"/>
      <c r="F267" s="39" t="s">
        <v>624</v>
      </c>
      <c r="G267" s="39" t="s">
        <v>621</v>
      </c>
      <c r="H267" s="39" t="s">
        <v>623</v>
      </c>
      <c r="I267" s="39" t="s">
        <v>106</v>
      </c>
    </row>
    <row r="268" spans="2:9" x14ac:dyDescent="0.25">
      <c r="B268"/>
      <c r="F268" s="39" t="s">
        <v>293</v>
      </c>
      <c r="G268" s="39" t="s">
        <v>124</v>
      </c>
      <c r="H268" s="39" t="s">
        <v>210</v>
      </c>
      <c r="I268" s="39" t="s">
        <v>106</v>
      </c>
    </row>
    <row r="269" spans="2:9" x14ac:dyDescent="0.25">
      <c r="B269"/>
      <c r="F269" s="39" t="s">
        <v>294</v>
      </c>
      <c r="G269" s="39" t="s">
        <v>129</v>
      </c>
      <c r="H269" s="39" t="s">
        <v>210</v>
      </c>
      <c r="I269" s="39" t="s">
        <v>106</v>
      </c>
    </row>
    <row r="270" spans="2:9" x14ac:dyDescent="0.25">
      <c r="B270"/>
      <c r="F270" s="39" t="s">
        <v>510</v>
      </c>
      <c r="G270" s="39" t="s">
        <v>188</v>
      </c>
      <c r="H270" s="39" t="s">
        <v>479</v>
      </c>
      <c r="I270" s="39" t="s">
        <v>106</v>
      </c>
    </row>
    <row r="271" spans="2:9" x14ac:dyDescent="0.25">
      <c r="B271"/>
      <c r="F271" s="39" t="s">
        <v>434</v>
      </c>
      <c r="G271" s="39" t="s">
        <v>188</v>
      </c>
      <c r="H271" s="39" t="s">
        <v>368</v>
      </c>
      <c r="I271" s="39" t="s">
        <v>106</v>
      </c>
    </row>
    <row r="272" spans="2:9" x14ac:dyDescent="0.25">
      <c r="B272"/>
      <c r="F272" s="39" t="s">
        <v>295</v>
      </c>
      <c r="G272" s="39" t="s">
        <v>181</v>
      </c>
      <c r="H272" s="39" t="s">
        <v>210</v>
      </c>
      <c r="I272" s="39" t="s">
        <v>106</v>
      </c>
    </row>
    <row r="273" spans="2:9" x14ac:dyDescent="0.25">
      <c r="B273"/>
      <c r="F273" s="39" t="s">
        <v>435</v>
      </c>
      <c r="G273" s="39" t="s">
        <v>115</v>
      </c>
      <c r="H273" s="39" t="s">
        <v>368</v>
      </c>
      <c r="I273" s="39" t="s">
        <v>106</v>
      </c>
    </row>
    <row r="274" spans="2:9" x14ac:dyDescent="0.25">
      <c r="B274"/>
      <c r="F274" s="39" t="s">
        <v>296</v>
      </c>
      <c r="G274" s="39" t="s">
        <v>149</v>
      </c>
      <c r="H274" s="39" t="s">
        <v>210</v>
      </c>
      <c r="I274" s="39" t="s">
        <v>106</v>
      </c>
    </row>
    <row r="275" spans="2:9" x14ac:dyDescent="0.25">
      <c r="B275"/>
      <c r="F275" s="39" t="s">
        <v>660</v>
      </c>
      <c r="G275" s="39" t="s">
        <v>651</v>
      </c>
      <c r="H275" s="39" t="s">
        <v>479</v>
      </c>
      <c r="I275" s="39"/>
    </row>
    <row r="276" spans="2:9" x14ac:dyDescent="0.25">
      <c r="B276"/>
      <c r="F276" s="39" t="s">
        <v>511</v>
      </c>
      <c r="G276" s="39" t="s">
        <v>129</v>
      </c>
      <c r="H276" s="39" t="s">
        <v>479</v>
      </c>
      <c r="I276" s="39" t="s">
        <v>110</v>
      </c>
    </row>
    <row r="277" spans="2:9" x14ac:dyDescent="0.25">
      <c r="B277"/>
      <c r="F277" s="39" t="s">
        <v>512</v>
      </c>
      <c r="G277" s="39" t="s">
        <v>115</v>
      </c>
      <c r="H277" s="39" t="s">
        <v>479</v>
      </c>
      <c r="I277" s="39" t="s">
        <v>110</v>
      </c>
    </row>
    <row r="278" spans="2:9" x14ac:dyDescent="0.25">
      <c r="B278"/>
      <c r="F278" s="39" t="s">
        <v>297</v>
      </c>
      <c r="G278" s="39" t="s">
        <v>154</v>
      </c>
      <c r="H278" s="39" t="s">
        <v>210</v>
      </c>
      <c r="I278" s="39" t="s">
        <v>106</v>
      </c>
    </row>
    <row r="279" spans="2:9" x14ac:dyDescent="0.25">
      <c r="B279"/>
      <c r="F279" s="39" t="s">
        <v>298</v>
      </c>
      <c r="G279" s="39" t="s">
        <v>115</v>
      </c>
      <c r="H279" s="39" t="s">
        <v>210</v>
      </c>
      <c r="I279" s="39" t="s">
        <v>106</v>
      </c>
    </row>
    <row r="280" spans="2:9" x14ac:dyDescent="0.25">
      <c r="B280"/>
      <c r="F280" s="39" t="s">
        <v>299</v>
      </c>
      <c r="G280" s="39" t="s">
        <v>107</v>
      </c>
      <c r="H280" s="39" t="s">
        <v>210</v>
      </c>
      <c r="I280" s="39" t="s">
        <v>106</v>
      </c>
    </row>
    <row r="281" spans="2:9" x14ac:dyDescent="0.25">
      <c r="B281"/>
      <c r="F281" s="39" t="s">
        <v>165</v>
      </c>
      <c r="G281" s="39" t="s">
        <v>139</v>
      </c>
      <c r="H281" s="39" t="s">
        <v>108</v>
      </c>
      <c r="I281" s="39" t="s">
        <v>106</v>
      </c>
    </row>
    <row r="282" spans="2:9" x14ac:dyDescent="0.25">
      <c r="B282"/>
      <c r="F282" s="39" t="s">
        <v>653</v>
      </c>
      <c r="G282" s="39" t="s">
        <v>651</v>
      </c>
      <c r="H282" s="39" t="s">
        <v>108</v>
      </c>
      <c r="I282" s="39"/>
    </row>
    <row r="283" spans="2:9" x14ac:dyDescent="0.25">
      <c r="B283"/>
      <c r="F283" s="39" t="s">
        <v>300</v>
      </c>
      <c r="G283" s="39" t="s">
        <v>127</v>
      </c>
      <c r="H283" s="39" t="s">
        <v>210</v>
      </c>
      <c r="I283" s="39" t="s">
        <v>106</v>
      </c>
    </row>
    <row r="284" spans="2:9" x14ac:dyDescent="0.25">
      <c r="B284"/>
      <c r="F284" s="39" t="s">
        <v>166</v>
      </c>
      <c r="G284" s="39" t="s">
        <v>115</v>
      </c>
      <c r="H284" s="39" t="s">
        <v>108</v>
      </c>
      <c r="I284" s="39" t="s">
        <v>106</v>
      </c>
    </row>
    <row r="285" spans="2:9" x14ac:dyDescent="0.25">
      <c r="B285"/>
      <c r="F285" s="39" t="s">
        <v>644</v>
      </c>
      <c r="G285" s="39" t="s">
        <v>621</v>
      </c>
      <c r="H285" s="39" t="s">
        <v>368</v>
      </c>
      <c r="I285" s="39" t="s">
        <v>106</v>
      </c>
    </row>
    <row r="286" spans="2:9" x14ac:dyDescent="0.25">
      <c r="B286"/>
      <c r="F286" s="39" t="s">
        <v>301</v>
      </c>
      <c r="G286" s="39" t="s">
        <v>115</v>
      </c>
      <c r="H286" s="39" t="s">
        <v>210</v>
      </c>
      <c r="I286" s="39" t="s">
        <v>106</v>
      </c>
    </row>
    <row r="287" spans="2:9" x14ac:dyDescent="0.25">
      <c r="B287"/>
      <c r="F287" s="39" t="s">
        <v>632</v>
      </c>
      <c r="G287" s="39" t="s">
        <v>621</v>
      </c>
      <c r="H287" s="39" t="s">
        <v>623</v>
      </c>
      <c r="I287" s="39" t="s">
        <v>106</v>
      </c>
    </row>
    <row r="288" spans="2:9" x14ac:dyDescent="0.25">
      <c r="B288"/>
      <c r="F288" s="39" t="s">
        <v>167</v>
      </c>
      <c r="G288" s="39" t="s">
        <v>115</v>
      </c>
      <c r="H288" s="39" t="s">
        <v>108</v>
      </c>
      <c r="I288" s="39" t="s">
        <v>106</v>
      </c>
    </row>
    <row r="289" spans="2:9" x14ac:dyDescent="0.25">
      <c r="B289"/>
      <c r="F289" s="39" t="s">
        <v>575</v>
      </c>
      <c r="G289" s="39" t="s">
        <v>115</v>
      </c>
      <c r="H289" s="39" t="s">
        <v>548</v>
      </c>
      <c r="I289" s="39" t="s">
        <v>106</v>
      </c>
    </row>
    <row r="290" spans="2:9" x14ac:dyDescent="0.25">
      <c r="B290"/>
      <c r="F290" s="39" t="s">
        <v>302</v>
      </c>
      <c r="G290" s="39" t="s">
        <v>188</v>
      </c>
      <c r="H290" s="39" t="s">
        <v>210</v>
      </c>
      <c r="I290" s="39" t="s">
        <v>106</v>
      </c>
    </row>
    <row r="291" spans="2:9" x14ac:dyDescent="0.25">
      <c r="B291"/>
      <c r="F291" s="39" t="s">
        <v>576</v>
      </c>
      <c r="G291" s="39" t="s">
        <v>115</v>
      </c>
      <c r="H291" s="39" t="s">
        <v>548</v>
      </c>
      <c r="I291" s="39" t="s">
        <v>106</v>
      </c>
    </row>
    <row r="292" spans="2:9" x14ac:dyDescent="0.25">
      <c r="B292"/>
      <c r="F292" s="39" t="s">
        <v>168</v>
      </c>
      <c r="G292" s="39" t="s">
        <v>139</v>
      </c>
      <c r="H292" s="39" t="s">
        <v>108</v>
      </c>
      <c r="I292" s="39" t="s">
        <v>106</v>
      </c>
    </row>
    <row r="293" spans="2:9" x14ac:dyDescent="0.25">
      <c r="B293"/>
      <c r="F293" s="39" t="s">
        <v>436</v>
      </c>
      <c r="G293" s="39" t="s">
        <v>391</v>
      </c>
      <c r="H293" s="39" t="s">
        <v>368</v>
      </c>
      <c r="I293" s="39" t="s">
        <v>106</v>
      </c>
    </row>
    <row r="294" spans="2:9" x14ac:dyDescent="0.25">
      <c r="B294"/>
      <c r="F294" s="39" t="s">
        <v>437</v>
      </c>
      <c r="G294" s="39" t="s">
        <v>154</v>
      </c>
      <c r="H294" s="39" t="s">
        <v>368</v>
      </c>
      <c r="I294" s="39" t="s">
        <v>106</v>
      </c>
    </row>
    <row r="295" spans="2:9" x14ac:dyDescent="0.25">
      <c r="B295"/>
      <c r="F295" s="39" t="s">
        <v>577</v>
      </c>
      <c r="G295" s="39" t="s">
        <v>111</v>
      </c>
      <c r="H295" s="39" t="s">
        <v>548</v>
      </c>
      <c r="I295" s="39" t="s">
        <v>106</v>
      </c>
    </row>
    <row r="296" spans="2:9" x14ac:dyDescent="0.25">
      <c r="B296"/>
      <c r="F296" s="39" t="s">
        <v>438</v>
      </c>
      <c r="G296" s="39" t="s">
        <v>127</v>
      </c>
      <c r="H296" s="39" t="s">
        <v>368</v>
      </c>
      <c r="I296" s="39" t="s">
        <v>106</v>
      </c>
    </row>
    <row r="297" spans="2:9" x14ac:dyDescent="0.25">
      <c r="B297"/>
      <c r="F297" s="39" t="s">
        <v>303</v>
      </c>
      <c r="G297" s="39" t="s">
        <v>149</v>
      </c>
      <c r="H297" s="39" t="s">
        <v>210</v>
      </c>
      <c r="I297" s="39" t="s">
        <v>106</v>
      </c>
    </row>
    <row r="298" spans="2:9" x14ac:dyDescent="0.25">
      <c r="B298"/>
      <c r="F298" s="39" t="s">
        <v>439</v>
      </c>
      <c r="G298" s="39" t="s">
        <v>149</v>
      </c>
      <c r="H298" s="39" t="s">
        <v>368</v>
      </c>
      <c r="I298" s="39" t="s">
        <v>106</v>
      </c>
    </row>
    <row r="299" spans="2:9" x14ac:dyDescent="0.25">
      <c r="B299"/>
      <c r="F299" s="39" t="s">
        <v>440</v>
      </c>
      <c r="G299" s="39" t="s">
        <v>115</v>
      </c>
      <c r="H299" s="39" t="s">
        <v>368</v>
      </c>
      <c r="I299" s="39" t="s">
        <v>106</v>
      </c>
    </row>
    <row r="300" spans="2:9" x14ac:dyDescent="0.25">
      <c r="B300"/>
      <c r="F300" s="39" t="s">
        <v>646</v>
      </c>
      <c r="G300" s="39" t="s">
        <v>621</v>
      </c>
      <c r="H300" s="39" t="s">
        <v>368</v>
      </c>
      <c r="I300" s="39" t="s">
        <v>106</v>
      </c>
    </row>
    <row r="301" spans="2:9" x14ac:dyDescent="0.25">
      <c r="B301"/>
      <c r="F301" s="39" t="s">
        <v>642</v>
      </c>
      <c r="G301" s="39" t="s">
        <v>621</v>
      </c>
      <c r="H301" s="39" t="s">
        <v>368</v>
      </c>
      <c r="I301" s="39" t="s">
        <v>106</v>
      </c>
    </row>
    <row r="302" spans="2:9" x14ac:dyDescent="0.25">
      <c r="B302"/>
      <c r="F302" s="39" t="s">
        <v>304</v>
      </c>
      <c r="G302" s="39" t="s">
        <v>129</v>
      </c>
      <c r="H302" s="39" t="s">
        <v>210</v>
      </c>
      <c r="I302" s="39" t="s">
        <v>106</v>
      </c>
    </row>
    <row r="303" spans="2:9" x14ac:dyDescent="0.25">
      <c r="B303"/>
      <c r="F303" s="39" t="s">
        <v>169</v>
      </c>
      <c r="G303" s="39" t="s">
        <v>129</v>
      </c>
      <c r="H303" s="39" t="s">
        <v>108</v>
      </c>
      <c r="I303" s="39" t="s">
        <v>106</v>
      </c>
    </row>
    <row r="304" spans="2:9" x14ac:dyDescent="0.25">
      <c r="B304"/>
      <c r="F304" s="39" t="s">
        <v>578</v>
      </c>
      <c r="G304" s="39" t="s">
        <v>115</v>
      </c>
      <c r="H304" s="39" t="s">
        <v>548</v>
      </c>
      <c r="I304" s="39" t="s">
        <v>106</v>
      </c>
    </row>
    <row r="305" spans="2:9" x14ac:dyDescent="0.25">
      <c r="B305"/>
      <c r="F305" s="39" t="s">
        <v>170</v>
      </c>
      <c r="G305" s="39" t="s">
        <v>115</v>
      </c>
      <c r="H305" s="39" t="s">
        <v>108</v>
      </c>
      <c r="I305" s="39" t="s">
        <v>106</v>
      </c>
    </row>
    <row r="306" spans="2:9" x14ac:dyDescent="0.25">
      <c r="B306"/>
      <c r="F306" s="39" t="s">
        <v>579</v>
      </c>
      <c r="G306" s="39" t="s">
        <v>115</v>
      </c>
      <c r="H306" s="39" t="s">
        <v>548</v>
      </c>
      <c r="I306" s="39" t="s">
        <v>106</v>
      </c>
    </row>
    <row r="307" spans="2:9" x14ac:dyDescent="0.25">
      <c r="B307"/>
      <c r="F307" s="39" t="s">
        <v>441</v>
      </c>
      <c r="G307" s="39" t="s">
        <v>127</v>
      </c>
      <c r="H307" s="39" t="s">
        <v>368</v>
      </c>
      <c r="I307" s="39" t="s">
        <v>106</v>
      </c>
    </row>
    <row r="308" spans="2:9" x14ac:dyDescent="0.25">
      <c r="B308"/>
      <c r="F308" s="39" t="s">
        <v>305</v>
      </c>
      <c r="G308" s="39" t="s">
        <v>122</v>
      </c>
      <c r="H308" s="39" t="s">
        <v>210</v>
      </c>
      <c r="I308" s="39" t="s">
        <v>106</v>
      </c>
    </row>
    <row r="309" spans="2:9" x14ac:dyDescent="0.25">
      <c r="B309"/>
      <c r="F309" s="39" t="s">
        <v>171</v>
      </c>
      <c r="G309" s="39" t="s">
        <v>115</v>
      </c>
      <c r="H309" s="39" t="s">
        <v>108</v>
      </c>
      <c r="I309" s="39" t="s">
        <v>106</v>
      </c>
    </row>
    <row r="310" spans="2:9" x14ac:dyDescent="0.25">
      <c r="B310"/>
      <c r="F310" s="39" t="s">
        <v>306</v>
      </c>
      <c r="G310" s="39" t="s">
        <v>188</v>
      </c>
      <c r="H310" s="39" t="s">
        <v>210</v>
      </c>
      <c r="I310" s="39" t="s">
        <v>106</v>
      </c>
    </row>
    <row r="311" spans="2:9" x14ac:dyDescent="0.25">
      <c r="B311"/>
      <c r="F311" s="39" t="s">
        <v>307</v>
      </c>
      <c r="G311" s="39" t="s">
        <v>107</v>
      </c>
      <c r="H311" s="39" t="s">
        <v>210</v>
      </c>
      <c r="I311" s="39" t="s">
        <v>106</v>
      </c>
    </row>
    <row r="312" spans="2:9" x14ac:dyDescent="0.25">
      <c r="B312"/>
      <c r="F312" s="39" t="s">
        <v>308</v>
      </c>
      <c r="G312" s="39" t="s">
        <v>122</v>
      </c>
      <c r="H312" s="39" t="s">
        <v>210</v>
      </c>
      <c r="I312" s="39" t="s">
        <v>106</v>
      </c>
    </row>
    <row r="313" spans="2:9" x14ac:dyDescent="0.25">
      <c r="B313"/>
      <c r="F313" s="39" t="s">
        <v>442</v>
      </c>
      <c r="G313" s="39" t="s">
        <v>107</v>
      </c>
      <c r="H313" s="39" t="s">
        <v>368</v>
      </c>
      <c r="I313" s="39" t="s">
        <v>106</v>
      </c>
    </row>
    <row r="314" spans="2:9" x14ac:dyDescent="0.25">
      <c r="B314"/>
      <c r="F314" s="39" t="s">
        <v>309</v>
      </c>
      <c r="G314" s="39" t="s">
        <v>107</v>
      </c>
      <c r="H314" s="39" t="s">
        <v>210</v>
      </c>
      <c r="I314" s="39" t="s">
        <v>106</v>
      </c>
    </row>
    <row r="315" spans="2:9" x14ac:dyDescent="0.25">
      <c r="B315"/>
      <c r="F315" s="39" t="s">
        <v>580</v>
      </c>
      <c r="G315" s="39" t="s">
        <v>149</v>
      </c>
      <c r="H315" s="39" t="s">
        <v>548</v>
      </c>
      <c r="I315" s="39" t="s">
        <v>106</v>
      </c>
    </row>
    <row r="316" spans="2:9" x14ac:dyDescent="0.25">
      <c r="B316"/>
      <c r="F316" s="39" t="s">
        <v>310</v>
      </c>
      <c r="G316" s="39" t="s">
        <v>111</v>
      </c>
      <c r="H316" s="39" t="s">
        <v>210</v>
      </c>
      <c r="I316" s="39" t="s">
        <v>106</v>
      </c>
    </row>
    <row r="317" spans="2:9" x14ac:dyDescent="0.25">
      <c r="B317"/>
      <c r="F317" s="39" t="s">
        <v>172</v>
      </c>
      <c r="G317" s="39" t="s">
        <v>107</v>
      </c>
      <c r="H317" s="39" t="s">
        <v>108</v>
      </c>
      <c r="I317" s="39" t="s">
        <v>106</v>
      </c>
    </row>
    <row r="318" spans="2:9" x14ac:dyDescent="0.25">
      <c r="B318"/>
      <c r="F318" s="39" t="s">
        <v>513</v>
      </c>
      <c r="G318" s="39" t="s">
        <v>181</v>
      </c>
      <c r="H318" s="39" t="s">
        <v>479</v>
      </c>
      <c r="I318" s="39" t="s">
        <v>106</v>
      </c>
    </row>
    <row r="319" spans="2:9" x14ac:dyDescent="0.25">
      <c r="B319"/>
      <c r="F319" s="39" t="s">
        <v>311</v>
      </c>
      <c r="G319" s="39" t="s">
        <v>115</v>
      </c>
      <c r="H319" s="39" t="s">
        <v>210</v>
      </c>
      <c r="I319" s="39" t="s">
        <v>106</v>
      </c>
    </row>
    <row r="320" spans="2:9" x14ac:dyDescent="0.25">
      <c r="B320"/>
      <c r="F320" s="39" t="s">
        <v>312</v>
      </c>
      <c r="G320" s="39" t="s">
        <v>129</v>
      </c>
      <c r="H320" s="39" t="s">
        <v>210</v>
      </c>
      <c r="I320" s="39" t="s">
        <v>106</v>
      </c>
    </row>
    <row r="321" spans="2:9" x14ac:dyDescent="0.25">
      <c r="B321"/>
      <c r="F321" s="39" t="s">
        <v>581</v>
      </c>
      <c r="G321" s="39" t="s">
        <v>582</v>
      </c>
      <c r="H321" s="39" t="s">
        <v>548</v>
      </c>
      <c r="I321" s="39" t="s">
        <v>106</v>
      </c>
    </row>
    <row r="322" spans="2:9" x14ac:dyDescent="0.25">
      <c r="B322"/>
      <c r="F322" s="39" t="s">
        <v>313</v>
      </c>
      <c r="G322" s="39" t="s">
        <v>147</v>
      </c>
      <c r="H322" s="39" t="s">
        <v>210</v>
      </c>
      <c r="I322" s="39" t="s">
        <v>106</v>
      </c>
    </row>
    <row r="323" spans="2:9" x14ac:dyDescent="0.25">
      <c r="B323"/>
      <c r="F323" s="39" t="s">
        <v>583</v>
      </c>
      <c r="G323" s="39" t="s">
        <v>111</v>
      </c>
      <c r="H323" s="39" t="s">
        <v>548</v>
      </c>
      <c r="I323" s="39" t="s">
        <v>110</v>
      </c>
    </row>
    <row r="324" spans="2:9" x14ac:dyDescent="0.25">
      <c r="B324"/>
      <c r="F324" s="39" t="s">
        <v>173</v>
      </c>
      <c r="G324" s="39" t="s">
        <v>120</v>
      </c>
      <c r="H324" s="39" t="s">
        <v>108</v>
      </c>
      <c r="I324" s="39" t="s">
        <v>106</v>
      </c>
    </row>
    <row r="325" spans="2:9" x14ac:dyDescent="0.25">
      <c r="B325"/>
      <c r="F325" s="39" t="s">
        <v>584</v>
      </c>
      <c r="G325" s="39" t="s">
        <v>222</v>
      </c>
      <c r="H325" s="39" t="s">
        <v>548</v>
      </c>
      <c r="I325" s="39" t="s">
        <v>106</v>
      </c>
    </row>
    <row r="326" spans="2:9" x14ac:dyDescent="0.25">
      <c r="B326"/>
      <c r="F326" s="39" t="s">
        <v>585</v>
      </c>
      <c r="G326" s="39" t="s">
        <v>149</v>
      </c>
      <c r="H326" s="39" t="s">
        <v>548</v>
      </c>
      <c r="I326" s="39" t="s">
        <v>110</v>
      </c>
    </row>
    <row r="327" spans="2:9" x14ac:dyDescent="0.25">
      <c r="B327"/>
      <c r="F327" s="39" t="s">
        <v>443</v>
      </c>
      <c r="G327" s="39" t="s">
        <v>154</v>
      </c>
      <c r="H327" s="39" t="s">
        <v>368</v>
      </c>
      <c r="I327" s="39" t="s">
        <v>110</v>
      </c>
    </row>
    <row r="328" spans="2:9" x14ac:dyDescent="0.25">
      <c r="B328"/>
      <c r="F328" s="39" t="s">
        <v>514</v>
      </c>
      <c r="G328" s="39" t="s">
        <v>515</v>
      </c>
      <c r="H328" s="39" t="s">
        <v>479</v>
      </c>
      <c r="I328" s="39" t="s">
        <v>110</v>
      </c>
    </row>
    <row r="329" spans="2:9" x14ac:dyDescent="0.25">
      <c r="B329"/>
      <c r="F329" s="39" t="s">
        <v>516</v>
      </c>
      <c r="G329" s="39" t="s">
        <v>115</v>
      </c>
      <c r="H329" s="39" t="s">
        <v>479</v>
      </c>
      <c r="I329" s="39" t="s">
        <v>110</v>
      </c>
    </row>
    <row r="330" spans="2:9" x14ac:dyDescent="0.25">
      <c r="B330"/>
      <c r="F330" s="39" t="s">
        <v>314</v>
      </c>
      <c r="G330" s="39" t="s">
        <v>111</v>
      </c>
      <c r="H330" s="39" t="s">
        <v>210</v>
      </c>
      <c r="I330" s="39" t="s">
        <v>110</v>
      </c>
    </row>
    <row r="331" spans="2:9" x14ac:dyDescent="0.25">
      <c r="B331"/>
      <c r="F331" s="39" t="s">
        <v>315</v>
      </c>
      <c r="G331" s="39" t="s">
        <v>111</v>
      </c>
      <c r="H331" s="39" t="s">
        <v>210</v>
      </c>
      <c r="I331" s="39" t="s">
        <v>110</v>
      </c>
    </row>
    <row r="332" spans="2:9" x14ac:dyDescent="0.25">
      <c r="B332"/>
      <c r="F332" s="39" t="s">
        <v>444</v>
      </c>
      <c r="G332" s="39" t="s">
        <v>149</v>
      </c>
      <c r="H332" s="39" t="s">
        <v>368</v>
      </c>
      <c r="I332" s="39" t="s">
        <v>110</v>
      </c>
    </row>
    <row r="333" spans="2:9" x14ac:dyDescent="0.25">
      <c r="B333"/>
      <c r="F333" s="39" t="s">
        <v>174</v>
      </c>
      <c r="G333" s="39" t="s">
        <v>111</v>
      </c>
      <c r="H333" s="39" t="s">
        <v>108</v>
      </c>
      <c r="I333" s="39" t="s">
        <v>110</v>
      </c>
    </row>
    <row r="334" spans="2:9" x14ac:dyDescent="0.25">
      <c r="B334"/>
      <c r="F334" s="39" t="s">
        <v>445</v>
      </c>
      <c r="G334" s="39" t="s">
        <v>127</v>
      </c>
      <c r="H334" s="39" t="s">
        <v>368</v>
      </c>
      <c r="I334" s="39" t="s">
        <v>106</v>
      </c>
    </row>
    <row r="335" spans="2:9" x14ac:dyDescent="0.25">
      <c r="B335"/>
      <c r="F335" s="39" t="s">
        <v>586</v>
      </c>
      <c r="G335" s="39" t="s">
        <v>111</v>
      </c>
      <c r="H335" s="39" t="s">
        <v>548</v>
      </c>
      <c r="I335" s="39" t="s">
        <v>106</v>
      </c>
    </row>
    <row r="336" spans="2:9" x14ac:dyDescent="0.25">
      <c r="B336"/>
      <c r="F336" s="39" t="s">
        <v>587</v>
      </c>
      <c r="G336" s="39" t="s">
        <v>515</v>
      </c>
      <c r="H336" s="39" t="s">
        <v>548</v>
      </c>
      <c r="I336" s="39" t="s">
        <v>106</v>
      </c>
    </row>
    <row r="337" spans="2:9" x14ac:dyDescent="0.25">
      <c r="B337"/>
      <c r="F337" s="39" t="s">
        <v>175</v>
      </c>
      <c r="G337" s="39" t="s">
        <v>147</v>
      </c>
      <c r="H337" s="39" t="s">
        <v>108</v>
      </c>
      <c r="I337" s="39" t="s">
        <v>110</v>
      </c>
    </row>
    <row r="338" spans="2:9" x14ac:dyDescent="0.25">
      <c r="B338"/>
      <c r="F338" s="39" t="s">
        <v>517</v>
      </c>
      <c r="G338" s="39" t="s">
        <v>376</v>
      </c>
      <c r="H338" s="39" t="s">
        <v>479</v>
      </c>
      <c r="I338" s="39" t="s">
        <v>110</v>
      </c>
    </row>
    <row r="339" spans="2:9" x14ac:dyDescent="0.25">
      <c r="B339"/>
      <c r="F339" s="39" t="s">
        <v>588</v>
      </c>
      <c r="G339" s="39" t="s">
        <v>147</v>
      </c>
      <c r="H339" s="39" t="s">
        <v>548</v>
      </c>
      <c r="I339" s="39" t="s">
        <v>110</v>
      </c>
    </row>
    <row r="340" spans="2:9" x14ac:dyDescent="0.25">
      <c r="B340"/>
      <c r="F340" s="39" t="s">
        <v>518</v>
      </c>
      <c r="G340" s="39" t="s">
        <v>147</v>
      </c>
      <c r="H340" s="39" t="s">
        <v>479</v>
      </c>
      <c r="I340" s="39" t="s">
        <v>110</v>
      </c>
    </row>
    <row r="341" spans="2:9" x14ac:dyDescent="0.25">
      <c r="B341"/>
      <c r="F341" s="39" t="s">
        <v>446</v>
      </c>
      <c r="G341" s="39" t="s">
        <v>147</v>
      </c>
      <c r="H341" s="39" t="s">
        <v>368</v>
      </c>
      <c r="I341" s="39" t="s">
        <v>110</v>
      </c>
    </row>
    <row r="342" spans="2:9" x14ac:dyDescent="0.25">
      <c r="B342"/>
      <c r="F342" s="39" t="s">
        <v>519</v>
      </c>
      <c r="G342" s="39" t="s">
        <v>147</v>
      </c>
      <c r="H342" s="39" t="s">
        <v>479</v>
      </c>
      <c r="I342" s="39" t="s">
        <v>110</v>
      </c>
    </row>
    <row r="343" spans="2:9" x14ac:dyDescent="0.25">
      <c r="B343"/>
      <c r="F343" s="39" t="s">
        <v>589</v>
      </c>
      <c r="G343" s="39" t="s">
        <v>111</v>
      </c>
      <c r="H343" s="39" t="s">
        <v>548</v>
      </c>
      <c r="I343" s="39" t="s">
        <v>110</v>
      </c>
    </row>
    <row r="344" spans="2:9" x14ac:dyDescent="0.25">
      <c r="B344"/>
      <c r="F344" s="39" t="s">
        <v>447</v>
      </c>
      <c r="G344" s="39" t="s">
        <v>188</v>
      </c>
      <c r="H344" s="39" t="s">
        <v>368</v>
      </c>
      <c r="I344" s="39" t="s">
        <v>110</v>
      </c>
    </row>
    <row r="345" spans="2:9" x14ac:dyDescent="0.25">
      <c r="B345"/>
      <c r="F345" s="39" t="s">
        <v>176</v>
      </c>
      <c r="G345" s="39" t="s">
        <v>120</v>
      </c>
      <c r="H345" s="39" t="s">
        <v>108</v>
      </c>
      <c r="I345" s="39" t="s">
        <v>106</v>
      </c>
    </row>
    <row r="346" spans="2:9" x14ac:dyDescent="0.25">
      <c r="B346"/>
      <c r="F346" s="39" t="s">
        <v>520</v>
      </c>
      <c r="G346" s="39" t="s">
        <v>115</v>
      </c>
      <c r="H346" s="39" t="s">
        <v>479</v>
      </c>
      <c r="I346" s="39" t="s">
        <v>106</v>
      </c>
    </row>
    <row r="347" spans="2:9" x14ac:dyDescent="0.25">
      <c r="B347"/>
      <c r="F347" s="39" t="s">
        <v>521</v>
      </c>
      <c r="G347" s="39" t="s">
        <v>107</v>
      </c>
      <c r="H347" s="39" t="s">
        <v>479</v>
      </c>
      <c r="I347" s="39" t="s">
        <v>106</v>
      </c>
    </row>
    <row r="348" spans="2:9" x14ac:dyDescent="0.25">
      <c r="B348"/>
      <c r="F348" s="39" t="s">
        <v>522</v>
      </c>
      <c r="G348" s="39" t="s">
        <v>111</v>
      </c>
      <c r="H348" s="39" t="s">
        <v>479</v>
      </c>
      <c r="I348" s="39" t="s">
        <v>106</v>
      </c>
    </row>
    <row r="349" spans="2:9" x14ac:dyDescent="0.25">
      <c r="B349"/>
      <c r="F349" s="39" t="s">
        <v>177</v>
      </c>
      <c r="G349" s="39" t="s">
        <v>115</v>
      </c>
      <c r="H349" s="39" t="s">
        <v>108</v>
      </c>
      <c r="I349" s="39" t="s">
        <v>106</v>
      </c>
    </row>
    <row r="350" spans="2:9" x14ac:dyDescent="0.25">
      <c r="B350"/>
      <c r="F350" s="39" t="s">
        <v>448</v>
      </c>
      <c r="G350" s="39" t="s">
        <v>232</v>
      </c>
      <c r="H350" s="39" t="s">
        <v>368</v>
      </c>
      <c r="I350" s="39" t="s">
        <v>106</v>
      </c>
    </row>
    <row r="351" spans="2:9" x14ac:dyDescent="0.25">
      <c r="B351"/>
      <c r="F351" s="39" t="s">
        <v>316</v>
      </c>
      <c r="G351" s="39" t="s">
        <v>115</v>
      </c>
      <c r="H351" s="39" t="s">
        <v>210</v>
      </c>
      <c r="I351" s="39" t="s">
        <v>106</v>
      </c>
    </row>
    <row r="352" spans="2:9" x14ac:dyDescent="0.25">
      <c r="B352"/>
      <c r="F352" s="39" t="s">
        <v>317</v>
      </c>
      <c r="G352" s="39" t="s">
        <v>129</v>
      </c>
      <c r="H352" s="39" t="s">
        <v>210</v>
      </c>
      <c r="I352" s="39" t="s">
        <v>106</v>
      </c>
    </row>
    <row r="353" spans="2:9" x14ac:dyDescent="0.25">
      <c r="B353"/>
      <c r="F353" s="39" t="s">
        <v>318</v>
      </c>
      <c r="G353" s="39" t="s">
        <v>139</v>
      </c>
      <c r="H353" s="39" t="s">
        <v>210</v>
      </c>
      <c r="I353" s="39" t="s">
        <v>106</v>
      </c>
    </row>
    <row r="354" spans="2:9" x14ac:dyDescent="0.25">
      <c r="B354"/>
      <c r="F354" s="39" t="s">
        <v>178</v>
      </c>
      <c r="G354" s="39" t="s">
        <v>113</v>
      </c>
      <c r="H354" s="39" t="s">
        <v>108</v>
      </c>
      <c r="I354" s="39" t="s">
        <v>106</v>
      </c>
    </row>
    <row r="355" spans="2:9" x14ac:dyDescent="0.25">
      <c r="B355"/>
      <c r="F355" s="39" t="s">
        <v>628</v>
      </c>
      <c r="G355" s="39" t="s">
        <v>621</v>
      </c>
      <c r="H355" s="39" t="s">
        <v>623</v>
      </c>
      <c r="I355" s="39" t="s">
        <v>106</v>
      </c>
    </row>
    <row r="356" spans="2:9" x14ac:dyDescent="0.25">
      <c r="B356"/>
      <c r="F356" s="39" t="s">
        <v>179</v>
      </c>
      <c r="G356" s="39" t="s">
        <v>115</v>
      </c>
      <c r="H356" s="39" t="s">
        <v>108</v>
      </c>
      <c r="I356" s="39" t="s">
        <v>106</v>
      </c>
    </row>
    <row r="357" spans="2:9" x14ac:dyDescent="0.25">
      <c r="B357"/>
      <c r="F357" s="39" t="s">
        <v>180</v>
      </c>
      <c r="G357" s="39" t="s">
        <v>181</v>
      </c>
      <c r="H357" s="39" t="s">
        <v>108</v>
      </c>
      <c r="I357" s="39" t="s">
        <v>106</v>
      </c>
    </row>
    <row r="358" spans="2:9" x14ac:dyDescent="0.25">
      <c r="B358"/>
      <c r="F358" s="39" t="s">
        <v>182</v>
      </c>
      <c r="G358" s="39" t="s">
        <v>115</v>
      </c>
      <c r="H358" s="39" t="s">
        <v>108</v>
      </c>
      <c r="I358" s="39" t="s">
        <v>106</v>
      </c>
    </row>
    <row r="359" spans="2:9" x14ac:dyDescent="0.25">
      <c r="B359"/>
      <c r="F359" s="39" t="s">
        <v>620</v>
      </c>
      <c r="G359" s="39" t="s">
        <v>621</v>
      </c>
      <c r="H359" s="39" t="s">
        <v>648</v>
      </c>
      <c r="I359" s="39" t="s">
        <v>106</v>
      </c>
    </row>
    <row r="360" spans="2:9" x14ac:dyDescent="0.25">
      <c r="B360"/>
      <c r="F360" s="39" t="s">
        <v>183</v>
      </c>
      <c r="G360" s="39" t="s">
        <v>115</v>
      </c>
      <c r="H360" s="39" t="s">
        <v>108</v>
      </c>
      <c r="I360" s="39" t="s">
        <v>106</v>
      </c>
    </row>
    <row r="361" spans="2:9" x14ac:dyDescent="0.25">
      <c r="B361"/>
      <c r="F361" s="39" t="s">
        <v>523</v>
      </c>
      <c r="G361" s="39" t="s">
        <v>376</v>
      </c>
      <c r="H361" s="39" t="s">
        <v>479</v>
      </c>
      <c r="I361" s="39" t="s">
        <v>106</v>
      </c>
    </row>
    <row r="362" spans="2:9" x14ac:dyDescent="0.25">
      <c r="B362"/>
      <c r="F362" s="39" t="s">
        <v>319</v>
      </c>
      <c r="G362" s="39" t="s">
        <v>129</v>
      </c>
      <c r="H362" s="39" t="s">
        <v>210</v>
      </c>
      <c r="I362" s="39" t="s">
        <v>106</v>
      </c>
    </row>
    <row r="363" spans="2:9" x14ac:dyDescent="0.25">
      <c r="B363"/>
      <c r="F363" s="39" t="s">
        <v>524</v>
      </c>
      <c r="G363" s="39" t="s">
        <v>525</v>
      </c>
      <c r="H363" s="39" t="s">
        <v>479</v>
      </c>
      <c r="I363" s="39" t="s">
        <v>106</v>
      </c>
    </row>
    <row r="364" spans="2:9" x14ac:dyDescent="0.25">
      <c r="B364"/>
      <c r="F364" s="39" t="s">
        <v>526</v>
      </c>
      <c r="G364" s="39" t="s">
        <v>111</v>
      </c>
      <c r="H364" s="39" t="s">
        <v>479</v>
      </c>
      <c r="I364" s="39" t="s">
        <v>106</v>
      </c>
    </row>
    <row r="365" spans="2:9" x14ac:dyDescent="0.25">
      <c r="B365"/>
      <c r="F365" s="39" t="s">
        <v>320</v>
      </c>
      <c r="G365" s="39" t="s">
        <v>129</v>
      </c>
      <c r="H365" s="39" t="s">
        <v>210</v>
      </c>
      <c r="I365" s="39" t="s">
        <v>106</v>
      </c>
    </row>
    <row r="366" spans="2:9" x14ac:dyDescent="0.25">
      <c r="B366"/>
      <c r="F366" s="39" t="s">
        <v>184</v>
      </c>
      <c r="G366" s="39" t="s">
        <v>107</v>
      </c>
      <c r="H366" s="39" t="s">
        <v>108</v>
      </c>
      <c r="I366" s="39" t="s">
        <v>106</v>
      </c>
    </row>
    <row r="367" spans="2:9" x14ac:dyDescent="0.25">
      <c r="B367"/>
      <c r="F367" s="39" t="s">
        <v>449</v>
      </c>
      <c r="G367" s="39" t="s">
        <v>115</v>
      </c>
      <c r="H367" s="39" t="s">
        <v>368</v>
      </c>
      <c r="I367" s="39" t="s">
        <v>110</v>
      </c>
    </row>
    <row r="368" spans="2:9" x14ac:dyDescent="0.25">
      <c r="B368"/>
      <c r="F368" s="39" t="s">
        <v>321</v>
      </c>
      <c r="G368" s="39" t="s">
        <v>115</v>
      </c>
      <c r="H368" s="39" t="s">
        <v>210</v>
      </c>
      <c r="I368" s="39" t="s">
        <v>110</v>
      </c>
    </row>
    <row r="369" spans="2:9" x14ac:dyDescent="0.25">
      <c r="B369"/>
      <c r="F369" s="39" t="s">
        <v>590</v>
      </c>
      <c r="G369" s="39" t="s">
        <v>515</v>
      </c>
      <c r="H369" s="39" t="s">
        <v>548</v>
      </c>
      <c r="I369" s="39" t="s">
        <v>106</v>
      </c>
    </row>
    <row r="370" spans="2:9" x14ac:dyDescent="0.25">
      <c r="B370"/>
      <c r="F370" s="39" t="s">
        <v>450</v>
      </c>
      <c r="G370" s="39" t="s">
        <v>154</v>
      </c>
      <c r="H370" s="39" t="s">
        <v>368</v>
      </c>
      <c r="I370" s="39" t="s">
        <v>106</v>
      </c>
    </row>
    <row r="371" spans="2:9" x14ac:dyDescent="0.25">
      <c r="B371"/>
      <c r="F371" s="39" t="s">
        <v>591</v>
      </c>
      <c r="G371" s="39" t="s">
        <v>115</v>
      </c>
      <c r="H371" s="39" t="s">
        <v>548</v>
      </c>
      <c r="I371" s="39" t="s">
        <v>106</v>
      </c>
    </row>
    <row r="372" spans="2:9" x14ac:dyDescent="0.25">
      <c r="B372"/>
      <c r="F372" s="39" t="s">
        <v>185</v>
      </c>
      <c r="G372" s="39" t="s">
        <v>113</v>
      </c>
      <c r="H372" s="39" t="s">
        <v>108</v>
      </c>
      <c r="I372" s="39" t="s">
        <v>106</v>
      </c>
    </row>
    <row r="373" spans="2:9" x14ac:dyDescent="0.25">
      <c r="B373"/>
      <c r="F373" s="39" t="s">
        <v>527</v>
      </c>
      <c r="G373" s="39" t="s">
        <v>111</v>
      </c>
      <c r="H373" s="39" t="s">
        <v>479</v>
      </c>
      <c r="I373" s="39" t="s">
        <v>106</v>
      </c>
    </row>
    <row r="374" spans="2:9" x14ac:dyDescent="0.25">
      <c r="B374"/>
      <c r="F374" s="39" t="s">
        <v>186</v>
      </c>
      <c r="G374" s="39" t="s">
        <v>127</v>
      </c>
      <c r="H374" s="39" t="s">
        <v>108</v>
      </c>
      <c r="I374" s="39" t="s">
        <v>106</v>
      </c>
    </row>
    <row r="375" spans="2:9" x14ac:dyDescent="0.25">
      <c r="B375"/>
      <c r="F375" s="39" t="s">
        <v>451</v>
      </c>
      <c r="G375" s="39" t="s">
        <v>391</v>
      </c>
      <c r="H375" s="39" t="s">
        <v>368</v>
      </c>
      <c r="I375" s="39" t="s">
        <v>106</v>
      </c>
    </row>
    <row r="376" spans="2:9" x14ac:dyDescent="0.25">
      <c r="B376"/>
      <c r="F376" s="39" t="s">
        <v>452</v>
      </c>
      <c r="G376" s="39" t="s">
        <v>127</v>
      </c>
      <c r="H376" s="39" t="s">
        <v>368</v>
      </c>
      <c r="I376" s="39" t="s">
        <v>106</v>
      </c>
    </row>
    <row r="377" spans="2:9" x14ac:dyDescent="0.25">
      <c r="B377"/>
      <c r="F377" s="39" t="s">
        <v>187</v>
      </c>
      <c r="G377" s="39" t="s">
        <v>188</v>
      </c>
      <c r="H377" s="39" t="s">
        <v>108</v>
      </c>
      <c r="I377" s="39" t="s">
        <v>106</v>
      </c>
    </row>
    <row r="378" spans="2:9" x14ac:dyDescent="0.25">
      <c r="B378"/>
      <c r="F378" s="39" t="s">
        <v>322</v>
      </c>
      <c r="G378" s="39" t="s">
        <v>147</v>
      </c>
      <c r="H378" s="39" t="s">
        <v>210</v>
      </c>
      <c r="I378" s="39" t="s">
        <v>106</v>
      </c>
    </row>
    <row r="379" spans="2:9" x14ac:dyDescent="0.25">
      <c r="B379"/>
      <c r="F379" s="39" t="s">
        <v>323</v>
      </c>
      <c r="G379" s="39" t="s">
        <v>232</v>
      </c>
      <c r="H379" s="39" t="s">
        <v>210</v>
      </c>
      <c r="I379" s="39" t="s">
        <v>106</v>
      </c>
    </row>
    <row r="380" spans="2:9" x14ac:dyDescent="0.25">
      <c r="B380"/>
      <c r="F380" s="39" t="s">
        <v>627</v>
      </c>
      <c r="G380" s="39" t="s">
        <v>621</v>
      </c>
      <c r="H380" s="39" t="s">
        <v>623</v>
      </c>
      <c r="I380" s="39" t="s">
        <v>106</v>
      </c>
    </row>
    <row r="381" spans="2:9" x14ac:dyDescent="0.25">
      <c r="B381"/>
      <c r="F381" s="39" t="s">
        <v>324</v>
      </c>
      <c r="G381" s="39" t="s">
        <v>122</v>
      </c>
      <c r="H381" s="39" t="s">
        <v>210</v>
      </c>
      <c r="I381" s="39" t="s">
        <v>106</v>
      </c>
    </row>
    <row r="382" spans="2:9" x14ac:dyDescent="0.25">
      <c r="B382"/>
      <c r="F382" s="39" t="s">
        <v>325</v>
      </c>
      <c r="G382" s="39" t="s">
        <v>149</v>
      </c>
      <c r="H382" s="39" t="s">
        <v>210</v>
      </c>
      <c r="I382" s="39" t="s">
        <v>106</v>
      </c>
    </row>
    <row r="383" spans="2:9" x14ac:dyDescent="0.25">
      <c r="B383"/>
      <c r="F383" s="39" t="s">
        <v>453</v>
      </c>
      <c r="G383" s="39" t="s">
        <v>391</v>
      </c>
      <c r="H383" s="39" t="s">
        <v>368</v>
      </c>
      <c r="I383" s="39" t="s">
        <v>106</v>
      </c>
    </row>
    <row r="384" spans="2:9" x14ac:dyDescent="0.25">
      <c r="B384"/>
      <c r="F384" s="39" t="s">
        <v>189</v>
      </c>
      <c r="G384" s="39" t="s">
        <v>188</v>
      </c>
      <c r="H384" s="39" t="s">
        <v>108</v>
      </c>
      <c r="I384" s="39" t="s">
        <v>106</v>
      </c>
    </row>
    <row r="385" spans="2:9" x14ac:dyDescent="0.25">
      <c r="B385"/>
      <c r="F385" s="39" t="s">
        <v>528</v>
      </c>
      <c r="G385" s="39" t="s">
        <v>120</v>
      </c>
      <c r="H385" s="39" t="s">
        <v>479</v>
      </c>
      <c r="I385" s="39" t="s">
        <v>110</v>
      </c>
    </row>
    <row r="386" spans="2:9" x14ac:dyDescent="0.25">
      <c r="B386"/>
      <c r="F386" s="39" t="s">
        <v>529</v>
      </c>
      <c r="G386" s="39" t="s">
        <v>115</v>
      </c>
      <c r="H386" s="39" t="s">
        <v>479</v>
      </c>
      <c r="I386" s="39" t="s">
        <v>110</v>
      </c>
    </row>
    <row r="387" spans="2:9" x14ac:dyDescent="0.25">
      <c r="B387"/>
      <c r="F387" s="39" t="s">
        <v>454</v>
      </c>
      <c r="G387" s="39" t="s">
        <v>127</v>
      </c>
      <c r="H387" s="39" t="s">
        <v>368</v>
      </c>
      <c r="I387" s="39" t="s">
        <v>106</v>
      </c>
    </row>
    <row r="388" spans="2:9" x14ac:dyDescent="0.25">
      <c r="B388"/>
      <c r="F388" s="39" t="s">
        <v>592</v>
      </c>
      <c r="G388" s="39" t="s">
        <v>118</v>
      </c>
      <c r="H388" s="39" t="s">
        <v>548</v>
      </c>
      <c r="I388" s="39" t="s">
        <v>106</v>
      </c>
    </row>
    <row r="389" spans="2:9" x14ac:dyDescent="0.25">
      <c r="B389"/>
      <c r="F389" s="39" t="s">
        <v>326</v>
      </c>
      <c r="G389" s="39" t="s">
        <v>113</v>
      </c>
      <c r="H389" s="39" t="s">
        <v>210</v>
      </c>
      <c r="I389" s="39" t="s">
        <v>106</v>
      </c>
    </row>
    <row r="390" spans="2:9" x14ac:dyDescent="0.25">
      <c r="B390"/>
      <c r="F390" s="39" t="s">
        <v>530</v>
      </c>
      <c r="G390" s="39" t="s">
        <v>111</v>
      </c>
      <c r="H390" s="39" t="s">
        <v>479</v>
      </c>
      <c r="I390" s="39" t="s">
        <v>106</v>
      </c>
    </row>
    <row r="391" spans="2:9" x14ac:dyDescent="0.25">
      <c r="B391"/>
      <c r="F391" s="39" t="s">
        <v>531</v>
      </c>
      <c r="G391" s="39" t="s">
        <v>129</v>
      </c>
      <c r="H391" s="39" t="s">
        <v>479</v>
      </c>
      <c r="I391" s="39" t="s">
        <v>106</v>
      </c>
    </row>
    <row r="392" spans="2:9" x14ac:dyDescent="0.25">
      <c r="B392"/>
      <c r="F392" s="39" t="s">
        <v>327</v>
      </c>
      <c r="G392" s="39" t="s">
        <v>122</v>
      </c>
      <c r="H392" s="39" t="s">
        <v>210</v>
      </c>
      <c r="I392" s="39" t="s">
        <v>106</v>
      </c>
    </row>
    <row r="393" spans="2:9" x14ac:dyDescent="0.25">
      <c r="B393"/>
      <c r="F393" s="39" t="s">
        <v>455</v>
      </c>
      <c r="G393" s="39" t="s">
        <v>188</v>
      </c>
      <c r="H393" s="39" t="s">
        <v>368</v>
      </c>
      <c r="I393" s="39" t="s">
        <v>106</v>
      </c>
    </row>
    <row r="394" spans="2:9" x14ac:dyDescent="0.25">
      <c r="B394"/>
      <c r="F394" s="39" t="s">
        <v>328</v>
      </c>
      <c r="G394" s="39" t="s">
        <v>107</v>
      </c>
      <c r="H394" s="39" t="s">
        <v>210</v>
      </c>
      <c r="I394" s="39" t="s">
        <v>106</v>
      </c>
    </row>
    <row r="395" spans="2:9" x14ac:dyDescent="0.25">
      <c r="B395"/>
      <c r="F395" s="39" t="s">
        <v>456</v>
      </c>
      <c r="G395" s="39" t="s">
        <v>129</v>
      </c>
      <c r="H395" s="39" t="s">
        <v>368</v>
      </c>
      <c r="I395" s="39" t="s">
        <v>110</v>
      </c>
    </row>
    <row r="396" spans="2:9" x14ac:dyDescent="0.25">
      <c r="B396"/>
      <c r="F396" s="39" t="s">
        <v>532</v>
      </c>
      <c r="G396" s="39" t="s">
        <v>149</v>
      </c>
      <c r="H396" s="39" t="s">
        <v>479</v>
      </c>
      <c r="I396" s="39" t="s">
        <v>106</v>
      </c>
    </row>
    <row r="397" spans="2:9" x14ac:dyDescent="0.25">
      <c r="B397"/>
      <c r="F397" s="39" t="s">
        <v>593</v>
      </c>
      <c r="G397" s="39" t="s">
        <v>222</v>
      </c>
      <c r="H397" s="39" t="s">
        <v>548</v>
      </c>
      <c r="I397" s="39" t="s">
        <v>106</v>
      </c>
    </row>
    <row r="398" spans="2:9" x14ac:dyDescent="0.25">
      <c r="B398"/>
      <c r="F398" s="39" t="s">
        <v>457</v>
      </c>
      <c r="G398" s="39" t="s">
        <v>118</v>
      </c>
      <c r="H398" s="39" t="s">
        <v>368</v>
      </c>
      <c r="I398" s="39" t="s">
        <v>110</v>
      </c>
    </row>
    <row r="399" spans="2:9" x14ac:dyDescent="0.25">
      <c r="B399"/>
      <c r="F399" s="39" t="s">
        <v>594</v>
      </c>
      <c r="G399" s="39" t="s">
        <v>111</v>
      </c>
      <c r="H399" s="39" t="s">
        <v>548</v>
      </c>
      <c r="I399" s="39" t="s">
        <v>106</v>
      </c>
    </row>
    <row r="400" spans="2:9" x14ac:dyDescent="0.25">
      <c r="B400"/>
      <c r="F400" s="39" t="s">
        <v>329</v>
      </c>
      <c r="G400" s="39" t="s">
        <v>115</v>
      </c>
      <c r="H400" s="39" t="s">
        <v>210</v>
      </c>
      <c r="I400" s="39" t="s">
        <v>106</v>
      </c>
    </row>
    <row r="401" spans="2:9" x14ac:dyDescent="0.25">
      <c r="B401"/>
      <c r="F401" s="39" t="s">
        <v>533</v>
      </c>
      <c r="G401" s="39" t="s">
        <v>376</v>
      </c>
      <c r="H401" s="39" t="s">
        <v>479</v>
      </c>
      <c r="I401" s="39" t="s">
        <v>106</v>
      </c>
    </row>
    <row r="402" spans="2:9" x14ac:dyDescent="0.25">
      <c r="B402"/>
      <c r="F402" s="39" t="s">
        <v>458</v>
      </c>
      <c r="G402" s="39" t="s">
        <v>154</v>
      </c>
      <c r="H402" s="39" t="s">
        <v>368</v>
      </c>
      <c r="I402" s="39" t="s">
        <v>106</v>
      </c>
    </row>
    <row r="403" spans="2:9" x14ac:dyDescent="0.25">
      <c r="B403"/>
      <c r="F403" s="39" t="s">
        <v>190</v>
      </c>
      <c r="G403" s="39" t="s">
        <v>122</v>
      </c>
      <c r="H403" s="39" t="s">
        <v>108</v>
      </c>
      <c r="I403" s="39" t="s">
        <v>106</v>
      </c>
    </row>
    <row r="404" spans="2:9" x14ac:dyDescent="0.25">
      <c r="B404"/>
      <c r="F404" s="39" t="s">
        <v>459</v>
      </c>
      <c r="G404" s="39" t="s">
        <v>111</v>
      </c>
      <c r="H404" s="39" t="s">
        <v>368</v>
      </c>
      <c r="I404" s="39" t="s">
        <v>106</v>
      </c>
    </row>
    <row r="405" spans="2:9" x14ac:dyDescent="0.25">
      <c r="B405"/>
      <c r="F405" s="39" t="s">
        <v>330</v>
      </c>
      <c r="G405" s="39" t="s">
        <v>115</v>
      </c>
      <c r="H405" s="39" t="s">
        <v>210</v>
      </c>
      <c r="I405" s="39" t="s">
        <v>106</v>
      </c>
    </row>
    <row r="406" spans="2:9" x14ac:dyDescent="0.25">
      <c r="B406"/>
      <c r="F406" s="39" t="s">
        <v>191</v>
      </c>
      <c r="G406" s="39" t="s">
        <v>127</v>
      </c>
      <c r="H406" s="39" t="s">
        <v>108</v>
      </c>
      <c r="I406" s="39" t="s">
        <v>106</v>
      </c>
    </row>
    <row r="407" spans="2:9" x14ac:dyDescent="0.25">
      <c r="B407"/>
      <c r="F407" s="39" t="s">
        <v>534</v>
      </c>
      <c r="G407" s="39" t="s">
        <v>111</v>
      </c>
      <c r="H407" s="39" t="s">
        <v>479</v>
      </c>
      <c r="I407" s="39" t="s">
        <v>106</v>
      </c>
    </row>
    <row r="408" spans="2:9" x14ac:dyDescent="0.25">
      <c r="B408"/>
      <c r="F408" s="39" t="s">
        <v>460</v>
      </c>
      <c r="G408" s="39" t="s">
        <v>118</v>
      </c>
      <c r="H408" s="39" t="s">
        <v>368</v>
      </c>
      <c r="I408" s="39" t="s">
        <v>110</v>
      </c>
    </row>
    <row r="409" spans="2:9" x14ac:dyDescent="0.25">
      <c r="B409"/>
      <c r="F409" s="39" t="s">
        <v>331</v>
      </c>
      <c r="G409" s="39" t="s">
        <v>127</v>
      </c>
      <c r="H409" s="39" t="s">
        <v>210</v>
      </c>
      <c r="I409" s="39" t="s">
        <v>110</v>
      </c>
    </row>
    <row r="410" spans="2:9" x14ac:dyDescent="0.25">
      <c r="B410"/>
      <c r="F410" s="39" t="s">
        <v>332</v>
      </c>
      <c r="G410" s="39" t="s">
        <v>222</v>
      </c>
      <c r="H410" s="39" t="s">
        <v>210</v>
      </c>
      <c r="I410" s="39" t="s">
        <v>106</v>
      </c>
    </row>
    <row r="411" spans="2:9" x14ac:dyDescent="0.25">
      <c r="B411"/>
      <c r="F411" s="39" t="s">
        <v>192</v>
      </c>
      <c r="G411" s="39" t="s">
        <v>111</v>
      </c>
      <c r="H411" s="39" t="s">
        <v>108</v>
      </c>
      <c r="I411" s="39" t="s">
        <v>110</v>
      </c>
    </row>
    <row r="412" spans="2:9" x14ac:dyDescent="0.25">
      <c r="B412"/>
      <c r="F412" s="39" t="s">
        <v>333</v>
      </c>
      <c r="G412" s="39" t="s">
        <v>107</v>
      </c>
      <c r="H412" s="39" t="s">
        <v>210</v>
      </c>
      <c r="I412" s="39" t="s">
        <v>106</v>
      </c>
    </row>
    <row r="413" spans="2:9" x14ac:dyDescent="0.25">
      <c r="B413"/>
      <c r="F413" s="39" t="s">
        <v>334</v>
      </c>
      <c r="G413" s="39" t="s">
        <v>118</v>
      </c>
      <c r="H413" s="39" t="s">
        <v>210</v>
      </c>
      <c r="I413" s="39" t="s">
        <v>106</v>
      </c>
    </row>
    <row r="414" spans="2:9" x14ac:dyDescent="0.25">
      <c r="B414"/>
      <c r="F414" s="39" t="s">
        <v>335</v>
      </c>
      <c r="G414" s="39" t="s">
        <v>149</v>
      </c>
      <c r="H414" s="39" t="s">
        <v>210</v>
      </c>
      <c r="I414" s="39" t="s">
        <v>106</v>
      </c>
    </row>
    <row r="415" spans="2:9" x14ac:dyDescent="0.25">
      <c r="B415"/>
      <c r="F415" s="39" t="s">
        <v>193</v>
      </c>
      <c r="G415" s="39" t="s">
        <v>115</v>
      </c>
      <c r="H415" s="39" t="s">
        <v>108</v>
      </c>
      <c r="I415" s="39" t="s">
        <v>106</v>
      </c>
    </row>
    <row r="416" spans="2:9" x14ac:dyDescent="0.25">
      <c r="B416"/>
      <c r="F416" s="39" t="s">
        <v>535</v>
      </c>
      <c r="G416" s="39" t="s">
        <v>115</v>
      </c>
      <c r="H416" s="39" t="s">
        <v>479</v>
      </c>
      <c r="I416" s="39" t="s">
        <v>106</v>
      </c>
    </row>
    <row r="417" spans="2:9" x14ac:dyDescent="0.25">
      <c r="B417"/>
      <c r="F417" s="39" t="s">
        <v>336</v>
      </c>
      <c r="G417" s="39" t="s">
        <v>113</v>
      </c>
      <c r="H417" s="39" t="s">
        <v>210</v>
      </c>
      <c r="I417" s="39" t="s">
        <v>106</v>
      </c>
    </row>
    <row r="418" spans="2:9" x14ac:dyDescent="0.25">
      <c r="B418"/>
      <c r="F418" s="39" t="s">
        <v>636</v>
      </c>
      <c r="G418" s="39" t="s">
        <v>621</v>
      </c>
      <c r="H418" s="39" t="s">
        <v>368</v>
      </c>
      <c r="I418" s="39" t="s">
        <v>106</v>
      </c>
    </row>
    <row r="419" spans="2:9" x14ac:dyDescent="0.25">
      <c r="B419"/>
      <c r="F419" s="39" t="s">
        <v>637</v>
      </c>
      <c r="G419" s="39" t="s">
        <v>621</v>
      </c>
      <c r="H419" s="39" t="s">
        <v>368</v>
      </c>
      <c r="I419" s="39" t="s">
        <v>106</v>
      </c>
    </row>
    <row r="420" spans="2:9" x14ac:dyDescent="0.25">
      <c r="B420"/>
      <c r="F420" s="39" t="s">
        <v>337</v>
      </c>
      <c r="G420" s="39" t="s">
        <v>111</v>
      </c>
      <c r="H420" s="39" t="s">
        <v>210</v>
      </c>
      <c r="I420" s="39" t="s">
        <v>106</v>
      </c>
    </row>
    <row r="421" spans="2:9" x14ac:dyDescent="0.25">
      <c r="B421"/>
      <c r="F421" s="39" t="s">
        <v>338</v>
      </c>
      <c r="G421" s="39" t="s">
        <v>188</v>
      </c>
      <c r="H421" s="39" t="s">
        <v>210</v>
      </c>
      <c r="I421" s="39" t="s">
        <v>106</v>
      </c>
    </row>
    <row r="422" spans="2:9" x14ac:dyDescent="0.25">
      <c r="B422"/>
      <c r="F422" s="39" t="s">
        <v>339</v>
      </c>
      <c r="G422" s="39" t="s">
        <v>107</v>
      </c>
      <c r="H422" s="39" t="s">
        <v>210</v>
      </c>
      <c r="I422" s="39" t="s">
        <v>106</v>
      </c>
    </row>
    <row r="423" spans="2:9" x14ac:dyDescent="0.25">
      <c r="B423"/>
      <c r="F423" s="39" t="s">
        <v>340</v>
      </c>
      <c r="G423" s="39" t="s">
        <v>111</v>
      </c>
      <c r="H423" s="39" t="s">
        <v>210</v>
      </c>
      <c r="I423" s="39" t="s">
        <v>106</v>
      </c>
    </row>
    <row r="424" spans="2:9" x14ac:dyDescent="0.25">
      <c r="B424"/>
      <c r="F424" s="39" t="s">
        <v>639</v>
      </c>
      <c r="G424" s="39" t="s">
        <v>621</v>
      </c>
      <c r="H424" s="39" t="s">
        <v>368</v>
      </c>
      <c r="I424" s="39" t="s">
        <v>106</v>
      </c>
    </row>
    <row r="425" spans="2:9" x14ac:dyDescent="0.25">
      <c r="B425"/>
      <c r="F425" s="39" t="s">
        <v>341</v>
      </c>
      <c r="G425" s="39" t="s">
        <v>111</v>
      </c>
      <c r="H425" s="39" t="s">
        <v>210</v>
      </c>
      <c r="I425" s="39" t="s">
        <v>106</v>
      </c>
    </row>
    <row r="426" spans="2:9" x14ac:dyDescent="0.25">
      <c r="B426"/>
      <c r="F426" s="39" t="s">
        <v>657</v>
      </c>
      <c r="G426" s="39" t="s">
        <v>651</v>
      </c>
      <c r="H426" s="39" t="s">
        <v>368</v>
      </c>
      <c r="I426" s="39"/>
    </row>
    <row r="427" spans="2:9" x14ac:dyDescent="0.25">
      <c r="B427"/>
      <c r="F427" s="39" t="s">
        <v>194</v>
      </c>
      <c r="G427" s="39" t="s">
        <v>118</v>
      </c>
      <c r="H427" s="39" t="s">
        <v>108</v>
      </c>
      <c r="I427" s="39" t="s">
        <v>106</v>
      </c>
    </row>
    <row r="428" spans="2:9" x14ac:dyDescent="0.25">
      <c r="B428"/>
      <c r="F428" s="39" t="s">
        <v>536</v>
      </c>
      <c r="G428" s="39" t="s">
        <v>156</v>
      </c>
      <c r="H428" s="39" t="s">
        <v>479</v>
      </c>
      <c r="I428" s="39" t="s">
        <v>106</v>
      </c>
    </row>
    <row r="429" spans="2:9" x14ac:dyDescent="0.25">
      <c r="B429"/>
      <c r="F429" s="39" t="s">
        <v>342</v>
      </c>
      <c r="G429" s="39" t="s">
        <v>127</v>
      </c>
      <c r="H429" s="39" t="s">
        <v>210</v>
      </c>
      <c r="I429" s="39" t="s">
        <v>106</v>
      </c>
    </row>
    <row r="430" spans="2:9" x14ac:dyDescent="0.25">
      <c r="B430"/>
      <c r="F430" s="39" t="s">
        <v>461</v>
      </c>
      <c r="G430" s="39" t="s">
        <v>127</v>
      </c>
      <c r="H430" s="39" t="s">
        <v>368</v>
      </c>
      <c r="I430" s="39" t="s">
        <v>106</v>
      </c>
    </row>
    <row r="431" spans="2:9" x14ac:dyDescent="0.25">
      <c r="B431"/>
      <c r="F431" s="39" t="s">
        <v>462</v>
      </c>
      <c r="G431" s="39" t="s">
        <v>181</v>
      </c>
      <c r="H431" s="39" t="s">
        <v>368</v>
      </c>
      <c r="I431" s="39" t="s">
        <v>106</v>
      </c>
    </row>
    <row r="432" spans="2:9" x14ac:dyDescent="0.25">
      <c r="B432"/>
      <c r="F432" s="39" t="s">
        <v>195</v>
      </c>
      <c r="G432" s="39" t="s">
        <v>115</v>
      </c>
      <c r="H432" s="39" t="s">
        <v>108</v>
      </c>
      <c r="I432" s="39" t="s">
        <v>106</v>
      </c>
    </row>
    <row r="433" spans="2:9" x14ac:dyDescent="0.25">
      <c r="B433"/>
      <c r="F433" s="39" t="s">
        <v>463</v>
      </c>
      <c r="G433" s="39" t="s">
        <v>391</v>
      </c>
      <c r="H433" s="39" t="s">
        <v>368</v>
      </c>
      <c r="I433" s="39" t="s">
        <v>106</v>
      </c>
    </row>
    <row r="434" spans="2:9" x14ac:dyDescent="0.25">
      <c r="B434"/>
      <c r="F434" s="39" t="s">
        <v>343</v>
      </c>
      <c r="G434" s="39" t="s">
        <v>232</v>
      </c>
      <c r="H434" s="39" t="s">
        <v>210</v>
      </c>
      <c r="I434" s="39" t="s">
        <v>106</v>
      </c>
    </row>
    <row r="435" spans="2:9" x14ac:dyDescent="0.25">
      <c r="B435"/>
      <c r="F435" s="39" t="s">
        <v>344</v>
      </c>
      <c r="G435" s="39" t="s">
        <v>115</v>
      </c>
      <c r="H435" s="39" t="s">
        <v>210</v>
      </c>
      <c r="I435" s="39" t="s">
        <v>106</v>
      </c>
    </row>
    <row r="436" spans="2:9" x14ac:dyDescent="0.25">
      <c r="B436"/>
      <c r="F436" s="39" t="s">
        <v>345</v>
      </c>
      <c r="G436" s="39" t="s">
        <v>127</v>
      </c>
      <c r="H436" s="39" t="s">
        <v>210</v>
      </c>
      <c r="I436" s="39" t="s">
        <v>106</v>
      </c>
    </row>
    <row r="437" spans="2:9" x14ac:dyDescent="0.25">
      <c r="B437"/>
      <c r="F437" s="39" t="s">
        <v>346</v>
      </c>
      <c r="G437" s="39" t="s">
        <v>222</v>
      </c>
      <c r="H437" s="39" t="s">
        <v>210</v>
      </c>
      <c r="I437" s="39" t="s">
        <v>106</v>
      </c>
    </row>
    <row r="438" spans="2:9" x14ac:dyDescent="0.25">
      <c r="B438"/>
      <c r="F438" s="39" t="s">
        <v>641</v>
      </c>
      <c r="G438" s="39" t="s">
        <v>621</v>
      </c>
      <c r="H438" s="39" t="s">
        <v>368</v>
      </c>
      <c r="I438" s="39" t="s">
        <v>106</v>
      </c>
    </row>
    <row r="439" spans="2:9" x14ac:dyDescent="0.25">
      <c r="B439"/>
      <c r="F439" s="39" t="s">
        <v>537</v>
      </c>
      <c r="G439" s="39" t="s">
        <v>107</v>
      </c>
      <c r="H439" s="39" t="s">
        <v>479</v>
      </c>
      <c r="I439" s="39" t="s">
        <v>106</v>
      </c>
    </row>
    <row r="440" spans="2:9" x14ac:dyDescent="0.25">
      <c r="B440"/>
      <c r="F440" s="39" t="s">
        <v>347</v>
      </c>
      <c r="G440" s="39" t="s">
        <v>188</v>
      </c>
      <c r="H440" s="39" t="s">
        <v>210</v>
      </c>
      <c r="I440" s="39" t="s">
        <v>106</v>
      </c>
    </row>
    <row r="441" spans="2:9" x14ac:dyDescent="0.25">
      <c r="B441"/>
      <c r="F441" s="39" t="s">
        <v>196</v>
      </c>
      <c r="G441" s="39" t="s">
        <v>122</v>
      </c>
      <c r="H441" s="39" t="s">
        <v>108</v>
      </c>
      <c r="I441" s="39" t="s">
        <v>110</v>
      </c>
    </row>
    <row r="442" spans="2:9" x14ac:dyDescent="0.25">
      <c r="B442"/>
      <c r="F442" s="39" t="s">
        <v>464</v>
      </c>
      <c r="G442" s="39" t="s">
        <v>115</v>
      </c>
      <c r="H442" s="39" t="s">
        <v>368</v>
      </c>
      <c r="I442" s="39" t="s">
        <v>106</v>
      </c>
    </row>
    <row r="443" spans="2:9" x14ac:dyDescent="0.25">
      <c r="B443"/>
      <c r="F443" s="39" t="s">
        <v>465</v>
      </c>
      <c r="G443" s="39" t="s">
        <v>115</v>
      </c>
      <c r="H443" s="39" t="s">
        <v>368</v>
      </c>
      <c r="I443" s="39" t="s">
        <v>106</v>
      </c>
    </row>
    <row r="444" spans="2:9" x14ac:dyDescent="0.25">
      <c r="B444"/>
      <c r="F444" s="39" t="s">
        <v>197</v>
      </c>
      <c r="G444" s="39" t="s">
        <v>154</v>
      </c>
      <c r="H444" s="39" t="s">
        <v>108</v>
      </c>
      <c r="I444" s="39" t="s">
        <v>106</v>
      </c>
    </row>
    <row r="445" spans="2:9" x14ac:dyDescent="0.25">
      <c r="B445"/>
      <c r="F445" s="39" t="s">
        <v>198</v>
      </c>
      <c r="G445" s="39" t="s">
        <v>115</v>
      </c>
      <c r="H445" s="39" t="s">
        <v>108</v>
      </c>
      <c r="I445" s="39" t="s">
        <v>106</v>
      </c>
    </row>
    <row r="446" spans="2:9" x14ac:dyDescent="0.25">
      <c r="B446"/>
      <c r="F446" s="39" t="s">
        <v>199</v>
      </c>
      <c r="G446" s="39" t="s">
        <v>115</v>
      </c>
      <c r="H446" s="39" t="s">
        <v>108</v>
      </c>
      <c r="I446" s="39" t="s">
        <v>106</v>
      </c>
    </row>
    <row r="447" spans="2:9" x14ac:dyDescent="0.25">
      <c r="B447"/>
      <c r="F447" s="39" t="s">
        <v>662</v>
      </c>
      <c r="G447" s="39" t="s">
        <v>661</v>
      </c>
      <c r="H447" s="39" t="s">
        <v>368</v>
      </c>
      <c r="I447" s="39"/>
    </row>
    <row r="448" spans="2:9" x14ac:dyDescent="0.25">
      <c r="B448"/>
      <c r="F448" s="39" t="s">
        <v>630</v>
      </c>
      <c r="G448" s="39" t="s">
        <v>621</v>
      </c>
      <c r="H448" s="39" t="s">
        <v>623</v>
      </c>
      <c r="I448" s="39" t="s">
        <v>106</v>
      </c>
    </row>
    <row r="449" spans="2:9" x14ac:dyDescent="0.25">
      <c r="B449"/>
      <c r="F449" s="39" t="s">
        <v>466</v>
      </c>
      <c r="G449" s="39" t="s">
        <v>391</v>
      </c>
      <c r="H449" s="39" t="s">
        <v>368</v>
      </c>
      <c r="I449" s="39" t="s">
        <v>106</v>
      </c>
    </row>
    <row r="450" spans="2:9" x14ac:dyDescent="0.25">
      <c r="B450"/>
      <c r="F450" s="39" t="s">
        <v>348</v>
      </c>
      <c r="G450" s="39" t="s">
        <v>127</v>
      </c>
      <c r="H450" s="39" t="s">
        <v>210</v>
      </c>
      <c r="I450" s="39" t="s">
        <v>106</v>
      </c>
    </row>
    <row r="451" spans="2:9" x14ac:dyDescent="0.25">
      <c r="B451"/>
      <c r="F451" s="39" t="s">
        <v>467</v>
      </c>
      <c r="G451" s="39" t="s">
        <v>122</v>
      </c>
      <c r="H451" s="39" t="s">
        <v>368</v>
      </c>
      <c r="I451" s="39" t="s">
        <v>106</v>
      </c>
    </row>
    <row r="452" spans="2:9" x14ac:dyDescent="0.25">
      <c r="B452"/>
      <c r="F452" s="39" t="s">
        <v>468</v>
      </c>
      <c r="G452" s="39" t="s">
        <v>107</v>
      </c>
      <c r="H452" s="39" t="s">
        <v>368</v>
      </c>
      <c r="I452" s="39" t="s">
        <v>106</v>
      </c>
    </row>
    <row r="453" spans="2:9" x14ac:dyDescent="0.25">
      <c r="B453"/>
      <c r="F453" s="39" t="s">
        <v>469</v>
      </c>
      <c r="G453" s="39" t="s">
        <v>376</v>
      </c>
      <c r="H453" s="39" t="s">
        <v>368</v>
      </c>
      <c r="I453" s="39" t="s">
        <v>106</v>
      </c>
    </row>
    <row r="454" spans="2:9" x14ac:dyDescent="0.25">
      <c r="B454"/>
      <c r="F454" s="39" t="s">
        <v>470</v>
      </c>
      <c r="G454" s="39" t="s">
        <v>188</v>
      </c>
      <c r="H454" s="39" t="s">
        <v>368</v>
      </c>
      <c r="I454" s="39" t="s">
        <v>106</v>
      </c>
    </row>
    <row r="455" spans="2:9" x14ac:dyDescent="0.25">
      <c r="B455"/>
      <c r="F455" s="39" t="s">
        <v>349</v>
      </c>
      <c r="G455" s="39" t="s">
        <v>118</v>
      </c>
      <c r="H455" s="39" t="s">
        <v>210</v>
      </c>
      <c r="I455" s="39" t="s">
        <v>106</v>
      </c>
    </row>
    <row r="456" spans="2:9" x14ac:dyDescent="0.25">
      <c r="B456"/>
      <c r="F456" s="39" t="s">
        <v>471</v>
      </c>
      <c r="G456" s="39" t="s">
        <v>127</v>
      </c>
      <c r="H456" s="39" t="s">
        <v>368</v>
      </c>
      <c r="I456" s="39" t="s">
        <v>106</v>
      </c>
    </row>
    <row r="457" spans="2:9" x14ac:dyDescent="0.25">
      <c r="B457"/>
      <c r="F457" s="39" t="s">
        <v>538</v>
      </c>
      <c r="G457" s="39" t="s">
        <v>154</v>
      </c>
      <c r="H457" s="39" t="s">
        <v>479</v>
      </c>
      <c r="I457" s="39" t="s">
        <v>110</v>
      </c>
    </row>
    <row r="458" spans="2:9" x14ac:dyDescent="0.25">
      <c r="B458"/>
      <c r="F458" s="39" t="s">
        <v>472</v>
      </c>
      <c r="G458" s="39" t="s">
        <v>122</v>
      </c>
      <c r="H458" s="39" t="s">
        <v>368</v>
      </c>
      <c r="I458" s="39" t="s">
        <v>106</v>
      </c>
    </row>
    <row r="459" spans="2:9" x14ac:dyDescent="0.25">
      <c r="B459"/>
      <c r="F459" s="39" t="s">
        <v>539</v>
      </c>
      <c r="G459" s="39" t="s">
        <v>376</v>
      </c>
      <c r="H459" s="39" t="s">
        <v>479</v>
      </c>
      <c r="I459" s="39" t="s">
        <v>106</v>
      </c>
    </row>
    <row r="460" spans="2:9" x14ac:dyDescent="0.25">
      <c r="B460"/>
      <c r="F460" s="39" t="s">
        <v>350</v>
      </c>
      <c r="G460" s="39" t="s">
        <v>115</v>
      </c>
      <c r="H460" s="39" t="s">
        <v>210</v>
      </c>
      <c r="I460" s="39" t="s">
        <v>106</v>
      </c>
    </row>
    <row r="461" spans="2:9" x14ac:dyDescent="0.25">
      <c r="B461"/>
      <c r="F461" s="39" t="s">
        <v>473</v>
      </c>
      <c r="G461" s="39" t="s">
        <v>107</v>
      </c>
      <c r="H461" s="39" t="s">
        <v>368</v>
      </c>
      <c r="I461" s="39" t="s">
        <v>106</v>
      </c>
    </row>
    <row r="462" spans="2:9" x14ac:dyDescent="0.25">
      <c r="B462"/>
      <c r="F462" s="39" t="s">
        <v>351</v>
      </c>
      <c r="G462" s="39" t="s">
        <v>107</v>
      </c>
      <c r="H462" s="39" t="s">
        <v>210</v>
      </c>
      <c r="I462" s="39" t="s">
        <v>106</v>
      </c>
    </row>
    <row r="463" spans="2:9" x14ac:dyDescent="0.25">
      <c r="B463"/>
      <c r="F463" s="39" t="s">
        <v>595</v>
      </c>
      <c r="G463" s="39" t="s">
        <v>115</v>
      </c>
      <c r="H463" s="39" t="s">
        <v>548</v>
      </c>
      <c r="I463" s="39" t="s">
        <v>106</v>
      </c>
    </row>
    <row r="464" spans="2:9" x14ac:dyDescent="0.25">
      <c r="B464"/>
      <c r="F464" s="39" t="s">
        <v>474</v>
      </c>
      <c r="G464" s="39" t="s">
        <v>129</v>
      </c>
      <c r="H464" s="39" t="s">
        <v>368</v>
      </c>
      <c r="I464" s="39" t="s">
        <v>106</v>
      </c>
    </row>
    <row r="465" spans="2:9" x14ac:dyDescent="0.25">
      <c r="B465"/>
      <c r="F465" s="39" t="s">
        <v>352</v>
      </c>
      <c r="G465" s="39" t="s">
        <v>149</v>
      </c>
      <c r="H465" s="39" t="s">
        <v>210</v>
      </c>
      <c r="I465" s="39" t="s">
        <v>106</v>
      </c>
    </row>
    <row r="466" spans="2:9" x14ac:dyDescent="0.25">
      <c r="B466"/>
      <c r="F466" s="39" t="s">
        <v>540</v>
      </c>
      <c r="G466" s="39" t="s">
        <v>107</v>
      </c>
      <c r="H466" s="39" t="s">
        <v>479</v>
      </c>
      <c r="I466" s="39" t="s">
        <v>106</v>
      </c>
    </row>
    <row r="467" spans="2:9" x14ac:dyDescent="0.25">
      <c r="B467"/>
      <c r="F467" s="39" t="s">
        <v>200</v>
      </c>
      <c r="G467" s="39" t="s">
        <v>129</v>
      </c>
      <c r="H467" s="39" t="s">
        <v>108</v>
      </c>
      <c r="I467" s="39" t="s">
        <v>106</v>
      </c>
    </row>
    <row r="468" spans="2:9" x14ac:dyDescent="0.25">
      <c r="B468"/>
      <c r="F468" s="39" t="s">
        <v>353</v>
      </c>
      <c r="G468" s="39" t="s">
        <v>127</v>
      </c>
      <c r="H468" s="39" t="s">
        <v>210</v>
      </c>
      <c r="I468" s="39" t="s">
        <v>106</v>
      </c>
    </row>
    <row r="469" spans="2:9" x14ac:dyDescent="0.25">
      <c r="B469"/>
      <c r="F469" s="39" t="s">
        <v>541</v>
      </c>
      <c r="G469" s="39" t="s">
        <v>376</v>
      </c>
      <c r="H469" s="39" t="s">
        <v>479</v>
      </c>
      <c r="I469" s="39" t="s">
        <v>106</v>
      </c>
    </row>
    <row r="470" spans="2:9" x14ac:dyDescent="0.25">
      <c r="B470"/>
      <c r="F470" s="39" t="s">
        <v>354</v>
      </c>
      <c r="G470" s="39" t="s">
        <v>127</v>
      </c>
      <c r="H470" s="39" t="s">
        <v>210</v>
      </c>
      <c r="I470" s="39" t="s">
        <v>106</v>
      </c>
    </row>
    <row r="471" spans="2:9" x14ac:dyDescent="0.25">
      <c r="B471"/>
      <c r="F471" s="39" t="s">
        <v>542</v>
      </c>
      <c r="G471" s="39" t="s">
        <v>383</v>
      </c>
      <c r="H471" s="39" t="s">
        <v>479</v>
      </c>
      <c r="I471" s="39" t="s">
        <v>106</v>
      </c>
    </row>
    <row r="472" spans="2:9" x14ac:dyDescent="0.25">
      <c r="B472"/>
      <c r="F472" s="39" t="s">
        <v>596</v>
      </c>
      <c r="G472" s="39" t="s">
        <v>111</v>
      </c>
      <c r="H472" s="39" t="s">
        <v>548</v>
      </c>
      <c r="I472" s="39" t="s">
        <v>110</v>
      </c>
    </row>
    <row r="473" spans="2:9" x14ac:dyDescent="0.25">
      <c r="B473"/>
      <c r="F473" s="39" t="s">
        <v>355</v>
      </c>
      <c r="G473" s="39" t="s">
        <v>111</v>
      </c>
      <c r="H473" s="39" t="s">
        <v>210</v>
      </c>
      <c r="I473" s="39" t="s">
        <v>110</v>
      </c>
    </row>
    <row r="474" spans="2:9" x14ac:dyDescent="0.25">
      <c r="B474"/>
      <c r="F474" s="39" t="s">
        <v>543</v>
      </c>
      <c r="G474" s="39" t="s">
        <v>111</v>
      </c>
      <c r="H474" s="39" t="s">
        <v>479</v>
      </c>
      <c r="I474" s="39" t="s">
        <v>110</v>
      </c>
    </row>
    <row r="475" spans="2:9" x14ac:dyDescent="0.25">
      <c r="B475"/>
      <c r="F475" s="39" t="s">
        <v>356</v>
      </c>
      <c r="G475" s="39" t="s">
        <v>113</v>
      </c>
      <c r="H475" s="39" t="s">
        <v>210</v>
      </c>
      <c r="I475" s="39" t="s">
        <v>110</v>
      </c>
    </row>
    <row r="476" spans="2:9" x14ac:dyDescent="0.25">
      <c r="B476"/>
      <c r="F476" s="39" t="s">
        <v>201</v>
      </c>
      <c r="G476" s="39" t="s">
        <v>115</v>
      </c>
      <c r="H476" s="39" t="s">
        <v>108</v>
      </c>
      <c r="I476" s="39" t="s">
        <v>110</v>
      </c>
    </row>
    <row r="477" spans="2:9" x14ac:dyDescent="0.25">
      <c r="B477"/>
      <c r="F477" s="39" t="s">
        <v>357</v>
      </c>
      <c r="G477" s="39" t="s">
        <v>113</v>
      </c>
      <c r="H477" s="39" t="s">
        <v>210</v>
      </c>
      <c r="I477" s="39" t="s">
        <v>110</v>
      </c>
    </row>
    <row r="478" spans="2:9" x14ac:dyDescent="0.25">
      <c r="B478"/>
      <c r="F478" s="39" t="s">
        <v>650</v>
      </c>
      <c r="G478" s="39" t="s">
        <v>651</v>
      </c>
      <c r="H478" s="39" t="s">
        <v>108</v>
      </c>
      <c r="I478" s="39"/>
    </row>
    <row r="479" spans="2:9" x14ac:dyDescent="0.25">
      <c r="B479"/>
      <c r="F479" s="39" t="s">
        <v>358</v>
      </c>
      <c r="G479" s="39" t="s">
        <v>120</v>
      </c>
      <c r="H479" s="39" t="s">
        <v>210</v>
      </c>
      <c r="I479" s="39" t="s">
        <v>106</v>
      </c>
    </row>
    <row r="480" spans="2:9" x14ac:dyDescent="0.25">
      <c r="B480"/>
      <c r="F480" s="39" t="s">
        <v>202</v>
      </c>
      <c r="G480" s="39" t="s">
        <v>127</v>
      </c>
      <c r="H480" s="39" t="s">
        <v>108</v>
      </c>
      <c r="I480" s="39" t="s">
        <v>106</v>
      </c>
    </row>
    <row r="481" spans="2:9" x14ac:dyDescent="0.25">
      <c r="B481"/>
      <c r="F481" s="39" t="s">
        <v>359</v>
      </c>
      <c r="G481" s="39" t="s">
        <v>156</v>
      </c>
      <c r="H481" s="39" t="s">
        <v>210</v>
      </c>
      <c r="I481" s="39" t="s">
        <v>106</v>
      </c>
    </row>
    <row r="482" spans="2:9" x14ac:dyDescent="0.25">
      <c r="B482"/>
      <c r="F482" s="39" t="s">
        <v>203</v>
      </c>
      <c r="G482" s="39" t="s">
        <v>122</v>
      </c>
      <c r="H482" s="39" t="s">
        <v>108</v>
      </c>
      <c r="I482" s="39" t="s">
        <v>106</v>
      </c>
    </row>
    <row r="483" spans="2:9" x14ac:dyDescent="0.25">
      <c r="B483"/>
      <c r="F483" s="39" t="s">
        <v>544</v>
      </c>
      <c r="G483" s="39" t="s">
        <v>120</v>
      </c>
      <c r="H483" s="39" t="s">
        <v>479</v>
      </c>
      <c r="I483" s="39" t="s">
        <v>106</v>
      </c>
    </row>
    <row r="484" spans="2:9" x14ac:dyDescent="0.25">
      <c r="B484"/>
      <c r="F484" s="39" t="s">
        <v>360</v>
      </c>
      <c r="G484" s="39" t="s">
        <v>127</v>
      </c>
      <c r="H484" s="39" t="s">
        <v>210</v>
      </c>
      <c r="I484" s="39" t="s">
        <v>106</v>
      </c>
    </row>
    <row r="485" spans="2:9" x14ac:dyDescent="0.25">
      <c r="B485"/>
      <c r="F485" s="39" t="s">
        <v>361</v>
      </c>
      <c r="G485" s="39" t="s">
        <v>127</v>
      </c>
      <c r="H485" s="39" t="s">
        <v>210</v>
      </c>
      <c r="I485" s="39" t="s">
        <v>106</v>
      </c>
    </row>
    <row r="486" spans="2:9" x14ac:dyDescent="0.25">
      <c r="B486"/>
      <c r="F486" s="39" t="s">
        <v>475</v>
      </c>
      <c r="G486" s="39" t="s">
        <v>232</v>
      </c>
      <c r="H486" s="39" t="s">
        <v>368</v>
      </c>
      <c r="I486" s="39" t="s">
        <v>106</v>
      </c>
    </row>
    <row r="487" spans="2:9" x14ac:dyDescent="0.25">
      <c r="B487"/>
      <c r="F487" s="39" t="s">
        <v>204</v>
      </c>
      <c r="G487" s="39" t="s">
        <v>120</v>
      </c>
      <c r="H487" s="39" t="s">
        <v>108</v>
      </c>
      <c r="I487" s="39" t="s">
        <v>106</v>
      </c>
    </row>
    <row r="488" spans="2:9" x14ac:dyDescent="0.25">
      <c r="B488"/>
      <c r="F488" s="39" t="s">
        <v>362</v>
      </c>
      <c r="G488" s="39" t="s">
        <v>127</v>
      </c>
      <c r="H488" s="39" t="s">
        <v>210</v>
      </c>
      <c r="I488" s="39" t="s">
        <v>106</v>
      </c>
    </row>
    <row r="489" spans="2:9" x14ac:dyDescent="0.25">
      <c r="B489"/>
      <c r="F489" s="39" t="s">
        <v>545</v>
      </c>
      <c r="G489" s="39" t="s">
        <v>111</v>
      </c>
      <c r="H489" s="39" t="s">
        <v>479</v>
      </c>
      <c r="I489" s="39" t="s">
        <v>106</v>
      </c>
    </row>
    <row r="490" spans="2:9" x14ac:dyDescent="0.25">
      <c r="B490"/>
      <c r="F490" s="39" t="s">
        <v>205</v>
      </c>
      <c r="G490" s="39" t="s">
        <v>115</v>
      </c>
      <c r="H490" s="39" t="s">
        <v>108</v>
      </c>
      <c r="I490" s="39" t="s">
        <v>106</v>
      </c>
    </row>
    <row r="491" spans="2:9" x14ac:dyDescent="0.25">
      <c r="B491"/>
      <c r="F491" s="39" t="s">
        <v>476</v>
      </c>
      <c r="G491" s="39" t="s">
        <v>149</v>
      </c>
      <c r="H491" s="39" t="s">
        <v>368</v>
      </c>
      <c r="I491" s="39" t="s">
        <v>106</v>
      </c>
    </row>
    <row r="492" spans="2:9" x14ac:dyDescent="0.25">
      <c r="B492"/>
      <c r="F492" s="39" t="s">
        <v>206</v>
      </c>
      <c r="G492" s="39" t="s">
        <v>127</v>
      </c>
      <c r="H492" s="39" t="s">
        <v>108</v>
      </c>
      <c r="I492" s="39" t="s">
        <v>106</v>
      </c>
    </row>
    <row r="493" spans="2:9" x14ac:dyDescent="0.25">
      <c r="B493"/>
      <c r="F493" s="39" t="s">
        <v>207</v>
      </c>
      <c r="G493" s="39" t="s">
        <v>127</v>
      </c>
      <c r="H493" s="39" t="s">
        <v>108</v>
      </c>
      <c r="I493" s="39" t="s">
        <v>106</v>
      </c>
    </row>
    <row r="494" spans="2:9" x14ac:dyDescent="0.25">
      <c r="B494"/>
      <c r="F494" s="39" t="s">
        <v>363</v>
      </c>
      <c r="G494" s="39" t="s">
        <v>127</v>
      </c>
      <c r="H494" s="39" t="s">
        <v>210</v>
      </c>
      <c r="I494" s="39" t="s">
        <v>106</v>
      </c>
    </row>
    <row r="495" spans="2:9" x14ac:dyDescent="0.25">
      <c r="B495"/>
      <c r="F495" s="39" t="s">
        <v>597</v>
      </c>
      <c r="G495" s="39" t="s">
        <v>515</v>
      </c>
      <c r="H495" s="39" t="s">
        <v>548</v>
      </c>
      <c r="I495" s="39" t="s">
        <v>106</v>
      </c>
    </row>
    <row r="496" spans="2:9" x14ac:dyDescent="0.25">
      <c r="B496"/>
      <c r="F496" s="39" t="s">
        <v>640</v>
      </c>
      <c r="G496" s="39" t="s">
        <v>621</v>
      </c>
      <c r="H496" s="39" t="s">
        <v>368</v>
      </c>
      <c r="I496" s="39" t="s">
        <v>106</v>
      </c>
    </row>
    <row r="497" spans="2:9" x14ac:dyDescent="0.25">
      <c r="B497"/>
      <c r="F497" s="39" t="s">
        <v>655</v>
      </c>
      <c r="G497" s="39" t="s">
        <v>651</v>
      </c>
      <c r="H497" s="39" t="s">
        <v>210</v>
      </c>
      <c r="I497" s="39"/>
    </row>
    <row r="498" spans="2:9" x14ac:dyDescent="0.25">
      <c r="B498"/>
      <c r="F498" s="39" t="s">
        <v>598</v>
      </c>
      <c r="G498" s="39" t="s">
        <v>111</v>
      </c>
      <c r="H498" s="39" t="s">
        <v>548</v>
      </c>
      <c r="I498" s="39" t="s">
        <v>106</v>
      </c>
    </row>
    <row r="499" spans="2:9" x14ac:dyDescent="0.25">
      <c r="B499"/>
      <c r="F499" s="39" t="s">
        <v>364</v>
      </c>
      <c r="G499" s="39" t="s">
        <v>129</v>
      </c>
      <c r="H499" s="39" t="s">
        <v>210</v>
      </c>
      <c r="I499" s="39" t="s">
        <v>106</v>
      </c>
    </row>
    <row r="500" spans="2:9" x14ac:dyDescent="0.25">
      <c r="B500"/>
      <c r="F500" s="39" t="s">
        <v>546</v>
      </c>
      <c r="G500" s="39" t="s">
        <v>376</v>
      </c>
      <c r="H500" s="39" t="s">
        <v>479</v>
      </c>
      <c r="I500" s="39" t="s">
        <v>106</v>
      </c>
    </row>
    <row r="501" spans="2:9" x14ac:dyDescent="0.25">
      <c r="B501"/>
      <c r="F501" s="39" t="s">
        <v>647</v>
      </c>
      <c r="G501" s="39" t="s">
        <v>621</v>
      </c>
      <c r="H501" s="39" t="s">
        <v>479</v>
      </c>
      <c r="I501" s="39" t="s">
        <v>106</v>
      </c>
    </row>
    <row r="502" spans="2:9" x14ac:dyDescent="0.25">
      <c r="B502"/>
      <c r="F502" s="39" t="s">
        <v>477</v>
      </c>
      <c r="G502" s="39" t="s">
        <v>127</v>
      </c>
      <c r="H502" s="39" t="s">
        <v>368</v>
      </c>
      <c r="I502" s="39" t="s">
        <v>106</v>
      </c>
    </row>
    <row r="503" spans="2:9" x14ac:dyDescent="0.25">
      <c r="B503"/>
      <c r="F503" s="39" t="s">
        <v>365</v>
      </c>
      <c r="G503" s="39" t="s">
        <v>115</v>
      </c>
      <c r="H503" s="39" t="s">
        <v>210</v>
      </c>
      <c r="I503" s="39" t="s">
        <v>110</v>
      </c>
    </row>
    <row r="504" spans="2:9" x14ac:dyDescent="0.25">
      <c r="B504"/>
      <c r="F504" s="39" t="s">
        <v>599</v>
      </c>
      <c r="G504" s="39" t="s">
        <v>111</v>
      </c>
      <c r="H504" s="39" t="s">
        <v>548</v>
      </c>
      <c r="I504" s="39" t="s">
        <v>106</v>
      </c>
    </row>
    <row r="505" spans="2:9" x14ac:dyDescent="0.25">
      <c r="B505"/>
      <c r="F505" s="39" t="s">
        <v>600</v>
      </c>
      <c r="G505" s="39" t="s">
        <v>111</v>
      </c>
      <c r="H505" s="39" t="s">
        <v>548</v>
      </c>
      <c r="I505" s="39" t="s">
        <v>110</v>
      </c>
    </row>
    <row r="506" spans="2:9" x14ac:dyDescent="0.25">
      <c r="B506"/>
      <c r="F506" s="39" t="s">
        <v>208</v>
      </c>
      <c r="G506" s="39" t="s">
        <v>149</v>
      </c>
      <c r="H506" s="39" t="s">
        <v>108</v>
      </c>
      <c r="I506" s="39" t="s">
        <v>110</v>
      </c>
    </row>
    <row r="507" spans="2:9" x14ac:dyDescent="0.25">
      <c r="B507"/>
      <c r="F507" s="39" t="s">
        <v>366</v>
      </c>
      <c r="G507" s="39" t="s">
        <v>129</v>
      </c>
      <c r="H507" s="39" t="s">
        <v>210</v>
      </c>
      <c r="I507" s="39" t="s">
        <v>106</v>
      </c>
    </row>
    <row r="508" spans="2:9" x14ac:dyDescent="0.25">
      <c r="B508"/>
      <c r="F508" s="39"/>
      <c r="G508" s="39"/>
      <c r="H508" s="39"/>
      <c r="I508" s="39"/>
    </row>
    <row r="509" spans="2:9" x14ac:dyDescent="0.25">
      <c r="B509"/>
      <c r="F509" s="39" t="s">
        <v>663</v>
      </c>
      <c r="G509" s="39" t="s">
        <v>149</v>
      </c>
      <c r="H509" s="39"/>
      <c r="I509" s="39"/>
    </row>
    <row r="510" spans="2:9" x14ac:dyDescent="0.25">
      <c r="B510"/>
      <c r="F510" s="39" t="s">
        <v>664</v>
      </c>
      <c r="G510" s="39" t="s">
        <v>376</v>
      </c>
      <c r="H510" s="39"/>
      <c r="I510" s="39"/>
    </row>
    <row r="511" spans="2:9" x14ac:dyDescent="0.25">
      <c r="B511"/>
      <c r="F511" s="39" t="s">
        <v>665</v>
      </c>
      <c r="G511" s="39" t="s">
        <v>149</v>
      </c>
      <c r="H511" s="39"/>
      <c r="I511" s="39"/>
    </row>
    <row r="512" spans="2:9" x14ac:dyDescent="0.25">
      <c r="B512"/>
      <c r="F512" s="39" t="s">
        <v>666</v>
      </c>
      <c r="G512" s="39" t="s">
        <v>188</v>
      </c>
      <c r="H512" s="39"/>
      <c r="I512" s="39"/>
    </row>
    <row r="513" spans="2:9" x14ac:dyDescent="0.25">
      <c r="B513"/>
      <c r="F513" s="39" t="s">
        <v>667</v>
      </c>
      <c r="G513" s="39" t="s">
        <v>621</v>
      </c>
      <c r="H513" s="39"/>
      <c r="I513" s="39"/>
    </row>
    <row r="514" spans="2:9" x14ac:dyDescent="0.25">
      <c r="B514"/>
      <c r="F514" s="39" t="s">
        <v>668</v>
      </c>
      <c r="G514" s="39" t="s">
        <v>621</v>
      </c>
      <c r="H514" s="39"/>
      <c r="I514" s="39"/>
    </row>
    <row r="515" spans="2:9" x14ac:dyDescent="0.25">
      <c r="B515"/>
      <c r="F515" s="39" t="s">
        <v>669</v>
      </c>
      <c r="G515" s="39" t="s">
        <v>120</v>
      </c>
      <c r="H515" s="39"/>
      <c r="I515" s="39"/>
    </row>
    <row r="516" spans="2:9" x14ac:dyDescent="0.25">
      <c r="B516"/>
      <c r="F516" s="39" t="s">
        <v>670</v>
      </c>
      <c r="G516" s="39" t="s">
        <v>122</v>
      </c>
      <c r="H516" s="39"/>
      <c r="I516" s="39"/>
    </row>
    <row r="517" spans="2:9" x14ac:dyDescent="0.25">
      <c r="B517"/>
      <c r="F517" s="39" t="s">
        <v>671</v>
      </c>
      <c r="G517" s="39" t="s">
        <v>120</v>
      </c>
      <c r="H517" s="39"/>
      <c r="I517" s="39"/>
    </row>
    <row r="518" spans="2:9" x14ac:dyDescent="0.25">
      <c r="B518"/>
      <c r="F518" s="39" t="s">
        <v>672</v>
      </c>
      <c r="G518" s="39" t="s">
        <v>113</v>
      </c>
      <c r="H518" s="39"/>
      <c r="I518" s="39"/>
    </row>
    <row r="519" spans="2:9" x14ac:dyDescent="0.25">
      <c r="B519"/>
      <c r="F519" s="39" t="s">
        <v>673</v>
      </c>
      <c r="G519" s="39" t="s">
        <v>120</v>
      </c>
      <c r="H519" s="39"/>
      <c r="I519" s="39"/>
    </row>
    <row r="520" spans="2:9" x14ac:dyDescent="0.25">
      <c r="B520"/>
      <c r="F520" s="39" t="s">
        <v>674</v>
      </c>
      <c r="G520" s="39" t="s">
        <v>127</v>
      </c>
      <c r="H520" s="39"/>
      <c r="I520" s="39"/>
    </row>
    <row r="521" spans="2:9" x14ac:dyDescent="0.25">
      <c r="B521"/>
      <c r="F521" s="39" t="s">
        <v>675</v>
      </c>
      <c r="G521" s="39" t="s">
        <v>127</v>
      </c>
      <c r="H521" s="39"/>
      <c r="I521" s="39"/>
    </row>
    <row r="522" spans="2:9" x14ac:dyDescent="0.25">
      <c r="B522"/>
      <c r="F522" s="39" t="s">
        <v>676</v>
      </c>
      <c r="G522" s="39" t="s">
        <v>376</v>
      </c>
      <c r="H522" s="39"/>
      <c r="I522" s="39"/>
    </row>
    <row r="523" spans="2:9" x14ac:dyDescent="0.25">
      <c r="B523"/>
      <c r="F523" s="39" t="s">
        <v>677</v>
      </c>
      <c r="G523" s="39" t="s">
        <v>376</v>
      </c>
      <c r="H523" s="39"/>
      <c r="I523" s="39"/>
    </row>
    <row r="524" spans="2:9" x14ac:dyDescent="0.25">
      <c r="B524"/>
      <c r="F524" s="39" t="s">
        <v>678</v>
      </c>
      <c r="G524" s="39" t="s">
        <v>376</v>
      </c>
      <c r="H524" s="39"/>
      <c r="I524" s="39"/>
    </row>
    <row r="525" spans="2:9" x14ac:dyDescent="0.25">
      <c r="B525"/>
      <c r="F525" s="39" t="s">
        <v>679</v>
      </c>
      <c r="G525" s="39" t="s">
        <v>651</v>
      </c>
      <c r="H525" s="39"/>
      <c r="I525" s="39"/>
    </row>
    <row r="526" spans="2:9" x14ac:dyDescent="0.25">
      <c r="B526"/>
      <c r="F526" s="39" t="s">
        <v>680</v>
      </c>
      <c r="G526" s="39" t="s">
        <v>376</v>
      </c>
      <c r="H526" s="39"/>
      <c r="I526" s="39"/>
    </row>
    <row r="527" spans="2:9" x14ac:dyDescent="0.25">
      <c r="B527"/>
      <c r="F527" s="39" t="s">
        <v>681</v>
      </c>
      <c r="G527" s="39"/>
      <c r="H527" s="39"/>
      <c r="I527" s="39"/>
    </row>
    <row r="528" spans="2:9" x14ac:dyDescent="0.25">
      <c r="B528"/>
      <c r="F528" s="39" t="s">
        <v>682</v>
      </c>
      <c r="G528" s="39" t="s">
        <v>376</v>
      </c>
      <c r="H528" s="39"/>
      <c r="I528" s="39"/>
    </row>
    <row r="529" spans="2:9" x14ac:dyDescent="0.25">
      <c r="B529"/>
      <c r="F529" s="39" t="s">
        <v>683</v>
      </c>
      <c r="G529" s="39" t="s">
        <v>376</v>
      </c>
      <c r="H529" s="39"/>
      <c r="I529" s="39"/>
    </row>
    <row r="530" spans="2:9" x14ac:dyDescent="0.25">
      <c r="B530"/>
      <c r="F530" s="39" t="s">
        <v>684</v>
      </c>
      <c r="G530" s="39" t="s">
        <v>376</v>
      </c>
      <c r="H530" s="39"/>
      <c r="I530" s="39"/>
    </row>
    <row r="531" spans="2:9" x14ac:dyDescent="0.25">
      <c r="B531"/>
      <c r="F531" s="39" t="s">
        <v>685</v>
      </c>
      <c r="G531" s="39" t="s">
        <v>376</v>
      </c>
      <c r="H531" s="39"/>
      <c r="I531" s="39"/>
    </row>
    <row r="532" spans="2:9" x14ac:dyDescent="0.25">
      <c r="B532"/>
      <c r="F532" s="39" t="s">
        <v>686</v>
      </c>
      <c r="G532" s="39" t="s">
        <v>107</v>
      </c>
      <c r="H532" s="39"/>
      <c r="I532" s="39"/>
    </row>
    <row r="533" spans="2:9" x14ac:dyDescent="0.25">
      <c r="B533"/>
      <c r="F533" s="39" t="s">
        <v>687</v>
      </c>
      <c r="G533" s="39" t="s">
        <v>122</v>
      </c>
      <c r="H533" s="39"/>
      <c r="I533" s="39"/>
    </row>
    <row r="534" spans="2:9" x14ac:dyDescent="0.25">
      <c r="B534"/>
      <c r="F534" s="39" t="s">
        <v>688</v>
      </c>
      <c r="G534" s="39" t="s">
        <v>111</v>
      </c>
      <c r="H534" s="39"/>
      <c r="I534" s="39"/>
    </row>
    <row r="535" spans="2:9" x14ac:dyDescent="0.25">
      <c r="B535"/>
      <c r="F535" s="39" t="s">
        <v>689</v>
      </c>
      <c r="G535" s="39" t="s">
        <v>149</v>
      </c>
      <c r="H535" s="39"/>
      <c r="I535" s="39"/>
    </row>
    <row r="536" spans="2:9" x14ac:dyDescent="0.25">
      <c r="B536"/>
      <c r="F536" s="39" t="s">
        <v>690</v>
      </c>
      <c r="G536" s="39" t="s">
        <v>651</v>
      </c>
      <c r="H536" s="39"/>
      <c r="I536" s="39"/>
    </row>
    <row r="537" spans="2:9" x14ac:dyDescent="0.25">
      <c r="B537"/>
      <c r="F537" s="39" t="s">
        <v>691</v>
      </c>
      <c r="G537" s="39" t="s">
        <v>127</v>
      </c>
      <c r="H537" s="39"/>
      <c r="I537" s="39"/>
    </row>
    <row r="538" spans="2:9" x14ac:dyDescent="0.25">
      <c r="B538"/>
      <c r="F538" s="39" t="s">
        <v>692</v>
      </c>
      <c r="G538" s="39" t="s">
        <v>651</v>
      </c>
      <c r="H538" s="39"/>
      <c r="I538" s="39"/>
    </row>
    <row r="539" spans="2:9" x14ac:dyDescent="0.25">
      <c r="B539"/>
      <c r="F539" s="39" t="s">
        <v>693</v>
      </c>
      <c r="G539" s="39" t="s">
        <v>149</v>
      </c>
      <c r="H539" s="39"/>
      <c r="I539" s="39"/>
    </row>
    <row r="540" spans="2:9" x14ac:dyDescent="0.25">
      <c r="B540"/>
      <c r="F540" s="39"/>
      <c r="G540" s="39"/>
      <c r="H540" s="39"/>
      <c r="I540" s="39"/>
    </row>
    <row r="541" spans="2:9" x14ac:dyDescent="0.25">
      <c r="B541"/>
      <c r="F541" s="39"/>
      <c r="G541" s="39"/>
      <c r="H541" s="39"/>
      <c r="I541" s="39"/>
    </row>
    <row r="542" spans="2:9" x14ac:dyDescent="0.25">
      <c r="B542"/>
      <c r="F542" s="39"/>
      <c r="G542" s="39"/>
      <c r="H542" s="39"/>
      <c r="I542" s="39"/>
    </row>
    <row r="543" spans="2:9" x14ac:dyDescent="0.25">
      <c r="B543"/>
      <c r="F543" s="39"/>
      <c r="G543" s="39"/>
      <c r="H543" s="39"/>
      <c r="I543" s="39"/>
    </row>
    <row r="544" spans="2:9" x14ac:dyDescent="0.25">
      <c r="B544"/>
      <c r="F544" s="39"/>
      <c r="G544" s="39"/>
      <c r="H544" s="39"/>
      <c r="I544" s="39"/>
    </row>
    <row r="545" spans="2:9" x14ac:dyDescent="0.25">
      <c r="B545"/>
      <c r="F545" s="39"/>
      <c r="G545" s="39"/>
      <c r="H545" s="39"/>
      <c r="I545" s="39"/>
    </row>
    <row r="546" spans="2:9" x14ac:dyDescent="0.25">
      <c r="B546"/>
      <c r="F546" s="39"/>
      <c r="G546" s="39"/>
      <c r="H546" s="39"/>
      <c r="I546" s="39"/>
    </row>
    <row r="547" spans="2:9" x14ac:dyDescent="0.25">
      <c r="B547"/>
      <c r="F547" s="39"/>
      <c r="G547" s="39"/>
      <c r="H547" s="39"/>
      <c r="I547" s="39"/>
    </row>
    <row r="548" spans="2:9" x14ac:dyDescent="0.25">
      <c r="B548"/>
      <c r="F548" s="39"/>
      <c r="G548" s="39"/>
      <c r="H548" s="39"/>
      <c r="I548" s="39"/>
    </row>
    <row r="549" spans="2:9" x14ac:dyDescent="0.25">
      <c r="B549"/>
      <c r="F549" s="39"/>
      <c r="G549" s="39"/>
      <c r="H549" s="39"/>
      <c r="I549" s="39"/>
    </row>
    <row r="550" spans="2:9" x14ac:dyDescent="0.25">
      <c r="B550"/>
      <c r="F550" s="39"/>
      <c r="G550" s="39"/>
      <c r="H550" s="39"/>
      <c r="I550" s="39"/>
    </row>
    <row r="551" spans="2:9" x14ac:dyDescent="0.25">
      <c r="B551"/>
      <c r="F551" s="39"/>
      <c r="G551" s="39"/>
      <c r="H551" s="39"/>
      <c r="I551" s="39"/>
    </row>
    <row r="552" spans="2:9" x14ac:dyDescent="0.25">
      <c r="B552"/>
      <c r="F552" s="39"/>
      <c r="G552" s="39"/>
      <c r="H552" s="39"/>
      <c r="I552" s="39"/>
    </row>
    <row r="553" spans="2:9" x14ac:dyDescent="0.25">
      <c r="B553"/>
      <c r="F553" s="39"/>
      <c r="G553" s="39"/>
      <c r="H553" s="39"/>
      <c r="I553" s="39"/>
    </row>
    <row r="554" spans="2:9" x14ac:dyDescent="0.25">
      <c r="B554"/>
      <c r="F554" s="39"/>
      <c r="G554" s="39"/>
      <c r="H554" s="39"/>
      <c r="I554" s="39"/>
    </row>
    <row r="555" spans="2:9" x14ac:dyDescent="0.25">
      <c r="B555"/>
      <c r="F555" s="39"/>
      <c r="G555" s="39"/>
      <c r="H555" s="39"/>
      <c r="I555" s="39"/>
    </row>
    <row r="556" spans="2:9" x14ac:dyDescent="0.25">
      <c r="B556"/>
      <c r="F556" s="39"/>
      <c r="G556" s="39"/>
      <c r="H556" s="39"/>
      <c r="I556" s="39"/>
    </row>
    <row r="557" spans="2:9" x14ac:dyDescent="0.25">
      <c r="B557"/>
      <c r="F557" s="39"/>
      <c r="G557" s="39"/>
      <c r="H557" s="39"/>
      <c r="I557" s="39"/>
    </row>
    <row r="558" spans="2:9" x14ac:dyDescent="0.25">
      <c r="B558"/>
      <c r="F558" s="39"/>
      <c r="G558" s="39"/>
      <c r="H558" s="39"/>
      <c r="I558" s="39"/>
    </row>
    <row r="559" spans="2:9" x14ac:dyDescent="0.25">
      <c r="B559"/>
      <c r="F559" s="39"/>
      <c r="G559" s="39"/>
      <c r="H559" s="39"/>
      <c r="I559" s="39"/>
    </row>
    <row r="560" spans="2:9" x14ac:dyDescent="0.25">
      <c r="B560"/>
      <c r="F560" s="39"/>
      <c r="G560" s="39"/>
      <c r="H560" s="39"/>
      <c r="I560" s="39"/>
    </row>
    <row r="561" spans="2:9" x14ac:dyDescent="0.25">
      <c r="B561"/>
      <c r="F561" s="39"/>
      <c r="G561" s="39"/>
      <c r="H561" s="39"/>
      <c r="I561" s="39"/>
    </row>
    <row r="562" spans="2:9" x14ac:dyDescent="0.25">
      <c r="B562"/>
      <c r="F562" s="39"/>
      <c r="G562" s="39"/>
      <c r="H562" s="39"/>
      <c r="I562" s="39"/>
    </row>
    <row r="563" spans="2:9" x14ac:dyDescent="0.25">
      <c r="B563"/>
      <c r="F563" s="39"/>
      <c r="G563" s="39"/>
      <c r="H563" s="39"/>
      <c r="I563" s="39"/>
    </row>
    <row r="564" spans="2:9" x14ac:dyDescent="0.25">
      <c r="B564"/>
      <c r="F564" s="39"/>
      <c r="G564" s="39"/>
      <c r="H564" s="39"/>
      <c r="I564" s="39"/>
    </row>
    <row r="565" spans="2:9" x14ac:dyDescent="0.25">
      <c r="B565"/>
      <c r="F565" s="39"/>
      <c r="G565" s="39"/>
      <c r="H565" s="39"/>
      <c r="I565" s="39"/>
    </row>
    <row r="566" spans="2:9" x14ac:dyDescent="0.25">
      <c r="B566"/>
      <c r="F566" s="39"/>
      <c r="G566" s="39"/>
      <c r="H566" s="39"/>
      <c r="I566" s="39"/>
    </row>
    <row r="567" spans="2:9" x14ac:dyDescent="0.25">
      <c r="B567"/>
      <c r="F567" s="39"/>
      <c r="G567" s="39"/>
      <c r="H567" s="39"/>
      <c r="I567" s="39"/>
    </row>
    <row r="568" spans="2:9" x14ac:dyDescent="0.25">
      <c r="B568"/>
      <c r="F568" s="39"/>
      <c r="G568" s="39"/>
      <c r="H568" s="39"/>
      <c r="I568" s="39"/>
    </row>
    <row r="569" spans="2:9" x14ac:dyDescent="0.25">
      <c r="B569"/>
      <c r="F569" s="39"/>
      <c r="G569" s="39"/>
      <c r="H569" s="39"/>
      <c r="I569" s="39"/>
    </row>
    <row r="570" spans="2:9" x14ac:dyDescent="0.25">
      <c r="B570"/>
      <c r="F570" s="39"/>
      <c r="G570" s="39"/>
      <c r="H570" s="39"/>
      <c r="I570" s="39"/>
    </row>
    <row r="571" spans="2:9" x14ac:dyDescent="0.25">
      <c r="B571"/>
      <c r="F571" s="39"/>
      <c r="G571" s="39"/>
      <c r="H571" s="39"/>
      <c r="I571" s="39"/>
    </row>
    <row r="572" spans="2:9" x14ac:dyDescent="0.25">
      <c r="B572"/>
      <c r="F572" s="39"/>
      <c r="G572" s="39"/>
      <c r="H572" s="39"/>
      <c r="I572" s="39"/>
    </row>
    <row r="573" spans="2:9" x14ac:dyDescent="0.25">
      <c r="B573"/>
      <c r="F573" s="39"/>
      <c r="G573" s="39"/>
      <c r="H573" s="39"/>
      <c r="I573" s="39"/>
    </row>
    <row r="574" spans="2:9" x14ac:dyDescent="0.25">
      <c r="B574"/>
      <c r="F574" s="39"/>
      <c r="G574" s="39"/>
      <c r="H574" s="39"/>
      <c r="I574" s="39"/>
    </row>
    <row r="575" spans="2:9" x14ac:dyDescent="0.25">
      <c r="B575"/>
      <c r="F575" s="39"/>
      <c r="G575" s="39"/>
      <c r="H575" s="39"/>
      <c r="I575" s="39"/>
    </row>
    <row r="576" spans="2:9" x14ac:dyDescent="0.25">
      <c r="B576"/>
      <c r="F576" s="39"/>
      <c r="G576" s="39"/>
      <c r="H576" s="39"/>
      <c r="I576" s="39"/>
    </row>
    <row r="577" spans="2:9" x14ac:dyDescent="0.25">
      <c r="B577"/>
      <c r="F577" s="39"/>
      <c r="G577" s="39"/>
      <c r="H577" s="39"/>
      <c r="I577" s="39"/>
    </row>
    <row r="578" spans="2:9" x14ac:dyDescent="0.25">
      <c r="B578"/>
      <c r="F578" s="39"/>
      <c r="G578" s="39"/>
      <c r="H578" s="39"/>
      <c r="I578" s="39"/>
    </row>
    <row r="579" spans="2:9" x14ac:dyDescent="0.25">
      <c r="B579"/>
      <c r="F579" s="39"/>
      <c r="G579" s="39"/>
      <c r="H579" s="39"/>
      <c r="I579" s="39"/>
    </row>
    <row r="580" spans="2:9" x14ac:dyDescent="0.25">
      <c r="B580"/>
      <c r="F580" s="39"/>
      <c r="G580" s="39"/>
      <c r="H580" s="39"/>
      <c r="I580" s="39"/>
    </row>
    <row r="581" spans="2:9" x14ac:dyDescent="0.25">
      <c r="B581"/>
      <c r="F581" s="39"/>
      <c r="G581" s="39"/>
      <c r="H581" s="39"/>
      <c r="I581" s="39"/>
    </row>
    <row r="582" spans="2:9" x14ac:dyDescent="0.25">
      <c r="B582"/>
      <c r="F582" s="39"/>
      <c r="G582" s="39"/>
      <c r="H582" s="39"/>
      <c r="I582" s="39"/>
    </row>
    <row r="583" spans="2:9" x14ac:dyDescent="0.25">
      <c r="B583"/>
      <c r="F583" s="39"/>
      <c r="G583" s="39"/>
      <c r="H583" s="39"/>
      <c r="I583" s="39"/>
    </row>
    <row r="584" spans="2:9" x14ac:dyDescent="0.25">
      <c r="B584"/>
      <c r="F584" s="39"/>
      <c r="G584" s="39"/>
      <c r="H584" s="39"/>
      <c r="I584" s="39"/>
    </row>
    <row r="585" spans="2:9" x14ac:dyDescent="0.25">
      <c r="B585"/>
      <c r="F585" s="39"/>
      <c r="G585" s="39"/>
      <c r="H585" s="39"/>
      <c r="I585" s="39"/>
    </row>
    <row r="586" spans="2:9" x14ac:dyDescent="0.25">
      <c r="B586"/>
      <c r="F586" s="39"/>
      <c r="G586" s="39"/>
      <c r="H586" s="39"/>
      <c r="I586" s="39"/>
    </row>
    <row r="587" spans="2:9" x14ac:dyDescent="0.25">
      <c r="B587"/>
      <c r="F587" s="39"/>
      <c r="G587" s="39"/>
      <c r="H587" s="39"/>
      <c r="I587" s="39"/>
    </row>
    <row r="588" spans="2:9" x14ac:dyDescent="0.25">
      <c r="B588"/>
      <c r="F588" s="39"/>
      <c r="G588" s="39"/>
      <c r="H588" s="39"/>
      <c r="I588" s="39"/>
    </row>
    <row r="589" spans="2:9" x14ac:dyDescent="0.25">
      <c r="B589"/>
      <c r="F589" s="39"/>
      <c r="G589" s="39"/>
      <c r="H589" s="39"/>
      <c r="I589" s="39"/>
    </row>
    <row r="590" spans="2:9" x14ac:dyDescent="0.25">
      <c r="B590"/>
      <c r="F590" s="39"/>
      <c r="G590" s="39"/>
      <c r="H590" s="39"/>
      <c r="I590" s="39"/>
    </row>
    <row r="591" spans="2:9" x14ac:dyDescent="0.25">
      <c r="B591"/>
      <c r="F591" s="39"/>
      <c r="G591" s="39"/>
      <c r="H591" s="39"/>
      <c r="I591" s="39"/>
    </row>
    <row r="592" spans="2:9" x14ac:dyDescent="0.25">
      <c r="B592"/>
      <c r="F592" s="39"/>
      <c r="G592" s="39"/>
      <c r="H592" s="39"/>
      <c r="I592" s="39"/>
    </row>
    <row r="593" spans="2:9" x14ac:dyDescent="0.25">
      <c r="B593"/>
      <c r="F593" s="39"/>
      <c r="G593" s="39"/>
      <c r="H593" s="39"/>
      <c r="I593" s="39"/>
    </row>
    <row r="594" spans="2:9" x14ac:dyDescent="0.25">
      <c r="B594"/>
      <c r="F594" s="39"/>
      <c r="G594" s="39"/>
      <c r="H594" s="39"/>
      <c r="I594" s="39"/>
    </row>
    <row r="595" spans="2:9" x14ac:dyDescent="0.25">
      <c r="B595"/>
      <c r="F595" s="39"/>
      <c r="G595" s="39"/>
      <c r="H595" s="39"/>
      <c r="I595" s="39"/>
    </row>
    <row r="596" spans="2:9" x14ac:dyDescent="0.25">
      <c r="B596"/>
      <c r="F596" s="39"/>
      <c r="G596" s="39"/>
      <c r="H596" s="39"/>
      <c r="I596" s="39"/>
    </row>
    <row r="597" spans="2:9" x14ac:dyDescent="0.25">
      <c r="B597"/>
      <c r="F597" s="39"/>
      <c r="G597" s="39"/>
      <c r="H597" s="39"/>
      <c r="I597" s="39"/>
    </row>
    <row r="598" spans="2:9" x14ac:dyDescent="0.25">
      <c r="B598"/>
      <c r="F598" s="39"/>
      <c r="G598" s="39"/>
      <c r="H598" s="39"/>
      <c r="I598" s="39"/>
    </row>
    <row r="599" spans="2:9" x14ac:dyDescent="0.25">
      <c r="B599"/>
      <c r="F599" s="39"/>
      <c r="G599" s="39"/>
      <c r="H599" s="39"/>
      <c r="I599" s="39"/>
    </row>
    <row r="600" spans="2:9" x14ac:dyDescent="0.25">
      <c r="B600"/>
      <c r="F600" s="39"/>
      <c r="G600" s="39"/>
      <c r="H600" s="39"/>
      <c r="I600" s="39"/>
    </row>
    <row r="601" spans="2:9" x14ac:dyDescent="0.25">
      <c r="B601"/>
      <c r="F601" s="39"/>
      <c r="G601" s="39"/>
      <c r="H601" s="39"/>
      <c r="I601" s="39"/>
    </row>
    <row r="602" spans="2:9" x14ac:dyDescent="0.25">
      <c r="B602"/>
      <c r="F602" s="39"/>
      <c r="G602" s="39"/>
      <c r="H602" s="39"/>
      <c r="I602" s="39"/>
    </row>
    <row r="603" spans="2:9" x14ac:dyDescent="0.25">
      <c r="B603"/>
      <c r="F603" s="39"/>
      <c r="G603" s="39"/>
      <c r="H603" s="39"/>
      <c r="I603" s="39"/>
    </row>
    <row r="604" spans="2:9" x14ac:dyDescent="0.25">
      <c r="B604"/>
      <c r="F604" s="39"/>
      <c r="G604" s="39"/>
      <c r="H604" s="39"/>
      <c r="I604" s="39"/>
    </row>
    <row r="605" spans="2:9" x14ac:dyDescent="0.25">
      <c r="B605"/>
      <c r="F605" s="39"/>
      <c r="G605" s="39"/>
      <c r="H605" s="39"/>
      <c r="I605" s="39"/>
    </row>
    <row r="606" spans="2:9" x14ac:dyDescent="0.25">
      <c r="B606"/>
      <c r="F606" s="39"/>
      <c r="G606" s="39"/>
      <c r="H606" s="39"/>
      <c r="I606" s="39"/>
    </row>
    <row r="607" spans="2:9" x14ac:dyDescent="0.25">
      <c r="B607"/>
      <c r="F607" s="39"/>
      <c r="G607" s="39"/>
      <c r="H607" s="39"/>
      <c r="I607" s="39"/>
    </row>
    <row r="608" spans="2:9" x14ac:dyDescent="0.25">
      <c r="B608"/>
      <c r="F608" s="39"/>
      <c r="G608" s="39"/>
      <c r="H608" s="39"/>
      <c r="I608" s="39"/>
    </row>
    <row r="609" spans="2:9" x14ac:dyDescent="0.25">
      <c r="B609"/>
      <c r="F609" s="39"/>
      <c r="G609" s="39"/>
      <c r="H609" s="39"/>
      <c r="I609" s="39"/>
    </row>
    <row r="610" spans="2:9" x14ac:dyDescent="0.25">
      <c r="B610"/>
      <c r="F610" s="39"/>
      <c r="G610" s="39"/>
      <c r="H610" s="39"/>
      <c r="I610" s="39"/>
    </row>
    <row r="611" spans="2:9" x14ac:dyDescent="0.25">
      <c r="B611"/>
      <c r="F611" s="39"/>
      <c r="G611" s="39"/>
      <c r="H611" s="39"/>
      <c r="I611" s="39"/>
    </row>
    <row r="612" spans="2:9" x14ac:dyDescent="0.25">
      <c r="B612"/>
      <c r="F612" s="39"/>
      <c r="G612" s="39"/>
      <c r="H612" s="39"/>
      <c r="I612" s="39"/>
    </row>
    <row r="613" spans="2:9" x14ac:dyDescent="0.25">
      <c r="B613"/>
      <c r="F613" s="39"/>
      <c r="G613" s="39"/>
      <c r="H613" s="39"/>
      <c r="I613" s="39"/>
    </row>
    <row r="614" spans="2:9" x14ac:dyDescent="0.25">
      <c r="B614"/>
      <c r="F614" s="39"/>
      <c r="G614" s="39"/>
      <c r="H614" s="39"/>
      <c r="I614" s="39"/>
    </row>
    <row r="615" spans="2:9" x14ac:dyDescent="0.25">
      <c r="B615"/>
      <c r="F615" s="39"/>
      <c r="G615" s="39"/>
      <c r="H615" s="39"/>
      <c r="I615" s="39"/>
    </row>
    <row r="616" spans="2:9" x14ac:dyDescent="0.25">
      <c r="B616"/>
      <c r="F616" s="39"/>
      <c r="G616" s="39"/>
      <c r="H616" s="39"/>
      <c r="I616" s="39"/>
    </row>
    <row r="617" spans="2:9" x14ac:dyDescent="0.25">
      <c r="B617"/>
      <c r="F617" s="39"/>
      <c r="G617" s="39"/>
      <c r="H617" s="39"/>
      <c r="I617" s="39"/>
    </row>
    <row r="618" spans="2:9" x14ac:dyDescent="0.25">
      <c r="B618"/>
      <c r="F618" s="39"/>
      <c r="G618" s="39"/>
      <c r="H618" s="39"/>
      <c r="I618" s="39"/>
    </row>
    <row r="619" spans="2:9" x14ac:dyDescent="0.25">
      <c r="B619"/>
      <c r="F619" s="39"/>
      <c r="G619" s="39"/>
      <c r="H619" s="39"/>
      <c r="I619" s="39"/>
    </row>
    <row r="620" spans="2:9" x14ac:dyDescent="0.25">
      <c r="B620"/>
      <c r="F620" s="39"/>
      <c r="G620" s="39"/>
      <c r="H620" s="39"/>
      <c r="I620" s="39"/>
    </row>
    <row r="621" spans="2:9" x14ac:dyDescent="0.25">
      <c r="B621"/>
      <c r="F621" s="39"/>
      <c r="G621" s="39"/>
      <c r="H621" s="39"/>
      <c r="I621" s="39"/>
    </row>
    <row r="622" spans="2:9" x14ac:dyDescent="0.25">
      <c r="B622"/>
      <c r="F622" s="39"/>
      <c r="G622" s="39"/>
      <c r="H622" s="39"/>
      <c r="I622" s="39"/>
    </row>
    <row r="623" spans="2:9" x14ac:dyDescent="0.25">
      <c r="B623"/>
      <c r="F623" s="39"/>
      <c r="G623" s="39"/>
      <c r="H623" s="39"/>
      <c r="I623" s="39"/>
    </row>
    <row r="624" spans="2:9" x14ac:dyDescent="0.25">
      <c r="B624"/>
      <c r="F624" s="39"/>
      <c r="G624" s="39"/>
      <c r="H624" s="39"/>
      <c r="I624" s="39"/>
    </row>
    <row r="625" spans="2:9" x14ac:dyDescent="0.25">
      <c r="B625"/>
      <c r="F625" s="39"/>
      <c r="G625" s="39"/>
      <c r="H625" s="39"/>
      <c r="I625" s="39"/>
    </row>
    <row r="626" spans="2:9" x14ac:dyDescent="0.25">
      <c r="B626"/>
      <c r="F626" s="39"/>
      <c r="G626" s="39"/>
      <c r="H626" s="39"/>
      <c r="I626" s="39"/>
    </row>
    <row r="627" spans="2:9" x14ac:dyDescent="0.25">
      <c r="B627"/>
      <c r="F627" s="39"/>
      <c r="G627" s="39"/>
      <c r="H627" s="39"/>
      <c r="I627" s="39"/>
    </row>
    <row r="628" spans="2:9" x14ac:dyDescent="0.25">
      <c r="B628"/>
      <c r="F628" s="39"/>
      <c r="G628" s="39"/>
      <c r="H628" s="39"/>
      <c r="I628" s="39"/>
    </row>
    <row r="629" spans="2:9" x14ac:dyDescent="0.25">
      <c r="B629"/>
      <c r="F629" s="39"/>
      <c r="G629" s="39"/>
      <c r="H629" s="39"/>
      <c r="I629" s="39"/>
    </row>
    <row r="630" spans="2:9" x14ac:dyDescent="0.25">
      <c r="B630"/>
      <c r="F630" s="39"/>
      <c r="G630" s="39"/>
      <c r="H630" s="39"/>
      <c r="I630" s="39"/>
    </row>
    <row r="631" spans="2:9" x14ac:dyDescent="0.25">
      <c r="B631"/>
      <c r="F631" s="39"/>
      <c r="G631" s="39"/>
      <c r="H631" s="39"/>
      <c r="I631" s="39"/>
    </row>
    <row r="632" spans="2:9" x14ac:dyDescent="0.25">
      <c r="B632"/>
      <c r="F632" s="39"/>
      <c r="G632" s="39"/>
      <c r="H632" s="39"/>
      <c r="I632" s="39"/>
    </row>
    <row r="633" spans="2:9" x14ac:dyDescent="0.25">
      <c r="B633"/>
      <c r="F633" s="39"/>
      <c r="G633" s="39"/>
      <c r="H633" s="39"/>
      <c r="I633" s="39"/>
    </row>
    <row r="634" spans="2:9" x14ac:dyDescent="0.25">
      <c r="B634"/>
      <c r="F634" s="39"/>
      <c r="G634" s="39"/>
      <c r="H634" s="39"/>
      <c r="I634" s="39"/>
    </row>
    <row r="635" spans="2:9" x14ac:dyDescent="0.25">
      <c r="B635"/>
      <c r="F635" s="39"/>
      <c r="G635" s="39"/>
      <c r="H635" s="39"/>
      <c r="I635" s="39"/>
    </row>
    <row r="636" spans="2:9" x14ac:dyDescent="0.25">
      <c r="B636"/>
      <c r="F636" s="39"/>
      <c r="G636" s="39"/>
      <c r="H636" s="39"/>
      <c r="I636" s="39"/>
    </row>
    <row r="637" spans="2:9" x14ac:dyDescent="0.25">
      <c r="B637"/>
      <c r="F637" s="39"/>
      <c r="G637" s="39"/>
      <c r="H637" s="39"/>
      <c r="I637" s="39"/>
    </row>
    <row r="638" spans="2:9" x14ac:dyDescent="0.25">
      <c r="B638"/>
      <c r="F638" s="39"/>
      <c r="G638" s="39"/>
      <c r="H638" s="39"/>
      <c r="I638" s="39"/>
    </row>
    <row r="639" spans="2:9" x14ac:dyDescent="0.25">
      <c r="B639"/>
      <c r="F639" s="39"/>
      <c r="G639" s="39"/>
      <c r="H639" s="39"/>
      <c r="I639" s="39"/>
    </row>
    <row r="640" spans="2:9" x14ac:dyDescent="0.25">
      <c r="B640"/>
      <c r="F640" s="39"/>
      <c r="G640" s="39"/>
      <c r="H640" s="39"/>
      <c r="I640" s="39"/>
    </row>
    <row r="641" spans="2:9" x14ac:dyDescent="0.25">
      <c r="B641"/>
      <c r="F641" s="39"/>
      <c r="G641" s="39"/>
      <c r="H641" s="39"/>
      <c r="I641" s="39"/>
    </row>
    <row r="642" spans="2:9" x14ac:dyDescent="0.25">
      <c r="B642"/>
      <c r="F642" s="39"/>
      <c r="G642" s="39"/>
      <c r="H642" s="39"/>
      <c r="I642" s="39"/>
    </row>
    <row r="643" spans="2:9" x14ac:dyDescent="0.25">
      <c r="B643"/>
      <c r="F643" s="39"/>
      <c r="G643" s="39"/>
      <c r="H643" s="39"/>
      <c r="I643" s="39"/>
    </row>
    <row r="644" spans="2:9" x14ac:dyDescent="0.25">
      <c r="B644"/>
      <c r="F644" s="39"/>
      <c r="G644" s="39"/>
      <c r="H644" s="39"/>
      <c r="I644" s="39"/>
    </row>
    <row r="645" spans="2:9" x14ac:dyDescent="0.25">
      <c r="B645"/>
      <c r="F645" s="39"/>
      <c r="G645" s="39"/>
      <c r="H645" s="39"/>
      <c r="I645" s="39"/>
    </row>
    <row r="646" spans="2:9" x14ac:dyDescent="0.25">
      <c r="B646"/>
      <c r="F646" s="39"/>
      <c r="G646" s="39"/>
      <c r="H646" s="39"/>
      <c r="I646" s="39"/>
    </row>
    <row r="647" spans="2:9" x14ac:dyDescent="0.25">
      <c r="B647"/>
      <c r="F647" s="39"/>
      <c r="G647" s="39"/>
      <c r="H647" s="39"/>
      <c r="I647" s="39"/>
    </row>
    <row r="648" spans="2:9" x14ac:dyDescent="0.25">
      <c r="B648"/>
      <c r="F648" s="39"/>
      <c r="G648" s="39"/>
      <c r="H648" s="39"/>
      <c r="I648" s="39"/>
    </row>
    <row r="649" spans="2:9" x14ac:dyDescent="0.25">
      <c r="B649"/>
      <c r="F649" s="39"/>
      <c r="G649" s="39"/>
      <c r="H649" s="39"/>
      <c r="I649" s="39"/>
    </row>
    <row r="650" spans="2:9" x14ac:dyDescent="0.25">
      <c r="B650"/>
      <c r="F650" s="39"/>
      <c r="G650" s="39"/>
      <c r="H650" s="39"/>
      <c r="I650" s="39"/>
    </row>
    <row r="651" spans="2:9" x14ac:dyDescent="0.25">
      <c r="B651"/>
      <c r="F651" s="39"/>
      <c r="G651" s="39"/>
      <c r="H651" s="39"/>
      <c r="I651" s="39"/>
    </row>
    <row r="652" spans="2:9" x14ac:dyDescent="0.25">
      <c r="B652"/>
      <c r="F652" s="39"/>
      <c r="G652" s="39"/>
      <c r="H652" s="39"/>
      <c r="I652" s="39"/>
    </row>
    <row r="653" spans="2:9" x14ac:dyDescent="0.25">
      <c r="B653"/>
      <c r="F653" s="39"/>
      <c r="G653" s="39"/>
      <c r="H653" s="39"/>
      <c r="I653" s="39"/>
    </row>
    <row r="654" spans="2:9" x14ac:dyDescent="0.25">
      <c r="B654"/>
      <c r="F654" s="39"/>
      <c r="G654" s="39"/>
      <c r="H654" s="39"/>
      <c r="I654" s="39"/>
    </row>
    <row r="655" spans="2:9" x14ac:dyDescent="0.25">
      <c r="B655"/>
      <c r="F655" s="39"/>
      <c r="G655" s="39"/>
      <c r="H655" s="39"/>
      <c r="I655" s="39"/>
    </row>
    <row r="656" spans="2:9" x14ac:dyDescent="0.25">
      <c r="B656"/>
      <c r="F656" s="39"/>
      <c r="G656" s="39"/>
      <c r="H656" s="39"/>
      <c r="I656" s="39"/>
    </row>
    <row r="657" spans="2:9" x14ac:dyDescent="0.25">
      <c r="B657"/>
      <c r="F657" s="39"/>
      <c r="G657" s="39"/>
      <c r="H657" s="39"/>
      <c r="I657" s="39"/>
    </row>
    <row r="658" spans="2:9" x14ac:dyDescent="0.25">
      <c r="B658"/>
      <c r="F658" s="39"/>
      <c r="G658" s="39"/>
      <c r="H658" s="39"/>
      <c r="I658" s="39"/>
    </row>
    <row r="659" spans="2:9" x14ac:dyDescent="0.25">
      <c r="B659"/>
      <c r="F659" s="39"/>
      <c r="G659" s="39"/>
      <c r="H659" s="39"/>
      <c r="I659" s="39"/>
    </row>
    <row r="660" spans="2:9" x14ac:dyDescent="0.25">
      <c r="B660"/>
      <c r="F660" s="39"/>
      <c r="G660" s="39"/>
      <c r="H660" s="39"/>
      <c r="I660" s="39"/>
    </row>
    <row r="661" spans="2:9" x14ac:dyDescent="0.25">
      <c r="B661"/>
      <c r="F661" s="39"/>
      <c r="G661" s="39"/>
      <c r="H661" s="39"/>
      <c r="I661" s="39"/>
    </row>
    <row r="662" spans="2:9" x14ac:dyDescent="0.25">
      <c r="B662"/>
      <c r="F662" s="39"/>
      <c r="G662" s="39"/>
      <c r="H662" s="39"/>
      <c r="I662" s="39"/>
    </row>
    <row r="663" spans="2:9" x14ac:dyDescent="0.25">
      <c r="B663"/>
      <c r="F663" s="39"/>
      <c r="G663" s="39"/>
      <c r="H663" s="39"/>
      <c r="I663" s="39"/>
    </row>
    <row r="664" spans="2:9" x14ac:dyDescent="0.25">
      <c r="B664"/>
      <c r="F664" s="39"/>
      <c r="G664" s="39"/>
      <c r="H664" s="39"/>
      <c r="I664" s="39"/>
    </row>
    <row r="665" spans="2:9" x14ac:dyDescent="0.25">
      <c r="B665"/>
      <c r="F665" s="39"/>
      <c r="G665" s="39"/>
      <c r="H665" s="39"/>
      <c r="I665" s="39"/>
    </row>
    <row r="666" spans="2:9" x14ac:dyDescent="0.25">
      <c r="B666"/>
      <c r="F666" s="39"/>
      <c r="G666" s="39"/>
      <c r="H666" s="39"/>
      <c r="I666" s="39"/>
    </row>
    <row r="667" spans="2:9" x14ac:dyDescent="0.25">
      <c r="B667"/>
      <c r="F667" s="39"/>
      <c r="G667" s="39"/>
      <c r="H667" s="39"/>
      <c r="I667" s="39"/>
    </row>
    <row r="668" spans="2:9" x14ac:dyDescent="0.25">
      <c r="B668"/>
      <c r="F668" s="39"/>
      <c r="G668" s="39"/>
      <c r="H668" s="39"/>
      <c r="I668" s="39"/>
    </row>
    <row r="669" spans="2:9" x14ac:dyDescent="0.25">
      <c r="B669"/>
      <c r="F669" s="39"/>
      <c r="G669" s="39"/>
      <c r="H669" s="39"/>
      <c r="I669" s="39"/>
    </row>
    <row r="670" spans="2:9" x14ac:dyDescent="0.25">
      <c r="B670"/>
      <c r="F670" s="39"/>
      <c r="G670" s="39"/>
      <c r="H670" s="39"/>
      <c r="I670" s="39"/>
    </row>
    <row r="671" spans="2:9" x14ac:dyDescent="0.25">
      <c r="B671"/>
      <c r="F671" s="39"/>
      <c r="G671" s="39"/>
      <c r="H671" s="39"/>
      <c r="I671" s="39"/>
    </row>
    <row r="672" spans="2:9" x14ac:dyDescent="0.25">
      <c r="B672"/>
      <c r="F672" s="39"/>
      <c r="G672" s="39"/>
      <c r="H672" s="39"/>
      <c r="I672" s="39"/>
    </row>
    <row r="673" spans="2:9" x14ac:dyDescent="0.25">
      <c r="B673"/>
      <c r="F673" s="39"/>
      <c r="G673" s="39"/>
      <c r="H673" s="39"/>
      <c r="I673" s="39"/>
    </row>
    <row r="674" spans="2:9" x14ac:dyDescent="0.25">
      <c r="B674"/>
      <c r="F674" s="39"/>
      <c r="G674" s="39"/>
      <c r="H674" s="39"/>
      <c r="I674" s="39"/>
    </row>
    <row r="675" spans="2:9" x14ac:dyDescent="0.25">
      <c r="B675"/>
      <c r="F675" s="39"/>
      <c r="G675" s="39"/>
      <c r="H675" s="39"/>
      <c r="I675" s="39"/>
    </row>
    <row r="676" spans="2:9" x14ac:dyDescent="0.25">
      <c r="B676"/>
      <c r="F676" s="39"/>
      <c r="G676" s="39"/>
      <c r="H676" s="39"/>
      <c r="I676" s="39"/>
    </row>
    <row r="677" spans="2:9" x14ac:dyDescent="0.25">
      <c r="B677"/>
      <c r="F677" s="39"/>
      <c r="G677" s="39"/>
      <c r="H677" s="39"/>
      <c r="I677" s="39"/>
    </row>
    <row r="678" spans="2:9" x14ac:dyDescent="0.25">
      <c r="B678"/>
      <c r="F678" s="39"/>
      <c r="G678" s="39"/>
      <c r="H678" s="39"/>
      <c r="I678" s="39"/>
    </row>
    <row r="679" spans="2:9" x14ac:dyDescent="0.25">
      <c r="B679"/>
      <c r="F679" s="39"/>
      <c r="G679" s="39"/>
      <c r="H679" s="39"/>
      <c r="I679" s="39"/>
    </row>
    <row r="680" spans="2:9" x14ac:dyDescent="0.25">
      <c r="B680"/>
      <c r="F680" s="39"/>
      <c r="G680" s="39"/>
      <c r="H680" s="39"/>
      <c r="I680" s="39"/>
    </row>
    <row r="681" spans="2:9" x14ac:dyDescent="0.25">
      <c r="B681"/>
      <c r="F681" s="39"/>
      <c r="G681" s="39"/>
      <c r="H681" s="39"/>
      <c r="I681" s="39"/>
    </row>
    <row r="682" spans="2:9" x14ac:dyDescent="0.25">
      <c r="B682"/>
      <c r="F682" s="39"/>
      <c r="G682" s="39"/>
      <c r="H682" s="39"/>
      <c r="I682" s="39"/>
    </row>
    <row r="683" spans="2:9" x14ac:dyDescent="0.25">
      <c r="B683"/>
      <c r="F683" s="39"/>
      <c r="G683" s="39"/>
      <c r="H683" s="39"/>
      <c r="I683" s="39"/>
    </row>
    <row r="684" spans="2:9" x14ac:dyDescent="0.25">
      <c r="B684"/>
      <c r="F684" s="39"/>
      <c r="G684" s="39"/>
      <c r="H684" s="39"/>
      <c r="I684" s="39"/>
    </row>
    <row r="685" spans="2:9" x14ac:dyDescent="0.25">
      <c r="B685"/>
      <c r="F685" s="39"/>
      <c r="G685" s="39"/>
      <c r="H685" s="39"/>
      <c r="I685" s="39"/>
    </row>
    <row r="686" spans="2:9" x14ac:dyDescent="0.25">
      <c r="B686"/>
      <c r="F686" s="39"/>
      <c r="G686" s="39"/>
      <c r="H686" s="39"/>
      <c r="I686" s="39"/>
    </row>
    <row r="687" spans="2:9" x14ac:dyDescent="0.25">
      <c r="B687"/>
      <c r="F687" s="39"/>
      <c r="G687" s="39"/>
      <c r="H687" s="39"/>
      <c r="I687" s="39"/>
    </row>
    <row r="688" spans="2:9" x14ac:dyDescent="0.25">
      <c r="B688"/>
      <c r="F688" s="39"/>
      <c r="G688" s="39"/>
      <c r="H688" s="39"/>
      <c r="I688" s="39"/>
    </row>
    <row r="689" spans="2:9" x14ac:dyDescent="0.25">
      <c r="B689"/>
      <c r="F689" s="39"/>
      <c r="G689" s="39"/>
      <c r="H689" s="39"/>
      <c r="I689" s="39"/>
    </row>
    <row r="690" spans="2:9" x14ac:dyDescent="0.25">
      <c r="B690"/>
      <c r="F690" s="39"/>
      <c r="G690" s="39"/>
      <c r="H690" s="39"/>
      <c r="I690" s="39"/>
    </row>
    <row r="691" spans="2:9" x14ac:dyDescent="0.25">
      <c r="B691"/>
      <c r="F691" s="39"/>
      <c r="G691" s="39"/>
      <c r="H691" s="39"/>
      <c r="I691" s="39"/>
    </row>
    <row r="692" spans="2:9" x14ac:dyDescent="0.25">
      <c r="B692"/>
      <c r="F692" s="39"/>
      <c r="G692" s="39"/>
      <c r="H692" s="39"/>
      <c r="I692" s="39"/>
    </row>
    <row r="693" spans="2:9" x14ac:dyDescent="0.25">
      <c r="B693"/>
      <c r="F693" s="39"/>
      <c r="G693" s="39"/>
      <c r="H693" s="39"/>
      <c r="I693" s="39"/>
    </row>
    <row r="694" spans="2:9" x14ac:dyDescent="0.25">
      <c r="B694"/>
      <c r="F694" s="39"/>
      <c r="G694" s="39"/>
      <c r="H694" s="39"/>
      <c r="I694" s="39"/>
    </row>
    <row r="695" spans="2:9" x14ac:dyDescent="0.25">
      <c r="B695"/>
      <c r="F695" s="39"/>
      <c r="G695" s="39"/>
      <c r="H695" s="39"/>
      <c r="I695" s="39"/>
    </row>
    <row r="696" spans="2:9" x14ac:dyDescent="0.25">
      <c r="B696"/>
      <c r="F696" s="39"/>
      <c r="G696" s="39"/>
      <c r="H696" s="39"/>
      <c r="I696" s="39"/>
    </row>
    <row r="697" spans="2:9" x14ac:dyDescent="0.25">
      <c r="B697"/>
      <c r="F697" s="39"/>
      <c r="G697" s="39"/>
      <c r="H697" s="39"/>
      <c r="I697" s="39"/>
    </row>
    <row r="698" spans="2:9" x14ac:dyDescent="0.25">
      <c r="B698"/>
      <c r="F698" s="39"/>
      <c r="G698" s="39"/>
      <c r="H698" s="39"/>
      <c r="I698" s="39"/>
    </row>
    <row r="699" spans="2:9" x14ac:dyDescent="0.25">
      <c r="B699"/>
      <c r="F699" s="39"/>
      <c r="G699" s="39"/>
      <c r="H699" s="39"/>
      <c r="I699" s="39"/>
    </row>
    <row r="700" spans="2:9" x14ac:dyDescent="0.25">
      <c r="B700"/>
      <c r="F700" s="39"/>
      <c r="G700" s="39"/>
      <c r="H700" s="39"/>
      <c r="I700" s="39"/>
    </row>
    <row r="701" spans="2:9" x14ac:dyDescent="0.25">
      <c r="B701"/>
      <c r="F701" s="39"/>
      <c r="G701" s="39"/>
      <c r="H701" s="39"/>
      <c r="I701" s="39"/>
    </row>
    <row r="702" spans="2:9" x14ac:dyDescent="0.25">
      <c r="B702"/>
      <c r="F702" s="39"/>
      <c r="G702" s="39"/>
      <c r="H702" s="39"/>
      <c r="I702" s="39"/>
    </row>
    <row r="703" spans="2:9" x14ac:dyDescent="0.25">
      <c r="B703"/>
      <c r="F703" s="39"/>
      <c r="G703" s="39"/>
      <c r="H703" s="39"/>
      <c r="I703" s="39"/>
    </row>
    <row r="704" spans="2:9" x14ac:dyDescent="0.25">
      <c r="B704"/>
      <c r="F704" s="39"/>
      <c r="G704" s="39"/>
      <c r="H704" s="39"/>
      <c r="I704" s="39"/>
    </row>
    <row r="705" spans="2:9" x14ac:dyDescent="0.25">
      <c r="B705"/>
      <c r="F705" s="39"/>
      <c r="G705" s="39"/>
      <c r="H705" s="39"/>
      <c r="I705" s="39"/>
    </row>
    <row r="706" spans="2:9" x14ac:dyDescent="0.25">
      <c r="B706"/>
      <c r="F706" s="39"/>
      <c r="G706" s="39"/>
      <c r="H706" s="39"/>
      <c r="I706" s="39"/>
    </row>
    <row r="707" spans="2:9" x14ac:dyDescent="0.25">
      <c r="B707"/>
      <c r="F707" s="39"/>
      <c r="G707" s="39"/>
      <c r="H707" s="39"/>
      <c r="I707" s="39"/>
    </row>
    <row r="708" spans="2:9" x14ac:dyDescent="0.25">
      <c r="B708"/>
      <c r="F708" s="39"/>
      <c r="G708" s="39"/>
      <c r="H708" s="39"/>
      <c r="I708" s="39"/>
    </row>
    <row r="709" spans="2:9" x14ac:dyDescent="0.25">
      <c r="B709"/>
      <c r="F709" s="39"/>
      <c r="G709" s="39"/>
      <c r="H709" s="39"/>
      <c r="I709" s="39"/>
    </row>
    <row r="710" spans="2:9" x14ac:dyDescent="0.25">
      <c r="B710"/>
      <c r="F710" s="39"/>
      <c r="G710" s="39"/>
      <c r="H710" s="39"/>
      <c r="I710" s="39"/>
    </row>
    <row r="711" spans="2:9" x14ac:dyDescent="0.25">
      <c r="B711"/>
      <c r="F711" s="39"/>
      <c r="G711" s="39"/>
      <c r="H711" s="39"/>
      <c r="I711" s="39"/>
    </row>
    <row r="712" spans="2:9" x14ac:dyDescent="0.25">
      <c r="B712"/>
      <c r="F712" s="39"/>
      <c r="G712" s="39"/>
      <c r="H712" s="39"/>
      <c r="I712" s="39"/>
    </row>
    <row r="713" spans="2:9" x14ac:dyDescent="0.25">
      <c r="B713"/>
      <c r="F713" s="39"/>
      <c r="G713" s="39"/>
      <c r="H713" s="39"/>
      <c r="I713" s="39"/>
    </row>
    <row r="714" spans="2:9" x14ac:dyDescent="0.25">
      <c r="B714"/>
      <c r="F714" s="39"/>
      <c r="G714" s="39"/>
      <c r="H714" s="39"/>
      <c r="I714" s="39"/>
    </row>
    <row r="715" spans="2:9" x14ac:dyDescent="0.25">
      <c r="B715"/>
      <c r="F715" s="39"/>
      <c r="G715" s="39"/>
      <c r="H715" s="39"/>
      <c r="I715" s="39"/>
    </row>
    <row r="716" spans="2:9" x14ac:dyDescent="0.25">
      <c r="B716"/>
      <c r="F716" s="39"/>
      <c r="G716" s="39"/>
      <c r="H716" s="39"/>
      <c r="I716" s="39"/>
    </row>
    <row r="717" spans="2:9" x14ac:dyDescent="0.25">
      <c r="B717"/>
      <c r="F717" s="39"/>
      <c r="G717" s="39"/>
      <c r="H717" s="39"/>
      <c r="I717" s="39"/>
    </row>
    <row r="718" spans="2:9" x14ac:dyDescent="0.25">
      <c r="B718"/>
      <c r="F718" s="39"/>
      <c r="G718" s="39"/>
      <c r="H718" s="39"/>
      <c r="I718" s="39"/>
    </row>
    <row r="719" spans="2:9" x14ac:dyDescent="0.25">
      <c r="B719"/>
      <c r="F719" s="39"/>
      <c r="G719" s="39"/>
      <c r="H719" s="39"/>
      <c r="I719" s="39"/>
    </row>
    <row r="720" spans="2:9" x14ac:dyDescent="0.25">
      <c r="B720"/>
      <c r="F720" s="39"/>
      <c r="G720" s="39"/>
      <c r="H720" s="39"/>
      <c r="I720" s="39"/>
    </row>
    <row r="721" spans="2:9" x14ac:dyDescent="0.25">
      <c r="B721"/>
      <c r="F721" s="39"/>
      <c r="G721" s="39"/>
      <c r="H721" s="39"/>
      <c r="I721" s="39"/>
    </row>
    <row r="722" spans="2:9" x14ac:dyDescent="0.25">
      <c r="B722"/>
      <c r="F722" s="39"/>
      <c r="G722" s="39"/>
      <c r="H722" s="39"/>
      <c r="I722" s="39"/>
    </row>
    <row r="723" spans="2:9" x14ac:dyDescent="0.25">
      <c r="B723"/>
      <c r="F723" s="39"/>
      <c r="G723" s="39"/>
      <c r="H723" s="39"/>
      <c r="I723" s="39"/>
    </row>
    <row r="724" spans="2:9" x14ac:dyDescent="0.25">
      <c r="B724"/>
      <c r="F724" s="39"/>
      <c r="G724" s="39"/>
      <c r="H724" s="39"/>
      <c r="I724" s="39"/>
    </row>
    <row r="725" spans="2:9" x14ac:dyDescent="0.25">
      <c r="B725"/>
      <c r="F725" s="39"/>
      <c r="G725" s="39"/>
      <c r="H725" s="39"/>
      <c r="I725" s="39"/>
    </row>
    <row r="726" spans="2:9" x14ac:dyDescent="0.25">
      <c r="B726"/>
      <c r="F726" s="39"/>
      <c r="G726" s="39"/>
      <c r="H726" s="39"/>
      <c r="I726" s="39"/>
    </row>
    <row r="727" spans="2:9" x14ac:dyDescent="0.25">
      <c r="B727"/>
      <c r="F727" s="39"/>
      <c r="G727" s="39"/>
      <c r="H727" s="39"/>
      <c r="I727" s="39"/>
    </row>
    <row r="728" spans="2:9" x14ac:dyDescent="0.25">
      <c r="B728"/>
      <c r="F728" s="39"/>
      <c r="G728" s="39"/>
      <c r="H728" s="39"/>
      <c r="I728" s="39"/>
    </row>
    <row r="729" spans="2:9" x14ac:dyDescent="0.25">
      <c r="B729"/>
      <c r="F729" s="39"/>
      <c r="G729" s="39"/>
      <c r="H729" s="39"/>
      <c r="I729" s="39"/>
    </row>
    <row r="730" spans="2:9" x14ac:dyDescent="0.25">
      <c r="B730"/>
      <c r="F730" s="39"/>
      <c r="G730" s="39"/>
      <c r="H730" s="39"/>
      <c r="I730" s="39"/>
    </row>
    <row r="731" spans="2:9" x14ac:dyDescent="0.25">
      <c r="B731"/>
      <c r="F731" s="39"/>
      <c r="G731" s="39"/>
      <c r="H731" s="39"/>
      <c r="I731" s="39"/>
    </row>
    <row r="732" spans="2:9" x14ac:dyDescent="0.25">
      <c r="B732"/>
      <c r="F732" s="39"/>
      <c r="G732" s="39"/>
      <c r="H732" s="39"/>
      <c r="I732" s="39"/>
    </row>
    <row r="733" spans="2:9" x14ac:dyDescent="0.25">
      <c r="B733"/>
      <c r="F733" s="39"/>
      <c r="G733" s="39"/>
      <c r="H733" s="39"/>
      <c r="I733" s="39"/>
    </row>
    <row r="734" spans="2:9" x14ac:dyDescent="0.25">
      <c r="B734"/>
      <c r="F734" s="39"/>
      <c r="G734" s="39"/>
      <c r="H734" s="39"/>
      <c r="I734" s="39"/>
    </row>
    <row r="735" spans="2:9" x14ac:dyDescent="0.25">
      <c r="B735"/>
      <c r="F735" s="39"/>
      <c r="G735" s="39"/>
      <c r="H735" s="39"/>
      <c r="I735" s="39"/>
    </row>
    <row r="736" spans="2:9" x14ac:dyDescent="0.25">
      <c r="B736"/>
      <c r="F736" s="39"/>
      <c r="G736" s="39"/>
      <c r="H736" s="39"/>
      <c r="I736" s="39"/>
    </row>
    <row r="737" spans="2:9" x14ac:dyDescent="0.25">
      <c r="B737"/>
      <c r="F737" s="39"/>
      <c r="G737" s="39"/>
      <c r="H737" s="39"/>
      <c r="I737" s="39"/>
    </row>
    <row r="738" spans="2:9" x14ac:dyDescent="0.25">
      <c r="B738"/>
      <c r="F738" s="39"/>
      <c r="G738" s="39"/>
      <c r="H738" s="39"/>
      <c r="I738" s="39"/>
    </row>
    <row r="739" spans="2:9" x14ac:dyDescent="0.25">
      <c r="B739"/>
      <c r="F739" s="39"/>
      <c r="G739" s="39"/>
      <c r="H739" s="39"/>
      <c r="I739" s="39"/>
    </row>
    <row r="740" spans="2:9" x14ac:dyDescent="0.25">
      <c r="B740"/>
      <c r="F740" s="39"/>
      <c r="G740" s="39"/>
      <c r="H740" s="39"/>
      <c r="I740" s="39"/>
    </row>
    <row r="741" spans="2:9" x14ac:dyDescent="0.25">
      <c r="B741"/>
      <c r="F741" s="39"/>
      <c r="G741" s="39"/>
      <c r="H741" s="39"/>
      <c r="I741" s="39"/>
    </row>
    <row r="742" spans="2:9" x14ac:dyDescent="0.25">
      <c r="B742"/>
      <c r="F742" s="39"/>
      <c r="G742" s="39"/>
      <c r="H742" s="39"/>
      <c r="I742" s="39"/>
    </row>
    <row r="743" spans="2:9" x14ac:dyDescent="0.25">
      <c r="B743"/>
      <c r="F743" s="39"/>
      <c r="G743" s="39"/>
      <c r="H743" s="39"/>
      <c r="I743" s="39"/>
    </row>
    <row r="744" spans="2:9" x14ac:dyDescent="0.25">
      <c r="B744"/>
      <c r="F744" s="39"/>
      <c r="G744" s="39"/>
      <c r="H744" s="39"/>
      <c r="I744" s="39"/>
    </row>
    <row r="745" spans="2:9" x14ac:dyDescent="0.25">
      <c r="B745"/>
      <c r="F745" s="39"/>
      <c r="G745" s="39"/>
      <c r="H745" s="39"/>
      <c r="I745" s="39"/>
    </row>
    <row r="746" spans="2:9" x14ac:dyDescent="0.25">
      <c r="B746"/>
      <c r="F746" s="39"/>
      <c r="G746" s="39"/>
      <c r="H746" s="39"/>
      <c r="I746" s="39"/>
    </row>
    <row r="747" spans="2:9" x14ac:dyDescent="0.25">
      <c r="B747"/>
      <c r="F747" s="39"/>
      <c r="G747" s="39"/>
      <c r="H747" s="39"/>
      <c r="I747" s="39"/>
    </row>
    <row r="748" spans="2:9" x14ac:dyDescent="0.25">
      <c r="B748"/>
      <c r="F748" s="39"/>
      <c r="G748" s="39"/>
      <c r="H748" s="39"/>
      <c r="I748" s="39"/>
    </row>
    <row r="749" spans="2:9" x14ac:dyDescent="0.25">
      <c r="B749"/>
      <c r="F749" s="39"/>
      <c r="G749" s="39"/>
      <c r="H749" s="39"/>
      <c r="I749" s="39"/>
    </row>
    <row r="750" spans="2:9" x14ac:dyDescent="0.25">
      <c r="B750"/>
      <c r="F750" s="39"/>
      <c r="G750" s="39"/>
      <c r="H750" s="39"/>
      <c r="I750" s="39"/>
    </row>
    <row r="751" spans="2:9" x14ac:dyDescent="0.25">
      <c r="B751"/>
      <c r="F751" s="39"/>
      <c r="G751" s="39"/>
      <c r="H751" s="39"/>
      <c r="I751" s="39"/>
    </row>
    <row r="752" spans="2:9" x14ac:dyDescent="0.25">
      <c r="B752"/>
      <c r="F752" s="39"/>
      <c r="G752" s="39"/>
      <c r="H752" s="39"/>
      <c r="I752" s="39"/>
    </row>
    <row r="753" spans="2:9" x14ac:dyDescent="0.25">
      <c r="B753"/>
      <c r="F753" s="39"/>
      <c r="G753" s="39"/>
      <c r="H753" s="39"/>
      <c r="I753" s="39"/>
    </row>
    <row r="754" spans="2:9" x14ac:dyDescent="0.25">
      <c r="B754"/>
      <c r="F754" s="39"/>
      <c r="G754" s="39"/>
      <c r="H754" s="39"/>
      <c r="I754" s="39"/>
    </row>
    <row r="755" spans="2:9" x14ac:dyDescent="0.25">
      <c r="B755"/>
      <c r="F755" s="39"/>
      <c r="G755" s="39"/>
      <c r="H755" s="39"/>
      <c r="I755" s="39"/>
    </row>
    <row r="756" spans="2:9" x14ac:dyDescent="0.25">
      <c r="B756"/>
      <c r="F756" s="39"/>
      <c r="G756" s="39"/>
      <c r="H756" s="39"/>
      <c r="I756" s="39"/>
    </row>
    <row r="757" spans="2:9" x14ac:dyDescent="0.25">
      <c r="B757"/>
      <c r="F757" s="39"/>
      <c r="G757" s="39"/>
      <c r="H757" s="39"/>
      <c r="I757" s="39"/>
    </row>
    <row r="758" spans="2:9" x14ac:dyDescent="0.25">
      <c r="B758"/>
      <c r="F758" s="39"/>
      <c r="G758" s="39"/>
      <c r="H758" s="39"/>
      <c r="I758" s="39"/>
    </row>
    <row r="759" spans="2:9" x14ac:dyDescent="0.25">
      <c r="B759"/>
      <c r="F759" s="39"/>
      <c r="G759" s="39"/>
      <c r="H759" s="39"/>
      <c r="I759" s="39"/>
    </row>
    <row r="760" spans="2:9" x14ac:dyDescent="0.25">
      <c r="B760"/>
      <c r="F760" s="39"/>
      <c r="G760" s="39"/>
      <c r="H760" s="39"/>
      <c r="I760" s="39"/>
    </row>
    <row r="761" spans="2:9" x14ac:dyDescent="0.25">
      <c r="B761"/>
      <c r="F761" s="39"/>
      <c r="G761" s="39"/>
      <c r="H761" s="39"/>
      <c r="I761" s="39"/>
    </row>
    <row r="762" spans="2:9" x14ac:dyDescent="0.25">
      <c r="B762"/>
      <c r="F762" s="39"/>
      <c r="G762" s="39"/>
      <c r="H762" s="39"/>
      <c r="I762" s="39"/>
    </row>
    <row r="763" spans="2:9" x14ac:dyDescent="0.25">
      <c r="B763"/>
      <c r="F763" s="39"/>
      <c r="G763" s="39"/>
      <c r="H763" s="39"/>
      <c r="I763" s="39"/>
    </row>
    <row r="764" spans="2:9" x14ac:dyDescent="0.25">
      <c r="B764"/>
      <c r="F764" s="39"/>
      <c r="G764" s="39"/>
      <c r="H764" s="39"/>
      <c r="I764" s="39"/>
    </row>
    <row r="765" spans="2:9" x14ac:dyDescent="0.25">
      <c r="B765"/>
      <c r="F765" s="39"/>
      <c r="G765" s="39"/>
      <c r="H765" s="39"/>
      <c r="I765" s="39"/>
    </row>
    <row r="766" spans="2:9" x14ac:dyDescent="0.25">
      <c r="B766"/>
      <c r="F766" s="39"/>
      <c r="G766" s="39"/>
      <c r="H766" s="39"/>
      <c r="I766" s="39"/>
    </row>
    <row r="767" spans="2:9" x14ac:dyDescent="0.25">
      <c r="B767"/>
      <c r="F767" s="39"/>
      <c r="G767" s="39"/>
      <c r="H767" s="39"/>
      <c r="I767" s="39"/>
    </row>
    <row r="768" spans="2:9" x14ac:dyDescent="0.25">
      <c r="B768"/>
      <c r="F768" s="39"/>
      <c r="G768" s="39"/>
      <c r="H768" s="39"/>
      <c r="I768" s="39"/>
    </row>
    <row r="769" spans="2:9" x14ac:dyDescent="0.25">
      <c r="B769"/>
      <c r="F769" s="39"/>
      <c r="G769" s="39"/>
      <c r="H769" s="39"/>
      <c r="I769" s="39"/>
    </row>
    <row r="770" spans="2:9" x14ac:dyDescent="0.25">
      <c r="B770"/>
      <c r="F770" s="39"/>
      <c r="G770" s="39"/>
      <c r="H770" s="39"/>
      <c r="I770" s="39"/>
    </row>
    <row r="771" spans="2:9" x14ac:dyDescent="0.25">
      <c r="B771"/>
      <c r="F771" s="39"/>
      <c r="G771" s="39"/>
      <c r="H771" s="39"/>
      <c r="I771" s="39"/>
    </row>
    <row r="772" spans="2:9" x14ac:dyDescent="0.25">
      <c r="B772"/>
      <c r="F772" s="39"/>
      <c r="G772" s="39"/>
      <c r="H772" s="39"/>
      <c r="I772" s="39"/>
    </row>
    <row r="773" spans="2:9" x14ac:dyDescent="0.25">
      <c r="B773"/>
      <c r="F773" s="39"/>
      <c r="G773" s="39"/>
      <c r="H773" s="39"/>
      <c r="I773" s="39"/>
    </row>
    <row r="774" spans="2:9" x14ac:dyDescent="0.25">
      <c r="B774"/>
      <c r="F774" s="39"/>
      <c r="G774" s="39"/>
      <c r="H774" s="39"/>
      <c r="I774" s="39"/>
    </row>
    <row r="775" spans="2:9" x14ac:dyDescent="0.25">
      <c r="B775"/>
      <c r="F775" s="39"/>
      <c r="G775" s="39"/>
      <c r="H775" s="39"/>
      <c r="I775" s="39"/>
    </row>
    <row r="776" spans="2:9" x14ac:dyDescent="0.25">
      <c r="B776"/>
      <c r="F776" s="39"/>
      <c r="G776" s="39"/>
      <c r="H776" s="39"/>
      <c r="I776" s="39"/>
    </row>
    <row r="777" spans="2:9" x14ac:dyDescent="0.25">
      <c r="B777"/>
      <c r="F777" s="39"/>
      <c r="G777" s="39"/>
      <c r="H777" s="39"/>
      <c r="I777" s="39"/>
    </row>
    <row r="778" spans="2:9" x14ac:dyDescent="0.25">
      <c r="B778"/>
      <c r="F778" s="39"/>
      <c r="G778" s="39"/>
      <c r="H778" s="39"/>
      <c r="I778" s="39"/>
    </row>
    <row r="779" spans="2:9" x14ac:dyDescent="0.25">
      <c r="B779"/>
      <c r="F779" s="39"/>
      <c r="G779" s="39"/>
      <c r="H779" s="39"/>
      <c r="I779" s="39"/>
    </row>
    <row r="780" spans="2:9" x14ac:dyDescent="0.25">
      <c r="B780"/>
      <c r="F780" s="39"/>
      <c r="G780" s="39"/>
      <c r="H780" s="39"/>
      <c r="I780" s="39"/>
    </row>
    <row r="781" spans="2:9" x14ac:dyDescent="0.25">
      <c r="B781"/>
      <c r="F781" s="39"/>
      <c r="G781" s="39"/>
      <c r="H781" s="39"/>
      <c r="I781" s="39"/>
    </row>
    <row r="782" spans="2:9" x14ac:dyDescent="0.25">
      <c r="B782"/>
      <c r="F782" s="39"/>
      <c r="G782" s="39"/>
      <c r="H782" s="39"/>
      <c r="I782" s="39"/>
    </row>
    <row r="783" spans="2:9" x14ac:dyDescent="0.25">
      <c r="B783"/>
      <c r="F783" s="39"/>
      <c r="G783" s="39"/>
      <c r="H783" s="39"/>
      <c r="I783" s="39"/>
    </row>
    <row r="784" spans="2:9" x14ac:dyDescent="0.25">
      <c r="B784"/>
      <c r="F784" s="39"/>
      <c r="G784" s="39"/>
      <c r="H784" s="39"/>
      <c r="I784" s="39"/>
    </row>
    <row r="785" spans="2:9" x14ac:dyDescent="0.25">
      <c r="B785"/>
      <c r="F785" s="39"/>
      <c r="G785" s="39"/>
      <c r="H785" s="39"/>
      <c r="I785" s="39"/>
    </row>
    <row r="786" spans="2:9" x14ac:dyDescent="0.25">
      <c r="B786"/>
      <c r="F786" s="39"/>
      <c r="G786" s="39"/>
      <c r="H786" s="39"/>
      <c r="I786" s="39"/>
    </row>
    <row r="787" spans="2:9" x14ac:dyDescent="0.25">
      <c r="B787"/>
      <c r="F787" s="39"/>
      <c r="G787" s="39"/>
      <c r="H787" s="39"/>
      <c r="I787" s="39"/>
    </row>
    <row r="788" spans="2:9" x14ac:dyDescent="0.25">
      <c r="B788"/>
      <c r="F788" s="39"/>
      <c r="G788" s="39"/>
      <c r="H788" s="39"/>
      <c r="I788" s="39"/>
    </row>
    <row r="789" spans="2:9" x14ac:dyDescent="0.25">
      <c r="B789"/>
      <c r="F789" s="39"/>
      <c r="G789" s="39"/>
      <c r="H789" s="39"/>
      <c r="I789" s="39"/>
    </row>
    <row r="790" spans="2:9" x14ac:dyDescent="0.25">
      <c r="B790"/>
      <c r="F790" s="39"/>
      <c r="G790" s="39"/>
      <c r="H790" s="39"/>
      <c r="I790" s="39"/>
    </row>
    <row r="791" spans="2:9" x14ac:dyDescent="0.25">
      <c r="B791"/>
      <c r="F791" s="39"/>
      <c r="G791" s="39"/>
      <c r="H791" s="39"/>
      <c r="I791" s="39"/>
    </row>
    <row r="792" spans="2:9" x14ac:dyDescent="0.25">
      <c r="B792"/>
      <c r="F792" s="39"/>
      <c r="G792" s="39"/>
      <c r="H792" s="39"/>
      <c r="I792" s="39"/>
    </row>
    <row r="793" spans="2:9" x14ac:dyDescent="0.25">
      <c r="B793"/>
      <c r="F793" s="39"/>
      <c r="G793" s="39"/>
      <c r="H793" s="39"/>
      <c r="I793" s="39"/>
    </row>
    <row r="794" spans="2:9" x14ac:dyDescent="0.25">
      <c r="B794"/>
      <c r="F794" s="39"/>
      <c r="G794" s="39"/>
      <c r="H794" s="39"/>
      <c r="I794" s="39"/>
    </row>
    <row r="795" spans="2:9" x14ac:dyDescent="0.25">
      <c r="B795"/>
      <c r="F795" s="39"/>
      <c r="G795" s="39"/>
      <c r="H795" s="39"/>
      <c r="I795" s="39"/>
    </row>
    <row r="796" spans="2:9" x14ac:dyDescent="0.25">
      <c r="B796"/>
      <c r="F796" s="39"/>
      <c r="G796" s="39"/>
      <c r="H796" s="39"/>
      <c r="I796" s="39"/>
    </row>
    <row r="797" spans="2:9" x14ac:dyDescent="0.25">
      <c r="B797"/>
      <c r="F797" s="39"/>
      <c r="G797" s="39"/>
      <c r="H797" s="39"/>
      <c r="I797" s="39"/>
    </row>
    <row r="798" spans="2:9" x14ac:dyDescent="0.25">
      <c r="B798"/>
      <c r="F798" s="39"/>
      <c r="G798" s="39"/>
      <c r="H798" s="39"/>
      <c r="I798" s="39"/>
    </row>
    <row r="799" spans="2:9" x14ac:dyDescent="0.25">
      <c r="B799"/>
      <c r="F799" s="39"/>
      <c r="G799" s="39"/>
      <c r="H799" s="39"/>
      <c r="I799" s="39"/>
    </row>
    <row r="800" spans="2:9" x14ac:dyDescent="0.25">
      <c r="B800"/>
      <c r="F800" s="39"/>
      <c r="G800" s="39"/>
      <c r="H800" s="39"/>
      <c r="I800" s="39"/>
    </row>
    <row r="801" spans="2:9" x14ac:dyDescent="0.25">
      <c r="B801"/>
      <c r="F801" s="39"/>
      <c r="G801" s="39"/>
      <c r="H801" s="39"/>
      <c r="I801" s="39"/>
    </row>
    <row r="802" spans="2:9" x14ac:dyDescent="0.25">
      <c r="B802"/>
      <c r="F802" s="39"/>
      <c r="G802" s="39"/>
      <c r="H802" s="39"/>
      <c r="I802" s="39"/>
    </row>
    <row r="803" spans="2:9" x14ac:dyDescent="0.25">
      <c r="B803"/>
      <c r="F803" s="39"/>
      <c r="G803" s="39"/>
      <c r="H803" s="39"/>
      <c r="I803" s="39"/>
    </row>
    <row r="804" spans="2:9" x14ac:dyDescent="0.25">
      <c r="B804"/>
      <c r="F804" s="39"/>
      <c r="G804" s="39"/>
      <c r="H804" s="39"/>
      <c r="I804" s="39"/>
    </row>
    <row r="805" spans="2:9" x14ac:dyDescent="0.25">
      <c r="B805"/>
      <c r="F805" s="39"/>
      <c r="G805" s="39"/>
      <c r="H805" s="39"/>
      <c r="I805" s="39"/>
    </row>
    <row r="806" spans="2:9" x14ac:dyDescent="0.25">
      <c r="B806"/>
      <c r="F806" s="39"/>
      <c r="G806" s="39"/>
      <c r="H806" s="39"/>
      <c r="I806" s="39"/>
    </row>
    <row r="807" spans="2:9" x14ac:dyDescent="0.25">
      <c r="B807"/>
      <c r="F807" s="39"/>
      <c r="G807" s="39"/>
      <c r="H807" s="39"/>
      <c r="I807" s="39"/>
    </row>
    <row r="808" spans="2:9" x14ac:dyDescent="0.25">
      <c r="B808"/>
      <c r="F808" s="39"/>
      <c r="G808" s="39"/>
      <c r="H808" s="39"/>
      <c r="I808" s="39"/>
    </row>
    <row r="809" spans="2:9" x14ac:dyDescent="0.25">
      <c r="B809"/>
      <c r="F809" s="39"/>
      <c r="G809" s="39"/>
      <c r="H809" s="39"/>
      <c r="I809" s="39"/>
    </row>
    <row r="810" spans="2:9" x14ac:dyDescent="0.25">
      <c r="B810"/>
      <c r="F810" s="39"/>
      <c r="G810" s="39"/>
      <c r="H810" s="39"/>
      <c r="I810" s="39"/>
    </row>
    <row r="811" spans="2:9" x14ac:dyDescent="0.25">
      <c r="B811"/>
      <c r="F811" s="39"/>
      <c r="G811" s="39"/>
      <c r="H811" s="39"/>
      <c r="I811" s="39"/>
    </row>
    <row r="812" spans="2:9" x14ac:dyDescent="0.25">
      <c r="B812"/>
      <c r="F812" s="39"/>
      <c r="G812" s="39"/>
      <c r="H812" s="39"/>
      <c r="I812" s="39"/>
    </row>
    <row r="813" spans="2:9" x14ac:dyDescent="0.25">
      <c r="B813"/>
      <c r="F813" s="39"/>
      <c r="G813" s="39"/>
      <c r="H813" s="39"/>
      <c r="I813" s="39"/>
    </row>
    <row r="814" spans="2:9" x14ac:dyDescent="0.25">
      <c r="B814"/>
      <c r="F814" s="39"/>
      <c r="G814" s="39"/>
      <c r="H814" s="39"/>
      <c r="I814" s="39"/>
    </row>
    <row r="815" spans="2:9" x14ac:dyDescent="0.25">
      <c r="B815"/>
      <c r="F815" s="39"/>
      <c r="G815" s="39"/>
      <c r="H815" s="39"/>
      <c r="I815" s="39"/>
    </row>
    <row r="816" spans="2:9" x14ac:dyDescent="0.25">
      <c r="B816"/>
      <c r="F816" s="39"/>
      <c r="G816" s="39"/>
      <c r="H816" s="39"/>
      <c r="I816" s="39"/>
    </row>
    <row r="817" spans="2:9" x14ac:dyDescent="0.25">
      <c r="B817"/>
      <c r="F817" s="39"/>
      <c r="G817" s="39"/>
      <c r="H817" s="39"/>
      <c r="I817" s="39"/>
    </row>
    <row r="818" spans="2:9" x14ac:dyDescent="0.25">
      <c r="B818"/>
      <c r="F818" s="39"/>
      <c r="G818" s="39"/>
      <c r="H818" s="39"/>
      <c r="I818" s="39"/>
    </row>
    <row r="819" spans="2:9" x14ac:dyDescent="0.25">
      <c r="B819"/>
      <c r="F819" s="39"/>
      <c r="G819" s="39"/>
      <c r="H819" s="39"/>
      <c r="I819" s="39"/>
    </row>
    <row r="820" spans="2:9" x14ac:dyDescent="0.25">
      <c r="B820"/>
      <c r="F820" s="39"/>
      <c r="G820" s="39"/>
      <c r="H820" s="39"/>
      <c r="I820" s="39"/>
    </row>
    <row r="821" spans="2:9" x14ac:dyDescent="0.25">
      <c r="B821"/>
      <c r="F821" s="39"/>
      <c r="G821" s="39"/>
      <c r="H821" s="39"/>
      <c r="I821" s="39"/>
    </row>
    <row r="822" spans="2:9" x14ac:dyDescent="0.25">
      <c r="B822"/>
      <c r="F822" s="39"/>
      <c r="G822" s="39"/>
      <c r="H822" s="39"/>
      <c r="I822" s="39"/>
    </row>
    <row r="823" spans="2:9" x14ac:dyDescent="0.25">
      <c r="B823"/>
      <c r="F823" s="39"/>
      <c r="G823" s="39"/>
      <c r="H823" s="39"/>
      <c r="I823" s="39"/>
    </row>
    <row r="824" spans="2:9" x14ac:dyDescent="0.25">
      <c r="B824"/>
      <c r="F824" s="39"/>
      <c r="G824" s="39"/>
      <c r="H824" s="39"/>
      <c r="I824" s="39"/>
    </row>
    <row r="825" spans="2:9" x14ac:dyDescent="0.25">
      <c r="B825"/>
      <c r="F825" s="39"/>
      <c r="G825" s="39"/>
      <c r="H825" s="39"/>
      <c r="I825" s="39"/>
    </row>
    <row r="826" spans="2:9" x14ac:dyDescent="0.25">
      <c r="B826"/>
      <c r="F826" s="39"/>
      <c r="G826" s="39"/>
      <c r="H826" s="39"/>
      <c r="I826" s="39"/>
    </row>
    <row r="827" spans="2:9" x14ac:dyDescent="0.25">
      <c r="B827"/>
      <c r="F827" s="39"/>
      <c r="G827" s="39"/>
      <c r="H827" s="39"/>
      <c r="I827" s="39"/>
    </row>
    <row r="828" spans="2:9" x14ac:dyDescent="0.25">
      <c r="B828"/>
      <c r="F828" s="39"/>
      <c r="G828" s="39"/>
      <c r="H828" s="39"/>
      <c r="I828" s="39"/>
    </row>
    <row r="829" spans="2:9" x14ac:dyDescent="0.25">
      <c r="B829"/>
      <c r="F829" s="39"/>
      <c r="G829" s="39"/>
      <c r="H829" s="39"/>
      <c r="I829" s="39"/>
    </row>
    <row r="830" spans="2:9" x14ac:dyDescent="0.25">
      <c r="B830"/>
      <c r="F830" s="39"/>
      <c r="G830" s="39"/>
      <c r="H830" s="39"/>
      <c r="I830" s="39"/>
    </row>
    <row r="831" spans="2:9" x14ac:dyDescent="0.25">
      <c r="B831"/>
      <c r="F831" s="39"/>
      <c r="G831" s="39"/>
      <c r="H831" s="39"/>
      <c r="I831" s="39"/>
    </row>
    <row r="832" spans="2:9" x14ac:dyDescent="0.25">
      <c r="B832"/>
      <c r="F832" s="39"/>
      <c r="G832" s="39"/>
      <c r="H832" s="39"/>
      <c r="I832" s="39"/>
    </row>
    <row r="833" spans="2:9" x14ac:dyDescent="0.25">
      <c r="B833"/>
      <c r="F833" s="39"/>
      <c r="G833" s="39"/>
      <c r="H833" s="39"/>
      <c r="I833" s="39"/>
    </row>
    <row r="834" spans="2:9" x14ac:dyDescent="0.25">
      <c r="B834"/>
      <c r="F834" s="39"/>
      <c r="G834" s="39"/>
      <c r="H834" s="39"/>
      <c r="I834" s="39"/>
    </row>
    <row r="835" spans="2:9" x14ac:dyDescent="0.25">
      <c r="B835"/>
      <c r="F835" s="39"/>
      <c r="G835" s="39"/>
      <c r="H835" s="39"/>
      <c r="I835" s="39"/>
    </row>
    <row r="836" spans="2:9" x14ac:dyDescent="0.25">
      <c r="B836"/>
      <c r="F836" s="39"/>
      <c r="G836" s="39"/>
      <c r="H836" s="39"/>
      <c r="I836" s="39"/>
    </row>
    <row r="837" spans="2:9" x14ac:dyDescent="0.25">
      <c r="B837"/>
      <c r="F837" s="39"/>
      <c r="G837" s="39"/>
      <c r="H837" s="39"/>
      <c r="I837" s="39"/>
    </row>
    <row r="838" spans="2:9" x14ac:dyDescent="0.25">
      <c r="B838"/>
      <c r="F838" s="39"/>
      <c r="G838" s="39"/>
      <c r="H838" s="39"/>
      <c r="I838" s="39"/>
    </row>
    <row r="839" spans="2:9" x14ac:dyDescent="0.25">
      <c r="B839"/>
      <c r="F839" s="39"/>
      <c r="G839" s="39"/>
      <c r="H839" s="39"/>
      <c r="I839" s="39"/>
    </row>
    <row r="840" spans="2:9" x14ac:dyDescent="0.25">
      <c r="B840"/>
      <c r="F840" s="39"/>
      <c r="G840" s="39"/>
      <c r="H840" s="39"/>
      <c r="I840" s="39"/>
    </row>
    <row r="841" spans="2:9" x14ac:dyDescent="0.25">
      <c r="B841"/>
      <c r="F841" s="39"/>
      <c r="G841" s="39"/>
      <c r="H841" s="39"/>
      <c r="I841" s="39"/>
    </row>
    <row r="842" spans="2:9" x14ac:dyDescent="0.25">
      <c r="B842"/>
      <c r="F842" s="39"/>
      <c r="G842" s="39"/>
      <c r="H842" s="39"/>
      <c r="I842" s="39"/>
    </row>
    <row r="843" spans="2:9" x14ac:dyDescent="0.25">
      <c r="B843"/>
      <c r="F843" s="39"/>
      <c r="G843" s="39"/>
      <c r="H843" s="39"/>
      <c r="I843" s="39"/>
    </row>
    <row r="844" spans="2:9" x14ac:dyDescent="0.25">
      <c r="B844"/>
      <c r="F844" s="39"/>
      <c r="G844" s="39"/>
      <c r="H844" s="39"/>
      <c r="I844" s="39"/>
    </row>
    <row r="845" spans="2:9" x14ac:dyDescent="0.25">
      <c r="B845"/>
      <c r="F845" s="39"/>
      <c r="G845" s="39"/>
      <c r="H845" s="39"/>
      <c r="I845" s="39"/>
    </row>
    <row r="846" spans="2:9" x14ac:dyDescent="0.25">
      <c r="B846"/>
      <c r="F846" s="39"/>
      <c r="G846" s="39"/>
      <c r="H846" s="39"/>
      <c r="I846" s="39"/>
    </row>
    <row r="847" spans="2:9" x14ac:dyDescent="0.25">
      <c r="B847"/>
      <c r="F847" s="39"/>
      <c r="G847" s="39"/>
      <c r="H847" s="39"/>
      <c r="I847" s="39"/>
    </row>
    <row r="848" spans="2:9" x14ac:dyDescent="0.25">
      <c r="B848"/>
      <c r="F848" s="39"/>
      <c r="G848" s="39"/>
      <c r="H848" s="39"/>
      <c r="I848" s="39"/>
    </row>
    <row r="849" spans="2:9" x14ac:dyDescent="0.25">
      <c r="B849"/>
      <c r="F849" s="39"/>
      <c r="G849" s="39"/>
      <c r="H849" s="39"/>
      <c r="I849" s="39"/>
    </row>
    <row r="850" spans="2:9" x14ac:dyDescent="0.25">
      <c r="B850"/>
      <c r="F850" s="39"/>
      <c r="G850" s="39"/>
      <c r="H850" s="39"/>
      <c r="I850" s="39"/>
    </row>
    <row r="851" spans="2:9" x14ac:dyDescent="0.25">
      <c r="B851"/>
      <c r="F851" s="39"/>
      <c r="G851" s="39"/>
      <c r="H851" s="39"/>
      <c r="I851" s="39"/>
    </row>
    <row r="852" spans="2:9" x14ac:dyDescent="0.25">
      <c r="B852"/>
      <c r="F852" s="39"/>
      <c r="G852" s="39"/>
      <c r="H852" s="39"/>
      <c r="I852" s="39"/>
    </row>
    <row r="853" spans="2:9" x14ac:dyDescent="0.25">
      <c r="B853"/>
      <c r="F853" s="39"/>
      <c r="G853" s="39"/>
      <c r="H853" s="39"/>
      <c r="I853" s="39"/>
    </row>
    <row r="854" spans="2:9" x14ac:dyDescent="0.25">
      <c r="B854"/>
      <c r="F854" s="39"/>
      <c r="G854" s="39"/>
      <c r="H854" s="39"/>
      <c r="I854" s="39"/>
    </row>
    <row r="855" spans="2:9" x14ac:dyDescent="0.25">
      <c r="B855"/>
      <c r="F855" s="39"/>
      <c r="G855" s="39"/>
      <c r="H855" s="39"/>
      <c r="I855" s="39"/>
    </row>
    <row r="856" spans="2:9" x14ac:dyDescent="0.25">
      <c r="B856"/>
      <c r="F856" s="39"/>
      <c r="G856" s="39"/>
      <c r="H856" s="39"/>
      <c r="I856" s="39"/>
    </row>
    <row r="857" spans="2:9" x14ac:dyDescent="0.25">
      <c r="B857"/>
      <c r="F857" s="39"/>
      <c r="G857" s="39"/>
      <c r="H857" s="39"/>
      <c r="I857" s="39"/>
    </row>
    <row r="858" spans="2:9" x14ac:dyDescent="0.25">
      <c r="B858"/>
      <c r="F858" s="39"/>
      <c r="G858" s="39"/>
      <c r="H858" s="39"/>
      <c r="I858" s="39"/>
    </row>
    <row r="859" spans="2:9" x14ac:dyDescent="0.25">
      <c r="B859"/>
      <c r="F859" s="39"/>
      <c r="G859" s="39"/>
      <c r="H859" s="39"/>
      <c r="I859" s="39"/>
    </row>
    <row r="860" spans="2:9" x14ac:dyDescent="0.25">
      <c r="B860"/>
      <c r="F860" s="39"/>
      <c r="G860" s="39"/>
      <c r="H860" s="39"/>
      <c r="I860" s="39"/>
    </row>
    <row r="861" spans="2:9" x14ac:dyDescent="0.25">
      <c r="B861"/>
      <c r="F861" s="39"/>
      <c r="G861" s="39"/>
      <c r="H861" s="39"/>
      <c r="I861" s="39"/>
    </row>
    <row r="862" spans="2:9" x14ac:dyDescent="0.25">
      <c r="B862"/>
      <c r="F862" s="39"/>
      <c r="G862" s="39"/>
      <c r="H862" s="39"/>
      <c r="I862" s="39"/>
    </row>
    <row r="863" spans="2:9" x14ac:dyDescent="0.25">
      <c r="B863"/>
      <c r="F863" s="39"/>
      <c r="G863" s="39"/>
      <c r="H863" s="39"/>
      <c r="I863" s="39"/>
    </row>
    <row r="864" spans="2:9" x14ac:dyDescent="0.25">
      <c r="B864"/>
      <c r="F864" s="39"/>
      <c r="G864" s="39"/>
      <c r="H864" s="39"/>
      <c r="I864" s="39"/>
    </row>
    <row r="865" spans="2:9" x14ac:dyDescent="0.25">
      <c r="B865"/>
      <c r="F865" s="39"/>
      <c r="G865" s="39"/>
      <c r="H865" s="39"/>
      <c r="I865" s="39"/>
    </row>
    <row r="866" spans="2:9" x14ac:dyDescent="0.25">
      <c r="B866"/>
      <c r="F866" s="39"/>
      <c r="G866" s="39"/>
      <c r="H866" s="39"/>
      <c r="I866" s="39"/>
    </row>
    <row r="867" spans="2:9" x14ac:dyDescent="0.25">
      <c r="B867"/>
      <c r="F867" s="39"/>
      <c r="G867" s="39"/>
      <c r="H867" s="39"/>
      <c r="I867" s="39"/>
    </row>
    <row r="868" spans="2:9" x14ac:dyDescent="0.25">
      <c r="B868"/>
      <c r="F868" s="39"/>
      <c r="G868" s="39"/>
      <c r="H868" s="39"/>
      <c r="I868" s="39"/>
    </row>
    <row r="869" spans="2:9" x14ac:dyDescent="0.25">
      <c r="B869"/>
      <c r="F869" s="39"/>
      <c r="G869" s="39"/>
      <c r="H869" s="39"/>
      <c r="I869" s="39"/>
    </row>
    <row r="870" spans="2:9" x14ac:dyDescent="0.25">
      <c r="B870"/>
      <c r="F870" s="39"/>
      <c r="G870" s="39"/>
      <c r="H870" s="39"/>
      <c r="I870" s="39"/>
    </row>
    <row r="871" spans="2:9" x14ac:dyDescent="0.25">
      <c r="B871"/>
      <c r="F871" s="39"/>
      <c r="G871" s="39"/>
      <c r="H871" s="39"/>
      <c r="I871" s="39"/>
    </row>
    <row r="872" spans="2:9" x14ac:dyDescent="0.25">
      <c r="B872"/>
      <c r="F872" s="39"/>
      <c r="G872" s="39"/>
      <c r="H872" s="39"/>
      <c r="I872" s="39"/>
    </row>
    <row r="873" spans="2:9" x14ac:dyDescent="0.25">
      <c r="B873"/>
      <c r="F873" s="39"/>
      <c r="G873" s="39"/>
      <c r="H873" s="39"/>
      <c r="I873" s="39"/>
    </row>
    <row r="874" spans="2:9" x14ac:dyDescent="0.25">
      <c r="B874"/>
      <c r="F874" s="39"/>
      <c r="G874" s="39"/>
      <c r="H874" s="39"/>
      <c r="I874" s="39"/>
    </row>
    <row r="875" spans="2:9" x14ac:dyDescent="0.25">
      <c r="B875"/>
      <c r="F875" s="39"/>
      <c r="G875" s="39"/>
      <c r="H875" s="39"/>
      <c r="I875" s="39"/>
    </row>
    <row r="876" spans="2:9" x14ac:dyDescent="0.25">
      <c r="B876"/>
      <c r="F876" s="39"/>
      <c r="G876" s="39"/>
      <c r="H876" s="39"/>
      <c r="I876" s="39"/>
    </row>
    <row r="877" spans="2:9" x14ac:dyDescent="0.25">
      <c r="B877"/>
      <c r="F877" s="39"/>
      <c r="G877" s="39"/>
      <c r="H877" s="39"/>
      <c r="I877" s="39"/>
    </row>
    <row r="878" spans="2:9" x14ac:dyDescent="0.25">
      <c r="B878"/>
      <c r="F878" s="39"/>
      <c r="G878" s="39"/>
      <c r="H878" s="39"/>
      <c r="I878" s="39"/>
    </row>
    <row r="879" spans="2:9" x14ac:dyDescent="0.25">
      <c r="B879"/>
      <c r="F879" s="39"/>
      <c r="G879" s="39"/>
      <c r="H879" s="39"/>
      <c r="I879" s="39"/>
    </row>
    <row r="880" spans="2:9" x14ac:dyDescent="0.25">
      <c r="B880"/>
      <c r="F880" s="39"/>
      <c r="G880" s="39"/>
      <c r="H880" s="39"/>
      <c r="I880" s="39"/>
    </row>
    <row r="881" spans="2:9" x14ac:dyDescent="0.25">
      <c r="B881"/>
      <c r="F881" s="39"/>
      <c r="G881" s="39"/>
      <c r="H881" s="39"/>
      <c r="I881" s="39"/>
    </row>
    <row r="882" spans="2:9" x14ac:dyDescent="0.25">
      <c r="B882"/>
      <c r="F882" s="39"/>
      <c r="G882" s="39"/>
      <c r="H882" s="39"/>
      <c r="I882" s="39"/>
    </row>
    <row r="883" spans="2:9" x14ac:dyDescent="0.25">
      <c r="B883"/>
      <c r="F883" s="39"/>
      <c r="G883" s="39"/>
      <c r="H883" s="39"/>
      <c r="I883" s="39"/>
    </row>
    <row r="884" spans="2:9" x14ac:dyDescent="0.25">
      <c r="B884"/>
      <c r="F884" s="39"/>
      <c r="G884" s="39"/>
      <c r="H884" s="39"/>
      <c r="I884" s="39"/>
    </row>
    <row r="885" spans="2:9" x14ac:dyDescent="0.25">
      <c r="B885"/>
      <c r="F885" s="39"/>
      <c r="G885" s="39"/>
      <c r="H885" s="39"/>
      <c r="I885" s="39"/>
    </row>
    <row r="886" spans="2:9" x14ac:dyDescent="0.25">
      <c r="B886"/>
      <c r="F886" s="39"/>
      <c r="G886" s="39"/>
      <c r="H886" s="39"/>
      <c r="I886" s="39"/>
    </row>
    <row r="887" spans="2:9" x14ac:dyDescent="0.25">
      <c r="B887"/>
      <c r="F887" s="39"/>
      <c r="G887" s="39"/>
      <c r="H887" s="39"/>
      <c r="I887" s="39"/>
    </row>
    <row r="888" spans="2:9" x14ac:dyDescent="0.25">
      <c r="B888"/>
      <c r="F888" s="39"/>
      <c r="G888" s="39"/>
      <c r="H888" s="39"/>
      <c r="I888" s="39"/>
    </row>
    <row r="889" spans="2:9" x14ac:dyDescent="0.25">
      <c r="B889"/>
      <c r="F889" s="39"/>
      <c r="G889" s="39"/>
      <c r="H889" s="39"/>
      <c r="I889" s="39"/>
    </row>
    <row r="890" spans="2:9" x14ac:dyDescent="0.25">
      <c r="B890"/>
      <c r="F890" s="39"/>
      <c r="G890" s="39"/>
      <c r="H890" s="39"/>
      <c r="I890" s="39"/>
    </row>
    <row r="891" spans="2:9" x14ac:dyDescent="0.25">
      <c r="B891"/>
      <c r="F891" s="39"/>
      <c r="G891" s="39"/>
      <c r="H891" s="39"/>
      <c r="I891" s="39"/>
    </row>
    <row r="892" spans="2:9" x14ac:dyDescent="0.25">
      <c r="B892"/>
      <c r="F892" s="39"/>
      <c r="G892" s="39"/>
      <c r="H892" s="39"/>
      <c r="I892" s="39"/>
    </row>
    <row r="893" spans="2:9" x14ac:dyDescent="0.25">
      <c r="B893"/>
      <c r="F893" s="39"/>
      <c r="G893" s="39"/>
      <c r="H893" s="39"/>
      <c r="I893" s="39"/>
    </row>
    <row r="894" spans="2:9" x14ac:dyDescent="0.25">
      <c r="B894"/>
      <c r="F894" s="39"/>
      <c r="G894" s="39"/>
      <c r="H894" s="39"/>
      <c r="I894" s="39"/>
    </row>
    <row r="895" spans="2:9" x14ac:dyDescent="0.25">
      <c r="B895"/>
      <c r="F895" s="39"/>
      <c r="G895" s="39"/>
      <c r="H895" s="39"/>
      <c r="I895" s="39"/>
    </row>
    <row r="896" spans="2:9" x14ac:dyDescent="0.25">
      <c r="B896"/>
      <c r="F896" s="39"/>
      <c r="G896" s="39"/>
      <c r="H896" s="39"/>
      <c r="I896" s="39"/>
    </row>
    <row r="897" spans="2:9" x14ac:dyDescent="0.25">
      <c r="B897"/>
      <c r="F897" s="39"/>
      <c r="G897" s="39"/>
      <c r="H897" s="39"/>
      <c r="I897" s="39"/>
    </row>
    <row r="898" spans="2:9" x14ac:dyDescent="0.25">
      <c r="B898"/>
      <c r="F898" s="39"/>
      <c r="G898" s="39"/>
      <c r="H898" s="39"/>
      <c r="I898" s="39"/>
    </row>
    <row r="899" spans="2:9" x14ac:dyDescent="0.25">
      <c r="B899"/>
      <c r="F899" s="39"/>
      <c r="G899" s="39"/>
      <c r="H899" s="39"/>
      <c r="I899" s="39"/>
    </row>
    <row r="900" spans="2:9" x14ac:dyDescent="0.25">
      <c r="B900"/>
      <c r="F900" s="39"/>
      <c r="G900" s="39"/>
      <c r="H900" s="39"/>
      <c r="I900" s="39"/>
    </row>
    <row r="901" spans="2:9" x14ac:dyDescent="0.25">
      <c r="B901"/>
      <c r="F901" s="39"/>
      <c r="G901" s="39"/>
      <c r="H901" s="39"/>
      <c r="I901" s="39"/>
    </row>
    <row r="902" spans="2:9" x14ac:dyDescent="0.25">
      <c r="B902"/>
      <c r="F902" s="39"/>
      <c r="G902" s="39"/>
      <c r="H902" s="39"/>
      <c r="I902" s="39"/>
    </row>
    <row r="903" spans="2:9" x14ac:dyDescent="0.25">
      <c r="B903"/>
      <c r="F903" s="39"/>
      <c r="G903" s="39"/>
      <c r="H903" s="39"/>
      <c r="I903" s="39"/>
    </row>
    <row r="904" spans="2:9" x14ac:dyDescent="0.25">
      <c r="B904"/>
      <c r="F904" s="39"/>
      <c r="G904" s="39"/>
      <c r="H904" s="39"/>
      <c r="I904" s="39"/>
    </row>
    <row r="905" spans="2:9" x14ac:dyDescent="0.25">
      <c r="B905"/>
      <c r="F905" s="39"/>
      <c r="G905" s="39"/>
      <c r="H905" s="39"/>
      <c r="I905" s="39"/>
    </row>
    <row r="906" spans="2:9" x14ac:dyDescent="0.25">
      <c r="B906"/>
      <c r="F906" s="39"/>
      <c r="G906" s="39"/>
      <c r="H906" s="39"/>
      <c r="I906" s="39"/>
    </row>
    <row r="907" spans="2:9" x14ac:dyDescent="0.25">
      <c r="B907"/>
      <c r="F907" s="39"/>
      <c r="G907" s="39"/>
      <c r="H907" s="39"/>
      <c r="I907" s="39"/>
    </row>
    <row r="908" spans="2:9" x14ac:dyDescent="0.25">
      <c r="B908"/>
      <c r="F908" s="39"/>
      <c r="G908" s="39"/>
      <c r="H908" s="39"/>
      <c r="I908" s="39"/>
    </row>
    <row r="909" spans="2:9" x14ac:dyDescent="0.25">
      <c r="B909"/>
      <c r="F909" s="39"/>
      <c r="G909" s="39"/>
      <c r="H909" s="39"/>
      <c r="I909" s="39"/>
    </row>
    <row r="910" spans="2:9" x14ac:dyDescent="0.25">
      <c r="B910"/>
      <c r="F910" s="39"/>
      <c r="G910" s="39"/>
      <c r="H910" s="39"/>
      <c r="I910" s="39"/>
    </row>
    <row r="911" spans="2:9" x14ac:dyDescent="0.25">
      <c r="B911"/>
      <c r="F911" s="39"/>
      <c r="G911" s="39"/>
      <c r="H911" s="39"/>
      <c r="I911" s="39"/>
    </row>
    <row r="912" spans="2:9" x14ac:dyDescent="0.25">
      <c r="B912"/>
      <c r="F912" s="39"/>
      <c r="G912" s="39"/>
      <c r="H912" s="39"/>
      <c r="I912" s="39"/>
    </row>
    <row r="913" spans="2:9" x14ac:dyDescent="0.25">
      <c r="B913"/>
      <c r="F913" s="39"/>
      <c r="G913" s="39"/>
      <c r="H913" s="39"/>
      <c r="I913" s="39"/>
    </row>
    <row r="914" spans="2:9" x14ac:dyDescent="0.25">
      <c r="B914"/>
      <c r="F914" s="39"/>
      <c r="G914" s="39"/>
      <c r="H914" s="39"/>
      <c r="I914" s="39"/>
    </row>
    <row r="915" spans="2:9" x14ac:dyDescent="0.25">
      <c r="B915"/>
      <c r="F915" s="39"/>
      <c r="G915" s="39"/>
      <c r="H915" s="39"/>
      <c r="I915" s="39"/>
    </row>
    <row r="916" spans="2:9" x14ac:dyDescent="0.25">
      <c r="B916"/>
      <c r="F916" s="39"/>
      <c r="G916" s="39"/>
      <c r="H916" s="39"/>
      <c r="I916" s="39"/>
    </row>
    <row r="917" spans="2:9" x14ac:dyDescent="0.25">
      <c r="B917"/>
      <c r="F917" s="39"/>
      <c r="G917" s="39"/>
      <c r="H917" s="39"/>
      <c r="I917" s="39"/>
    </row>
    <row r="918" spans="2:9" x14ac:dyDescent="0.25">
      <c r="B918"/>
      <c r="F918" s="39"/>
      <c r="G918" s="39"/>
      <c r="H918" s="39"/>
      <c r="I918" s="39"/>
    </row>
    <row r="919" spans="2:9" x14ac:dyDescent="0.25">
      <c r="B919"/>
      <c r="F919" s="39"/>
      <c r="G919" s="39"/>
      <c r="H919" s="39"/>
      <c r="I919" s="39"/>
    </row>
    <row r="920" spans="2:9" x14ac:dyDescent="0.25">
      <c r="B920"/>
      <c r="F920" s="39"/>
      <c r="G920" s="39"/>
      <c r="H920" s="39"/>
      <c r="I920" s="39"/>
    </row>
    <row r="921" spans="2:9" x14ac:dyDescent="0.25">
      <c r="B921"/>
      <c r="F921" s="39"/>
      <c r="G921" s="39"/>
      <c r="H921" s="39"/>
      <c r="I921" s="39"/>
    </row>
    <row r="922" spans="2:9" x14ac:dyDescent="0.25">
      <c r="B922"/>
      <c r="F922" s="39"/>
      <c r="G922" s="39"/>
      <c r="H922" s="39"/>
      <c r="I922" s="39"/>
    </row>
    <row r="923" spans="2:9" x14ac:dyDescent="0.25">
      <c r="B923"/>
      <c r="F923" s="39"/>
      <c r="G923" s="39"/>
      <c r="H923" s="39"/>
      <c r="I923" s="39"/>
    </row>
    <row r="924" spans="2:9" x14ac:dyDescent="0.25">
      <c r="B924"/>
      <c r="F924" s="39"/>
      <c r="G924" s="39"/>
      <c r="H924" s="39"/>
      <c r="I924" s="39"/>
    </row>
    <row r="925" spans="2:9" x14ac:dyDescent="0.25">
      <c r="B925"/>
      <c r="F925" s="39"/>
      <c r="G925" s="39"/>
      <c r="H925" s="39"/>
      <c r="I925" s="39"/>
    </row>
    <row r="926" spans="2:9" x14ac:dyDescent="0.25">
      <c r="B926"/>
      <c r="F926" s="39"/>
      <c r="G926" s="39"/>
      <c r="H926" s="39"/>
      <c r="I926" s="39"/>
    </row>
    <row r="927" spans="2:9" x14ac:dyDescent="0.25">
      <c r="B927"/>
      <c r="F927" s="39"/>
      <c r="G927" s="39"/>
      <c r="H927" s="39"/>
      <c r="I927" s="39"/>
    </row>
    <row r="928" spans="2:9" x14ac:dyDescent="0.25">
      <c r="B928"/>
      <c r="F928" s="39"/>
      <c r="G928" s="39"/>
      <c r="H928" s="39"/>
      <c r="I928" s="39"/>
    </row>
    <row r="929" spans="2:9" x14ac:dyDescent="0.25">
      <c r="B929"/>
      <c r="F929" s="39"/>
      <c r="G929" s="39"/>
      <c r="H929" s="39"/>
      <c r="I929" s="39"/>
    </row>
    <row r="930" spans="2:9" x14ac:dyDescent="0.25">
      <c r="B930"/>
      <c r="F930" s="39"/>
      <c r="G930" s="39"/>
      <c r="H930" s="39"/>
      <c r="I930" s="39"/>
    </row>
    <row r="931" spans="2:9" x14ac:dyDescent="0.25">
      <c r="B931"/>
      <c r="F931" s="39"/>
      <c r="G931" s="39"/>
      <c r="H931" s="39"/>
      <c r="I931" s="39"/>
    </row>
    <row r="932" spans="2:9" x14ac:dyDescent="0.25">
      <c r="B932"/>
      <c r="F932" s="39"/>
      <c r="G932" s="39"/>
      <c r="H932" s="39"/>
      <c r="I932" s="39"/>
    </row>
    <row r="933" spans="2:9" x14ac:dyDescent="0.25">
      <c r="B933"/>
      <c r="F933" s="39"/>
      <c r="G933" s="39"/>
      <c r="H933" s="39"/>
      <c r="I933" s="39"/>
    </row>
    <row r="934" spans="2:9" x14ac:dyDescent="0.25">
      <c r="B934"/>
      <c r="F934" s="39"/>
      <c r="G934" s="39"/>
      <c r="H934" s="39"/>
      <c r="I934" s="39"/>
    </row>
    <row r="935" spans="2:9" x14ac:dyDescent="0.25">
      <c r="B935"/>
      <c r="F935" s="39"/>
      <c r="G935" s="39"/>
      <c r="H935" s="39"/>
      <c r="I935" s="39"/>
    </row>
    <row r="936" spans="2:9" x14ac:dyDescent="0.25">
      <c r="B936"/>
      <c r="F936" s="39"/>
      <c r="G936" s="39"/>
      <c r="H936" s="39"/>
      <c r="I936" s="39"/>
    </row>
    <row r="937" spans="2:9" x14ac:dyDescent="0.25">
      <c r="B937"/>
      <c r="F937" s="39"/>
      <c r="G937" s="39"/>
      <c r="H937" s="39"/>
      <c r="I937" s="39"/>
    </row>
    <row r="938" spans="2:9" x14ac:dyDescent="0.25">
      <c r="B938"/>
      <c r="F938" s="39"/>
      <c r="G938" s="39"/>
      <c r="H938" s="39"/>
      <c r="I938" s="39"/>
    </row>
    <row r="939" spans="2:9" x14ac:dyDescent="0.25">
      <c r="B939"/>
      <c r="F939" s="39"/>
      <c r="G939" s="39"/>
      <c r="H939" s="39"/>
      <c r="I939" s="39"/>
    </row>
    <row r="940" spans="2:9" x14ac:dyDescent="0.25">
      <c r="B940"/>
      <c r="F940" s="39"/>
      <c r="G940" s="39"/>
      <c r="H940" s="39"/>
      <c r="I940" s="39"/>
    </row>
    <row r="941" spans="2:9" x14ac:dyDescent="0.25">
      <c r="B941"/>
      <c r="F941" s="39"/>
      <c r="G941" s="39"/>
      <c r="H941" s="39"/>
      <c r="I941" s="39"/>
    </row>
    <row r="942" spans="2:9" x14ac:dyDescent="0.25">
      <c r="B942"/>
      <c r="F942" s="39"/>
      <c r="G942" s="39"/>
      <c r="H942" s="39"/>
      <c r="I942" s="39"/>
    </row>
    <row r="943" spans="2:9" x14ac:dyDescent="0.25">
      <c r="B943"/>
      <c r="F943" s="39"/>
      <c r="G943" s="39"/>
      <c r="H943" s="39"/>
      <c r="I943" s="39"/>
    </row>
    <row r="944" spans="2:9" x14ac:dyDescent="0.25">
      <c r="B944"/>
      <c r="F944" s="39"/>
      <c r="G944" s="39"/>
      <c r="H944" s="39"/>
      <c r="I944" s="39"/>
    </row>
    <row r="945" spans="2:9" x14ac:dyDescent="0.25">
      <c r="B945"/>
      <c r="F945" s="39"/>
      <c r="G945" s="39"/>
      <c r="H945" s="39"/>
      <c r="I945" s="39"/>
    </row>
    <row r="946" spans="2:9" x14ac:dyDescent="0.25">
      <c r="B946"/>
      <c r="F946" s="39"/>
      <c r="G946" s="39"/>
      <c r="H946" s="39"/>
      <c r="I946" s="39"/>
    </row>
    <row r="947" spans="2:9" x14ac:dyDescent="0.25">
      <c r="B947"/>
      <c r="F947" s="39"/>
      <c r="G947" s="39"/>
      <c r="H947" s="39"/>
      <c r="I947" s="39"/>
    </row>
    <row r="948" spans="2:9" x14ac:dyDescent="0.25">
      <c r="B948"/>
      <c r="F948" s="39"/>
      <c r="G948" s="39"/>
      <c r="H948" s="39"/>
      <c r="I948" s="39"/>
    </row>
    <row r="949" spans="2:9" x14ac:dyDescent="0.25">
      <c r="B949"/>
      <c r="F949" s="39"/>
      <c r="G949" s="39"/>
      <c r="H949" s="39"/>
      <c r="I949" s="39"/>
    </row>
    <row r="950" spans="2:9" x14ac:dyDescent="0.25">
      <c r="B950"/>
      <c r="F950" s="39"/>
      <c r="G950" s="39"/>
      <c r="H950" s="39"/>
      <c r="I950" s="39"/>
    </row>
    <row r="951" spans="2:9" x14ac:dyDescent="0.25">
      <c r="B951"/>
      <c r="F951" s="39"/>
      <c r="G951" s="39"/>
      <c r="H951" s="39"/>
      <c r="I951" s="39"/>
    </row>
    <row r="952" spans="2:9" x14ac:dyDescent="0.25">
      <c r="B952"/>
      <c r="F952" s="39"/>
      <c r="G952" s="39"/>
      <c r="H952" s="39"/>
      <c r="I952" s="39"/>
    </row>
    <row r="953" spans="2:9" x14ac:dyDescent="0.25">
      <c r="B953"/>
      <c r="F953" s="39"/>
      <c r="G953" s="39"/>
      <c r="H953" s="39"/>
      <c r="I953" s="39"/>
    </row>
    <row r="954" spans="2:9" x14ac:dyDescent="0.25">
      <c r="B954"/>
      <c r="F954" s="39"/>
      <c r="G954" s="39"/>
      <c r="H954" s="39"/>
      <c r="I954" s="39"/>
    </row>
    <row r="955" spans="2:9" x14ac:dyDescent="0.25">
      <c r="B955"/>
      <c r="F955" s="39"/>
      <c r="G955" s="39"/>
      <c r="H955" s="39"/>
      <c r="I955" s="39"/>
    </row>
    <row r="956" spans="2:9" x14ac:dyDescent="0.25">
      <c r="B956"/>
      <c r="F956" s="39"/>
      <c r="G956" s="39"/>
      <c r="H956" s="39"/>
      <c r="I956" s="39"/>
    </row>
    <row r="957" spans="2:9" x14ac:dyDescent="0.25">
      <c r="B957"/>
      <c r="F957" s="39"/>
      <c r="G957" s="39"/>
      <c r="H957" s="39"/>
      <c r="I957" s="39"/>
    </row>
    <row r="958" spans="2:9" x14ac:dyDescent="0.25">
      <c r="B958"/>
      <c r="F958" s="39"/>
      <c r="G958" s="39"/>
      <c r="H958" s="39"/>
      <c r="I958" s="39"/>
    </row>
    <row r="959" spans="2:9" x14ac:dyDescent="0.25">
      <c r="B959"/>
      <c r="F959" s="39"/>
      <c r="G959" s="39"/>
      <c r="H959" s="39"/>
      <c r="I959" s="39"/>
    </row>
    <row r="960" spans="2:9" x14ac:dyDescent="0.25">
      <c r="B960"/>
      <c r="F960" s="39"/>
      <c r="G960" s="39"/>
      <c r="H960" s="39"/>
      <c r="I960" s="39"/>
    </row>
    <row r="961" spans="2:9" x14ac:dyDescent="0.25">
      <c r="B961"/>
      <c r="F961" s="39"/>
      <c r="G961" s="39"/>
      <c r="H961" s="39"/>
      <c r="I961" s="39"/>
    </row>
    <row r="962" spans="2:9" x14ac:dyDescent="0.25">
      <c r="B962"/>
      <c r="F962" s="39"/>
      <c r="G962" s="39"/>
      <c r="H962" s="39"/>
      <c r="I962" s="39"/>
    </row>
    <row r="963" spans="2:9" x14ac:dyDescent="0.25">
      <c r="B963"/>
      <c r="F963" s="39"/>
      <c r="G963" s="39"/>
      <c r="H963" s="39"/>
      <c r="I963" s="39"/>
    </row>
    <row r="964" spans="2:9" x14ac:dyDescent="0.25">
      <c r="B964"/>
      <c r="F964" s="39"/>
      <c r="G964" s="39"/>
      <c r="H964" s="39"/>
      <c r="I964" s="39"/>
    </row>
    <row r="965" spans="2:9" x14ac:dyDescent="0.25">
      <c r="B965"/>
      <c r="F965" s="39"/>
      <c r="G965" s="39"/>
      <c r="H965" s="39"/>
      <c r="I965" s="39"/>
    </row>
    <row r="966" spans="2:9" x14ac:dyDescent="0.25">
      <c r="F966" s="39"/>
      <c r="G966" s="39"/>
      <c r="H966" s="39"/>
      <c r="I966" s="39"/>
    </row>
    <row r="967" spans="2:9" x14ac:dyDescent="0.25">
      <c r="F967" s="39"/>
      <c r="G967" s="39"/>
      <c r="H967" s="39"/>
      <c r="I967" s="39"/>
    </row>
    <row r="968" spans="2:9" x14ac:dyDescent="0.25">
      <c r="F968" s="39"/>
      <c r="G968" s="39"/>
      <c r="H968" s="39"/>
      <c r="I968" s="39"/>
    </row>
    <row r="969" spans="2:9" x14ac:dyDescent="0.25">
      <c r="F969" s="39"/>
      <c r="G969" s="39"/>
      <c r="H969" s="39"/>
      <c r="I969" s="39"/>
    </row>
    <row r="970" spans="2:9" x14ac:dyDescent="0.25">
      <c r="F970" s="39"/>
      <c r="G970" s="39"/>
      <c r="H970" s="39"/>
      <c r="I970" s="39"/>
    </row>
    <row r="971" spans="2:9" x14ac:dyDescent="0.25">
      <c r="F971" s="39"/>
      <c r="G971" s="39"/>
      <c r="H971" s="39"/>
      <c r="I971" s="39"/>
    </row>
    <row r="972" spans="2:9" x14ac:dyDescent="0.25">
      <c r="F972" s="39"/>
      <c r="G972" s="39"/>
      <c r="H972" s="39"/>
      <c r="I972" s="39"/>
    </row>
    <row r="973" spans="2:9" x14ac:dyDescent="0.25">
      <c r="F973" s="39"/>
      <c r="G973" s="39"/>
      <c r="H973" s="39"/>
      <c r="I973" s="39"/>
    </row>
    <row r="974" spans="2:9" x14ac:dyDescent="0.25">
      <c r="F974" s="39"/>
      <c r="G974" s="39"/>
      <c r="H974" s="39"/>
      <c r="I974" s="39"/>
    </row>
    <row r="975" spans="2:9" x14ac:dyDescent="0.25">
      <c r="F975" s="39"/>
      <c r="G975" s="39"/>
      <c r="H975" s="39"/>
      <c r="I975" s="39"/>
    </row>
    <row r="976" spans="2:9" x14ac:dyDescent="0.25">
      <c r="F976" s="39"/>
      <c r="G976" s="39"/>
      <c r="H976" s="39"/>
      <c r="I976" s="39"/>
    </row>
    <row r="977" spans="6:9" x14ac:dyDescent="0.25">
      <c r="F977" s="39"/>
      <c r="G977" s="39"/>
      <c r="H977" s="39"/>
      <c r="I977" s="39"/>
    </row>
    <row r="978" spans="6:9" x14ac:dyDescent="0.25">
      <c r="F978" s="39"/>
      <c r="G978" s="39"/>
      <c r="H978" s="39"/>
      <c r="I978" s="39"/>
    </row>
    <row r="979" spans="6:9" x14ac:dyDescent="0.25">
      <c r="F979" s="39"/>
      <c r="G979" s="39"/>
      <c r="H979" s="39"/>
      <c r="I979" s="39"/>
    </row>
    <row r="980" spans="6:9" x14ac:dyDescent="0.25">
      <c r="F980" s="39"/>
      <c r="G980" s="39"/>
      <c r="H980" s="39"/>
      <c r="I980" s="39"/>
    </row>
    <row r="981" spans="6:9" x14ac:dyDescent="0.25">
      <c r="F981" s="39"/>
      <c r="G981" s="39"/>
      <c r="H981" s="39"/>
      <c r="I981" s="39"/>
    </row>
    <row r="982" spans="6:9" x14ac:dyDescent="0.25">
      <c r="F982" s="39"/>
      <c r="G982" s="39"/>
      <c r="H982" s="39"/>
      <c r="I982" s="39"/>
    </row>
    <row r="983" spans="6:9" x14ac:dyDescent="0.25">
      <c r="F983" s="39"/>
      <c r="G983" s="39"/>
      <c r="H983" s="39"/>
      <c r="I983" s="39"/>
    </row>
    <row r="984" spans="6:9" x14ac:dyDescent="0.25">
      <c r="F984" s="39"/>
      <c r="G984" s="39"/>
      <c r="H984" s="39"/>
      <c r="I984" s="39"/>
    </row>
    <row r="985" spans="6:9" x14ac:dyDescent="0.25">
      <c r="F985" s="39"/>
      <c r="G985" s="39"/>
      <c r="H985" s="39"/>
      <c r="I985" s="39"/>
    </row>
    <row r="986" spans="6:9" x14ac:dyDescent="0.25">
      <c r="F986" s="39"/>
      <c r="G986" s="39"/>
      <c r="H986" s="39"/>
      <c r="I986" s="39"/>
    </row>
    <row r="987" spans="6:9" x14ac:dyDescent="0.25">
      <c r="F987" s="39"/>
      <c r="G987" s="39"/>
      <c r="H987" s="39"/>
      <c r="I987" s="39"/>
    </row>
    <row r="988" spans="6:9" x14ac:dyDescent="0.25">
      <c r="F988" s="39"/>
      <c r="G988" s="39"/>
      <c r="H988" s="39"/>
      <c r="I988" s="39"/>
    </row>
    <row r="989" spans="6:9" x14ac:dyDescent="0.25">
      <c r="F989" s="39"/>
      <c r="G989" s="39"/>
      <c r="H989" s="39"/>
      <c r="I989" s="39"/>
    </row>
    <row r="990" spans="6:9" x14ac:dyDescent="0.25">
      <c r="F990" s="39"/>
      <c r="G990" s="39"/>
      <c r="H990" s="39"/>
      <c r="I990" s="39"/>
    </row>
    <row r="991" spans="6:9" x14ac:dyDescent="0.25">
      <c r="F991" s="39"/>
      <c r="G991" s="39"/>
      <c r="H991" s="39"/>
      <c r="I991" s="39"/>
    </row>
    <row r="992" spans="6:9" x14ac:dyDescent="0.25">
      <c r="F992" s="39"/>
      <c r="G992" s="39"/>
      <c r="H992" s="39"/>
      <c r="I992" s="39"/>
    </row>
    <row r="993" spans="6:9" x14ac:dyDescent="0.25">
      <c r="F993" s="39"/>
      <c r="G993" s="39"/>
      <c r="H993" s="39"/>
      <c r="I993" s="39"/>
    </row>
    <row r="994" spans="6:9" x14ac:dyDescent="0.25">
      <c r="F994" s="39"/>
      <c r="G994" s="39"/>
      <c r="H994" s="39"/>
      <c r="I994" s="39"/>
    </row>
    <row r="995" spans="6:9" x14ac:dyDescent="0.25">
      <c r="F995" s="39"/>
      <c r="G995" s="39"/>
      <c r="H995" s="39"/>
      <c r="I995" s="39"/>
    </row>
    <row r="996" spans="6:9" x14ac:dyDescent="0.25">
      <c r="F996" s="39"/>
      <c r="G996" s="39"/>
      <c r="H996" s="39"/>
      <c r="I996" s="39"/>
    </row>
    <row r="997" spans="6:9" x14ac:dyDescent="0.25">
      <c r="F997" s="39"/>
      <c r="G997" s="39"/>
      <c r="H997" s="39"/>
      <c r="I997" s="39"/>
    </row>
    <row r="998" spans="6:9" x14ac:dyDescent="0.25">
      <c r="F998" s="39"/>
      <c r="G998" s="39"/>
      <c r="H998" s="39"/>
      <c r="I998" s="39"/>
    </row>
    <row r="999" spans="6:9" x14ac:dyDescent="0.25">
      <c r="F999" s="39"/>
      <c r="G999" s="39"/>
      <c r="H999" s="39"/>
      <c r="I999" s="39"/>
    </row>
    <row r="1000" spans="6:9" x14ac:dyDescent="0.25">
      <c r="F1000" s="39"/>
      <c r="G1000" s="39"/>
      <c r="H1000" s="39"/>
      <c r="I1000" s="39"/>
    </row>
    <row r="1001" spans="6:9" x14ac:dyDescent="0.25">
      <c r="F1001" s="39"/>
      <c r="G1001" s="39"/>
      <c r="H1001" s="39"/>
      <c r="I1001" s="39"/>
    </row>
    <row r="1002" spans="6:9" x14ac:dyDescent="0.25">
      <c r="F1002" s="39"/>
      <c r="G1002" s="39"/>
      <c r="H1002" s="39"/>
      <c r="I1002" s="39"/>
    </row>
    <row r="1003" spans="6:9" x14ac:dyDescent="0.25">
      <c r="F1003" s="39"/>
      <c r="G1003" s="39"/>
      <c r="H1003" s="39"/>
      <c r="I1003" s="39"/>
    </row>
    <row r="1004" spans="6:9" x14ac:dyDescent="0.25">
      <c r="F1004" s="39"/>
      <c r="G1004" s="39"/>
      <c r="H1004" s="39"/>
      <c r="I1004" s="39"/>
    </row>
    <row r="1005" spans="6:9" x14ac:dyDescent="0.25">
      <c r="F1005" s="39"/>
      <c r="G1005" s="39"/>
      <c r="H1005" s="39"/>
      <c r="I1005" s="39"/>
    </row>
    <row r="1006" spans="6:9" x14ac:dyDescent="0.25">
      <c r="F1006" s="39"/>
      <c r="G1006" s="39"/>
      <c r="H1006" s="39"/>
      <c r="I1006" s="39"/>
    </row>
    <row r="1007" spans="6:9" x14ac:dyDescent="0.25">
      <c r="F1007" s="39"/>
      <c r="G1007" s="39"/>
      <c r="H1007" s="39"/>
      <c r="I1007" s="39"/>
    </row>
    <row r="1008" spans="6:9" x14ac:dyDescent="0.25">
      <c r="F1008" s="39"/>
      <c r="G1008" s="39"/>
      <c r="H1008" s="39"/>
      <c r="I1008" s="39"/>
    </row>
    <row r="1009" spans="6:9" x14ac:dyDescent="0.25">
      <c r="F1009" s="39"/>
      <c r="G1009" s="39"/>
      <c r="H1009" s="39"/>
      <c r="I1009" s="39"/>
    </row>
    <row r="1010" spans="6:9" x14ac:dyDescent="0.25">
      <c r="F1010" s="39"/>
      <c r="G1010" s="39"/>
      <c r="H1010" s="39"/>
      <c r="I1010" s="39"/>
    </row>
    <row r="1011" spans="6:9" x14ac:dyDescent="0.25">
      <c r="F1011" s="39"/>
      <c r="G1011" s="39"/>
      <c r="H1011" s="39"/>
      <c r="I1011" s="39"/>
    </row>
    <row r="1012" spans="6:9" x14ac:dyDescent="0.25">
      <c r="F1012" s="39"/>
      <c r="G1012" s="39"/>
      <c r="H1012" s="39"/>
      <c r="I1012" s="39"/>
    </row>
    <row r="1013" spans="6:9" x14ac:dyDescent="0.25">
      <c r="F1013" s="39"/>
      <c r="G1013" s="39"/>
      <c r="H1013" s="39"/>
      <c r="I1013" s="39"/>
    </row>
    <row r="1014" spans="6:9" x14ac:dyDescent="0.25">
      <c r="F1014" s="39"/>
      <c r="G1014" s="39"/>
      <c r="H1014" s="39"/>
      <c r="I1014" s="39"/>
    </row>
    <row r="1015" spans="6:9" x14ac:dyDescent="0.25">
      <c r="F1015" s="39"/>
      <c r="G1015" s="39"/>
      <c r="H1015" s="39"/>
      <c r="I1015" s="39"/>
    </row>
    <row r="1016" spans="6:9" x14ac:dyDescent="0.25">
      <c r="F1016" s="39"/>
      <c r="G1016" s="39"/>
      <c r="H1016" s="39"/>
      <c r="I1016" s="39"/>
    </row>
    <row r="1017" spans="6:9" x14ac:dyDescent="0.25">
      <c r="F1017" s="39"/>
      <c r="G1017" s="39"/>
      <c r="H1017" s="39"/>
      <c r="I1017" s="39"/>
    </row>
    <row r="1018" spans="6:9" x14ac:dyDescent="0.25">
      <c r="F1018" s="39"/>
      <c r="G1018" s="39"/>
      <c r="H1018" s="39"/>
      <c r="I1018" s="39"/>
    </row>
    <row r="1019" spans="6:9" x14ac:dyDescent="0.25">
      <c r="F1019" s="39"/>
      <c r="G1019" s="39"/>
      <c r="H1019" s="39"/>
      <c r="I1019" s="39"/>
    </row>
    <row r="1020" spans="6:9" x14ac:dyDescent="0.25">
      <c r="F1020" s="39"/>
      <c r="G1020" s="39"/>
      <c r="H1020" s="39"/>
      <c r="I1020" s="39"/>
    </row>
    <row r="1021" spans="6:9" x14ac:dyDescent="0.25">
      <c r="F1021" s="39"/>
      <c r="G1021" s="39"/>
      <c r="H1021" s="39"/>
      <c r="I1021" s="39"/>
    </row>
    <row r="1022" spans="6:9" x14ac:dyDescent="0.25">
      <c r="F1022" s="39"/>
      <c r="G1022" s="39"/>
      <c r="H1022" s="39"/>
      <c r="I1022" s="39"/>
    </row>
    <row r="1023" spans="6:9" x14ac:dyDescent="0.25">
      <c r="F1023" s="39"/>
      <c r="G1023" s="39"/>
      <c r="H1023" s="39"/>
      <c r="I1023" s="39"/>
    </row>
    <row r="1024" spans="6:9" x14ac:dyDescent="0.25">
      <c r="F1024" s="39"/>
      <c r="G1024" s="39"/>
      <c r="H1024" s="39"/>
      <c r="I1024" s="39"/>
    </row>
    <row r="1025" spans="6:9" x14ac:dyDescent="0.25">
      <c r="F1025" s="39"/>
      <c r="G1025" s="39"/>
      <c r="H1025" s="39"/>
      <c r="I1025" s="39"/>
    </row>
    <row r="1026" spans="6:9" x14ac:dyDescent="0.25">
      <c r="F1026" s="39"/>
      <c r="G1026" s="39"/>
      <c r="H1026" s="39"/>
      <c r="I1026" s="39"/>
    </row>
    <row r="1027" spans="6:9" x14ac:dyDescent="0.25">
      <c r="F1027" s="39"/>
      <c r="G1027" s="39"/>
      <c r="H1027" s="39"/>
      <c r="I1027" s="39"/>
    </row>
    <row r="1028" spans="6:9" x14ac:dyDescent="0.25">
      <c r="F1028" s="39"/>
      <c r="G1028" s="39"/>
      <c r="H1028" s="39"/>
      <c r="I1028" s="39"/>
    </row>
    <row r="1029" spans="6:9" x14ac:dyDescent="0.25">
      <c r="F1029" s="39"/>
      <c r="G1029" s="39"/>
      <c r="H1029" s="39"/>
      <c r="I1029" s="39"/>
    </row>
    <row r="1030" spans="6:9" x14ac:dyDescent="0.25">
      <c r="F1030" s="39"/>
      <c r="G1030" s="39"/>
      <c r="H1030" s="39"/>
      <c r="I1030" s="39"/>
    </row>
    <row r="1031" spans="6:9" x14ac:dyDescent="0.25">
      <c r="F1031" s="39"/>
      <c r="G1031" s="39"/>
      <c r="H1031" s="39"/>
      <c r="I1031" s="39"/>
    </row>
    <row r="1032" spans="6:9" x14ac:dyDescent="0.25">
      <c r="F1032" s="39"/>
      <c r="G1032" s="39"/>
      <c r="H1032" s="39"/>
      <c r="I1032" s="39"/>
    </row>
    <row r="1033" spans="6:9" x14ac:dyDescent="0.25">
      <c r="F1033" s="39"/>
      <c r="G1033" s="39"/>
      <c r="H1033" s="39"/>
      <c r="I1033" s="39"/>
    </row>
    <row r="1034" spans="6:9" x14ac:dyDescent="0.25">
      <c r="F1034" s="39"/>
      <c r="G1034" s="39"/>
      <c r="H1034" s="39"/>
      <c r="I1034" s="39"/>
    </row>
    <row r="1035" spans="6:9" x14ac:dyDescent="0.25">
      <c r="F1035" s="39"/>
      <c r="G1035" s="39"/>
      <c r="H1035" s="39"/>
      <c r="I1035" s="39"/>
    </row>
    <row r="1036" spans="6:9" x14ac:dyDescent="0.25">
      <c r="F1036" s="39"/>
      <c r="G1036" s="39"/>
      <c r="H1036" s="39"/>
      <c r="I1036" s="39"/>
    </row>
    <row r="1037" spans="6:9" x14ac:dyDescent="0.25">
      <c r="F1037" s="39"/>
      <c r="G1037" s="39"/>
      <c r="H1037" s="39"/>
      <c r="I1037" s="39"/>
    </row>
    <row r="1038" spans="6:9" x14ac:dyDescent="0.25">
      <c r="F1038" s="39"/>
      <c r="G1038" s="39"/>
      <c r="H1038" s="39"/>
      <c r="I1038" s="39"/>
    </row>
    <row r="1039" spans="6:9" x14ac:dyDescent="0.25">
      <c r="F1039" s="39"/>
      <c r="G1039" s="39"/>
      <c r="H1039" s="39"/>
      <c r="I1039" s="39"/>
    </row>
    <row r="1040" spans="6:9" x14ac:dyDescent="0.25">
      <c r="F1040" s="39"/>
      <c r="G1040" s="39"/>
      <c r="H1040" s="39"/>
      <c r="I1040" s="39"/>
    </row>
    <row r="1041" spans="6:9" x14ac:dyDescent="0.25">
      <c r="F1041" s="39"/>
      <c r="G1041" s="39"/>
      <c r="H1041" s="39"/>
      <c r="I1041" s="39"/>
    </row>
    <row r="1042" spans="6:9" x14ac:dyDescent="0.25">
      <c r="F1042" s="39"/>
      <c r="G1042" s="39"/>
      <c r="H1042" s="39"/>
      <c r="I1042" s="39"/>
    </row>
    <row r="1043" spans="6:9" x14ac:dyDescent="0.25">
      <c r="F1043" s="39"/>
      <c r="G1043" s="39"/>
      <c r="H1043" s="39"/>
      <c r="I1043" s="39"/>
    </row>
    <row r="1044" spans="6:9" x14ac:dyDescent="0.25">
      <c r="F1044" s="39"/>
      <c r="G1044" s="39"/>
      <c r="H1044" s="39"/>
      <c r="I1044" s="39"/>
    </row>
    <row r="1045" spans="6:9" x14ac:dyDescent="0.25">
      <c r="F1045" s="39"/>
      <c r="G1045" s="39"/>
      <c r="H1045" s="39"/>
      <c r="I1045" s="39"/>
    </row>
    <row r="1046" spans="6:9" x14ac:dyDescent="0.25">
      <c r="F1046" s="39"/>
      <c r="G1046" s="39"/>
      <c r="H1046" s="39"/>
      <c r="I1046" s="39"/>
    </row>
    <row r="1047" spans="6:9" x14ac:dyDescent="0.25">
      <c r="F1047" s="39"/>
      <c r="G1047" s="39"/>
      <c r="H1047" s="39"/>
      <c r="I1047" s="39"/>
    </row>
    <row r="1048" spans="6:9" x14ac:dyDescent="0.25">
      <c r="F1048" s="39"/>
      <c r="G1048" s="39"/>
      <c r="H1048" s="39"/>
      <c r="I1048" s="39"/>
    </row>
    <row r="1049" spans="6:9" x14ac:dyDescent="0.25">
      <c r="F1049" s="39"/>
      <c r="G1049" s="39"/>
      <c r="H1049" s="39"/>
      <c r="I1049" s="39"/>
    </row>
    <row r="1050" spans="6:9" x14ac:dyDescent="0.25">
      <c r="F1050" s="39"/>
      <c r="G1050" s="39"/>
      <c r="H1050" s="39"/>
      <c r="I1050" s="39"/>
    </row>
    <row r="1051" spans="6:9" x14ac:dyDescent="0.25">
      <c r="F1051" s="39"/>
      <c r="G1051" s="39"/>
      <c r="H1051" s="39"/>
      <c r="I1051" s="39"/>
    </row>
    <row r="1052" spans="6:9" x14ac:dyDescent="0.25">
      <c r="F1052" s="39"/>
      <c r="G1052" s="39"/>
      <c r="H1052" s="39"/>
      <c r="I1052" s="39"/>
    </row>
    <row r="1053" spans="6:9" x14ac:dyDescent="0.25">
      <c r="F1053" s="39"/>
      <c r="G1053" s="39"/>
      <c r="H1053" s="39"/>
      <c r="I1053" s="39"/>
    </row>
    <row r="1054" spans="6:9" x14ac:dyDescent="0.25">
      <c r="F1054" s="39"/>
      <c r="G1054" s="39"/>
      <c r="H1054" s="39"/>
      <c r="I1054" s="39"/>
    </row>
    <row r="1055" spans="6:9" x14ac:dyDescent="0.25">
      <c r="F1055" s="39"/>
      <c r="G1055" s="39"/>
      <c r="H1055" s="39"/>
      <c r="I1055" s="39"/>
    </row>
    <row r="1056" spans="6:9" x14ac:dyDescent="0.25">
      <c r="F1056" s="39"/>
      <c r="G1056" s="39"/>
      <c r="H1056" s="39"/>
      <c r="I1056" s="39"/>
    </row>
    <row r="1057" spans="6:9" x14ac:dyDescent="0.25">
      <c r="F1057" s="39"/>
      <c r="G1057" s="39"/>
      <c r="H1057" s="39"/>
      <c r="I1057" s="39"/>
    </row>
    <row r="1058" spans="6:9" x14ac:dyDescent="0.25">
      <c r="F1058" s="39"/>
      <c r="G1058" s="39"/>
      <c r="H1058" s="39"/>
      <c r="I1058" s="39"/>
    </row>
    <row r="1059" spans="6:9" x14ac:dyDescent="0.25">
      <c r="F1059" s="39"/>
      <c r="G1059" s="39"/>
      <c r="H1059" s="39"/>
      <c r="I1059" s="39"/>
    </row>
    <row r="1060" spans="6:9" x14ac:dyDescent="0.25">
      <c r="F1060" s="39"/>
      <c r="G1060" s="39"/>
      <c r="H1060" s="39"/>
      <c r="I1060" s="39"/>
    </row>
    <row r="1061" spans="6:9" x14ac:dyDescent="0.25">
      <c r="F1061" s="39"/>
      <c r="G1061" s="39"/>
      <c r="H1061" s="39"/>
      <c r="I1061" s="39"/>
    </row>
    <row r="1062" spans="6:9" x14ac:dyDescent="0.25">
      <c r="F1062" s="39"/>
      <c r="G1062" s="39"/>
      <c r="H1062" s="39"/>
      <c r="I1062" s="39"/>
    </row>
    <row r="1063" spans="6:9" x14ac:dyDescent="0.25">
      <c r="F1063" s="39"/>
      <c r="G1063" s="39"/>
      <c r="H1063" s="39"/>
      <c r="I1063" s="39"/>
    </row>
    <row r="1064" spans="6:9" x14ac:dyDescent="0.25">
      <c r="F1064" s="39"/>
      <c r="G1064" s="39"/>
      <c r="H1064" s="39"/>
      <c r="I1064" s="39"/>
    </row>
    <row r="1065" spans="6:9" x14ac:dyDescent="0.25">
      <c r="F1065" s="39"/>
      <c r="G1065" s="39"/>
      <c r="H1065" s="39"/>
      <c r="I1065" s="39"/>
    </row>
    <row r="1066" spans="6:9" x14ac:dyDescent="0.25">
      <c r="F1066" s="39"/>
      <c r="G1066" s="39"/>
      <c r="H1066" s="39"/>
      <c r="I1066" s="39"/>
    </row>
    <row r="1067" spans="6:9" x14ac:dyDescent="0.25">
      <c r="F1067" s="39"/>
      <c r="G1067" s="39"/>
      <c r="H1067" s="39"/>
      <c r="I1067" s="39"/>
    </row>
    <row r="1068" spans="6:9" x14ac:dyDescent="0.25">
      <c r="F1068" s="39"/>
      <c r="G1068" s="39"/>
      <c r="H1068" s="39"/>
      <c r="I1068" s="39"/>
    </row>
    <row r="1069" spans="6:9" x14ac:dyDescent="0.25">
      <c r="F1069" s="39"/>
      <c r="G1069" s="39"/>
      <c r="H1069" s="39"/>
      <c r="I1069" s="39"/>
    </row>
    <row r="1070" spans="6:9" x14ac:dyDescent="0.25">
      <c r="F1070" s="39"/>
      <c r="G1070" s="39"/>
      <c r="H1070" s="39"/>
      <c r="I1070" s="39"/>
    </row>
    <row r="1071" spans="6:9" x14ac:dyDescent="0.25">
      <c r="F1071" s="39"/>
      <c r="G1071" s="39"/>
      <c r="H1071" s="39"/>
      <c r="I1071" s="39"/>
    </row>
    <row r="1072" spans="6:9" x14ac:dyDescent="0.25">
      <c r="F1072" s="39"/>
      <c r="G1072" s="39"/>
      <c r="H1072" s="39"/>
      <c r="I1072" s="39"/>
    </row>
    <row r="1073" spans="6:9" x14ac:dyDescent="0.25">
      <c r="F1073" s="39"/>
      <c r="G1073" s="39"/>
      <c r="H1073" s="39"/>
      <c r="I1073" s="39"/>
    </row>
    <row r="1074" spans="6:9" x14ac:dyDescent="0.25">
      <c r="F1074" s="39"/>
      <c r="G1074" s="39"/>
      <c r="H1074" s="39"/>
      <c r="I1074" s="39"/>
    </row>
    <row r="1075" spans="6:9" x14ac:dyDescent="0.25">
      <c r="F1075" s="39"/>
      <c r="G1075" s="39"/>
      <c r="H1075" s="39"/>
      <c r="I1075" s="39"/>
    </row>
    <row r="1076" spans="6:9" x14ac:dyDescent="0.25">
      <c r="F1076" s="39"/>
      <c r="G1076" s="39"/>
      <c r="H1076" s="39"/>
      <c r="I1076" s="39"/>
    </row>
    <row r="1077" spans="6:9" x14ac:dyDescent="0.25">
      <c r="F1077" s="39"/>
      <c r="G1077" s="39"/>
      <c r="H1077" s="39"/>
      <c r="I1077" s="39"/>
    </row>
    <row r="1078" spans="6:9" x14ac:dyDescent="0.25">
      <c r="F1078" s="39"/>
      <c r="G1078" s="39"/>
      <c r="H1078" s="39"/>
      <c r="I1078" s="39"/>
    </row>
    <row r="1079" spans="6:9" x14ac:dyDescent="0.25">
      <c r="F1079" s="39"/>
      <c r="G1079" s="39"/>
      <c r="H1079" s="39"/>
      <c r="I1079" s="39"/>
    </row>
    <row r="1080" spans="6:9" x14ac:dyDescent="0.25">
      <c r="F1080" s="39"/>
      <c r="G1080" s="39"/>
      <c r="H1080" s="39"/>
      <c r="I1080" s="39"/>
    </row>
    <row r="1081" spans="6:9" x14ac:dyDescent="0.25">
      <c r="F1081" s="39"/>
      <c r="G1081" s="39"/>
      <c r="H1081" s="39"/>
      <c r="I1081" s="39"/>
    </row>
    <row r="1082" spans="6:9" x14ac:dyDescent="0.25">
      <c r="F1082" s="39"/>
      <c r="G1082" s="39"/>
      <c r="H1082" s="39"/>
      <c r="I1082" s="39"/>
    </row>
    <row r="1083" spans="6:9" x14ac:dyDescent="0.25">
      <c r="F1083" s="39"/>
      <c r="G1083" s="39"/>
      <c r="H1083" s="39"/>
      <c r="I1083" s="39"/>
    </row>
    <row r="1084" spans="6:9" x14ac:dyDescent="0.25">
      <c r="F1084" s="39"/>
      <c r="G1084" s="39"/>
      <c r="H1084" s="39"/>
      <c r="I1084" s="39"/>
    </row>
    <row r="1085" spans="6:9" x14ac:dyDescent="0.25">
      <c r="F1085" s="39"/>
      <c r="G1085" s="39"/>
      <c r="H1085" s="39"/>
      <c r="I1085" s="39"/>
    </row>
    <row r="1086" spans="6:9" x14ac:dyDescent="0.25">
      <c r="F1086" s="39"/>
      <c r="G1086" s="39"/>
      <c r="H1086" s="39"/>
      <c r="I1086" s="39"/>
    </row>
    <row r="1087" spans="6:9" x14ac:dyDescent="0.25">
      <c r="F1087" s="39"/>
      <c r="G1087" s="39"/>
      <c r="H1087" s="39"/>
      <c r="I1087" s="39"/>
    </row>
    <row r="1088" spans="6:9" x14ac:dyDescent="0.25">
      <c r="F1088" s="39"/>
      <c r="G1088" s="39"/>
      <c r="H1088" s="39"/>
      <c r="I1088" s="39"/>
    </row>
    <row r="1089" spans="6:9" x14ac:dyDescent="0.25">
      <c r="F1089" s="39"/>
      <c r="G1089" s="39"/>
      <c r="H1089" s="39"/>
      <c r="I1089" s="39"/>
    </row>
    <row r="1090" spans="6:9" x14ac:dyDescent="0.25">
      <c r="F1090" s="39"/>
      <c r="G1090" s="39"/>
      <c r="H1090" s="39"/>
      <c r="I1090" s="39"/>
    </row>
    <row r="1091" spans="6:9" x14ac:dyDescent="0.25">
      <c r="F1091" s="39"/>
      <c r="G1091" s="39"/>
      <c r="H1091" s="39"/>
      <c r="I1091" s="39"/>
    </row>
    <row r="1092" spans="6:9" x14ac:dyDescent="0.25">
      <c r="F1092" s="39"/>
      <c r="G1092" s="39"/>
      <c r="H1092" s="39"/>
      <c r="I1092" s="39"/>
    </row>
    <row r="1093" spans="6:9" x14ac:dyDescent="0.25">
      <c r="F1093" s="39"/>
      <c r="G1093" s="39"/>
      <c r="H1093" s="39"/>
      <c r="I1093" s="39"/>
    </row>
    <row r="1094" spans="6:9" x14ac:dyDescent="0.25">
      <c r="F1094" s="39"/>
      <c r="G1094" s="39"/>
      <c r="H1094" s="39"/>
      <c r="I1094" s="39"/>
    </row>
    <row r="1095" spans="6:9" x14ac:dyDescent="0.25">
      <c r="F1095" s="39"/>
      <c r="G1095" s="39"/>
      <c r="H1095" s="39"/>
      <c r="I1095" s="39"/>
    </row>
    <row r="1096" spans="6:9" x14ac:dyDescent="0.25">
      <c r="F1096" s="39"/>
      <c r="G1096" s="39"/>
      <c r="H1096" s="39"/>
      <c r="I1096" s="39"/>
    </row>
    <row r="1097" spans="6:9" x14ac:dyDescent="0.25">
      <c r="F1097" s="39"/>
      <c r="G1097" s="39"/>
      <c r="H1097" s="39"/>
      <c r="I1097" s="39"/>
    </row>
    <row r="1098" spans="6:9" x14ac:dyDescent="0.25">
      <c r="F1098" s="39"/>
      <c r="G1098" s="39"/>
      <c r="H1098" s="39"/>
      <c r="I1098" s="39"/>
    </row>
    <row r="1099" spans="6:9" x14ac:dyDescent="0.25">
      <c r="F1099" s="39"/>
      <c r="G1099" s="39"/>
      <c r="H1099" s="39"/>
      <c r="I1099" s="39"/>
    </row>
    <row r="1100" spans="6:9" x14ac:dyDescent="0.25">
      <c r="F1100" s="39"/>
      <c r="G1100" s="39"/>
      <c r="H1100" s="39"/>
      <c r="I1100" s="39"/>
    </row>
    <row r="1101" spans="6:9" x14ac:dyDescent="0.25">
      <c r="F1101" s="39"/>
      <c r="G1101" s="39"/>
      <c r="H1101" s="39"/>
      <c r="I1101" s="39"/>
    </row>
    <row r="1102" spans="6:9" x14ac:dyDescent="0.25">
      <c r="F1102" s="39"/>
      <c r="G1102" s="39"/>
      <c r="H1102" s="39"/>
      <c r="I1102" s="39"/>
    </row>
    <row r="1103" spans="6:9" x14ac:dyDescent="0.25">
      <c r="F1103" s="39"/>
      <c r="G1103" s="39"/>
      <c r="H1103" s="39"/>
      <c r="I1103" s="39"/>
    </row>
    <row r="1104" spans="6:9" x14ac:dyDescent="0.25">
      <c r="F1104" s="39"/>
      <c r="G1104" s="39"/>
      <c r="H1104" s="39"/>
      <c r="I1104" s="39"/>
    </row>
    <row r="1105" spans="6:9" x14ac:dyDescent="0.25">
      <c r="F1105" s="39"/>
      <c r="G1105" s="39"/>
      <c r="H1105" s="39"/>
      <c r="I1105" s="39"/>
    </row>
    <row r="1106" spans="6:9" x14ac:dyDescent="0.25">
      <c r="F1106" s="39"/>
      <c r="G1106" s="39"/>
      <c r="H1106" s="39"/>
      <c r="I1106" s="39"/>
    </row>
    <row r="1107" spans="6:9" x14ac:dyDescent="0.25">
      <c r="F1107" s="39"/>
      <c r="G1107" s="39"/>
      <c r="H1107" s="39"/>
      <c r="I1107" s="39"/>
    </row>
    <row r="1108" spans="6:9" x14ac:dyDescent="0.25">
      <c r="F1108" s="39"/>
      <c r="G1108" s="39"/>
      <c r="H1108" s="39"/>
      <c r="I1108" s="39"/>
    </row>
    <row r="1109" spans="6:9" x14ac:dyDescent="0.25">
      <c r="F1109" s="39"/>
      <c r="G1109" s="39"/>
      <c r="H1109" s="39"/>
      <c r="I1109" s="39"/>
    </row>
    <row r="1110" spans="6:9" x14ac:dyDescent="0.25">
      <c r="F1110" s="39"/>
      <c r="G1110" s="39"/>
      <c r="H1110" s="39"/>
      <c r="I1110" s="39"/>
    </row>
    <row r="1111" spans="6:9" x14ac:dyDescent="0.25">
      <c r="F1111" s="39"/>
      <c r="G1111" s="39"/>
      <c r="H1111" s="39"/>
      <c r="I1111" s="39"/>
    </row>
    <row r="1112" spans="6:9" x14ac:dyDescent="0.25">
      <c r="F1112" s="39"/>
      <c r="G1112" s="39"/>
      <c r="H1112" s="39"/>
      <c r="I1112" s="39"/>
    </row>
    <row r="1113" spans="6:9" x14ac:dyDescent="0.25">
      <c r="F1113" s="39"/>
      <c r="G1113" s="39"/>
      <c r="H1113" s="39"/>
      <c r="I1113" s="39"/>
    </row>
    <row r="1114" spans="6:9" x14ac:dyDescent="0.25">
      <c r="F1114" s="39"/>
      <c r="G1114" s="39"/>
      <c r="H1114" s="39"/>
      <c r="I1114" s="39"/>
    </row>
    <row r="1115" spans="6:9" x14ac:dyDescent="0.25">
      <c r="F1115" s="39"/>
      <c r="G1115" s="39"/>
      <c r="H1115" s="39"/>
      <c r="I1115" s="39"/>
    </row>
    <row r="1116" spans="6:9" x14ac:dyDescent="0.25">
      <c r="F1116" s="39"/>
      <c r="G1116" s="39"/>
      <c r="H1116" s="39"/>
      <c r="I1116" s="39"/>
    </row>
    <row r="1117" spans="6:9" x14ac:dyDescent="0.25">
      <c r="F1117" s="39"/>
      <c r="G1117" s="39"/>
      <c r="H1117" s="39"/>
      <c r="I1117" s="39"/>
    </row>
    <row r="1118" spans="6:9" x14ac:dyDescent="0.25">
      <c r="F1118" s="39"/>
      <c r="G1118" s="39"/>
      <c r="H1118" s="39"/>
      <c r="I1118" s="39"/>
    </row>
    <row r="1119" spans="6:9" x14ac:dyDescent="0.25">
      <c r="F1119" s="39"/>
      <c r="G1119" s="39"/>
      <c r="H1119" s="39"/>
      <c r="I1119" s="39"/>
    </row>
    <row r="1120" spans="6:9" x14ac:dyDescent="0.25">
      <c r="F1120" s="39"/>
      <c r="G1120" s="39"/>
      <c r="H1120" s="39"/>
      <c r="I1120" s="39"/>
    </row>
    <row r="1121" spans="6:9" x14ac:dyDescent="0.25">
      <c r="F1121" s="39"/>
      <c r="G1121" s="39"/>
      <c r="H1121" s="39"/>
      <c r="I1121" s="39"/>
    </row>
    <row r="1122" spans="6:9" x14ac:dyDescent="0.25">
      <c r="F1122" s="39"/>
      <c r="G1122" s="39"/>
      <c r="H1122" s="39"/>
      <c r="I1122" s="39"/>
    </row>
    <row r="1123" spans="6:9" x14ac:dyDescent="0.25">
      <c r="F1123" s="39"/>
      <c r="G1123" s="39"/>
      <c r="H1123" s="39"/>
      <c r="I1123" s="39"/>
    </row>
    <row r="1124" spans="6:9" x14ac:dyDescent="0.25">
      <c r="F1124" s="39"/>
      <c r="G1124" s="39"/>
      <c r="H1124" s="39"/>
      <c r="I1124" s="39"/>
    </row>
    <row r="1125" spans="6:9" x14ac:dyDescent="0.25">
      <c r="F1125" s="39"/>
      <c r="G1125" s="39"/>
      <c r="H1125" s="39"/>
      <c r="I1125" s="39"/>
    </row>
    <row r="1126" spans="6:9" x14ac:dyDescent="0.25">
      <c r="F1126" s="39"/>
      <c r="G1126" s="39"/>
      <c r="H1126" s="39"/>
      <c r="I1126" s="39"/>
    </row>
    <row r="1127" spans="6:9" x14ac:dyDescent="0.25">
      <c r="F1127" s="39"/>
      <c r="G1127" s="39"/>
      <c r="H1127" s="39"/>
      <c r="I1127" s="39"/>
    </row>
    <row r="1128" spans="6:9" x14ac:dyDescent="0.25">
      <c r="F1128" s="39"/>
      <c r="G1128" s="39"/>
      <c r="H1128" s="39"/>
      <c r="I1128" s="39"/>
    </row>
    <row r="1129" spans="6:9" x14ac:dyDescent="0.25">
      <c r="F1129" s="39"/>
      <c r="G1129" s="39"/>
      <c r="H1129" s="39"/>
      <c r="I1129" s="39"/>
    </row>
    <row r="1130" spans="6:9" x14ac:dyDescent="0.25">
      <c r="F1130" s="39"/>
      <c r="G1130" s="39"/>
      <c r="H1130" s="39"/>
      <c r="I1130" s="39"/>
    </row>
    <row r="1131" spans="6:9" x14ac:dyDescent="0.25">
      <c r="F1131" s="39"/>
      <c r="G1131" s="39"/>
      <c r="H1131" s="39"/>
      <c r="I1131" s="39"/>
    </row>
    <row r="1132" spans="6:9" x14ac:dyDescent="0.25">
      <c r="F1132" s="39"/>
      <c r="G1132" s="39"/>
      <c r="H1132" s="39"/>
      <c r="I1132" s="39"/>
    </row>
    <row r="1133" spans="6:9" x14ac:dyDescent="0.25">
      <c r="F1133" s="39"/>
      <c r="G1133" s="39"/>
      <c r="H1133" s="39"/>
      <c r="I1133" s="39"/>
    </row>
    <row r="1134" spans="6:9" x14ac:dyDescent="0.25">
      <c r="F1134" s="39"/>
      <c r="G1134" s="39"/>
      <c r="H1134" s="39"/>
      <c r="I1134" s="39"/>
    </row>
    <row r="1135" spans="6:9" x14ac:dyDescent="0.25">
      <c r="F1135" s="39"/>
      <c r="G1135" s="39"/>
      <c r="H1135" s="39"/>
      <c r="I1135" s="39"/>
    </row>
    <row r="1136" spans="6:9" x14ac:dyDescent="0.25">
      <c r="F1136" s="39"/>
      <c r="G1136" s="39"/>
      <c r="H1136" s="39"/>
      <c r="I1136" s="39"/>
    </row>
    <row r="1137" spans="6:9" x14ac:dyDescent="0.25">
      <c r="F1137" s="39"/>
      <c r="G1137" s="39"/>
      <c r="H1137" s="39"/>
      <c r="I1137" s="39"/>
    </row>
    <row r="1138" spans="6:9" x14ac:dyDescent="0.25">
      <c r="F1138" s="39"/>
      <c r="G1138" s="39"/>
      <c r="H1138" s="39"/>
      <c r="I1138" s="39"/>
    </row>
    <row r="1139" spans="6:9" x14ac:dyDescent="0.25">
      <c r="F1139" s="39"/>
      <c r="G1139" s="39"/>
      <c r="H1139" s="39"/>
      <c r="I1139" s="39"/>
    </row>
    <row r="1140" spans="6:9" x14ac:dyDescent="0.25">
      <c r="F1140" s="39"/>
      <c r="G1140" s="39"/>
      <c r="H1140" s="39"/>
      <c r="I1140" s="39"/>
    </row>
    <row r="1141" spans="6:9" x14ac:dyDescent="0.25">
      <c r="F1141" s="39"/>
      <c r="G1141" s="39"/>
      <c r="H1141" s="39"/>
      <c r="I1141" s="39"/>
    </row>
    <row r="1142" spans="6:9" x14ac:dyDescent="0.25">
      <c r="F1142" s="39"/>
      <c r="G1142" s="39"/>
      <c r="H1142" s="39"/>
      <c r="I1142" s="39"/>
    </row>
    <row r="1143" spans="6:9" x14ac:dyDescent="0.25">
      <c r="F1143" s="39"/>
      <c r="G1143" s="39"/>
      <c r="H1143" s="39"/>
      <c r="I1143" s="39"/>
    </row>
    <row r="1144" spans="6:9" x14ac:dyDescent="0.25">
      <c r="F1144" s="39"/>
      <c r="G1144" s="39"/>
      <c r="H1144" s="39"/>
      <c r="I1144" s="39"/>
    </row>
    <row r="1145" spans="6:9" x14ac:dyDescent="0.25">
      <c r="F1145" s="39"/>
      <c r="G1145" s="39"/>
      <c r="H1145" s="39"/>
      <c r="I1145" s="39"/>
    </row>
    <row r="1146" spans="6:9" x14ac:dyDescent="0.25">
      <c r="F1146" s="39"/>
      <c r="G1146" s="39"/>
      <c r="H1146" s="39"/>
      <c r="I1146" s="39"/>
    </row>
    <row r="1147" spans="6:9" x14ac:dyDescent="0.25">
      <c r="F1147" s="39"/>
      <c r="G1147" s="39"/>
      <c r="H1147" s="39"/>
      <c r="I1147" s="39"/>
    </row>
    <row r="1148" spans="6:9" x14ac:dyDescent="0.25">
      <c r="F1148" s="39"/>
      <c r="G1148" s="39"/>
      <c r="H1148" s="39"/>
      <c r="I1148" s="39"/>
    </row>
    <row r="1149" spans="6:9" x14ac:dyDescent="0.25">
      <c r="F1149" s="39"/>
      <c r="G1149" s="39"/>
      <c r="H1149" s="39"/>
      <c r="I1149" s="39"/>
    </row>
    <row r="1150" spans="6:9" x14ac:dyDescent="0.25">
      <c r="F1150" s="39"/>
      <c r="G1150" s="39"/>
      <c r="H1150" s="39"/>
      <c r="I1150" s="39"/>
    </row>
    <row r="1151" spans="6:9" x14ac:dyDescent="0.25">
      <c r="F1151" s="39"/>
      <c r="G1151" s="39"/>
      <c r="H1151" s="39"/>
      <c r="I1151" s="39"/>
    </row>
    <row r="1152" spans="6:9" x14ac:dyDescent="0.25">
      <c r="F1152" s="39"/>
      <c r="G1152" s="39"/>
      <c r="H1152" s="39"/>
      <c r="I1152" s="39"/>
    </row>
    <row r="1153" spans="6:9" x14ac:dyDescent="0.25">
      <c r="F1153" s="39"/>
      <c r="G1153" s="39"/>
      <c r="H1153" s="39"/>
      <c r="I1153" s="39"/>
    </row>
    <row r="1154" spans="6:9" x14ac:dyDescent="0.25">
      <c r="F1154" s="39"/>
      <c r="G1154" s="39"/>
      <c r="H1154" s="39"/>
      <c r="I1154" s="39"/>
    </row>
    <row r="1155" spans="6:9" x14ac:dyDescent="0.25">
      <c r="F1155" s="39"/>
      <c r="G1155" s="39"/>
      <c r="H1155" s="39"/>
      <c r="I1155" s="39"/>
    </row>
    <row r="1156" spans="6:9" x14ac:dyDescent="0.25">
      <c r="F1156" s="39"/>
      <c r="G1156" s="39"/>
      <c r="H1156" s="39"/>
      <c r="I1156" s="39"/>
    </row>
    <row r="1157" spans="6:9" x14ac:dyDescent="0.25">
      <c r="F1157" s="39"/>
      <c r="G1157" s="39"/>
      <c r="H1157" s="39"/>
      <c r="I1157" s="39"/>
    </row>
    <row r="1158" spans="6:9" x14ac:dyDescent="0.25">
      <c r="F1158" s="39"/>
      <c r="G1158" s="39"/>
      <c r="H1158" s="39"/>
      <c r="I1158" s="39"/>
    </row>
    <row r="1159" spans="6:9" x14ac:dyDescent="0.25">
      <c r="F1159" s="39"/>
      <c r="G1159" s="39"/>
      <c r="H1159" s="39"/>
      <c r="I1159" s="39"/>
    </row>
    <row r="1160" spans="6:9" x14ac:dyDescent="0.25">
      <c r="F1160" s="39"/>
      <c r="G1160" s="39"/>
      <c r="H1160" s="39"/>
      <c r="I1160" s="39"/>
    </row>
    <row r="1161" spans="6:9" x14ac:dyDescent="0.25">
      <c r="F1161" s="39"/>
      <c r="G1161" s="39"/>
      <c r="H1161" s="39"/>
      <c r="I1161" s="39"/>
    </row>
    <row r="1162" spans="6:9" x14ac:dyDescent="0.25">
      <c r="F1162" s="39"/>
      <c r="G1162" s="39"/>
      <c r="H1162" s="39"/>
      <c r="I1162" s="39"/>
    </row>
    <row r="1163" spans="6:9" x14ac:dyDescent="0.25">
      <c r="F1163" s="39"/>
      <c r="G1163" s="39"/>
      <c r="H1163" s="39"/>
      <c r="I1163" s="39"/>
    </row>
    <row r="1164" spans="6:9" x14ac:dyDescent="0.25">
      <c r="F1164" s="39"/>
      <c r="G1164" s="39"/>
      <c r="H1164" s="39"/>
      <c r="I1164" s="39"/>
    </row>
    <row r="1165" spans="6:9" x14ac:dyDescent="0.25">
      <c r="F1165" s="39"/>
      <c r="G1165" s="39"/>
      <c r="H1165" s="39"/>
      <c r="I1165" s="39"/>
    </row>
    <row r="1166" spans="6:9" x14ac:dyDescent="0.25">
      <c r="F1166" s="39"/>
      <c r="G1166" s="39"/>
      <c r="H1166" s="39"/>
      <c r="I1166" s="39"/>
    </row>
    <row r="1167" spans="6:9" x14ac:dyDescent="0.25">
      <c r="F1167" s="39"/>
      <c r="G1167" s="39"/>
      <c r="H1167" s="39"/>
      <c r="I1167" s="39"/>
    </row>
    <row r="1168" spans="6:9" x14ac:dyDescent="0.25">
      <c r="F1168" s="39"/>
      <c r="G1168" s="39"/>
      <c r="H1168" s="39"/>
      <c r="I1168" s="39"/>
    </row>
    <row r="1169" spans="6:9" x14ac:dyDescent="0.25">
      <c r="F1169" s="39"/>
      <c r="G1169" s="39"/>
      <c r="H1169" s="39"/>
      <c r="I1169" s="39"/>
    </row>
    <row r="1170" spans="6:9" x14ac:dyDescent="0.25">
      <c r="F1170" s="39"/>
      <c r="G1170" s="39"/>
      <c r="H1170" s="39"/>
      <c r="I1170" s="39"/>
    </row>
    <row r="1171" spans="6:9" x14ac:dyDescent="0.25">
      <c r="F1171" s="39"/>
      <c r="G1171" s="39"/>
      <c r="H1171" s="39"/>
      <c r="I1171" s="39"/>
    </row>
    <row r="1172" spans="6:9" x14ac:dyDescent="0.25">
      <c r="F1172" s="39"/>
      <c r="G1172" s="39"/>
      <c r="H1172" s="39"/>
      <c r="I1172" s="39"/>
    </row>
    <row r="1173" spans="6:9" x14ac:dyDescent="0.25">
      <c r="F1173" s="39"/>
      <c r="G1173" s="39"/>
      <c r="H1173" s="39"/>
      <c r="I1173" s="39"/>
    </row>
    <row r="1174" spans="6:9" x14ac:dyDescent="0.25">
      <c r="F1174" s="39"/>
      <c r="G1174" s="39"/>
      <c r="H1174" s="39"/>
      <c r="I1174" s="39"/>
    </row>
    <row r="1175" spans="6:9" x14ac:dyDescent="0.25">
      <c r="F1175" s="39"/>
      <c r="G1175" s="39"/>
      <c r="H1175" s="39"/>
      <c r="I1175" s="39"/>
    </row>
    <row r="1176" spans="6:9" x14ac:dyDescent="0.25">
      <c r="F1176" s="39"/>
      <c r="G1176" s="39"/>
      <c r="H1176" s="39"/>
      <c r="I1176" s="39"/>
    </row>
    <row r="1177" spans="6:9" x14ac:dyDescent="0.25">
      <c r="F1177" s="39"/>
      <c r="G1177" s="39"/>
      <c r="H1177" s="39"/>
      <c r="I1177" s="39"/>
    </row>
    <row r="1178" spans="6:9" x14ac:dyDescent="0.25">
      <c r="F1178" s="39"/>
      <c r="G1178" s="39"/>
      <c r="H1178" s="39"/>
      <c r="I1178" s="39"/>
    </row>
    <row r="1179" spans="6:9" x14ac:dyDescent="0.25">
      <c r="F1179" s="39"/>
      <c r="G1179" s="39"/>
      <c r="H1179" s="39"/>
      <c r="I1179" s="39"/>
    </row>
    <row r="1180" spans="6:9" x14ac:dyDescent="0.25">
      <c r="F1180" s="39"/>
      <c r="G1180" s="39"/>
      <c r="H1180" s="39"/>
      <c r="I1180" s="39"/>
    </row>
    <row r="1181" spans="6:9" x14ac:dyDescent="0.25">
      <c r="F1181" s="39"/>
      <c r="G1181" s="39"/>
      <c r="H1181" s="39"/>
      <c r="I1181" s="39"/>
    </row>
    <row r="1182" spans="6:9" x14ac:dyDescent="0.25">
      <c r="F1182" s="39"/>
      <c r="G1182" s="39"/>
      <c r="H1182" s="39"/>
      <c r="I1182" s="39"/>
    </row>
    <row r="1183" spans="6:9" x14ac:dyDescent="0.25">
      <c r="F1183" s="39"/>
      <c r="G1183" s="39"/>
      <c r="H1183" s="39"/>
      <c r="I1183" s="39"/>
    </row>
    <row r="1184" spans="6:9" x14ac:dyDescent="0.25">
      <c r="F1184" s="39"/>
      <c r="G1184" s="39"/>
      <c r="H1184" s="39"/>
      <c r="I1184" s="39"/>
    </row>
    <row r="1185" spans="6:9" x14ac:dyDescent="0.25">
      <c r="F1185" s="39"/>
      <c r="G1185" s="39"/>
      <c r="H1185" s="39"/>
      <c r="I1185" s="39"/>
    </row>
    <row r="1186" spans="6:9" x14ac:dyDescent="0.25">
      <c r="F1186" s="39"/>
      <c r="G1186" s="39"/>
      <c r="H1186" s="39"/>
      <c r="I1186" s="39"/>
    </row>
    <row r="1187" spans="6:9" x14ac:dyDescent="0.25">
      <c r="F1187" s="39"/>
      <c r="G1187" s="39"/>
      <c r="H1187" s="39"/>
      <c r="I1187" s="39"/>
    </row>
    <row r="1188" spans="6:9" x14ac:dyDescent="0.25">
      <c r="F1188" s="39"/>
      <c r="G1188" s="39"/>
      <c r="H1188" s="39"/>
      <c r="I1188" s="39"/>
    </row>
    <row r="1189" spans="6:9" x14ac:dyDescent="0.25">
      <c r="F1189" s="39"/>
      <c r="G1189" s="39"/>
      <c r="H1189" s="39"/>
      <c r="I1189" s="39"/>
    </row>
    <row r="1190" spans="6:9" x14ac:dyDescent="0.25">
      <c r="F1190" s="39"/>
      <c r="G1190" s="39"/>
      <c r="H1190" s="39"/>
      <c r="I1190" s="39"/>
    </row>
    <row r="1191" spans="6:9" x14ac:dyDescent="0.25">
      <c r="F1191" s="39"/>
      <c r="G1191" s="39"/>
      <c r="H1191" s="39"/>
      <c r="I1191" s="39"/>
    </row>
    <row r="1192" spans="6:9" x14ac:dyDescent="0.25">
      <c r="F1192" s="39"/>
      <c r="G1192" s="39"/>
      <c r="H1192" s="39"/>
      <c r="I1192" s="39"/>
    </row>
    <row r="1193" spans="6:9" x14ac:dyDescent="0.25">
      <c r="F1193" s="39"/>
      <c r="G1193" s="39"/>
      <c r="H1193" s="39"/>
      <c r="I1193" s="39"/>
    </row>
    <row r="1194" spans="6:9" x14ac:dyDescent="0.25">
      <c r="F1194" s="39"/>
      <c r="G1194" s="39"/>
      <c r="H1194" s="39"/>
      <c r="I1194" s="39"/>
    </row>
    <row r="1195" spans="6:9" x14ac:dyDescent="0.25">
      <c r="F1195" s="39"/>
      <c r="G1195" s="39"/>
      <c r="H1195" s="39"/>
      <c r="I1195" s="39"/>
    </row>
    <row r="1196" spans="6:9" x14ac:dyDescent="0.25">
      <c r="F1196" s="39"/>
      <c r="G1196" s="39"/>
      <c r="H1196" s="39"/>
      <c r="I1196" s="39"/>
    </row>
    <row r="1197" spans="6:9" x14ac:dyDescent="0.25">
      <c r="F1197" s="39"/>
      <c r="G1197" s="39"/>
      <c r="H1197" s="39"/>
      <c r="I1197" s="39"/>
    </row>
    <row r="1198" spans="6:9" x14ac:dyDescent="0.25">
      <c r="F1198" s="39"/>
      <c r="G1198" s="39"/>
      <c r="H1198" s="39"/>
      <c r="I1198" s="39"/>
    </row>
    <row r="1199" spans="6:9" x14ac:dyDescent="0.25">
      <c r="F1199" s="39"/>
      <c r="G1199" s="39"/>
      <c r="H1199" s="39"/>
      <c r="I1199" s="39"/>
    </row>
    <row r="1200" spans="6:9" x14ac:dyDescent="0.25">
      <c r="F1200" s="39"/>
      <c r="G1200" s="39"/>
      <c r="H1200" s="39"/>
      <c r="I1200" s="39"/>
    </row>
    <row r="1201" spans="6:9" x14ac:dyDescent="0.25">
      <c r="F1201" s="39"/>
      <c r="G1201" s="39"/>
      <c r="H1201" s="39"/>
      <c r="I1201" s="39"/>
    </row>
    <row r="1202" spans="6:9" x14ac:dyDescent="0.25">
      <c r="F1202" s="39"/>
      <c r="G1202" s="39"/>
      <c r="H1202" s="39"/>
      <c r="I1202" s="39"/>
    </row>
    <row r="1203" spans="6:9" x14ac:dyDescent="0.25">
      <c r="F1203" s="39"/>
      <c r="G1203" s="39"/>
      <c r="H1203" s="39"/>
      <c r="I1203" s="39"/>
    </row>
    <row r="1204" spans="6:9" x14ac:dyDescent="0.25">
      <c r="F1204" s="39"/>
      <c r="G1204" s="39"/>
      <c r="H1204" s="39"/>
      <c r="I1204" s="39"/>
    </row>
    <row r="1205" spans="6:9" x14ac:dyDescent="0.25">
      <c r="F1205" s="39"/>
      <c r="G1205" s="39"/>
      <c r="H1205" s="39"/>
      <c r="I1205" s="39"/>
    </row>
    <row r="1206" spans="6:9" x14ac:dyDescent="0.25">
      <c r="F1206" s="39"/>
      <c r="G1206" s="39"/>
      <c r="H1206" s="39"/>
      <c r="I1206" s="39"/>
    </row>
    <row r="1207" spans="6:9" x14ac:dyDescent="0.25">
      <c r="F1207" s="39"/>
      <c r="G1207" s="39"/>
      <c r="H1207" s="39"/>
      <c r="I1207" s="39"/>
    </row>
    <row r="1208" spans="6:9" x14ac:dyDescent="0.25">
      <c r="F1208" s="39"/>
      <c r="G1208" s="39"/>
      <c r="H1208" s="39"/>
      <c r="I1208" s="39"/>
    </row>
    <row r="1209" spans="6:9" x14ac:dyDescent="0.25">
      <c r="F1209" s="39"/>
      <c r="G1209" s="39"/>
      <c r="H1209" s="39"/>
      <c r="I1209" s="39"/>
    </row>
    <row r="1210" spans="6:9" x14ac:dyDescent="0.25">
      <c r="F1210" s="39"/>
      <c r="G1210" s="39"/>
      <c r="H1210" s="39"/>
      <c r="I1210" s="39"/>
    </row>
    <row r="1211" spans="6:9" x14ac:dyDescent="0.25">
      <c r="F1211" s="39"/>
      <c r="G1211" s="39"/>
      <c r="H1211" s="39"/>
      <c r="I1211" s="39"/>
    </row>
    <row r="1212" spans="6:9" x14ac:dyDescent="0.25">
      <c r="F1212" s="39"/>
      <c r="G1212" s="39"/>
      <c r="H1212" s="39"/>
      <c r="I1212" s="39"/>
    </row>
    <row r="1213" spans="6:9" x14ac:dyDescent="0.25">
      <c r="F1213" s="39"/>
      <c r="G1213" s="39"/>
      <c r="H1213" s="39"/>
      <c r="I1213" s="39"/>
    </row>
    <row r="1214" spans="6:9" x14ac:dyDescent="0.25">
      <c r="F1214" s="39"/>
      <c r="G1214" s="39"/>
      <c r="H1214" s="39"/>
      <c r="I1214" s="39"/>
    </row>
    <row r="1215" spans="6:9" x14ac:dyDescent="0.25">
      <c r="F1215" s="39"/>
      <c r="G1215" s="39"/>
      <c r="H1215" s="39"/>
      <c r="I1215" s="39"/>
    </row>
    <row r="1216" spans="6:9" x14ac:dyDescent="0.25">
      <c r="F1216" s="39"/>
      <c r="G1216" s="39"/>
      <c r="H1216" s="39"/>
      <c r="I1216" s="39"/>
    </row>
    <row r="1217" spans="6:9" x14ac:dyDescent="0.25">
      <c r="F1217" s="39"/>
      <c r="G1217" s="39"/>
      <c r="H1217" s="39"/>
      <c r="I1217" s="39"/>
    </row>
    <row r="1218" spans="6:9" x14ac:dyDescent="0.25">
      <c r="F1218" s="39"/>
      <c r="G1218" s="39"/>
      <c r="H1218" s="39"/>
      <c r="I1218" s="39"/>
    </row>
    <row r="1219" spans="6:9" x14ac:dyDescent="0.25">
      <c r="F1219" s="39"/>
      <c r="G1219" s="39"/>
      <c r="H1219" s="39"/>
      <c r="I1219" s="39"/>
    </row>
    <row r="1220" spans="6:9" x14ac:dyDescent="0.25">
      <c r="F1220" s="39"/>
      <c r="G1220" s="39"/>
      <c r="H1220" s="39"/>
      <c r="I1220" s="39"/>
    </row>
    <row r="1221" spans="6:9" x14ac:dyDescent="0.25">
      <c r="F1221" s="39"/>
      <c r="G1221" s="39"/>
      <c r="H1221" s="39"/>
      <c r="I1221" s="39"/>
    </row>
    <row r="1222" spans="6:9" x14ac:dyDescent="0.25">
      <c r="F1222" s="39"/>
      <c r="G1222" s="39"/>
      <c r="H1222" s="39"/>
      <c r="I1222" s="39"/>
    </row>
    <row r="1223" spans="6:9" x14ac:dyDescent="0.25">
      <c r="F1223" s="39"/>
      <c r="G1223" s="39"/>
      <c r="H1223" s="39"/>
      <c r="I1223" s="39"/>
    </row>
    <row r="1224" spans="6:9" x14ac:dyDescent="0.25">
      <c r="F1224" s="39"/>
      <c r="G1224" s="39"/>
      <c r="H1224" s="39"/>
      <c r="I1224" s="39"/>
    </row>
    <row r="1225" spans="6:9" x14ac:dyDescent="0.25">
      <c r="F1225" s="39"/>
      <c r="G1225" s="39"/>
      <c r="H1225" s="39"/>
      <c r="I1225" s="39"/>
    </row>
    <row r="1226" spans="6:9" x14ac:dyDescent="0.25">
      <c r="F1226" s="39"/>
      <c r="G1226" s="39"/>
      <c r="H1226" s="39"/>
      <c r="I1226" s="39"/>
    </row>
    <row r="1227" spans="6:9" x14ac:dyDescent="0.25">
      <c r="F1227" s="39"/>
      <c r="G1227" s="39"/>
      <c r="H1227" s="39"/>
      <c r="I1227" s="39"/>
    </row>
    <row r="1228" spans="6:9" x14ac:dyDescent="0.25">
      <c r="F1228" s="39"/>
      <c r="G1228" s="39"/>
      <c r="H1228" s="39"/>
      <c r="I1228" s="39"/>
    </row>
    <row r="1229" spans="6:9" x14ac:dyDescent="0.25">
      <c r="F1229" s="39"/>
      <c r="G1229" s="39"/>
      <c r="H1229" s="39"/>
      <c r="I1229" s="39"/>
    </row>
    <row r="1230" spans="6:9" x14ac:dyDescent="0.25">
      <c r="F1230" s="39"/>
      <c r="G1230" s="39"/>
      <c r="H1230" s="39"/>
      <c r="I1230" s="39"/>
    </row>
    <row r="1231" spans="6:9" x14ac:dyDescent="0.25">
      <c r="F1231" s="39"/>
      <c r="G1231" s="39"/>
      <c r="H1231" s="39"/>
      <c r="I1231" s="39"/>
    </row>
    <row r="1232" spans="6:9" x14ac:dyDescent="0.25">
      <c r="F1232" s="39"/>
      <c r="G1232" s="39"/>
      <c r="H1232" s="39"/>
      <c r="I1232" s="39"/>
    </row>
    <row r="1233" spans="6:9" x14ac:dyDescent="0.25">
      <c r="F1233" s="39"/>
      <c r="G1233" s="39"/>
      <c r="H1233" s="39"/>
      <c r="I1233" s="39"/>
    </row>
    <row r="1234" spans="6:9" x14ac:dyDescent="0.25">
      <c r="F1234" s="39"/>
      <c r="G1234" s="39"/>
      <c r="H1234" s="39"/>
      <c r="I1234" s="39"/>
    </row>
    <row r="1235" spans="6:9" x14ac:dyDescent="0.25">
      <c r="F1235" s="39"/>
      <c r="G1235" s="39"/>
      <c r="H1235" s="39"/>
      <c r="I1235" s="39"/>
    </row>
    <row r="1236" spans="6:9" x14ac:dyDescent="0.25">
      <c r="F1236" s="39"/>
      <c r="G1236" s="39"/>
      <c r="H1236" s="39"/>
      <c r="I1236" s="39"/>
    </row>
    <row r="1237" spans="6:9" x14ac:dyDescent="0.25">
      <c r="F1237" s="39"/>
      <c r="G1237" s="39"/>
      <c r="H1237" s="39"/>
      <c r="I1237" s="39"/>
    </row>
    <row r="1238" spans="6:9" x14ac:dyDescent="0.25">
      <c r="F1238" s="39"/>
      <c r="G1238" s="39"/>
      <c r="H1238" s="39"/>
      <c r="I1238" s="39"/>
    </row>
    <row r="1239" spans="6:9" x14ac:dyDescent="0.25">
      <c r="F1239" s="39"/>
      <c r="G1239" s="39"/>
      <c r="H1239" s="39"/>
      <c r="I1239" s="39"/>
    </row>
    <row r="1240" spans="6:9" x14ac:dyDescent="0.25">
      <c r="F1240" s="39"/>
      <c r="G1240" s="39"/>
      <c r="H1240" s="39"/>
      <c r="I1240" s="39"/>
    </row>
    <row r="1241" spans="6:9" x14ac:dyDescent="0.25">
      <c r="F1241" s="39"/>
      <c r="G1241" s="39"/>
      <c r="H1241" s="39"/>
      <c r="I1241" s="39"/>
    </row>
    <row r="1242" spans="6:9" x14ac:dyDescent="0.25">
      <c r="F1242" s="39"/>
      <c r="G1242" s="39"/>
      <c r="H1242" s="39"/>
      <c r="I1242" s="39"/>
    </row>
    <row r="1243" spans="6:9" x14ac:dyDescent="0.25">
      <c r="F1243" s="39"/>
      <c r="G1243" s="39"/>
      <c r="H1243" s="39"/>
      <c r="I1243" s="39"/>
    </row>
    <row r="1244" spans="6:9" x14ac:dyDescent="0.25">
      <c r="F1244" s="39"/>
      <c r="G1244" s="39"/>
      <c r="H1244" s="39"/>
      <c r="I1244" s="39"/>
    </row>
    <row r="1245" spans="6:9" x14ac:dyDescent="0.25">
      <c r="F1245" s="39"/>
      <c r="G1245" s="39"/>
      <c r="H1245" s="39"/>
      <c r="I1245" s="39"/>
    </row>
    <row r="1246" spans="6:9" x14ac:dyDescent="0.25">
      <c r="F1246" s="39"/>
      <c r="G1246" s="39"/>
      <c r="H1246" s="39"/>
      <c r="I1246" s="39"/>
    </row>
    <row r="1247" spans="6:9" x14ac:dyDescent="0.25">
      <c r="F1247" s="39"/>
      <c r="G1247" s="39"/>
      <c r="H1247" s="39"/>
      <c r="I1247" s="39"/>
    </row>
    <row r="1248" spans="6:9" x14ac:dyDescent="0.25">
      <c r="F1248" s="39"/>
      <c r="G1248" s="39"/>
      <c r="H1248" s="39"/>
      <c r="I1248" s="39"/>
    </row>
    <row r="1249" spans="6:9" x14ac:dyDescent="0.25">
      <c r="F1249" s="39"/>
      <c r="G1249" s="39"/>
      <c r="H1249" s="39"/>
      <c r="I1249" s="39"/>
    </row>
    <row r="1250" spans="6:9" x14ac:dyDescent="0.25">
      <c r="F1250" s="39"/>
      <c r="G1250" s="39"/>
      <c r="H1250" s="39"/>
      <c r="I1250" s="39"/>
    </row>
    <row r="1251" spans="6:9" x14ac:dyDescent="0.25">
      <c r="F1251" s="39"/>
      <c r="G1251" s="39"/>
      <c r="H1251" s="39"/>
      <c r="I1251" s="39"/>
    </row>
    <row r="1252" spans="6:9" x14ac:dyDescent="0.25">
      <c r="F1252" s="39"/>
      <c r="G1252" s="39"/>
      <c r="H1252" s="39"/>
      <c r="I1252" s="39"/>
    </row>
    <row r="1253" spans="6:9" x14ac:dyDescent="0.25">
      <c r="F1253" s="39"/>
      <c r="G1253" s="39"/>
      <c r="H1253" s="39"/>
      <c r="I1253" s="39"/>
    </row>
    <row r="1254" spans="6:9" x14ac:dyDescent="0.25">
      <c r="F1254" s="39"/>
      <c r="G1254" s="39"/>
      <c r="H1254" s="39"/>
      <c r="I1254" s="39"/>
    </row>
    <row r="1255" spans="6:9" x14ac:dyDescent="0.25">
      <c r="F1255" s="39"/>
      <c r="G1255" s="39"/>
      <c r="H1255" s="39"/>
      <c r="I1255" s="39"/>
    </row>
    <row r="1256" spans="6:9" x14ac:dyDescent="0.25">
      <c r="F1256" s="39"/>
      <c r="G1256" s="39"/>
      <c r="H1256" s="39"/>
      <c r="I1256" s="39"/>
    </row>
    <row r="1257" spans="6:9" x14ac:dyDescent="0.25">
      <c r="F1257" s="39"/>
      <c r="G1257" s="39"/>
      <c r="H1257" s="39"/>
      <c r="I1257" s="39"/>
    </row>
    <row r="1258" spans="6:9" x14ac:dyDescent="0.25">
      <c r="F1258" s="39"/>
      <c r="G1258" s="39"/>
      <c r="H1258" s="39"/>
      <c r="I1258" s="39"/>
    </row>
    <row r="1259" spans="6:9" x14ac:dyDescent="0.25">
      <c r="F1259" s="39"/>
      <c r="G1259" s="39"/>
      <c r="H1259" s="39"/>
      <c r="I1259" s="39"/>
    </row>
    <row r="1260" spans="6:9" x14ac:dyDescent="0.25">
      <c r="F1260" s="39"/>
      <c r="G1260" s="39"/>
      <c r="H1260" s="39"/>
      <c r="I1260" s="39"/>
    </row>
    <row r="1261" spans="6:9" x14ac:dyDescent="0.25">
      <c r="F1261" s="39"/>
      <c r="G1261" s="39"/>
      <c r="H1261" s="39"/>
      <c r="I1261" s="39"/>
    </row>
    <row r="1262" spans="6:9" x14ac:dyDescent="0.25">
      <c r="F1262" s="39"/>
      <c r="G1262" s="39"/>
      <c r="H1262" s="39"/>
      <c r="I1262" s="39"/>
    </row>
    <row r="1263" spans="6:9" x14ac:dyDescent="0.25">
      <c r="F1263" s="39"/>
      <c r="G1263" s="39"/>
      <c r="H1263" s="39"/>
      <c r="I1263" s="39"/>
    </row>
    <row r="1264" spans="6:9" x14ac:dyDescent="0.25">
      <c r="F1264" s="39"/>
      <c r="G1264" s="39"/>
      <c r="H1264" s="39"/>
      <c r="I1264" s="39"/>
    </row>
    <row r="1265" spans="6:9" x14ac:dyDescent="0.25">
      <c r="F1265" s="39"/>
      <c r="G1265" s="39"/>
      <c r="H1265" s="39"/>
      <c r="I1265" s="39"/>
    </row>
    <row r="1266" spans="6:9" x14ac:dyDescent="0.25">
      <c r="F1266" s="39"/>
      <c r="G1266" s="39"/>
      <c r="H1266" s="39"/>
      <c r="I1266" s="39"/>
    </row>
    <row r="1267" spans="6:9" x14ac:dyDescent="0.25">
      <c r="F1267" s="39"/>
      <c r="G1267" s="39"/>
      <c r="H1267" s="39"/>
      <c r="I1267" s="39"/>
    </row>
    <row r="1268" spans="6:9" x14ac:dyDescent="0.25">
      <c r="F1268" s="39"/>
      <c r="G1268" s="39"/>
      <c r="H1268" s="39"/>
      <c r="I1268" s="39"/>
    </row>
    <row r="1269" spans="6:9" x14ac:dyDescent="0.25">
      <c r="F1269" s="39"/>
      <c r="G1269" s="39"/>
      <c r="H1269" s="39"/>
      <c r="I1269" s="39"/>
    </row>
    <row r="1270" spans="6:9" x14ac:dyDescent="0.25">
      <c r="F1270" s="39"/>
      <c r="G1270" s="39"/>
      <c r="H1270" s="39"/>
      <c r="I1270" s="39"/>
    </row>
    <row r="1271" spans="6:9" x14ac:dyDescent="0.25">
      <c r="F1271" s="39"/>
      <c r="G1271" s="39"/>
      <c r="H1271" s="39"/>
      <c r="I1271" s="39"/>
    </row>
    <row r="1272" spans="6:9" x14ac:dyDescent="0.25">
      <c r="F1272" s="39"/>
      <c r="G1272" s="39"/>
      <c r="H1272" s="39"/>
      <c r="I1272" s="39"/>
    </row>
    <row r="1273" spans="6:9" x14ac:dyDescent="0.25">
      <c r="F1273" s="39"/>
      <c r="G1273" s="39"/>
      <c r="H1273" s="39"/>
      <c r="I1273" s="39"/>
    </row>
    <row r="1274" spans="6:9" x14ac:dyDescent="0.25">
      <c r="F1274" s="39"/>
      <c r="G1274" s="39"/>
      <c r="H1274" s="39"/>
      <c r="I1274" s="39"/>
    </row>
    <row r="1275" spans="6:9" x14ac:dyDescent="0.25">
      <c r="F1275" s="39"/>
      <c r="G1275" s="39"/>
      <c r="H1275" s="39"/>
      <c r="I1275" s="39"/>
    </row>
    <row r="1276" spans="6:9" x14ac:dyDescent="0.25">
      <c r="F1276" s="39"/>
      <c r="G1276" s="39"/>
      <c r="H1276" s="39"/>
      <c r="I1276" s="39"/>
    </row>
    <row r="1277" spans="6:9" x14ac:dyDescent="0.25">
      <c r="F1277" s="39"/>
      <c r="G1277" s="39"/>
      <c r="H1277" s="39"/>
      <c r="I1277" s="39"/>
    </row>
    <row r="1278" spans="6:9" x14ac:dyDescent="0.25">
      <c r="F1278" s="39"/>
      <c r="G1278" s="39"/>
      <c r="H1278" s="39"/>
      <c r="I1278" s="39"/>
    </row>
    <row r="1279" spans="6:9" x14ac:dyDescent="0.25">
      <c r="F1279" s="39"/>
      <c r="G1279" s="39"/>
      <c r="H1279" s="39"/>
      <c r="I1279" s="39"/>
    </row>
    <row r="1280" spans="6:9" x14ac:dyDescent="0.25">
      <c r="F1280" s="39"/>
      <c r="G1280" s="39"/>
      <c r="H1280" s="39"/>
      <c r="I1280" s="39"/>
    </row>
    <row r="1281" spans="6:9" x14ac:dyDescent="0.25">
      <c r="F1281" s="39"/>
      <c r="G1281" s="39"/>
      <c r="H1281" s="39"/>
      <c r="I1281" s="39"/>
    </row>
    <row r="1282" spans="6:9" x14ac:dyDescent="0.25">
      <c r="F1282" s="39"/>
      <c r="G1282" s="39"/>
      <c r="H1282" s="39"/>
      <c r="I1282" s="39"/>
    </row>
    <row r="1283" spans="6:9" x14ac:dyDescent="0.25">
      <c r="F1283" s="39"/>
      <c r="G1283" s="39"/>
      <c r="H1283" s="39"/>
      <c r="I1283" s="39"/>
    </row>
    <row r="1284" spans="6:9" x14ac:dyDescent="0.25">
      <c r="F1284" s="39"/>
      <c r="G1284" s="39"/>
      <c r="H1284" s="39"/>
      <c r="I1284" s="39"/>
    </row>
    <row r="1285" spans="6:9" x14ac:dyDescent="0.25">
      <c r="F1285" s="39"/>
      <c r="G1285" s="39"/>
      <c r="H1285" s="39"/>
      <c r="I1285" s="39"/>
    </row>
    <row r="1286" spans="6:9" x14ac:dyDescent="0.25">
      <c r="F1286" s="39"/>
      <c r="G1286" s="39"/>
      <c r="H1286" s="39"/>
      <c r="I1286" s="39"/>
    </row>
    <row r="1287" spans="6:9" x14ac:dyDescent="0.25">
      <c r="F1287" s="39"/>
      <c r="G1287" s="39"/>
      <c r="H1287" s="39"/>
      <c r="I1287" s="39"/>
    </row>
    <row r="1288" spans="6:9" x14ac:dyDescent="0.25">
      <c r="F1288" s="39"/>
      <c r="G1288" s="39"/>
      <c r="H1288" s="39"/>
      <c r="I1288" s="39"/>
    </row>
    <row r="1289" spans="6:9" x14ac:dyDescent="0.25">
      <c r="F1289" s="39"/>
      <c r="G1289" s="39"/>
      <c r="H1289" s="39"/>
      <c r="I1289" s="39"/>
    </row>
    <row r="1290" spans="6:9" x14ac:dyDescent="0.25">
      <c r="F1290" s="39"/>
      <c r="G1290" s="39"/>
      <c r="H1290" s="39"/>
      <c r="I1290" s="39"/>
    </row>
    <row r="1291" spans="6:9" x14ac:dyDescent="0.25">
      <c r="F1291" s="39"/>
      <c r="G1291" s="39"/>
      <c r="H1291" s="39"/>
      <c r="I1291" s="39"/>
    </row>
    <row r="1292" spans="6:9" x14ac:dyDescent="0.25">
      <c r="F1292" s="39"/>
      <c r="G1292" s="39"/>
      <c r="H1292" s="39"/>
      <c r="I1292" s="39"/>
    </row>
    <row r="1293" spans="6:9" x14ac:dyDescent="0.25">
      <c r="F1293" s="39"/>
      <c r="G1293" s="39"/>
      <c r="H1293" s="39"/>
      <c r="I1293" s="39"/>
    </row>
    <row r="1294" spans="6:9" x14ac:dyDescent="0.25">
      <c r="F1294" s="39"/>
      <c r="G1294" s="39"/>
      <c r="H1294" s="39"/>
      <c r="I1294" s="39"/>
    </row>
    <row r="1295" spans="6:9" x14ac:dyDescent="0.25">
      <c r="F1295" s="39"/>
      <c r="G1295" s="39"/>
      <c r="H1295" s="39"/>
      <c r="I1295" s="39"/>
    </row>
    <row r="1296" spans="6:9" x14ac:dyDescent="0.25">
      <c r="F1296" s="39"/>
      <c r="G1296" s="39"/>
      <c r="H1296" s="39"/>
      <c r="I1296" s="39"/>
    </row>
    <row r="1297" spans="6:9" x14ac:dyDescent="0.25">
      <c r="F1297" s="39"/>
      <c r="G1297" s="39"/>
      <c r="H1297" s="39"/>
      <c r="I1297" s="39"/>
    </row>
    <row r="1298" spans="6:9" x14ac:dyDescent="0.25">
      <c r="F1298" s="39"/>
      <c r="G1298" s="39"/>
      <c r="H1298" s="39"/>
      <c r="I1298" s="39"/>
    </row>
    <row r="1299" spans="6:9" x14ac:dyDescent="0.25">
      <c r="F1299" s="39"/>
      <c r="G1299" s="39"/>
      <c r="H1299" s="39"/>
      <c r="I1299" s="39"/>
    </row>
    <row r="1300" spans="6:9" x14ac:dyDescent="0.25">
      <c r="F1300" s="39"/>
      <c r="G1300" s="39"/>
      <c r="H1300" s="39"/>
      <c r="I1300" s="39"/>
    </row>
    <row r="1301" spans="6:9" x14ac:dyDescent="0.25">
      <c r="F1301" s="39"/>
      <c r="G1301" s="39"/>
      <c r="H1301" s="39"/>
      <c r="I1301" s="39"/>
    </row>
    <row r="1302" spans="6:9" x14ac:dyDescent="0.25">
      <c r="F1302" s="39"/>
      <c r="G1302" s="39"/>
      <c r="H1302" s="39"/>
      <c r="I1302" s="39"/>
    </row>
    <row r="1303" spans="6:9" x14ac:dyDescent="0.25">
      <c r="F1303" s="39"/>
      <c r="G1303" s="39"/>
      <c r="H1303" s="39"/>
      <c r="I1303" s="39"/>
    </row>
    <row r="1304" spans="6:9" x14ac:dyDescent="0.25">
      <c r="F1304" s="39"/>
      <c r="G1304" s="39"/>
      <c r="H1304" s="39"/>
      <c r="I1304" s="39"/>
    </row>
    <row r="1305" spans="6:9" x14ac:dyDescent="0.25">
      <c r="F1305" s="39"/>
      <c r="G1305" s="39"/>
      <c r="H1305" s="39"/>
      <c r="I1305" s="39"/>
    </row>
    <row r="1306" spans="6:9" x14ac:dyDescent="0.25">
      <c r="F1306" s="39"/>
      <c r="G1306" s="39"/>
      <c r="H1306" s="39"/>
      <c r="I1306" s="39"/>
    </row>
    <row r="1307" spans="6:9" x14ac:dyDescent="0.25">
      <c r="F1307" s="39"/>
      <c r="G1307" s="39"/>
      <c r="H1307" s="39"/>
      <c r="I1307" s="39"/>
    </row>
    <row r="1308" spans="6:9" x14ac:dyDescent="0.25">
      <c r="F1308" s="39"/>
      <c r="G1308" s="39"/>
      <c r="H1308" s="39"/>
      <c r="I1308" s="39"/>
    </row>
    <row r="1309" spans="6:9" x14ac:dyDescent="0.25">
      <c r="F1309" s="39"/>
      <c r="G1309" s="39"/>
      <c r="H1309" s="39"/>
      <c r="I1309" s="39"/>
    </row>
    <row r="1310" spans="6:9" x14ac:dyDescent="0.25">
      <c r="F1310" s="39"/>
      <c r="G1310" s="39"/>
      <c r="H1310" s="39"/>
      <c r="I1310" s="39"/>
    </row>
    <row r="1311" spans="6:9" x14ac:dyDescent="0.25">
      <c r="F1311" s="39"/>
      <c r="G1311" s="39"/>
      <c r="H1311" s="39"/>
      <c r="I1311" s="39"/>
    </row>
    <row r="1312" spans="6:9" x14ac:dyDescent="0.25">
      <c r="F1312" s="39"/>
      <c r="G1312" s="39"/>
      <c r="H1312" s="39"/>
      <c r="I1312" s="39"/>
    </row>
    <row r="1313" spans="6:9" x14ac:dyDescent="0.25">
      <c r="F1313" s="39"/>
      <c r="G1313" s="39"/>
      <c r="H1313" s="39"/>
      <c r="I1313" s="39"/>
    </row>
    <row r="1314" spans="6:9" x14ac:dyDescent="0.25">
      <c r="F1314" s="39"/>
      <c r="G1314" s="39"/>
      <c r="H1314" s="39"/>
      <c r="I1314" s="39"/>
    </row>
    <row r="1315" spans="6:9" x14ac:dyDescent="0.25">
      <c r="F1315" s="39"/>
      <c r="G1315" s="39"/>
      <c r="H1315" s="39"/>
      <c r="I1315" s="39"/>
    </row>
    <row r="1316" spans="6:9" x14ac:dyDescent="0.25">
      <c r="F1316" s="39"/>
      <c r="G1316" s="39"/>
      <c r="H1316" s="39"/>
      <c r="I1316" s="39"/>
    </row>
    <row r="1317" spans="6:9" x14ac:dyDescent="0.25">
      <c r="F1317" s="39"/>
      <c r="G1317" s="39"/>
      <c r="H1317" s="39"/>
      <c r="I1317" s="39"/>
    </row>
    <row r="1318" spans="6:9" x14ac:dyDescent="0.25">
      <c r="F1318" s="39"/>
      <c r="G1318" s="39"/>
      <c r="H1318" s="39"/>
      <c r="I1318" s="39"/>
    </row>
    <row r="1319" spans="6:9" x14ac:dyDescent="0.25">
      <c r="F1319" s="39"/>
      <c r="G1319" s="39"/>
      <c r="H1319" s="39"/>
      <c r="I1319" s="39"/>
    </row>
    <row r="1320" spans="6:9" x14ac:dyDescent="0.25">
      <c r="F1320" s="39"/>
      <c r="G1320" s="39"/>
      <c r="H1320" s="39"/>
      <c r="I1320" s="39"/>
    </row>
    <row r="1321" spans="6:9" x14ac:dyDescent="0.25">
      <c r="F1321" s="39"/>
      <c r="G1321" s="39"/>
      <c r="H1321" s="39"/>
      <c r="I1321" s="39"/>
    </row>
    <row r="1322" spans="6:9" x14ac:dyDescent="0.25">
      <c r="F1322" s="39"/>
      <c r="G1322" s="39"/>
      <c r="H1322" s="39"/>
      <c r="I1322" s="39"/>
    </row>
    <row r="1323" spans="6:9" x14ac:dyDescent="0.25">
      <c r="F1323" s="39"/>
      <c r="G1323" s="39"/>
      <c r="H1323" s="39"/>
      <c r="I1323" s="39"/>
    </row>
    <row r="1324" spans="6:9" x14ac:dyDescent="0.25">
      <c r="F1324" s="39"/>
      <c r="G1324" s="39"/>
      <c r="H1324" s="39"/>
      <c r="I1324" s="39"/>
    </row>
    <row r="1325" spans="6:9" x14ac:dyDescent="0.25">
      <c r="F1325" s="39"/>
      <c r="G1325" s="39"/>
      <c r="H1325" s="39"/>
      <c r="I1325" s="39"/>
    </row>
    <row r="1326" spans="6:9" x14ac:dyDescent="0.25">
      <c r="F1326" s="39"/>
      <c r="G1326" s="39"/>
      <c r="H1326" s="39"/>
      <c r="I1326" s="39"/>
    </row>
    <row r="1327" spans="6:9" x14ac:dyDescent="0.25">
      <c r="F1327" s="39"/>
      <c r="G1327" s="39"/>
      <c r="H1327" s="39"/>
      <c r="I1327" s="39"/>
    </row>
    <row r="1328" spans="6:9" x14ac:dyDescent="0.25">
      <c r="F1328" s="39"/>
      <c r="G1328" s="39"/>
      <c r="H1328" s="39"/>
      <c r="I1328" s="39"/>
    </row>
    <row r="1329" spans="6:9" x14ac:dyDescent="0.25">
      <c r="F1329" s="39"/>
      <c r="G1329" s="39"/>
      <c r="H1329" s="39"/>
      <c r="I1329" s="39"/>
    </row>
    <row r="1330" spans="6:9" x14ac:dyDescent="0.25">
      <c r="F1330" s="39"/>
      <c r="G1330" s="39"/>
      <c r="H1330" s="39"/>
      <c r="I1330" s="39"/>
    </row>
    <row r="1331" spans="6:9" x14ac:dyDescent="0.25">
      <c r="F1331" s="39"/>
      <c r="G1331" s="39"/>
      <c r="H1331" s="39"/>
      <c r="I1331" s="39"/>
    </row>
    <row r="1332" spans="6:9" x14ac:dyDescent="0.25">
      <c r="F1332" s="39"/>
      <c r="G1332" s="39"/>
      <c r="H1332" s="39"/>
      <c r="I1332" s="39"/>
    </row>
    <row r="1333" spans="6:9" x14ac:dyDescent="0.25">
      <c r="F1333" s="39"/>
      <c r="G1333" s="39"/>
      <c r="H1333" s="39"/>
      <c r="I1333" s="39"/>
    </row>
    <row r="1334" spans="6:9" x14ac:dyDescent="0.25">
      <c r="F1334" s="39"/>
      <c r="G1334" s="39"/>
      <c r="H1334" s="39"/>
      <c r="I1334" s="39"/>
    </row>
    <row r="1335" spans="6:9" x14ac:dyDescent="0.25">
      <c r="F1335" s="39"/>
      <c r="G1335" s="39"/>
      <c r="H1335" s="39"/>
      <c r="I1335" s="39"/>
    </row>
    <row r="1336" spans="6:9" x14ac:dyDescent="0.25">
      <c r="F1336" s="39"/>
      <c r="G1336" s="39"/>
      <c r="H1336" s="39"/>
      <c r="I1336" s="39"/>
    </row>
    <row r="1337" spans="6:9" x14ac:dyDescent="0.25">
      <c r="F1337" s="39"/>
      <c r="G1337" s="39"/>
      <c r="H1337" s="39"/>
      <c r="I1337" s="39"/>
    </row>
    <row r="1338" spans="6:9" x14ac:dyDescent="0.25">
      <c r="F1338" s="39"/>
      <c r="G1338" s="39"/>
      <c r="H1338" s="39"/>
      <c r="I1338" s="39"/>
    </row>
    <row r="1339" spans="6:9" x14ac:dyDescent="0.25">
      <c r="F1339" s="39"/>
      <c r="G1339" s="39"/>
      <c r="H1339" s="39"/>
      <c r="I1339" s="39"/>
    </row>
    <row r="1340" spans="6:9" x14ac:dyDescent="0.25">
      <c r="F1340" s="39"/>
      <c r="G1340" s="39"/>
      <c r="H1340" s="39"/>
      <c r="I1340" s="39"/>
    </row>
    <row r="1341" spans="6:9" x14ac:dyDescent="0.25">
      <c r="F1341" s="39"/>
      <c r="G1341" s="39"/>
      <c r="H1341" s="39"/>
      <c r="I1341" s="39"/>
    </row>
    <row r="1342" spans="6:9" x14ac:dyDescent="0.25">
      <c r="F1342" s="39"/>
      <c r="G1342" s="39"/>
      <c r="H1342" s="39"/>
      <c r="I1342" s="39"/>
    </row>
    <row r="1343" spans="6:9" x14ac:dyDescent="0.25">
      <c r="F1343" s="39"/>
      <c r="G1343" s="39"/>
      <c r="H1343" s="39"/>
      <c r="I1343" s="39"/>
    </row>
    <row r="1344" spans="6:9" x14ac:dyDescent="0.25">
      <c r="F1344" s="39"/>
      <c r="G1344" s="39"/>
      <c r="H1344" s="39"/>
      <c r="I1344" s="39"/>
    </row>
    <row r="1345" spans="6:9" x14ac:dyDescent="0.25">
      <c r="F1345" s="39"/>
      <c r="G1345" s="39"/>
      <c r="H1345" s="39"/>
      <c r="I1345" s="39"/>
    </row>
    <row r="1346" spans="6:9" x14ac:dyDescent="0.25">
      <c r="F1346" s="39"/>
      <c r="G1346" s="39"/>
      <c r="H1346" s="39"/>
      <c r="I1346" s="39"/>
    </row>
    <row r="1347" spans="6:9" x14ac:dyDescent="0.25">
      <c r="F1347" s="39"/>
      <c r="G1347" s="39"/>
      <c r="H1347" s="39"/>
      <c r="I1347" s="39"/>
    </row>
    <row r="1348" spans="6:9" x14ac:dyDescent="0.25">
      <c r="F1348" s="39"/>
      <c r="G1348" s="39"/>
      <c r="H1348" s="39"/>
      <c r="I1348" s="39"/>
    </row>
    <row r="1349" spans="6:9" x14ac:dyDescent="0.25">
      <c r="F1349" s="39"/>
      <c r="G1349" s="39"/>
      <c r="H1349" s="39"/>
      <c r="I1349" s="39"/>
    </row>
    <row r="1350" spans="6:9" x14ac:dyDescent="0.25">
      <c r="F1350" s="39"/>
      <c r="G1350" s="39"/>
      <c r="H1350" s="39"/>
      <c r="I1350" s="39"/>
    </row>
    <row r="1351" spans="6:9" x14ac:dyDescent="0.25">
      <c r="F1351" s="39"/>
      <c r="G1351" s="39"/>
      <c r="H1351" s="39"/>
      <c r="I1351" s="39"/>
    </row>
    <row r="1352" spans="6:9" x14ac:dyDescent="0.25">
      <c r="F1352" s="39"/>
      <c r="G1352" s="39"/>
      <c r="H1352" s="39"/>
      <c r="I1352" s="39"/>
    </row>
    <row r="1353" spans="6:9" x14ac:dyDescent="0.25">
      <c r="F1353" s="39"/>
      <c r="G1353" s="39"/>
      <c r="H1353" s="39"/>
      <c r="I1353" s="39"/>
    </row>
    <row r="1354" spans="6:9" x14ac:dyDescent="0.25">
      <c r="F1354" s="39"/>
      <c r="G1354" s="39"/>
      <c r="H1354" s="39"/>
      <c r="I1354" s="39"/>
    </row>
    <row r="1355" spans="6:9" x14ac:dyDescent="0.25">
      <c r="F1355" s="39"/>
      <c r="G1355" s="39"/>
      <c r="H1355" s="39"/>
      <c r="I1355" s="39"/>
    </row>
    <row r="1356" spans="6:9" x14ac:dyDescent="0.25">
      <c r="F1356" s="39"/>
      <c r="G1356" s="39"/>
      <c r="H1356" s="39"/>
      <c r="I1356" s="39"/>
    </row>
    <row r="1357" spans="6:9" x14ac:dyDescent="0.25">
      <c r="F1357" s="39"/>
      <c r="G1357" s="39"/>
      <c r="H1357" s="39"/>
      <c r="I1357" s="39"/>
    </row>
    <row r="1358" spans="6:9" x14ac:dyDescent="0.25">
      <c r="F1358" s="39"/>
      <c r="G1358" s="39"/>
      <c r="H1358" s="39"/>
      <c r="I1358" s="39"/>
    </row>
    <row r="1359" spans="6:9" x14ac:dyDescent="0.25">
      <c r="F1359" s="39"/>
      <c r="G1359" s="39"/>
      <c r="H1359" s="39"/>
      <c r="I1359" s="39"/>
    </row>
    <row r="1360" spans="6:9" x14ac:dyDescent="0.25">
      <c r="F1360" s="39"/>
      <c r="G1360" s="39"/>
      <c r="H1360" s="39"/>
      <c r="I1360" s="39"/>
    </row>
    <row r="1361" spans="6:9" x14ac:dyDescent="0.25">
      <c r="F1361" s="39"/>
      <c r="G1361" s="39"/>
      <c r="H1361" s="39"/>
      <c r="I1361" s="39"/>
    </row>
    <row r="1362" spans="6:9" x14ac:dyDescent="0.25">
      <c r="F1362" s="39"/>
      <c r="G1362" s="39"/>
      <c r="H1362" s="39"/>
      <c r="I1362" s="39"/>
    </row>
    <row r="1363" spans="6:9" x14ac:dyDescent="0.25">
      <c r="F1363" s="39"/>
      <c r="G1363" s="39"/>
      <c r="H1363" s="39"/>
      <c r="I1363" s="39"/>
    </row>
    <row r="1364" spans="6:9" x14ac:dyDescent="0.25">
      <c r="F1364" s="39"/>
      <c r="G1364" s="39"/>
      <c r="H1364" s="39"/>
      <c r="I1364" s="39"/>
    </row>
    <row r="1365" spans="6:9" x14ac:dyDescent="0.25">
      <c r="F1365" s="39"/>
      <c r="G1365" s="39"/>
      <c r="H1365" s="39"/>
      <c r="I1365" s="39"/>
    </row>
    <row r="1366" spans="6:9" x14ac:dyDescent="0.25">
      <c r="F1366" s="39"/>
      <c r="G1366" s="39"/>
      <c r="H1366" s="39"/>
      <c r="I1366" s="39"/>
    </row>
    <row r="1367" spans="6:9" x14ac:dyDescent="0.25">
      <c r="F1367" s="39"/>
      <c r="G1367" s="39"/>
      <c r="H1367" s="39"/>
      <c r="I1367" s="39"/>
    </row>
    <row r="1368" spans="6:9" x14ac:dyDescent="0.25">
      <c r="F1368" s="39"/>
      <c r="G1368" s="39"/>
      <c r="H1368" s="39"/>
      <c r="I1368" s="39"/>
    </row>
    <row r="1369" spans="6:9" x14ac:dyDescent="0.25">
      <c r="F1369" s="39"/>
      <c r="G1369" s="39"/>
      <c r="H1369" s="39"/>
      <c r="I1369" s="39"/>
    </row>
    <row r="1370" spans="6:9" x14ac:dyDescent="0.25">
      <c r="F1370" s="39"/>
      <c r="G1370" s="39"/>
      <c r="H1370" s="39"/>
      <c r="I1370" s="39"/>
    </row>
    <row r="1371" spans="6:9" x14ac:dyDescent="0.25">
      <c r="F1371" s="39"/>
      <c r="G1371" s="39"/>
      <c r="H1371" s="39"/>
      <c r="I1371" s="39"/>
    </row>
    <row r="1372" spans="6:9" x14ac:dyDescent="0.25">
      <c r="F1372" s="39"/>
      <c r="G1372" s="39"/>
      <c r="H1372" s="39"/>
      <c r="I1372" s="39"/>
    </row>
    <row r="1373" spans="6:9" x14ac:dyDescent="0.25">
      <c r="F1373" s="39"/>
      <c r="G1373" s="39"/>
      <c r="H1373" s="39"/>
      <c r="I1373" s="39"/>
    </row>
    <row r="1374" spans="6:9" x14ac:dyDescent="0.25">
      <c r="F1374" s="39"/>
      <c r="G1374" s="39"/>
      <c r="H1374" s="39"/>
      <c r="I1374" s="39"/>
    </row>
    <row r="1375" spans="6:9" x14ac:dyDescent="0.25">
      <c r="F1375" s="39"/>
      <c r="G1375" s="39"/>
      <c r="H1375" s="39"/>
      <c r="I1375" s="39"/>
    </row>
    <row r="1376" spans="6:9" x14ac:dyDescent="0.25">
      <c r="F1376" s="39"/>
      <c r="G1376" s="39"/>
      <c r="H1376" s="39"/>
      <c r="I1376" s="39"/>
    </row>
    <row r="1377" spans="6:9" x14ac:dyDescent="0.25">
      <c r="F1377" s="39"/>
      <c r="G1377" s="39"/>
      <c r="H1377" s="39"/>
      <c r="I1377" s="39"/>
    </row>
    <row r="1378" spans="6:9" x14ac:dyDescent="0.25">
      <c r="F1378" s="39"/>
      <c r="G1378" s="39"/>
      <c r="H1378" s="39"/>
      <c r="I1378" s="39"/>
    </row>
    <row r="1379" spans="6:9" x14ac:dyDescent="0.25">
      <c r="F1379" s="39"/>
      <c r="G1379" s="39"/>
      <c r="H1379" s="39"/>
      <c r="I1379" s="39"/>
    </row>
    <row r="1380" spans="6:9" x14ac:dyDescent="0.25">
      <c r="F1380" s="39"/>
      <c r="G1380" s="39"/>
      <c r="H1380" s="39"/>
      <c r="I1380" s="39"/>
    </row>
    <row r="1381" spans="6:9" x14ac:dyDescent="0.25">
      <c r="F1381" s="39"/>
      <c r="G1381" s="39"/>
      <c r="H1381" s="39"/>
      <c r="I1381" s="39"/>
    </row>
    <row r="1382" spans="6:9" x14ac:dyDescent="0.25">
      <c r="F1382" s="39"/>
      <c r="G1382" s="39"/>
      <c r="H1382" s="39"/>
      <c r="I1382" s="39"/>
    </row>
    <row r="1383" spans="6:9" x14ac:dyDescent="0.25">
      <c r="F1383" s="39"/>
      <c r="G1383" s="39"/>
      <c r="H1383" s="39"/>
      <c r="I1383" s="39"/>
    </row>
    <row r="1384" spans="6:9" x14ac:dyDescent="0.25">
      <c r="F1384" s="39"/>
      <c r="G1384" s="39"/>
      <c r="H1384" s="39"/>
      <c r="I1384" s="39"/>
    </row>
    <row r="1385" spans="6:9" x14ac:dyDescent="0.25">
      <c r="F1385" s="39"/>
      <c r="G1385" s="39"/>
      <c r="H1385" s="39"/>
      <c r="I1385" s="39"/>
    </row>
    <row r="1386" spans="6:9" x14ac:dyDescent="0.25">
      <c r="F1386" s="39"/>
      <c r="G1386" s="39"/>
      <c r="H1386" s="39"/>
      <c r="I1386" s="39"/>
    </row>
    <row r="1387" spans="6:9" x14ac:dyDescent="0.25">
      <c r="F1387" s="39"/>
      <c r="G1387" s="39"/>
      <c r="H1387" s="39"/>
      <c r="I1387" s="39"/>
    </row>
    <row r="1388" spans="6:9" x14ac:dyDescent="0.25">
      <c r="F1388" s="39"/>
      <c r="G1388" s="39"/>
      <c r="H1388" s="39"/>
      <c r="I1388" s="39"/>
    </row>
    <row r="1389" spans="6:9" x14ac:dyDescent="0.25">
      <c r="F1389" s="39"/>
      <c r="G1389" s="39"/>
      <c r="H1389" s="39"/>
      <c r="I1389" s="39"/>
    </row>
    <row r="1390" spans="6:9" x14ac:dyDescent="0.25">
      <c r="F1390" s="39"/>
      <c r="G1390" s="39"/>
      <c r="H1390" s="39"/>
      <c r="I1390" s="39"/>
    </row>
    <row r="1391" spans="6:9" x14ac:dyDescent="0.25">
      <c r="F1391" s="39"/>
      <c r="G1391" s="39"/>
      <c r="H1391" s="39"/>
      <c r="I1391" s="39"/>
    </row>
    <row r="1392" spans="6:9" x14ac:dyDescent="0.25">
      <c r="F1392" s="39"/>
      <c r="G1392" s="39"/>
      <c r="H1392" s="39"/>
      <c r="I1392" s="39"/>
    </row>
    <row r="1393" spans="6:9" x14ac:dyDescent="0.25">
      <c r="F1393" s="39"/>
      <c r="G1393" s="39"/>
      <c r="H1393" s="39"/>
      <c r="I1393" s="39"/>
    </row>
    <row r="1394" spans="6:9" x14ac:dyDescent="0.25">
      <c r="F1394" s="39"/>
      <c r="G1394" s="39"/>
      <c r="H1394" s="39"/>
      <c r="I1394" s="39"/>
    </row>
    <row r="1395" spans="6:9" x14ac:dyDescent="0.25">
      <c r="F1395" s="39"/>
      <c r="G1395" s="39"/>
      <c r="H1395" s="39"/>
      <c r="I1395" s="39"/>
    </row>
    <row r="1396" spans="6:9" x14ac:dyDescent="0.25">
      <c r="F1396" s="39"/>
      <c r="G1396" s="39"/>
      <c r="H1396" s="39"/>
      <c r="I1396" s="39"/>
    </row>
    <row r="1397" spans="6:9" x14ac:dyDescent="0.25">
      <c r="F1397" s="39"/>
      <c r="G1397" s="39"/>
      <c r="H1397" s="39"/>
      <c r="I1397" s="39"/>
    </row>
    <row r="1398" spans="6:9" x14ac:dyDescent="0.25">
      <c r="F1398" s="39"/>
      <c r="G1398" s="39"/>
      <c r="H1398" s="39"/>
      <c r="I1398" s="39"/>
    </row>
    <row r="1399" spans="6:9" x14ac:dyDescent="0.25">
      <c r="F1399" s="39"/>
      <c r="G1399" s="39"/>
      <c r="H1399" s="39"/>
      <c r="I1399" s="39"/>
    </row>
    <row r="1400" spans="6:9" x14ac:dyDescent="0.25">
      <c r="F1400" s="39"/>
      <c r="G1400" s="39"/>
      <c r="H1400" s="39"/>
      <c r="I1400" s="39"/>
    </row>
    <row r="1401" spans="6:9" x14ac:dyDescent="0.25">
      <c r="F1401" s="39"/>
      <c r="G1401" s="39"/>
      <c r="H1401" s="39"/>
      <c r="I1401" s="39"/>
    </row>
    <row r="1402" spans="6:9" x14ac:dyDescent="0.25">
      <c r="F1402" s="39"/>
      <c r="G1402" s="39"/>
      <c r="H1402" s="39"/>
      <c r="I1402" s="39"/>
    </row>
    <row r="1403" spans="6:9" x14ac:dyDescent="0.25">
      <c r="F1403" s="39"/>
      <c r="G1403" s="39"/>
      <c r="H1403" s="39"/>
      <c r="I1403" s="39"/>
    </row>
    <row r="1404" spans="6:9" x14ac:dyDescent="0.25">
      <c r="F1404" s="39"/>
      <c r="G1404" s="39"/>
      <c r="H1404" s="39"/>
      <c r="I1404" s="39"/>
    </row>
    <row r="1405" spans="6:9" x14ac:dyDescent="0.25">
      <c r="F1405" s="39"/>
      <c r="G1405" s="39"/>
      <c r="H1405" s="39"/>
      <c r="I1405" s="39"/>
    </row>
    <row r="1406" spans="6:9" x14ac:dyDescent="0.25">
      <c r="F1406" s="39"/>
      <c r="G1406" s="39"/>
      <c r="H1406" s="39"/>
      <c r="I1406" s="39"/>
    </row>
    <row r="1407" spans="6:9" x14ac:dyDescent="0.25">
      <c r="F1407" s="39"/>
      <c r="G1407" s="39"/>
      <c r="H1407" s="39"/>
      <c r="I1407" s="39"/>
    </row>
    <row r="1408" spans="6:9" x14ac:dyDescent="0.25">
      <c r="F1408" s="39"/>
      <c r="G1408" s="39"/>
      <c r="H1408" s="39"/>
      <c r="I1408" s="39"/>
    </row>
    <row r="1409" spans="6:9" x14ac:dyDescent="0.25">
      <c r="F1409" s="39"/>
      <c r="G1409" s="39"/>
      <c r="H1409" s="39"/>
      <c r="I1409" s="39"/>
    </row>
    <row r="1410" spans="6:9" x14ac:dyDescent="0.25">
      <c r="F1410" s="39"/>
      <c r="G1410" s="39"/>
      <c r="H1410" s="39"/>
      <c r="I1410" s="39"/>
    </row>
    <row r="1411" spans="6:9" x14ac:dyDescent="0.25">
      <c r="F1411" s="39"/>
      <c r="G1411" s="39"/>
      <c r="H1411" s="39"/>
      <c r="I1411" s="39"/>
    </row>
    <row r="1412" spans="6:9" x14ac:dyDescent="0.25">
      <c r="F1412" s="39"/>
      <c r="G1412" s="39"/>
      <c r="H1412" s="39"/>
      <c r="I1412" s="39"/>
    </row>
    <row r="1413" spans="6:9" x14ac:dyDescent="0.25">
      <c r="F1413" s="39"/>
      <c r="G1413" s="39"/>
      <c r="H1413" s="39"/>
      <c r="I1413" s="39"/>
    </row>
    <row r="1414" spans="6:9" x14ac:dyDescent="0.25">
      <c r="F1414" s="39"/>
      <c r="G1414" s="39"/>
      <c r="H1414" s="39"/>
      <c r="I1414" s="39"/>
    </row>
    <row r="1415" spans="6:9" x14ac:dyDescent="0.25">
      <c r="F1415" s="39"/>
      <c r="G1415" s="39"/>
      <c r="H1415" s="39"/>
      <c r="I1415" s="39"/>
    </row>
    <row r="1416" spans="6:9" x14ac:dyDescent="0.25">
      <c r="F1416" s="39"/>
      <c r="G1416" s="39"/>
      <c r="H1416" s="39"/>
      <c r="I1416" s="39"/>
    </row>
    <row r="1417" spans="6:9" x14ac:dyDescent="0.25">
      <c r="F1417" s="39"/>
      <c r="G1417" s="39"/>
      <c r="H1417" s="39"/>
      <c r="I1417" s="39"/>
    </row>
    <row r="1418" spans="6:9" x14ac:dyDescent="0.25">
      <c r="F1418" s="39"/>
      <c r="G1418" s="39"/>
      <c r="H1418" s="39"/>
      <c r="I1418" s="39"/>
    </row>
    <row r="1419" spans="6:9" x14ac:dyDescent="0.25">
      <c r="F1419" s="39"/>
      <c r="G1419" s="39"/>
      <c r="H1419" s="39"/>
      <c r="I1419" s="39"/>
    </row>
    <row r="1420" spans="6:9" x14ac:dyDescent="0.25">
      <c r="F1420" s="39"/>
      <c r="G1420" s="39"/>
      <c r="H1420" s="39"/>
      <c r="I1420" s="39"/>
    </row>
    <row r="1421" spans="6:9" x14ac:dyDescent="0.25">
      <c r="F1421" s="39"/>
      <c r="G1421" s="39"/>
      <c r="H1421" s="39"/>
      <c r="I1421" s="39"/>
    </row>
    <row r="1422" spans="6:9" x14ac:dyDescent="0.25">
      <c r="F1422" s="39"/>
      <c r="G1422" s="39"/>
      <c r="H1422" s="39"/>
      <c r="I1422" s="39"/>
    </row>
    <row r="1423" spans="6:9" x14ac:dyDescent="0.25">
      <c r="F1423" s="39"/>
      <c r="G1423" s="39"/>
      <c r="H1423" s="39"/>
      <c r="I1423" s="39"/>
    </row>
    <row r="1424" spans="6:9" x14ac:dyDescent="0.25">
      <c r="F1424" s="39"/>
      <c r="G1424" s="39"/>
      <c r="H1424" s="39"/>
      <c r="I1424" s="39"/>
    </row>
    <row r="1425" spans="6:9" x14ac:dyDescent="0.25">
      <c r="F1425" s="39"/>
      <c r="G1425" s="39"/>
      <c r="H1425" s="39"/>
      <c r="I1425" s="39"/>
    </row>
    <row r="1426" spans="6:9" x14ac:dyDescent="0.25">
      <c r="F1426" s="39"/>
      <c r="G1426" s="39"/>
      <c r="H1426" s="39"/>
      <c r="I1426" s="39"/>
    </row>
    <row r="1427" spans="6:9" x14ac:dyDescent="0.25">
      <c r="F1427" s="39"/>
      <c r="G1427" s="39"/>
      <c r="H1427" s="39"/>
      <c r="I1427" s="39"/>
    </row>
    <row r="1428" spans="6:9" x14ac:dyDescent="0.25">
      <c r="F1428" s="39"/>
      <c r="G1428" s="39"/>
      <c r="H1428" s="39"/>
      <c r="I1428" s="39"/>
    </row>
    <row r="1429" spans="6:9" x14ac:dyDescent="0.25">
      <c r="F1429" s="39"/>
      <c r="G1429" s="39"/>
      <c r="H1429" s="39"/>
      <c r="I1429" s="39"/>
    </row>
    <row r="1430" spans="6:9" x14ac:dyDescent="0.25">
      <c r="F1430" s="39"/>
      <c r="G1430" s="39"/>
      <c r="H1430" s="39"/>
      <c r="I1430" s="39"/>
    </row>
    <row r="1431" spans="6:9" x14ac:dyDescent="0.25">
      <c r="F1431" s="39"/>
      <c r="G1431" s="39"/>
      <c r="H1431" s="39"/>
      <c r="I1431" s="39"/>
    </row>
    <row r="1432" spans="6:9" x14ac:dyDescent="0.25">
      <c r="F1432" s="39"/>
      <c r="G1432" s="39"/>
      <c r="H1432" s="39"/>
      <c r="I1432" s="39"/>
    </row>
    <row r="1433" spans="6:9" x14ac:dyDescent="0.25">
      <c r="F1433" s="39"/>
      <c r="G1433" s="39"/>
      <c r="H1433" s="39"/>
      <c r="I1433" s="39"/>
    </row>
    <row r="1434" spans="6:9" x14ac:dyDescent="0.25">
      <c r="F1434" s="39"/>
      <c r="G1434" s="39"/>
      <c r="H1434" s="39"/>
      <c r="I1434" s="39"/>
    </row>
    <row r="1435" spans="6:9" x14ac:dyDescent="0.25">
      <c r="F1435" s="39"/>
      <c r="G1435" s="39"/>
      <c r="H1435" s="39"/>
      <c r="I1435" s="39"/>
    </row>
    <row r="1436" spans="6:9" x14ac:dyDescent="0.25">
      <c r="F1436" s="39"/>
      <c r="G1436" s="39"/>
      <c r="H1436" s="39"/>
      <c r="I1436" s="39"/>
    </row>
    <row r="1437" spans="6:9" x14ac:dyDescent="0.25">
      <c r="F1437" s="39"/>
      <c r="G1437" s="39"/>
      <c r="H1437" s="39"/>
      <c r="I1437" s="39"/>
    </row>
    <row r="1438" spans="6:9" x14ac:dyDescent="0.25">
      <c r="F1438" s="39"/>
      <c r="G1438" s="39"/>
      <c r="H1438" s="39"/>
      <c r="I1438" s="39"/>
    </row>
    <row r="1439" spans="6:9" x14ac:dyDescent="0.25">
      <c r="F1439" s="39"/>
      <c r="G1439" s="39"/>
      <c r="H1439" s="39"/>
      <c r="I1439" s="39"/>
    </row>
    <row r="1440" spans="6:9" x14ac:dyDescent="0.25">
      <c r="F1440" s="39"/>
      <c r="G1440" s="39"/>
      <c r="H1440" s="39"/>
      <c r="I1440" s="39"/>
    </row>
    <row r="1441" spans="6:9" x14ac:dyDescent="0.25">
      <c r="F1441" s="39"/>
      <c r="G1441" s="39"/>
      <c r="H1441" s="39"/>
      <c r="I1441" s="39"/>
    </row>
    <row r="1442" spans="6:9" x14ac:dyDescent="0.25">
      <c r="F1442" s="39"/>
      <c r="G1442" s="39"/>
      <c r="H1442" s="39"/>
      <c r="I1442" s="39"/>
    </row>
    <row r="1443" spans="6:9" x14ac:dyDescent="0.25">
      <c r="F1443" s="39"/>
      <c r="G1443" s="39"/>
      <c r="H1443" s="39"/>
      <c r="I1443" s="39"/>
    </row>
    <row r="1444" spans="6:9" x14ac:dyDescent="0.25">
      <c r="F1444" s="39"/>
      <c r="G1444" s="39"/>
      <c r="H1444" s="39"/>
      <c r="I1444" s="39"/>
    </row>
    <row r="1445" spans="6:9" x14ac:dyDescent="0.25">
      <c r="F1445" s="39"/>
      <c r="G1445" s="39"/>
      <c r="H1445" s="39"/>
      <c r="I1445" s="39"/>
    </row>
    <row r="1446" spans="6:9" x14ac:dyDescent="0.25">
      <c r="F1446" s="39"/>
      <c r="G1446" s="39"/>
      <c r="H1446" s="39"/>
      <c r="I1446" s="39"/>
    </row>
    <row r="1447" spans="6:9" x14ac:dyDescent="0.25">
      <c r="F1447" s="39"/>
      <c r="G1447" s="39"/>
      <c r="H1447" s="39"/>
      <c r="I1447" s="39"/>
    </row>
    <row r="1448" spans="6:9" x14ac:dyDescent="0.25">
      <c r="F1448" s="39"/>
      <c r="G1448" s="39"/>
      <c r="H1448" s="39"/>
      <c r="I1448" s="39"/>
    </row>
    <row r="1449" spans="6:9" x14ac:dyDescent="0.25">
      <c r="F1449" s="39"/>
      <c r="G1449" s="39"/>
      <c r="H1449" s="39"/>
      <c r="I1449" s="39"/>
    </row>
    <row r="1450" spans="6:9" x14ac:dyDescent="0.25">
      <c r="F1450" s="39"/>
      <c r="G1450" s="39"/>
      <c r="H1450" s="39"/>
      <c r="I1450" s="39"/>
    </row>
    <row r="1451" spans="6:9" x14ac:dyDescent="0.25">
      <c r="F1451" s="39"/>
      <c r="G1451" s="39"/>
      <c r="H1451" s="39"/>
      <c r="I1451" s="39"/>
    </row>
    <row r="1452" spans="6:9" x14ac:dyDescent="0.25">
      <c r="F1452" s="39"/>
      <c r="G1452" s="39"/>
      <c r="H1452" s="39"/>
      <c r="I1452" s="39"/>
    </row>
    <row r="1453" spans="6:9" x14ac:dyDescent="0.25">
      <c r="F1453" s="39"/>
      <c r="G1453" s="39"/>
      <c r="H1453" s="39"/>
      <c r="I1453" s="39"/>
    </row>
    <row r="1454" spans="6:9" x14ac:dyDescent="0.25">
      <c r="F1454" s="39"/>
      <c r="G1454" s="39"/>
      <c r="H1454" s="39"/>
      <c r="I1454" s="39"/>
    </row>
    <row r="1455" spans="6:9" x14ac:dyDescent="0.25">
      <c r="F1455" s="39"/>
      <c r="G1455" s="39"/>
      <c r="H1455" s="39"/>
      <c r="I1455" s="39"/>
    </row>
    <row r="1456" spans="6:9" x14ac:dyDescent="0.25">
      <c r="F1456" s="39"/>
      <c r="G1456" s="39"/>
      <c r="H1456" s="39"/>
      <c r="I1456" s="39"/>
    </row>
    <row r="1457" spans="6:9" x14ac:dyDescent="0.25">
      <c r="F1457" s="39"/>
      <c r="G1457" s="39"/>
      <c r="H1457" s="39"/>
      <c r="I1457" s="39"/>
    </row>
    <row r="1458" spans="6:9" x14ac:dyDescent="0.25">
      <c r="F1458" s="39"/>
      <c r="G1458" s="39"/>
      <c r="H1458" s="39"/>
      <c r="I1458" s="39"/>
    </row>
    <row r="1459" spans="6:9" x14ac:dyDescent="0.25">
      <c r="F1459" s="39"/>
      <c r="G1459" s="39"/>
      <c r="H1459" s="39"/>
      <c r="I1459" s="39"/>
    </row>
    <row r="1460" spans="6:9" x14ac:dyDescent="0.25">
      <c r="F1460" s="39"/>
      <c r="G1460" s="39"/>
      <c r="H1460" s="39"/>
      <c r="I1460" s="39"/>
    </row>
    <row r="1461" spans="6:9" x14ac:dyDescent="0.25">
      <c r="F1461" s="39"/>
      <c r="G1461" s="39"/>
      <c r="H1461" s="39"/>
      <c r="I1461" s="39"/>
    </row>
    <row r="1462" spans="6:9" x14ac:dyDescent="0.25">
      <c r="F1462" s="39"/>
      <c r="G1462" s="39"/>
      <c r="H1462" s="39"/>
      <c r="I1462" s="39"/>
    </row>
    <row r="1463" spans="6:9" x14ac:dyDescent="0.25">
      <c r="F1463" s="39"/>
      <c r="G1463" s="39"/>
      <c r="H1463" s="39"/>
      <c r="I1463" s="39"/>
    </row>
    <row r="1464" spans="6:9" x14ac:dyDescent="0.25">
      <c r="F1464" s="39"/>
      <c r="G1464" s="39"/>
      <c r="H1464" s="39"/>
      <c r="I1464" s="39"/>
    </row>
    <row r="1465" spans="6:9" x14ac:dyDescent="0.25">
      <c r="F1465" s="39"/>
      <c r="G1465" s="39"/>
      <c r="H1465" s="39"/>
      <c r="I1465" s="39"/>
    </row>
    <row r="1466" spans="6:9" x14ac:dyDescent="0.25">
      <c r="F1466" s="39"/>
      <c r="G1466" s="39"/>
      <c r="H1466" s="39"/>
      <c r="I1466" s="39"/>
    </row>
    <row r="1467" spans="6:9" x14ac:dyDescent="0.25">
      <c r="F1467" s="39"/>
      <c r="G1467" s="39"/>
      <c r="H1467" s="39"/>
      <c r="I1467" s="39"/>
    </row>
    <row r="1468" spans="6:9" x14ac:dyDescent="0.25">
      <c r="F1468" s="39"/>
      <c r="G1468" s="39"/>
      <c r="H1468" s="39"/>
      <c r="I1468" s="39"/>
    </row>
    <row r="1469" spans="6:9" x14ac:dyDescent="0.25">
      <c r="F1469" s="39"/>
      <c r="G1469" s="39"/>
      <c r="H1469" s="39"/>
      <c r="I1469" s="39"/>
    </row>
    <row r="1470" spans="6:9" x14ac:dyDescent="0.25">
      <c r="F1470" s="39"/>
      <c r="G1470" s="39"/>
      <c r="H1470" s="39"/>
      <c r="I1470" s="39"/>
    </row>
    <row r="1471" spans="6:9" x14ac:dyDescent="0.25">
      <c r="F1471" s="39"/>
      <c r="G1471" s="39"/>
      <c r="H1471" s="39"/>
      <c r="I1471" s="39"/>
    </row>
    <row r="1472" spans="6:9" x14ac:dyDescent="0.25">
      <c r="F1472" s="39"/>
      <c r="G1472" s="39"/>
      <c r="H1472" s="39"/>
      <c r="I1472" s="39"/>
    </row>
    <row r="1473" spans="6:9" x14ac:dyDescent="0.25">
      <c r="F1473" s="39"/>
      <c r="G1473" s="39"/>
      <c r="H1473" s="39"/>
      <c r="I1473" s="39"/>
    </row>
    <row r="1474" spans="6:9" x14ac:dyDescent="0.25">
      <c r="F1474" s="39"/>
      <c r="G1474" s="39"/>
      <c r="H1474" s="39"/>
      <c r="I1474" s="39"/>
    </row>
    <row r="1475" spans="6:9" x14ac:dyDescent="0.25">
      <c r="F1475" s="39"/>
      <c r="G1475" s="39"/>
      <c r="H1475" s="39"/>
      <c r="I1475" s="39"/>
    </row>
    <row r="1476" spans="6:9" x14ac:dyDescent="0.25">
      <c r="F1476" s="39"/>
      <c r="G1476" s="39"/>
      <c r="H1476" s="39"/>
      <c r="I1476" s="39"/>
    </row>
    <row r="1477" spans="6:9" x14ac:dyDescent="0.25">
      <c r="F1477" s="39"/>
      <c r="G1477" s="39"/>
      <c r="H1477" s="39"/>
      <c r="I1477" s="39"/>
    </row>
    <row r="1478" spans="6:9" x14ac:dyDescent="0.25">
      <c r="F1478" s="39"/>
      <c r="G1478" s="39"/>
      <c r="H1478" s="39"/>
      <c r="I1478" s="39"/>
    </row>
    <row r="1479" spans="6:9" x14ac:dyDescent="0.25">
      <c r="F1479" s="39"/>
      <c r="G1479" s="39"/>
      <c r="H1479" s="39"/>
      <c r="I1479" s="39"/>
    </row>
    <row r="1480" spans="6:9" x14ac:dyDescent="0.25">
      <c r="F1480" s="39"/>
      <c r="G1480" s="39"/>
      <c r="H1480" s="39"/>
      <c r="I1480" s="39"/>
    </row>
    <row r="1481" spans="6:9" x14ac:dyDescent="0.25">
      <c r="F1481" s="39"/>
      <c r="G1481" s="39"/>
      <c r="H1481" s="39"/>
      <c r="I1481" s="39"/>
    </row>
    <row r="1482" spans="6:9" x14ac:dyDescent="0.25">
      <c r="F1482" s="39"/>
      <c r="G1482" s="39"/>
      <c r="H1482" s="39"/>
      <c r="I1482" s="39"/>
    </row>
    <row r="1483" spans="6:9" x14ac:dyDescent="0.25">
      <c r="F1483" s="39"/>
      <c r="G1483" s="39"/>
      <c r="H1483" s="39"/>
      <c r="I1483" s="39"/>
    </row>
    <row r="1484" spans="6:9" x14ac:dyDescent="0.25">
      <c r="F1484" s="39"/>
      <c r="G1484" s="39"/>
      <c r="H1484" s="39"/>
      <c r="I1484" s="39"/>
    </row>
    <row r="1485" spans="6:9" x14ac:dyDescent="0.25">
      <c r="F1485" s="39"/>
      <c r="G1485" s="39"/>
      <c r="H1485" s="39"/>
      <c r="I1485" s="39"/>
    </row>
    <row r="1486" spans="6:9" x14ac:dyDescent="0.25">
      <c r="F1486" s="39"/>
      <c r="G1486" s="39"/>
      <c r="H1486" s="39"/>
      <c r="I1486" s="39"/>
    </row>
    <row r="1487" spans="6:9" x14ac:dyDescent="0.25">
      <c r="F1487" s="39"/>
      <c r="G1487" s="39"/>
      <c r="H1487" s="39"/>
      <c r="I1487" s="39"/>
    </row>
    <row r="1488" spans="6:9" x14ac:dyDescent="0.25">
      <c r="F1488" s="39"/>
      <c r="G1488" s="39"/>
      <c r="H1488" s="39"/>
      <c r="I1488" s="39"/>
    </row>
    <row r="1489" spans="6:9" x14ac:dyDescent="0.25">
      <c r="F1489" s="39"/>
      <c r="G1489" s="39"/>
      <c r="H1489" s="39"/>
      <c r="I1489" s="39"/>
    </row>
    <row r="1490" spans="6:9" x14ac:dyDescent="0.25">
      <c r="F1490" s="39"/>
      <c r="G1490" s="39"/>
      <c r="H1490" s="39"/>
      <c r="I1490" s="39"/>
    </row>
    <row r="1491" spans="6:9" x14ac:dyDescent="0.25">
      <c r="F1491" s="39"/>
      <c r="G1491" s="39"/>
      <c r="H1491" s="39"/>
      <c r="I1491" s="39"/>
    </row>
    <row r="1492" spans="6:9" x14ac:dyDescent="0.25">
      <c r="F1492" s="39"/>
      <c r="G1492" s="39"/>
      <c r="H1492" s="39"/>
      <c r="I1492" s="39"/>
    </row>
    <row r="1493" spans="6:9" x14ac:dyDescent="0.25">
      <c r="F1493" s="39"/>
      <c r="G1493" s="39"/>
      <c r="H1493" s="39"/>
      <c r="I1493" s="39"/>
    </row>
    <row r="1494" spans="6:9" x14ac:dyDescent="0.25">
      <c r="F1494" s="39"/>
      <c r="G1494" s="39"/>
      <c r="H1494" s="39"/>
      <c r="I1494" s="39"/>
    </row>
    <row r="1495" spans="6:9" x14ac:dyDescent="0.25">
      <c r="F1495" s="39"/>
      <c r="G1495" s="39"/>
      <c r="H1495" s="39"/>
      <c r="I1495" s="39"/>
    </row>
    <row r="1496" spans="6:9" x14ac:dyDescent="0.25">
      <c r="F1496" s="39"/>
      <c r="G1496" s="39"/>
      <c r="H1496" s="39"/>
      <c r="I1496" s="39"/>
    </row>
    <row r="1497" spans="6:9" x14ac:dyDescent="0.25">
      <c r="F1497" s="39"/>
      <c r="G1497" s="39"/>
      <c r="H1497" s="39"/>
      <c r="I1497" s="39"/>
    </row>
    <row r="1498" spans="6:9" x14ac:dyDescent="0.25">
      <c r="F1498" s="39"/>
      <c r="G1498" s="39"/>
      <c r="H1498" s="39"/>
      <c r="I1498" s="39"/>
    </row>
    <row r="1499" spans="6:9" x14ac:dyDescent="0.25">
      <c r="F1499" s="39"/>
      <c r="G1499" s="39"/>
      <c r="H1499" s="39"/>
      <c r="I1499" s="39"/>
    </row>
    <row r="1500" spans="6:9" x14ac:dyDescent="0.25">
      <c r="F1500" s="39"/>
      <c r="G1500" s="39"/>
      <c r="H1500" s="39"/>
      <c r="I1500" s="39"/>
    </row>
    <row r="1501" spans="6:9" x14ac:dyDescent="0.25">
      <c r="F1501" s="39"/>
      <c r="G1501" s="39"/>
      <c r="H1501" s="39"/>
      <c r="I1501" s="39"/>
    </row>
    <row r="1502" spans="6:9" x14ac:dyDescent="0.25">
      <c r="F1502" s="39"/>
      <c r="G1502" s="39"/>
      <c r="H1502" s="39"/>
      <c r="I1502" s="39"/>
    </row>
    <row r="1503" spans="6:9" x14ac:dyDescent="0.25">
      <c r="F1503" s="39"/>
      <c r="G1503" s="39"/>
      <c r="H1503" s="39"/>
      <c r="I1503" s="39"/>
    </row>
    <row r="1504" spans="6:9" x14ac:dyDescent="0.25">
      <c r="F1504" s="39"/>
      <c r="G1504" s="39"/>
      <c r="H1504" s="39"/>
      <c r="I1504" s="39"/>
    </row>
    <row r="1505" spans="6:9" x14ac:dyDescent="0.25">
      <c r="F1505" s="39"/>
      <c r="G1505" s="39"/>
      <c r="H1505" s="39"/>
      <c r="I1505" s="39"/>
    </row>
    <row r="1506" spans="6:9" x14ac:dyDescent="0.25">
      <c r="F1506" s="39"/>
      <c r="G1506" s="39"/>
      <c r="H1506" s="39"/>
      <c r="I1506" s="39"/>
    </row>
    <row r="1507" spans="6:9" x14ac:dyDescent="0.25">
      <c r="F1507" s="39"/>
      <c r="G1507" s="39"/>
      <c r="H1507" s="39"/>
      <c r="I1507" s="39"/>
    </row>
    <row r="1508" spans="6:9" x14ac:dyDescent="0.25">
      <c r="F1508" s="39"/>
      <c r="G1508" s="39"/>
      <c r="H1508" s="39"/>
      <c r="I1508" s="39"/>
    </row>
    <row r="1509" spans="6:9" x14ac:dyDescent="0.25">
      <c r="F1509" s="39"/>
      <c r="G1509" s="39"/>
      <c r="H1509" s="39"/>
      <c r="I1509" s="39"/>
    </row>
    <row r="1510" spans="6:9" x14ac:dyDescent="0.25">
      <c r="F1510" s="39"/>
      <c r="G1510" s="39"/>
      <c r="H1510" s="39"/>
      <c r="I1510" s="39"/>
    </row>
    <row r="1511" spans="6:9" x14ac:dyDescent="0.25">
      <c r="F1511" s="39"/>
      <c r="G1511" s="39"/>
      <c r="H1511" s="39"/>
      <c r="I1511" s="39"/>
    </row>
    <row r="1512" spans="6:9" x14ac:dyDescent="0.25">
      <c r="F1512" s="39"/>
      <c r="G1512" s="39"/>
      <c r="H1512" s="39"/>
      <c r="I1512" s="39"/>
    </row>
    <row r="1513" spans="6:9" x14ac:dyDescent="0.25">
      <c r="F1513" s="39"/>
      <c r="G1513" s="39"/>
      <c r="H1513" s="39"/>
      <c r="I1513" s="39"/>
    </row>
    <row r="1514" spans="6:9" x14ac:dyDescent="0.25">
      <c r="F1514" s="39"/>
      <c r="G1514" s="39"/>
      <c r="H1514" s="39"/>
      <c r="I1514" s="39"/>
    </row>
    <row r="1515" spans="6:9" x14ac:dyDescent="0.25">
      <c r="F1515" s="39"/>
      <c r="G1515" s="39"/>
      <c r="H1515" s="39"/>
      <c r="I1515" s="39"/>
    </row>
    <row r="1516" spans="6:9" x14ac:dyDescent="0.25">
      <c r="F1516" s="39"/>
      <c r="G1516" s="39"/>
      <c r="H1516" s="39"/>
      <c r="I1516" s="39"/>
    </row>
    <row r="1517" spans="6:9" x14ac:dyDescent="0.25">
      <c r="F1517" s="39"/>
      <c r="G1517" s="39"/>
      <c r="H1517" s="39"/>
      <c r="I1517" s="39"/>
    </row>
    <row r="1518" spans="6:9" x14ac:dyDescent="0.25">
      <c r="F1518" s="39"/>
      <c r="G1518" s="39"/>
      <c r="H1518" s="39"/>
      <c r="I1518" s="39"/>
    </row>
    <row r="1519" spans="6:9" x14ac:dyDescent="0.25">
      <c r="F1519" s="39"/>
      <c r="G1519" s="39"/>
      <c r="H1519" s="39"/>
      <c r="I1519" s="39"/>
    </row>
    <row r="1520" spans="6:9" x14ac:dyDescent="0.25">
      <c r="F1520" s="39"/>
      <c r="G1520" s="39"/>
      <c r="H1520" s="39"/>
      <c r="I1520" s="39"/>
    </row>
    <row r="1521" spans="6:9" x14ac:dyDescent="0.25">
      <c r="F1521" s="39"/>
      <c r="G1521" s="39"/>
      <c r="H1521" s="39"/>
      <c r="I1521" s="39"/>
    </row>
    <row r="1522" spans="6:9" x14ac:dyDescent="0.25">
      <c r="F1522" s="39"/>
      <c r="G1522" s="39"/>
      <c r="H1522" s="39"/>
      <c r="I1522" s="39"/>
    </row>
    <row r="1523" spans="6:9" x14ac:dyDescent="0.25">
      <c r="F1523" s="39"/>
      <c r="G1523" s="39"/>
      <c r="H1523" s="39"/>
      <c r="I1523" s="39"/>
    </row>
    <row r="1524" spans="6:9" x14ac:dyDescent="0.25">
      <c r="F1524" s="39"/>
      <c r="G1524" s="39"/>
      <c r="H1524" s="39"/>
      <c r="I1524" s="39"/>
    </row>
    <row r="1525" spans="6:9" x14ac:dyDescent="0.25">
      <c r="F1525" s="39"/>
      <c r="G1525" s="39"/>
      <c r="H1525" s="39"/>
      <c r="I1525" s="39"/>
    </row>
    <row r="1526" spans="6:9" x14ac:dyDescent="0.25">
      <c r="F1526" s="39"/>
      <c r="G1526" s="39"/>
      <c r="H1526" s="39"/>
      <c r="I1526" s="39"/>
    </row>
    <row r="1527" spans="6:9" x14ac:dyDescent="0.25">
      <c r="F1527" s="39"/>
      <c r="G1527" s="39"/>
      <c r="H1527" s="39"/>
      <c r="I1527" s="39"/>
    </row>
    <row r="1528" spans="6:9" x14ac:dyDescent="0.25">
      <c r="F1528" s="39"/>
      <c r="G1528" s="39"/>
      <c r="H1528" s="39"/>
      <c r="I1528" s="39"/>
    </row>
    <row r="1529" spans="6:9" x14ac:dyDescent="0.25">
      <c r="F1529" s="39"/>
      <c r="G1529" s="39"/>
      <c r="H1529" s="39"/>
      <c r="I1529" s="39"/>
    </row>
    <row r="1530" spans="6:9" x14ac:dyDescent="0.25">
      <c r="F1530" s="39"/>
      <c r="G1530" s="39"/>
      <c r="H1530" s="39"/>
      <c r="I1530" s="39"/>
    </row>
    <row r="1531" spans="6:9" x14ac:dyDescent="0.25">
      <c r="F1531" s="39"/>
      <c r="G1531" s="39"/>
      <c r="H1531" s="39"/>
      <c r="I1531" s="39"/>
    </row>
    <row r="1532" spans="6:9" x14ac:dyDescent="0.25">
      <c r="F1532" s="39"/>
      <c r="G1532" s="39"/>
      <c r="H1532" s="39"/>
      <c r="I1532" s="39"/>
    </row>
    <row r="1533" spans="6:9" x14ac:dyDescent="0.25">
      <c r="F1533" s="39"/>
      <c r="G1533" s="39"/>
      <c r="H1533" s="39"/>
      <c r="I1533" s="39"/>
    </row>
    <row r="1534" spans="6:9" x14ac:dyDescent="0.25">
      <c r="F1534" s="39"/>
      <c r="G1534" s="39"/>
      <c r="H1534" s="39"/>
      <c r="I1534" s="39"/>
    </row>
    <row r="1535" spans="6:9" x14ac:dyDescent="0.25">
      <c r="F1535" s="39"/>
      <c r="G1535" s="39"/>
      <c r="H1535" s="39"/>
      <c r="I1535" s="39"/>
    </row>
    <row r="1536" spans="6:9" x14ac:dyDescent="0.25">
      <c r="F1536" s="39"/>
      <c r="G1536" s="39"/>
      <c r="H1536" s="39"/>
      <c r="I1536" s="39"/>
    </row>
    <row r="1537" spans="6:9" x14ac:dyDescent="0.25">
      <c r="F1537" s="39"/>
      <c r="G1537" s="39"/>
      <c r="H1537" s="39"/>
      <c r="I1537" s="39"/>
    </row>
    <row r="1538" spans="6:9" x14ac:dyDescent="0.25">
      <c r="F1538" s="39"/>
      <c r="G1538" s="39"/>
      <c r="H1538" s="39"/>
      <c r="I1538" s="39"/>
    </row>
    <row r="1539" spans="6:9" x14ac:dyDescent="0.25">
      <c r="F1539" s="39"/>
      <c r="G1539" s="39"/>
      <c r="H1539" s="39"/>
      <c r="I1539" s="39"/>
    </row>
    <row r="1540" spans="6:9" x14ac:dyDescent="0.25">
      <c r="F1540" s="39"/>
      <c r="G1540" s="39"/>
      <c r="H1540" s="39"/>
      <c r="I1540" s="39"/>
    </row>
    <row r="1541" spans="6:9" x14ac:dyDescent="0.25">
      <c r="F1541" s="39"/>
      <c r="G1541" s="39"/>
      <c r="H1541" s="39"/>
      <c r="I1541" s="39"/>
    </row>
    <row r="1542" spans="6:9" x14ac:dyDescent="0.25">
      <c r="F1542" s="39"/>
      <c r="G1542" s="39"/>
      <c r="H1542" s="39"/>
      <c r="I1542" s="39"/>
    </row>
    <row r="1543" spans="6:9" x14ac:dyDescent="0.25">
      <c r="F1543" s="39"/>
      <c r="G1543" s="39"/>
      <c r="H1543" s="39"/>
      <c r="I1543" s="39"/>
    </row>
    <row r="1544" spans="6:9" x14ac:dyDescent="0.25">
      <c r="F1544" s="39"/>
      <c r="G1544" s="39"/>
      <c r="H1544" s="39"/>
      <c r="I1544" s="39"/>
    </row>
    <row r="1545" spans="6:9" x14ac:dyDescent="0.25">
      <c r="F1545" s="39"/>
      <c r="G1545" s="39"/>
      <c r="H1545" s="39"/>
      <c r="I1545" s="39"/>
    </row>
    <row r="1546" spans="6:9" x14ac:dyDescent="0.25">
      <c r="F1546" s="39"/>
      <c r="G1546" s="39"/>
      <c r="H1546" s="39"/>
      <c r="I1546" s="39"/>
    </row>
    <row r="1547" spans="6:9" x14ac:dyDescent="0.25">
      <c r="F1547" s="39"/>
      <c r="G1547" s="39"/>
      <c r="H1547" s="39"/>
      <c r="I1547" s="39"/>
    </row>
    <row r="1548" spans="6:9" x14ac:dyDescent="0.25">
      <c r="F1548" s="39"/>
      <c r="G1548" s="39"/>
      <c r="H1548" s="39"/>
      <c r="I1548" s="39"/>
    </row>
    <row r="1549" spans="6:9" x14ac:dyDescent="0.25">
      <c r="F1549" s="39"/>
      <c r="G1549" s="39"/>
      <c r="H1549" s="39"/>
      <c r="I1549" s="39"/>
    </row>
    <row r="1550" spans="6:9" x14ac:dyDescent="0.25">
      <c r="F1550" s="39"/>
      <c r="G1550" s="39"/>
      <c r="H1550" s="39"/>
      <c r="I1550" s="39"/>
    </row>
    <row r="1551" spans="6:9" x14ac:dyDescent="0.25">
      <c r="F1551" s="39"/>
      <c r="G1551" s="39"/>
      <c r="H1551" s="39"/>
      <c r="I1551" s="39"/>
    </row>
    <row r="1552" spans="6:9" x14ac:dyDescent="0.25">
      <c r="F1552" s="39"/>
      <c r="G1552" s="39"/>
      <c r="H1552" s="39"/>
      <c r="I1552" s="39"/>
    </row>
    <row r="1553" spans="6:9" x14ac:dyDescent="0.25">
      <c r="F1553" s="39"/>
      <c r="G1553" s="39"/>
      <c r="H1553" s="39"/>
      <c r="I1553" s="39"/>
    </row>
    <row r="1554" spans="6:9" x14ac:dyDescent="0.25">
      <c r="F1554" s="39"/>
      <c r="G1554" s="39"/>
      <c r="H1554" s="39"/>
      <c r="I1554" s="39"/>
    </row>
    <row r="1555" spans="6:9" x14ac:dyDescent="0.25">
      <c r="F1555" s="39"/>
      <c r="G1555" s="39"/>
      <c r="H1555" s="39"/>
      <c r="I1555" s="39"/>
    </row>
    <row r="1556" spans="6:9" x14ac:dyDescent="0.25">
      <c r="F1556" s="39"/>
      <c r="G1556" s="39"/>
      <c r="H1556" s="39"/>
      <c r="I1556" s="39"/>
    </row>
    <row r="1557" spans="6:9" x14ac:dyDescent="0.25">
      <c r="F1557" s="39"/>
      <c r="G1557" s="39"/>
      <c r="H1557" s="39"/>
      <c r="I1557" s="39"/>
    </row>
    <row r="1558" spans="6:9" x14ac:dyDescent="0.25">
      <c r="F1558" s="39"/>
      <c r="G1558" s="39"/>
      <c r="H1558" s="39"/>
      <c r="I1558" s="39"/>
    </row>
    <row r="1559" spans="6:9" x14ac:dyDescent="0.25">
      <c r="F1559" s="39"/>
      <c r="G1559" s="39"/>
      <c r="H1559" s="39"/>
      <c r="I1559" s="39"/>
    </row>
    <row r="1560" spans="6:9" x14ac:dyDescent="0.25">
      <c r="F1560" s="39"/>
      <c r="G1560" s="39"/>
      <c r="H1560" s="39"/>
      <c r="I1560" s="39"/>
    </row>
    <row r="1561" spans="6:9" x14ac:dyDescent="0.25">
      <c r="F1561" s="39"/>
      <c r="G1561" s="39"/>
      <c r="H1561" s="39"/>
      <c r="I1561" s="39"/>
    </row>
    <row r="1562" spans="6:9" x14ac:dyDescent="0.25">
      <c r="F1562" s="39"/>
      <c r="G1562" s="39"/>
      <c r="H1562" s="39"/>
      <c r="I1562" s="39"/>
    </row>
    <row r="1563" spans="6:9" x14ac:dyDescent="0.25">
      <c r="F1563" s="39"/>
      <c r="G1563" s="39"/>
      <c r="H1563" s="39"/>
      <c r="I1563" s="39"/>
    </row>
    <row r="1564" spans="6:9" x14ac:dyDescent="0.25">
      <c r="F1564" s="39"/>
      <c r="G1564" s="39"/>
      <c r="H1564" s="39"/>
      <c r="I1564" s="39"/>
    </row>
    <row r="1565" spans="6:9" x14ac:dyDescent="0.25">
      <c r="F1565" s="39"/>
      <c r="G1565" s="39"/>
      <c r="H1565" s="39"/>
      <c r="I1565" s="39"/>
    </row>
    <row r="1566" spans="6:9" x14ac:dyDescent="0.25">
      <c r="F1566" s="39"/>
      <c r="G1566" s="39"/>
      <c r="H1566" s="39"/>
      <c r="I1566" s="39"/>
    </row>
    <row r="1567" spans="6:9" x14ac:dyDescent="0.25">
      <c r="F1567" s="39"/>
      <c r="G1567" s="39"/>
      <c r="H1567" s="39"/>
      <c r="I1567" s="39"/>
    </row>
    <row r="1568" spans="6:9" x14ac:dyDescent="0.25">
      <c r="F1568" s="39"/>
      <c r="G1568" s="39"/>
      <c r="H1568" s="39"/>
      <c r="I1568" s="39"/>
    </row>
    <row r="1569" spans="6:9" x14ac:dyDescent="0.25">
      <c r="F1569" s="39"/>
      <c r="G1569" s="39"/>
      <c r="H1569" s="39"/>
      <c r="I1569" s="39"/>
    </row>
    <row r="1570" spans="6:9" x14ac:dyDescent="0.25">
      <c r="F1570" s="39"/>
      <c r="G1570" s="39"/>
      <c r="H1570" s="39"/>
      <c r="I1570" s="39"/>
    </row>
    <row r="1571" spans="6:9" x14ac:dyDescent="0.25">
      <c r="F1571" s="39"/>
      <c r="G1571" s="39"/>
      <c r="H1571" s="39"/>
      <c r="I1571" s="39"/>
    </row>
    <row r="1572" spans="6:9" x14ac:dyDescent="0.25">
      <c r="F1572" s="39"/>
      <c r="G1572" s="39"/>
      <c r="H1572" s="39"/>
      <c r="I1572" s="39"/>
    </row>
    <row r="1573" spans="6:9" x14ac:dyDescent="0.25">
      <c r="F1573" s="39"/>
      <c r="G1573" s="39"/>
      <c r="H1573" s="39"/>
      <c r="I1573" s="39"/>
    </row>
    <row r="1574" spans="6:9" x14ac:dyDescent="0.25">
      <c r="F1574" s="39"/>
      <c r="G1574" s="39"/>
      <c r="H1574" s="39"/>
      <c r="I1574" s="39"/>
    </row>
    <row r="1575" spans="6:9" x14ac:dyDescent="0.25">
      <c r="F1575" s="39"/>
      <c r="G1575" s="39"/>
      <c r="H1575" s="39"/>
      <c r="I1575" s="39"/>
    </row>
    <row r="1576" spans="6:9" x14ac:dyDescent="0.25">
      <c r="F1576" s="39"/>
      <c r="G1576" s="39"/>
      <c r="H1576" s="39"/>
      <c r="I1576" s="39"/>
    </row>
    <row r="1577" spans="6:9" x14ac:dyDescent="0.25">
      <c r="F1577" s="39"/>
      <c r="G1577" s="39"/>
      <c r="H1577" s="39"/>
      <c r="I1577" s="39"/>
    </row>
    <row r="1578" spans="6:9" x14ac:dyDescent="0.25">
      <c r="F1578" s="39"/>
      <c r="G1578" s="39"/>
      <c r="H1578" s="39"/>
      <c r="I1578" s="39"/>
    </row>
    <row r="1579" spans="6:9" x14ac:dyDescent="0.25">
      <c r="F1579" s="39"/>
      <c r="G1579" s="39"/>
      <c r="H1579" s="39"/>
      <c r="I1579" s="39"/>
    </row>
    <row r="1580" spans="6:9" x14ac:dyDescent="0.25">
      <c r="F1580" s="39"/>
      <c r="G1580" s="39"/>
      <c r="H1580" s="39"/>
      <c r="I1580" s="39"/>
    </row>
    <row r="1581" spans="6:9" x14ac:dyDescent="0.25">
      <c r="F1581" s="39"/>
      <c r="G1581" s="39"/>
      <c r="H1581" s="39"/>
      <c r="I1581" s="39"/>
    </row>
    <row r="1582" spans="6:9" x14ac:dyDescent="0.25">
      <c r="F1582" s="39"/>
      <c r="G1582" s="39"/>
      <c r="H1582" s="39"/>
      <c r="I1582" s="39"/>
    </row>
    <row r="1583" spans="6:9" x14ac:dyDescent="0.25">
      <c r="F1583" s="39"/>
      <c r="G1583" s="39"/>
      <c r="H1583" s="39"/>
      <c r="I1583" s="39"/>
    </row>
    <row r="1584" spans="6:9" x14ac:dyDescent="0.25">
      <c r="F1584" s="39"/>
      <c r="G1584" s="39"/>
      <c r="H1584" s="39"/>
      <c r="I1584" s="39"/>
    </row>
    <row r="1585" spans="6:9" x14ac:dyDescent="0.25">
      <c r="F1585" s="39"/>
      <c r="G1585" s="39"/>
      <c r="H1585" s="39"/>
      <c r="I1585" s="39"/>
    </row>
    <row r="1586" spans="6:9" x14ac:dyDescent="0.25">
      <c r="F1586" s="39"/>
      <c r="G1586" s="39"/>
      <c r="H1586" s="39"/>
      <c r="I1586" s="39"/>
    </row>
    <row r="1587" spans="6:9" x14ac:dyDescent="0.25">
      <c r="F1587" s="39"/>
      <c r="G1587" s="39"/>
      <c r="H1587" s="39"/>
      <c r="I1587" s="39"/>
    </row>
    <row r="1588" spans="6:9" x14ac:dyDescent="0.25">
      <c r="F1588" s="39"/>
      <c r="G1588" s="39"/>
      <c r="H1588" s="39"/>
      <c r="I1588" s="39"/>
    </row>
    <row r="1589" spans="6:9" x14ac:dyDescent="0.25">
      <c r="F1589" s="39"/>
      <c r="G1589" s="39"/>
      <c r="H1589" s="39"/>
      <c r="I1589" s="39"/>
    </row>
    <row r="1590" spans="6:9" x14ac:dyDescent="0.25">
      <c r="F1590" s="39"/>
      <c r="G1590" s="39"/>
      <c r="H1590" s="39"/>
      <c r="I1590" s="39"/>
    </row>
    <row r="1591" spans="6:9" x14ac:dyDescent="0.25">
      <c r="F1591" s="39"/>
      <c r="G1591" s="39"/>
      <c r="H1591" s="39"/>
      <c r="I1591" s="39"/>
    </row>
    <row r="1592" spans="6:9" x14ac:dyDescent="0.25">
      <c r="F1592" s="39"/>
      <c r="G1592" s="39"/>
      <c r="H1592" s="39"/>
      <c r="I1592" s="39"/>
    </row>
    <row r="1593" spans="6:9" x14ac:dyDescent="0.25">
      <c r="F1593" s="39"/>
      <c r="G1593" s="39"/>
      <c r="H1593" s="39"/>
      <c r="I1593" s="39"/>
    </row>
    <row r="1594" spans="6:9" x14ac:dyDescent="0.25">
      <c r="F1594" s="39"/>
      <c r="G1594" s="39"/>
      <c r="H1594" s="39"/>
      <c r="I1594" s="39"/>
    </row>
    <row r="1595" spans="6:9" x14ac:dyDescent="0.25">
      <c r="F1595" s="39"/>
      <c r="G1595" s="39"/>
      <c r="H1595" s="39"/>
      <c r="I1595" s="39"/>
    </row>
    <row r="1596" spans="6:9" x14ac:dyDescent="0.25">
      <c r="F1596" s="39"/>
      <c r="G1596" s="39"/>
      <c r="H1596" s="39"/>
      <c r="I1596" s="39"/>
    </row>
    <row r="1597" spans="6:9" x14ac:dyDescent="0.25">
      <c r="F1597" s="39"/>
      <c r="G1597" s="39"/>
      <c r="H1597" s="39"/>
      <c r="I1597" s="39"/>
    </row>
    <row r="1598" spans="6:9" x14ac:dyDescent="0.25">
      <c r="F1598" s="39"/>
      <c r="G1598" s="39"/>
      <c r="H1598" s="39"/>
      <c r="I1598" s="39"/>
    </row>
    <row r="1599" spans="6:9" x14ac:dyDescent="0.25">
      <c r="F1599" s="39"/>
      <c r="G1599" s="39"/>
      <c r="H1599" s="39"/>
      <c r="I1599" s="39"/>
    </row>
    <row r="1600" spans="6:9" x14ac:dyDescent="0.25">
      <c r="F1600" s="39"/>
      <c r="G1600" s="39"/>
      <c r="H1600" s="39"/>
      <c r="I1600" s="39"/>
    </row>
    <row r="1601" spans="6:9" x14ac:dyDescent="0.25">
      <c r="F1601" s="39"/>
      <c r="G1601" s="39"/>
      <c r="H1601" s="39"/>
      <c r="I1601" s="39"/>
    </row>
    <row r="1602" spans="6:9" x14ac:dyDescent="0.25">
      <c r="F1602" s="39"/>
      <c r="G1602" s="39"/>
      <c r="H1602" s="39"/>
      <c r="I1602" s="39"/>
    </row>
    <row r="1603" spans="6:9" x14ac:dyDescent="0.25">
      <c r="F1603" s="39"/>
      <c r="G1603" s="39"/>
      <c r="H1603" s="39"/>
      <c r="I1603" s="39"/>
    </row>
    <row r="1604" spans="6:9" x14ac:dyDescent="0.25">
      <c r="F1604" s="39"/>
      <c r="G1604" s="39"/>
      <c r="H1604" s="39"/>
      <c r="I1604" s="39"/>
    </row>
    <row r="1605" spans="6:9" x14ac:dyDescent="0.25">
      <c r="F1605" s="39"/>
      <c r="G1605" s="39"/>
      <c r="H1605" s="39"/>
      <c r="I1605" s="39"/>
    </row>
    <row r="1606" spans="6:9" x14ac:dyDescent="0.25">
      <c r="F1606" s="39"/>
      <c r="G1606" s="39"/>
      <c r="H1606" s="39"/>
      <c r="I1606" s="39"/>
    </row>
    <row r="1607" spans="6:9" x14ac:dyDescent="0.25">
      <c r="F1607" s="39"/>
      <c r="G1607" s="39"/>
      <c r="H1607" s="39"/>
      <c r="I1607" s="39"/>
    </row>
    <row r="1608" spans="6:9" x14ac:dyDescent="0.25">
      <c r="F1608" s="39"/>
      <c r="G1608" s="39"/>
      <c r="H1608" s="39"/>
      <c r="I1608" s="39"/>
    </row>
    <row r="1609" spans="6:9" x14ac:dyDescent="0.25">
      <c r="F1609" s="39"/>
      <c r="G1609" s="39"/>
      <c r="H1609" s="39"/>
      <c r="I1609" s="39"/>
    </row>
    <row r="1610" spans="6:9" x14ac:dyDescent="0.25">
      <c r="F1610" s="39"/>
      <c r="G1610" s="39"/>
      <c r="H1610" s="39"/>
      <c r="I1610" s="39"/>
    </row>
    <row r="1611" spans="6:9" x14ac:dyDescent="0.25">
      <c r="F1611" s="39"/>
      <c r="G1611" s="39"/>
      <c r="H1611" s="39"/>
      <c r="I1611" s="39"/>
    </row>
    <row r="1612" spans="6:9" x14ac:dyDescent="0.25">
      <c r="F1612" s="39"/>
      <c r="G1612" s="39"/>
      <c r="H1612" s="39"/>
      <c r="I1612" s="39"/>
    </row>
    <row r="1613" spans="6:9" x14ac:dyDescent="0.25">
      <c r="F1613" s="39"/>
      <c r="G1613" s="39"/>
      <c r="H1613" s="39"/>
      <c r="I1613" s="39"/>
    </row>
    <row r="1614" spans="6:9" x14ac:dyDescent="0.25">
      <c r="F1614" s="39"/>
      <c r="G1614" s="39"/>
      <c r="H1614" s="39"/>
      <c r="I1614" s="39"/>
    </row>
    <row r="1615" spans="6:9" x14ac:dyDescent="0.25">
      <c r="F1615" s="39"/>
      <c r="G1615" s="39"/>
      <c r="H1615" s="39"/>
      <c r="I1615" s="39"/>
    </row>
    <row r="1616" spans="6:9" x14ac:dyDescent="0.25">
      <c r="F1616" s="39"/>
      <c r="G1616" s="39"/>
      <c r="H1616" s="39"/>
      <c r="I1616" s="39"/>
    </row>
    <row r="1617" spans="6:9" x14ac:dyDescent="0.25">
      <c r="F1617" s="39"/>
      <c r="G1617" s="39"/>
      <c r="H1617" s="39"/>
      <c r="I1617" s="39"/>
    </row>
    <row r="1618" spans="6:9" x14ac:dyDescent="0.25">
      <c r="F1618" s="39"/>
      <c r="G1618" s="39"/>
      <c r="H1618" s="39"/>
      <c r="I1618" s="39"/>
    </row>
    <row r="1619" spans="6:9" x14ac:dyDescent="0.25">
      <c r="F1619" s="39"/>
      <c r="G1619" s="39"/>
      <c r="H1619" s="39"/>
      <c r="I1619" s="39"/>
    </row>
    <row r="1620" spans="6:9" x14ac:dyDescent="0.25">
      <c r="F1620" s="39"/>
      <c r="G1620" s="39"/>
      <c r="H1620" s="39"/>
      <c r="I1620" s="39"/>
    </row>
    <row r="1621" spans="6:9" x14ac:dyDescent="0.25">
      <c r="F1621" s="39"/>
      <c r="G1621" s="39"/>
      <c r="H1621" s="39"/>
      <c r="I1621" s="39"/>
    </row>
    <row r="1622" spans="6:9" x14ac:dyDescent="0.25">
      <c r="F1622" s="39"/>
      <c r="G1622" s="39"/>
      <c r="H1622" s="39"/>
      <c r="I1622" s="39"/>
    </row>
    <row r="1623" spans="6:9" x14ac:dyDescent="0.25">
      <c r="F1623" s="39"/>
      <c r="G1623" s="39"/>
      <c r="H1623" s="39"/>
      <c r="I1623" s="39"/>
    </row>
    <row r="1624" spans="6:9" x14ac:dyDescent="0.25">
      <c r="F1624" s="39"/>
      <c r="G1624" s="39"/>
      <c r="H1624" s="39"/>
      <c r="I1624" s="39"/>
    </row>
    <row r="1625" spans="6:9" x14ac:dyDescent="0.25">
      <c r="F1625" s="39"/>
      <c r="G1625" s="39"/>
      <c r="H1625" s="39"/>
      <c r="I1625" s="39"/>
    </row>
    <row r="1626" spans="6:9" x14ac:dyDescent="0.25">
      <c r="F1626" s="39"/>
      <c r="G1626" s="39"/>
      <c r="H1626" s="39"/>
      <c r="I1626" s="39"/>
    </row>
    <row r="1627" spans="6:9" x14ac:dyDescent="0.25">
      <c r="F1627" s="39"/>
      <c r="G1627" s="39"/>
      <c r="H1627" s="39"/>
      <c r="I1627" s="39"/>
    </row>
    <row r="1628" spans="6:9" x14ac:dyDescent="0.25">
      <c r="F1628" s="39"/>
      <c r="G1628" s="39"/>
      <c r="H1628" s="39"/>
      <c r="I1628" s="39"/>
    </row>
    <row r="1629" spans="6:9" x14ac:dyDescent="0.25">
      <c r="F1629" s="39"/>
      <c r="G1629" s="39"/>
      <c r="H1629" s="39"/>
      <c r="I1629" s="39"/>
    </row>
    <row r="1630" spans="6:9" x14ac:dyDescent="0.25">
      <c r="F1630" s="39"/>
      <c r="G1630" s="39"/>
      <c r="H1630" s="39"/>
      <c r="I1630" s="39"/>
    </row>
    <row r="1631" spans="6:9" x14ac:dyDescent="0.25">
      <c r="F1631" s="39"/>
      <c r="G1631" s="39"/>
      <c r="H1631" s="39"/>
      <c r="I1631" s="39"/>
    </row>
    <row r="1632" spans="6:9" x14ac:dyDescent="0.25">
      <c r="F1632" s="39"/>
      <c r="G1632" s="39"/>
      <c r="H1632" s="39"/>
      <c r="I1632" s="39"/>
    </row>
    <row r="1633" spans="6:9" x14ac:dyDescent="0.25">
      <c r="F1633" s="39"/>
      <c r="G1633" s="39"/>
      <c r="H1633" s="39"/>
      <c r="I1633" s="39"/>
    </row>
    <row r="1634" spans="6:9" x14ac:dyDescent="0.25">
      <c r="F1634" s="39"/>
      <c r="G1634" s="39"/>
      <c r="H1634" s="39"/>
      <c r="I1634" s="39"/>
    </row>
    <row r="1635" spans="6:9" x14ac:dyDescent="0.25">
      <c r="F1635" s="39"/>
      <c r="G1635" s="39"/>
      <c r="H1635" s="39"/>
      <c r="I1635" s="39"/>
    </row>
    <row r="1636" spans="6:9" x14ac:dyDescent="0.25">
      <c r="F1636" s="39"/>
      <c r="G1636" s="39"/>
      <c r="H1636" s="39"/>
      <c r="I1636" s="39"/>
    </row>
    <row r="1637" spans="6:9" x14ac:dyDescent="0.25">
      <c r="F1637" s="39"/>
      <c r="G1637" s="39"/>
      <c r="H1637" s="39"/>
      <c r="I1637" s="39"/>
    </row>
    <row r="1638" spans="6:9" x14ac:dyDescent="0.25">
      <c r="F1638" s="39"/>
      <c r="G1638" s="39"/>
      <c r="H1638" s="39"/>
      <c r="I1638" s="39"/>
    </row>
    <row r="1639" spans="6:9" x14ac:dyDescent="0.25">
      <c r="F1639" s="39"/>
      <c r="G1639" s="39"/>
      <c r="H1639" s="39"/>
      <c r="I1639" s="39"/>
    </row>
    <row r="1640" spans="6:9" x14ac:dyDescent="0.25">
      <c r="F1640" s="39"/>
      <c r="G1640" s="39"/>
      <c r="H1640" s="39"/>
      <c r="I1640" s="39"/>
    </row>
    <row r="1641" spans="6:9" x14ac:dyDescent="0.25">
      <c r="F1641" s="39"/>
      <c r="G1641" s="39"/>
      <c r="H1641" s="39"/>
      <c r="I1641" s="39"/>
    </row>
    <row r="1642" spans="6:9" x14ac:dyDescent="0.25">
      <c r="F1642" s="39"/>
      <c r="G1642" s="39"/>
      <c r="H1642" s="39"/>
      <c r="I1642" s="39"/>
    </row>
    <row r="1643" spans="6:9" x14ac:dyDescent="0.25">
      <c r="F1643" s="39"/>
      <c r="G1643" s="39"/>
      <c r="H1643" s="39"/>
      <c r="I1643" s="39"/>
    </row>
    <row r="1644" spans="6:9" x14ac:dyDescent="0.25">
      <c r="F1644" s="39"/>
      <c r="G1644" s="39"/>
      <c r="H1644" s="39"/>
      <c r="I1644" s="39"/>
    </row>
    <row r="1645" spans="6:9" x14ac:dyDescent="0.25">
      <c r="F1645" s="39"/>
      <c r="G1645" s="39"/>
      <c r="H1645" s="39"/>
      <c r="I1645" s="39"/>
    </row>
    <row r="1646" spans="6:9" x14ac:dyDescent="0.25">
      <c r="F1646" s="39"/>
      <c r="G1646" s="39"/>
      <c r="H1646" s="39"/>
      <c r="I1646" s="39"/>
    </row>
    <row r="1647" spans="6:9" x14ac:dyDescent="0.25">
      <c r="F1647" s="39"/>
      <c r="G1647" s="39"/>
      <c r="H1647" s="39"/>
      <c r="I1647" s="39"/>
    </row>
    <row r="1648" spans="6:9" x14ac:dyDescent="0.25">
      <c r="F1648" s="39"/>
      <c r="G1648" s="39"/>
      <c r="H1648" s="39"/>
      <c r="I1648" s="39"/>
    </row>
    <row r="1649" spans="6:9" x14ac:dyDescent="0.25">
      <c r="F1649" s="39"/>
      <c r="G1649" s="39"/>
      <c r="H1649" s="39"/>
      <c r="I1649" s="39"/>
    </row>
    <row r="1650" spans="6:9" x14ac:dyDescent="0.25">
      <c r="F1650" s="39"/>
      <c r="G1650" s="39"/>
      <c r="H1650" s="39"/>
      <c r="I1650" s="39"/>
    </row>
    <row r="1651" spans="6:9" x14ac:dyDescent="0.25">
      <c r="F1651" s="39"/>
      <c r="G1651" s="39"/>
      <c r="H1651" s="39"/>
      <c r="I1651" s="39"/>
    </row>
    <row r="1652" spans="6:9" x14ac:dyDescent="0.25">
      <c r="F1652" s="39"/>
      <c r="G1652" s="39"/>
      <c r="H1652" s="39"/>
      <c r="I1652" s="39"/>
    </row>
    <row r="1653" spans="6:9" x14ac:dyDescent="0.25">
      <c r="F1653" s="39"/>
      <c r="G1653" s="39"/>
      <c r="H1653" s="39"/>
      <c r="I1653" s="39"/>
    </row>
    <row r="1654" spans="6:9" x14ac:dyDescent="0.25">
      <c r="F1654" s="39"/>
      <c r="G1654" s="39"/>
      <c r="H1654" s="39"/>
      <c r="I1654" s="39"/>
    </row>
    <row r="1655" spans="6:9" x14ac:dyDescent="0.25">
      <c r="F1655" s="39"/>
      <c r="G1655" s="39"/>
      <c r="H1655" s="39"/>
      <c r="I1655" s="39"/>
    </row>
    <row r="1656" spans="6:9" x14ac:dyDescent="0.25">
      <c r="F1656" s="39"/>
      <c r="G1656" s="39"/>
      <c r="H1656" s="39"/>
      <c r="I1656" s="39"/>
    </row>
    <row r="1657" spans="6:9" x14ac:dyDescent="0.25">
      <c r="F1657" s="39"/>
      <c r="G1657" s="39"/>
      <c r="H1657" s="39"/>
      <c r="I1657" s="39"/>
    </row>
    <row r="1658" spans="6:9" x14ac:dyDescent="0.25">
      <c r="F1658" s="39"/>
      <c r="G1658" s="39"/>
      <c r="H1658" s="39"/>
      <c r="I1658" s="39"/>
    </row>
    <row r="1659" spans="6:9" x14ac:dyDescent="0.25">
      <c r="F1659" s="39"/>
      <c r="G1659" s="39"/>
      <c r="H1659" s="39"/>
      <c r="I1659" s="39"/>
    </row>
    <row r="1660" spans="6:9" x14ac:dyDescent="0.25">
      <c r="F1660" s="39"/>
      <c r="G1660" s="39"/>
      <c r="H1660" s="39"/>
      <c r="I1660" s="39"/>
    </row>
    <row r="1661" spans="6:9" x14ac:dyDescent="0.25">
      <c r="F1661" s="39"/>
      <c r="G1661" s="39"/>
      <c r="H1661" s="39"/>
      <c r="I1661" s="39"/>
    </row>
    <row r="1662" spans="6:9" x14ac:dyDescent="0.25">
      <c r="F1662" s="39"/>
      <c r="G1662" s="39"/>
      <c r="H1662" s="39"/>
      <c r="I1662" s="39"/>
    </row>
    <row r="1663" spans="6:9" x14ac:dyDescent="0.25">
      <c r="F1663" s="39"/>
      <c r="G1663" s="39"/>
      <c r="H1663" s="39"/>
      <c r="I1663" s="39"/>
    </row>
    <row r="1664" spans="6:9" x14ac:dyDescent="0.25">
      <c r="F1664" s="39"/>
      <c r="G1664" s="39"/>
      <c r="H1664" s="39"/>
      <c r="I1664" s="39"/>
    </row>
    <row r="1665" spans="6:9" x14ac:dyDescent="0.25">
      <c r="F1665" s="39"/>
      <c r="G1665" s="39"/>
      <c r="H1665" s="39"/>
      <c r="I1665" s="39"/>
    </row>
    <row r="1666" spans="6:9" x14ac:dyDescent="0.25">
      <c r="F1666" s="39"/>
      <c r="G1666" s="39"/>
      <c r="H1666" s="39"/>
      <c r="I1666" s="39"/>
    </row>
    <row r="1667" spans="6:9" x14ac:dyDescent="0.25">
      <c r="F1667" s="39"/>
      <c r="G1667" s="39"/>
      <c r="H1667" s="39"/>
      <c r="I1667" s="39"/>
    </row>
    <row r="1668" spans="6:9" x14ac:dyDescent="0.25">
      <c r="F1668" s="39"/>
      <c r="G1668" s="39"/>
      <c r="H1668" s="39"/>
      <c r="I1668" s="39"/>
    </row>
    <row r="1669" spans="6:9" x14ac:dyDescent="0.25">
      <c r="F1669" s="39"/>
      <c r="G1669" s="39"/>
      <c r="H1669" s="39"/>
      <c r="I1669" s="39"/>
    </row>
    <row r="1670" spans="6:9" x14ac:dyDescent="0.25">
      <c r="F1670" s="39"/>
      <c r="G1670" s="39"/>
      <c r="H1670" s="39"/>
      <c r="I1670" s="39"/>
    </row>
    <row r="1671" spans="6:9" x14ac:dyDescent="0.25">
      <c r="F1671" s="39"/>
      <c r="G1671" s="39"/>
      <c r="H1671" s="39"/>
      <c r="I1671" s="39"/>
    </row>
    <row r="1672" spans="6:9" x14ac:dyDescent="0.25">
      <c r="F1672" s="39"/>
      <c r="G1672" s="39"/>
      <c r="H1672" s="39"/>
      <c r="I1672" s="39"/>
    </row>
    <row r="1673" spans="6:9" x14ac:dyDescent="0.25">
      <c r="F1673" s="39"/>
      <c r="G1673" s="39"/>
      <c r="H1673" s="39"/>
      <c r="I1673" s="39"/>
    </row>
    <row r="1674" spans="6:9" x14ac:dyDescent="0.25">
      <c r="F1674" s="39"/>
      <c r="G1674" s="39"/>
      <c r="H1674" s="39"/>
      <c r="I1674" s="39"/>
    </row>
    <row r="1675" spans="6:9" x14ac:dyDescent="0.25">
      <c r="F1675" s="39"/>
      <c r="G1675" s="39"/>
      <c r="H1675" s="39"/>
      <c r="I1675" s="39"/>
    </row>
    <row r="1676" spans="6:9" x14ac:dyDescent="0.25">
      <c r="F1676" s="39"/>
      <c r="G1676" s="39"/>
      <c r="H1676" s="39"/>
      <c r="I1676" s="39"/>
    </row>
    <row r="1677" spans="6:9" x14ac:dyDescent="0.25">
      <c r="F1677" s="39"/>
      <c r="G1677" s="39"/>
      <c r="H1677" s="39"/>
      <c r="I1677" s="39"/>
    </row>
    <row r="1678" spans="6:9" x14ac:dyDescent="0.25">
      <c r="F1678" s="39"/>
      <c r="G1678" s="39"/>
      <c r="H1678" s="39"/>
      <c r="I1678" s="39"/>
    </row>
    <row r="1679" spans="6:9" x14ac:dyDescent="0.25">
      <c r="F1679" s="39"/>
      <c r="G1679" s="39"/>
      <c r="H1679" s="39"/>
      <c r="I1679" s="39"/>
    </row>
    <row r="1680" spans="6:9" x14ac:dyDescent="0.25">
      <c r="F1680" s="39"/>
      <c r="G1680" s="39"/>
      <c r="H1680" s="39"/>
      <c r="I1680" s="39"/>
    </row>
    <row r="1681" spans="6:9" x14ac:dyDescent="0.25">
      <c r="F1681" s="39"/>
      <c r="G1681" s="39"/>
      <c r="H1681" s="39"/>
      <c r="I1681" s="39"/>
    </row>
    <row r="1682" spans="6:9" x14ac:dyDescent="0.25">
      <c r="F1682" s="39"/>
      <c r="G1682" s="39"/>
      <c r="H1682" s="39"/>
      <c r="I1682" s="39"/>
    </row>
    <row r="1683" spans="6:9" x14ac:dyDescent="0.25">
      <c r="F1683" s="39"/>
      <c r="G1683" s="39"/>
      <c r="H1683" s="39"/>
      <c r="I1683" s="39"/>
    </row>
    <row r="1684" spans="6:9" x14ac:dyDescent="0.25">
      <c r="F1684" s="39"/>
      <c r="G1684" s="39"/>
      <c r="H1684" s="39"/>
      <c r="I1684" s="39"/>
    </row>
    <row r="1685" spans="6:9" x14ac:dyDescent="0.25">
      <c r="F1685" s="39"/>
      <c r="G1685" s="39"/>
      <c r="H1685" s="39"/>
      <c r="I1685" s="39"/>
    </row>
    <row r="1686" spans="6:9" x14ac:dyDescent="0.25">
      <c r="F1686" s="39"/>
      <c r="G1686" s="39"/>
      <c r="H1686" s="39"/>
      <c r="I1686" s="39"/>
    </row>
    <row r="1687" spans="6:9" x14ac:dyDescent="0.25">
      <c r="F1687" s="39"/>
      <c r="G1687" s="39"/>
      <c r="H1687" s="39"/>
      <c r="I1687" s="39"/>
    </row>
    <row r="1688" spans="6:9" x14ac:dyDescent="0.25">
      <c r="F1688" s="39"/>
      <c r="G1688" s="39"/>
      <c r="H1688" s="39"/>
      <c r="I1688" s="39"/>
    </row>
    <row r="1689" spans="6:9" x14ac:dyDescent="0.25">
      <c r="F1689" s="39"/>
      <c r="G1689" s="39"/>
      <c r="H1689" s="39"/>
      <c r="I1689" s="39"/>
    </row>
    <row r="1690" spans="6:9" x14ac:dyDescent="0.25">
      <c r="F1690" s="39"/>
      <c r="G1690" s="39"/>
      <c r="H1690" s="39"/>
      <c r="I1690" s="39"/>
    </row>
    <row r="1691" spans="6:9" x14ac:dyDescent="0.25">
      <c r="F1691" s="39"/>
      <c r="G1691" s="39"/>
      <c r="H1691" s="39"/>
      <c r="I1691" s="39"/>
    </row>
    <row r="1692" spans="6:9" x14ac:dyDescent="0.25">
      <c r="F1692" s="39"/>
      <c r="G1692" s="39"/>
      <c r="H1692" s="39"/>
      <c r="I1692" s="39"/>
    </row>
    <row r="1693" spans="6:9" x14ac:dyDescent="0.25">
      <c r="F1693" s="39"/>
      <c r="G1693" s="39"/>
      <c r="H1693" s="39"/>
      <c r="I1693" s="39"/>
    </row>
    <row r="1694" spans="6:9" x14ac:dyDescent="0.25">
      <c r="F1694" s="39"/>
      <c r="G1694" s="39"/>
      <c r="H1694" s="39"/>
      <c r="I1694" s="39"/>
    </row>
    <row r="1695" spans="6:9" x14ac:dyDescent="0.25">
      <c r="F1695" s="39"/>
      <c r="G1695" s="39"/>
      <c r="H1695" s="39"/>
      <c r="I1695" s="39"/>
    </row>
    <row r="1696" spans="6:9" x14ac:dyDescent="0.25">
      <c r="F1696" s="39"/>
      <c r="G1696" s="39"/>
      <c r="H1696" s="39"/>
      <c r="I1696" s="39"/>
    </row>
    <row r="1697" spans="6:9" x14ac:dyDescent="0.25">
      <c r="F1697" s="39"/>
      <c r="G1697" s="39"/>
      <c r="H1697" s="39"/>
      <c r="I1697" s="39"/>
    </row>
    <row r="1698" spans="6:9" x14ac:dyDescent="0.25">
      <c r="F1698" s="39"/>
      <c r="G1698" s="39"/>
      <c r="H1698" s="39"/>
      <c r="I1698" s="39"/>
    </row>
    <row r="1699" spans="6:9" x14ac:dyDescent="0.25">
      <c r="F1699" s="39"/>
      <c r="G1699" s="39"/>
      <c r="H1699" s="39"/>
      <c r="I1699" s="39"/>
    </row>
    <row r="1700" spans="6:9" x14ac:dyDescent="0.25">
      <c r="F1700" s="39"/>
      <c r="G1700" s="39"/>
      <c r="H1700" s="39"/>
      <c r="I1700" s="39"/>
    </row>
    <row r="1701" spans="6:9" x14ac:dyDescent="0.25">
      <c r="F1701" s="39"/>
      <c r="G1701" s="39"/>
      <c r="H1701" s="39"/>
      <c r="I1701" s="39"/>
    </row>
    <row r="1702" spans="6:9" x14ac:dyDescent="0.25">
      <c r="F1702" s="39"/>
      <c r="G1702" s="39"/>
      <c r="H1702" s="39"/>
      <c r="I1702" s="39"/>
    </row>
    <row r="1703" spans="6:9" x14ac:dyDescent="0.25">
      <c r="F1703" s="39"/>
      <c r="G1703" s="39"/>
      <c r="H1703" s="39"/>
      <c r="I1703" s="39"/>
    </row>
    <row r="1704" spans="6:9" x14ac:dyDescent="0.25">
      <c r="F1704" s="39"/>
      <c r="G1704" s="39"/>
      <c r="H1704" s="39"/>
      <c r="I1704" s="39"/>
    </row>
    <row r="1705" spans="6:9" x14ac:dyDescent="0.25">
      <c r="F1705" s="39"/>
      <c r="G1705" s="39"/>
      <c r="H1705" s="39"/>
      <c r="I1705" s="39"/>
    </row>
    <row r="1706" spans="6:9" x14ac:dyDescent="0.25">
      <c r="F1706" s="39"/>
      <c r="G1706" s="39"/>
      <c r="H1706" s="39"/>
      <c r="I1706" s="39"/>
    </row>
    <row r="1707" spans="6:9" x14ac:dyDescent="0.25">
      <c r="F1707" s="39"/>
      <c r="G1707" s="39"/>
      <c r="H1707" s="39"/>
      <c r="I1707" s="39"/>
    </row>
    <row r="1708" spans="6:9" x14ac:dyDescent="0.25">
      <c r="F1708" s="39"/>
      <c r="G1708" s="39"/>
      <c r="H1708" s="39"/>
      <c r="I1708" s="39"/>
    </row>
    <row r="1709" spans="6:9" x14ac:dyDescent="0.25">
      <c r="F1709" s="39"/>
      <c r="G1709" s="39"/>
      <c r="H1709" s="39"/>
      <c r="I1709" s="39"/>
    </row>
    <row r="1710" spans="6:9" x14ac:dyDescent="0.25">
      <c r="F1710" s="39"/>
      <c r="G1710" s="39"/>
      <c r="H1710" s="39"/>
      <c r="I1710" s="39"/>
    </row>
    <row r="1711" spans="6:9" x14ac:dyDescent="0.25">
      <c r="F1711" s="39"/>
      <c r="G1711" s="39"/>
      <c r="H1711" s="39"/>
      <c r="I1711" s="39"/>
    </row>
    <row r="1712" spans="6:9" x14ac:dyDescent="0.25">
      <c r="F1712" s="39"/>
      <c r="G1712" s="39"/>
      <c r="H1712" s="39"/>
      <c r="I1712" s="39"/>
    </row>
    <row r="1713" spans="6:9" x14ac:dyDescent="0.25">
      <c r="F1713" s="39"/>
      <c r="G1713" s="39"/>
      <c r="H1713" s="39"/>
      <c r="I1713" s="39"/>
    </row>
    <row r="1714" spans="6:9" x14ac:dyDescent="0.25">
      <c r="F1714" s="39"/>
      <c r="G1714" s="39"/>
      <c r="H1714" s="39"/>
      <c r="I1714" s="39"/>
    </row>
    <row r="1715" spans="6:9" x14ac:dyDescent="0.25">
      <c r="F1715" s="39"/>
      <c r="G1715" s="39"/>
      <c r="H1715" s="39"/>
      <c r="I1715" s="39"/>
    </row>
    <row r="1716" spans="6:9" x14ac:dyDescent="0.25">
      <c r="F1716" s="39"/>
      <c r="G1716" s="39"/>
      <c r="H1716" s="39"/>
      <c r="I1716" s="39"/>
    </row>
    <row r="1717" spans="6:9" x14ac:dyDescent="0.25">
      <c r="F1717" s="39"/>
      <c r="G1717" s="39"/>
      <c r="H1717" s="39"/>
      <c r="I1717" s="39"/>
    </row>
    <row r="1718" spans="6:9" x14ac:dyDescent="0.25">
      <c r="F1718" s="39"/>
      <c r="G1718" s="39"/>
      <c r="H1718" s="39"/>
      <c r="I1718" s="39"/>
    </row>
    <row r="1719" spans="6:9" x14ac:dyDescent="0.25">
      <c r="F1719" s="39"/>
      <c r="G1719" s="39"/>
      <c r="H1719" s="39"/>
      <c r="I1719" s="39"/>
    </row>
    <row r="1720" spans="6:9" x14ac:dyDescent="0.25">
      <c r="F1720" s="39"/>
      <c r="G1720" s="39"/>
      <c r="H1720" s="39"/>
      <c r="I1720" s="39"/>
    </row>
    <row r="1721" spans="6:9" x14ac:dyDescent="0.25">
      <c r="F1721" s="39"/>
      <c r="G1721" s="39"/>
      <c r="H1721" s="39"/>
      <c r="I1721" s="39"/>
    </row>
    <row r="1722" spans="6:9" x14ac:dyDescent="0.25">
      <c r="F1722" s="39"/>
      <c r="G1722" s="39"/>
      <c r="H1722" s="39"/>
      <c r="I1722" s="39"/>
    </row>
    <row r="1723" spans="6:9" x14ac:dyDescent="0.25">
      <c r="F1723" s="39"/>
      <c r="G1723" s="39"/>
      <c r="H1723" s="39"/>
      <c r="I1723" s="39"/>
    </row>
    <row r="1724" spans="6:9" x14ac:dyDescent="0.25">
      <c r="F1724" s="39"/>
      <c r="G1724" s="39"/>
      <c r="H1724" s="39"/>
      <c r="I1724" s="39"/>
    </row>
    <row r="1725" spans="6:9" x14ac:dyDescent="0.25">
      <c r="F1725" s="39"/>
      <c r="G1725" s="39"/>
      <c r="H1725" s="39"/>
      <c r="I1725" s="39"/>
    </row>
    <row r="1726" spans="6:9" x14ac:dyDescent="0.25">
      <c r="F1726" s="39"/>
      <c r="G1726" s="39"/>
      <c r="H1726" s="39"/>
      <c r="I1726" s="39"/>
    </row>
    <row r="1727" spans="6:9" x14ac:dyDescent="0.25">
      <c r="F1727" s="39"/>
      <c r="G1727" s="39"/>
      <c r="H1727" s="39"/>
      <c r="I1727" s="39"/>
    </row>
    <row r="1728" spans="6:9" x14ac:dyDescent="0.25">
      <c r="F1728" s="39"/>
      <c r="G1728" s="39"/>
      <c r="H1728" s="39"/>
      <c r="I1728" s="39"/>
    </row>
    <row r="1729" spans="6:9" x14ac:dyDescent="0.25">
      <c r="F1729" s="39"/>
      <c r="G1729" s="39"/>
      <c r="H1729" s="39"/>
      <c r="I1729" s="39"/>
    </row>
    <row r="1730" spans="6:9" x14ac:dyDescent="0.25">
      <c r="F1730" s="39"/>
      <c r="G1730" s="39"/>
      <c r="H1730" s="39"/>
      <c r="I1730" s="39"/>
    </row>
    <row r="1731" spans="6:9" x14ac:dyDescent="0.25">
      <c r="F1731" s="39"/>
      <c r="G1731" s="39"/>
      <c r="H1731" s="39"/>
      <c r="I1731" s="39"/>
    </row>
    <row r="1732" spans="6:9" x14ac:dyDescent="0.25">
      <c r="F1732" s="39"/>
      <c r="G1732" s="39"/>
      <c r="H1732" s="39"/>
      <c r="I1732" s="39"/>
    </row>
    <row r="1733" spans="6:9" x14ac:dyDescent="0.25">
      <c r="F1733" s="39"/>
      <c r="G1733" s="39"/>
      <c r="H1733" s="39"/>
      <c r="I1733" s="39"/>
    </row>
    <row r="1734" spans="6:9" x14ac:dyDescent="0.25">
      <c r="F1734" s="39"/>
      <c r="G1734" s="39"/>
      <c r="H1734" s="39"/>
      <c r="I1734" s="39"/>
    </row>
    <row r="1735" spans="6:9" x14ac:dyDescent="0.25">
      <c r="F1735" s="39"/>
      <c r="G1735" s="39"/>
      <c r="H1735" s="39"/>
      <c r="I1735" s="39"/>
    </row>
    <row r="1736" spans="6:9" x14ac:dyDescent="0.25">
      <c r="F1736" s="39"/>
      <c r="G1736" s="39"/>
      <c r="H1736" s="39"/>
      <c r="I1736" s="39"/>
    </row>
    <row r="1737" spans="6:9" x14ac:dyDescent="0.25">
      <c r="F1737" s="39"/>
      <c r="G1737" s="39"/>
      <c r="H1737" s="39"/>
      <c r="I1737" s="39"/>
    </row>
    <row r="1738" spans="6:9" x14ac:dyDescent="0.25">
      <c r="F1738" s="39"/>
      <c r="G1738" s="39"/>
      <c r="H1738" s="39"/>
      <c r="I1738" s="39"/>
    </row>
    <row r="1739" spans="6:9" x14ac:dyDescent="0.25">
      <c r="F1739" s="39"/>
      <c r="G1739" s="39"/>
      <c r="H1739" s="39"/>
      <c r="I1739" s="39"/>
    </row>
    <row r="1740" spans="6:9" x14ac:dyDescent="0.25">
      <c r="F1740" s="39"/>
      <c r="G1740" s="39"/>
      <c r="H1740" s="39"/>
      <c r="I1740" s="39"/>
    </row>
    <row r="1741" spans="6:9" x14ac:dyDescent="0.25">
      <c r="F1741" s="39"/>
      <c r="G1741" s="39"/>
      <c r="H1741" s="39"/>
      <c r="I1741" s="39"/>
    </row>
    <row r="1742" spans="6:9" x14ac:dyDescent="0.25">
      <c r="F1742" s="39"/>
      <c r="G1742" s="39"/>
      <c r="H1742" s="39"/>
      <c r="I1742" s="39"/>
    </row>
    <row r="1743" spans="6:9" x14ac:dyDescent="0.25">
      <c r="F1743" s="39"/>
      <c r="G1743" s="39"/>
      <c r="H1743" s="39"/>
      <c r="I1743" s="39"/>
    </row>
    <row r="1744" spans="6:9" x14ac:dyDescent="0.25">
      <c r="F1744" s="39"/>
      <c r="G1744" s="39"/>
      <c r="H1744" s="39"/>
      <c r="I1744" s="39"/>
    </row>
    <row r="1745" spans="6:9" x14ac:dyDescent="0.25">
      <c r="F1745" s="39"/>
      <c r="G1745" s="39"/>
      <c r="H1745" s="39"/>
      <c r="I1745" s="39"/>
    </row>
    <row r="1746" spans="6:9" x14ac:dyDescent="0.25">
      <c r="F1746" s="39"/>
      <c r="G1746" s="39"/>
      <c r="H1746" s="39"/>
      <c r="I1746" s="39"/>
    </row>
    <row r="1747" spans="6:9" x14ac:dyDescent="0.25">
      <c r="F1747" s="39"/>
      <c r="G1747" s="39"/>
      <c r="H1747" s="39"/>
      <c r="I1747" s="39"/>
    </row>
    <row r="1748" spans="6:9" x14ac:dyDescent="0.25">
      <c r="F1748" s="39"/>
      <c r="G1748" s="39"/>
      <c r="H1748" s="39"/>
      <c r="I1748" s="39"/>
    </row>
    <row r="1749" spans="6:9" x14ac:dyDescent="0.25">
      <c r="F1749" s="39"/>
      <c r="G1749" s="39"/>
      <c r="H1749" s="39"/>
      <c r="I1749" s="39"/>
    </row>
    <row r="1750" spans="6:9" x14ac:dyDescent="0.25">
      <c r="F1750" s="39"/>
      <c r="G1750" s="39"/>
      <c r="H1750" s="39"/>
      <c r="I1750" s="39"/>
    </row>
    <row r="1751" spans="6:9" x14ac:dyDescent="0.25">
      <c r="F1751" s="39"/>
      <c r="G1751" s="39"/>
      <c r="H1751" s="39"/>
      <c r="I1751" s="39"/>
    </row>
    <row r="1752" spans="6:9" x14ac:dyDescent="0.25">
      <c r="F1752" s="39"/>
      <c r="G1752" s="39"/>
      <c r="H1752" s="39"/>
      <c r="I1752" s="39"/>
    </row>
    <row r="1753" spans="6:9" x14ac:dyDescent="0.25">
      <c r="F1753" s="39"/>
      <c r="G1753" s="39"/>
      <c r="H1753" s="39"/>
      <c r="I1753" s="39"/>
    </row>
    <row r="1754" spans="6:9" x14ac:dyDescent="0.25">
      <c r="F1754" s="39"/>
      <c r="G1754" s="39"/>
      <c r="H1754" s="39"/>
      <c r="I1754" s="39"/>
    </row>
    <row r="1755" spans="6:9" x14ac:dyDescent="0.25">
      <c r="F1755" s="39"/>
      <c r="G1755" s="39"/>
      <c r="H1755" s="39"/>
      <c r="I1755" s="39"/>
    </row>
    <row r="1756" spans="6:9" x14ac:dyDescent="0.25">
      <c r="F1756" s="39"/>
      <c r="G1756" s="39"/>
      <c r="H1756" s="39"/>
      <c r="I1756" s="39"/>
    </row>
    <row r="1757" spans="6:9" x14ac:dyDescent="0.25">
      <c r="F1757" s="39"/>
      <c r="G1757" s="39"/>
      <c r="H1757" s="39"/>
      <c r="I1757" s="39"/>
    </row>
    <row r="1758" spans="6:9" x14ac:dyDescent="0.25">
      <c r="F1758" s="39"/>
      <c r="G1758" s="39"/>
      <c r="H1758" s="39"/>
      <c r="I1758" s="39"/>
    </row>
    <row r="1759" spans="6:9" x14ac:dyDescent="0.25">
      <c r="F1759" s="39"/>
      <c r="G1759" s="39"/>
      <c r="H1759" s="39"/>
      <c r="I1759" s="39"/>
    </row>
    <row r="1760" spans="6:9" x14ac:dyDescent="0.25">
      <c r="F1760" s="39"/>
      <c r="G1760" s="39"/>
      <c r="H1760" s="39"/>
      <c r="I1760" s="39"/>
    </row>
    <row r="1761" spans="6:9" x14ac:dyDescent="0.25">
      <c r="F1761" s="39"/>
      <c r="G1761" s="39"/>
      <c r="H1761" s="39"/>
      <c r="I1761" s="39"/>
    </row>
    <row r="1762" spans="6:9" x14ac:dyDescent="0.25">
      <c r="F1762" s="39"/>
      <c r="G1762" s="39"/>
      <c r="H1762" s="39"/>
      <c r="I1762" s="39"/>
    </row>
    <row r="1763" spans="6:9" x14ac:dyDescent="0.25">
      <c r="F1763" s="39"/>
      <c r="G1763" s="39"/>
      <c r="H1763" s="39"/>
      <c r="I1763" s="39"/>
    </row>
    <row r="1764" spans="6:9" x14ac:dyDescent="0.25">
      <c r="F1764" s="39"/>
      <c r="G1764" s="39"/>
      <c r="H1764" s="39"/>
      <c r="I1764" s="39"/>
    </row>
    <row r="1765" spans="6:9" x14ac:dyDescent="0.25">
      <c r="F1765" s="39"/>
      <c r="G1765" s="39"/>
      <c r="H1765" s="39"/>
      <c r="I1765" s="39"/>
    </row>
    <row r="1766" spans="6:9" x14ac:dyDescent="0.25">
      <c r="F1766" s="39"/>
      <c r="G1766" s="39"/>
      <c r="H1766" s="39"/>
      <c r="I1766" s="39"/>
    </row>
    <row r="1767" spans="6:9" x14ac:dyDescent="0.25">
      <c r="F1767" s="39"/>
      <c r="G1767" s="39"/>
      <c r="H1767" s="39"/>
      <c r="I1767" s="39"/>
    </row>
    <row r="1768" spans="6:9" x14ac:dyDescent="0.25">
      <c r="F1768" s="39"/>
      <c r="G1768" s="39"/>
      <c r="H1768" s="39"/>
      <c r="I1768" s="39"/>
    </row>
    <row r="1769" spans="6:9" x14ac:dyDescent="0.25">
      <c r="F1769" s="39"/>
      <c r="G1769" s="39"/>
      <c r="H1769" s="39"/>
      <c r="I1769" s="39"/>
    </row>
    <row r="1770" spans="6:9" x14ac:dyDescent="0.25">
      <c r="F1770" s="39"/>
      <c r="G1770" s="39"/>
      <c r="H1770" s="39"/>
      <c r="I1770" s="39"/>
    </row>
    <row r="1771" spans="6:9" x14ac:dyDescent="0.25">
      <c r="F1771" s="39"/>
      <c r="G1771" s="39"/>
      <c r="H1771" s="39"/>
      <c r="I1771" s="39"/>
    </row>
    <row r="1772" spans="6:9" x14ac:dyDescent="0.25">
      <c r="F1772" s="39"/>
      <c r="G1772" s="39"/>
      <c r="H1772" s="39"/>
      <c r="I1772" s="39"/>
    </row>
    <row r="1773" spans="6:9" x14ac:dyDescent="0.25">
      <c r="F1773" s="39"/>
      <c r="G1773" s="39"/>
      <c r="H1773" s="39"/>
      <c r="I1773" s="39"/>
    </row>
    <row r="1774" spans="6:9" x14ac:dyDescent="0.25">
      <c r="F1774" s="39"/>
      <c r="G1774" s="39"/>
      <c r="H1774" s="39"/>
      <c r="I1774" s="39"/>
    </row>
    <row r="1775" spans="6:9" x14ac:dyDescent="0.25">
      <c r="F1775" s="39"/>
      <c r="G1775" s="39"/>
      <c r="H1775" s="39"/>
      <c r="I1775" s="39"/>
    </row>
    <row r="1776" spans="6:9" x14ac:dyDescent="0.25">
      <c r="F1776" s="39"/>
      <c r="G1776" s="39"/>
      <c r="H1776" s="39"/>
      <c r="I1776" s="39"/>
    </row>
    <row r="1777" spans="6:9" x14ac:dyDescent="0.25">
      <c r="F1777" s="39"/>
      <c r="G1777" s="39"/>
      <c r="H1777" s="39"/>
      <c r="I1777" s="39"/>
    </row>
    <row r="1778" spans="6:9" x14ac:dyDescent="0.25">
      <c r="F1778" s="39"/>
      <c r="G1778" s="39"/>
      <c r="H1778" s="39"/>
      <c r="I1778" s="39"/>
    </row>
    <row r="1779" spans="6:9" x14ac:dyDescent="0.25">
      <c r="F1779" s="39"/>
      <c r="G1779" s="39"/>
      <c r="H1779" s="39"/>
      <c r="I1779" s="39"/>
    </row>
    <row r="1780" spans="6:9" x14ac:dyDescent="0.25">
      <c r="F1780" s="39"/>
      <c r="G1780" s="39"/>
      <c r="H1780" s="39"/>
      <c r="I1780" s="39"/>
    </row>
    <row r="1781" spans="6:9" x14ac:dyDescent="0.25">
      <c r="F1781" s="39"/>
      <c r="G1781" s="39"/>
      <c r="H1781" s="39"/>
      <c r="I1781" s="39"/>
    </row>
    <row r="1782" spans="6:9" x14ac:dyDescent="0.25">
      <c r="F1782" s="39"/>
      <c r="G1782" s="39"/>
      <c r="H1782" s="39"/>
      <c r="I1782" s="39"/>
    </row>
    <row r="1783" spans="6:9" x14ac:dyDescent="0.25">
      <c r="F1783" s="39"/>
      <c r="G1783" s="39"/>
      <c r="H1783" s="39"/>
      <c r="I1783" s="39"/>
    </row>
    <row r="1784" spans="6:9" x14ac:dyDescent="0.25">
      <c r="F1784" s="39"/>
      <c r="G1784" s="39"/>
      <c r="H1784" s="39"/>
      <c r="I1784" s="39"/>
    </row>
    <row r="1785" spans="6:9" x14ac:dyDescent="0.25">
      <c r="F1785" s="39"/>
      <c r="G1785" s="39"/>
      <c r="H1785" s="39"/>
      <c r="I1785" s="39"/>
    </row>
    <row r="1786" spans="6:9" x14ac:dyDescent="0.25">
      <c r="F1786" s="39"/>
      <c r="G1786" s="39"/>
      <c r="H1786" s="39"/>
      <c r="I1786" s="39"/>
    </row>
    <row r="1787" spans="6:9" x14ac:dyDescent="0.25">
      <c r="F1787" s="39"/>
      <c r="G1787" s="39"/>
      <c r="H1787" s="39"/>
      <c r="I1787" s="39"/>
    </row>
    <row r="1788" spans="6:9" x14ac:dyDescent="0.25">
      <c r="F1788" s="39"/>
      <c r="G1788" s="39"/>
      <c r="H1788" s="39"/>
      <c r="I1788" s="39"/>
    </row>
    <row r="1789" spans="6:9" x14ac:dyDescent="0.25">
      <c r="F1789" s="39"/>
      <c r="G1789" s="39"/>
      <c r="H1789" s="39"/>
      <c r="I1789" s="39"/>
    </row>
    <row r="1790" spans="6:9" x14ac:dyDescent="0.25">
      <c r="F1790" s="39"/>
      <c r="G1790" s="39"/>
      <c r="H1790" s="39"/>
      <c r="I1790" s="39"/>
    </row>
    <row r="1791" spans="6:9" x14ac:dyDescent="0.25">
      <c r="F1791" s="39"/>
      <c r="G1791" s="39"/>
      <c r="H1791" s="39"/>
      <c r="I1791" s="39"/>
    </row>
    <row r="1792" spans="6:9" x14ac:dyDescent="0.25">
      <c r="F1792" s="39"/>
      <c r="G1792" s="39"/>
      <c r="H1792" s="39"/>
      <c r="I1792" s="39"/>
    </row>
    <row r="1793" spans="6:9" x14ac:dyDescent="0.25">
      <c r="F1793" s="39"/>
      <c r="G1793" s="39"/>
      <c r="H1793" s="39"/>
      <c r="I1793" s="39"/>
    </row>
    <row r="1794" spans="6:9" x14ac:dyDescent="0.25">
      <c r="F1794" s="39"/>
      <c r="G1794" s="39"/>
      <c r="H1794" s="39"/>
      <c r="I1794" s="39"/>
    </row>
    <row r="1795" spans="6:9" x14ac:dyDescent="0.25">
      <c r="F1795" s="39"/>
      <c r="G1795" s="39"/>
      <c r="H1795" s="39"/>
      <c r="I1795" s="39"/>
    </row>
    <row r="1796" spans="6:9" x14ac:dyDescent="0.25">
      <c r="F1796" s="39"/>
      <c r="G1796" s="39"/>
      <c r="H1796" s="39"/>
      <c r="I1796" s="39"/>
    </row>
    <row r="1797" spans="6:9" x14ac:dyDescent="0.25">
      <c r="F1797" s="39"/>
      <c r="G1797" s="39"/>
      <c r="H1797" s="39"/>
      <c r="I1797" s="39"/>
    </row>
    <row r="1798" spans="6:9" x14ac:dyDescent="0.25">
      <c r="F1798" s="39"/>
      <c r="G1798" s="39"/>
      <c r="H1798" s="39"/>
      <c r="I1798" s="39"/>
    </row>
    <row r="1799" spans="6:9" x14ac:dyDescent="0.25">
      <c r="F1799" s="39"/>
      <c r="G1799" s="39"/>
      <c r="H1799" s="39"/>
      <c r="I1799" s="39"/>
    </row>
    <row r="1800" spans="6:9" x14ac:dyDescent="0.25">
      <c r="F1800" s="39"/>
      <c r="G1800" s="39"/>
      <c r="H1800" s="39"/>
      <c r="I1800" s="39"/>
    </row>
    <row r="1801" spans="6:9" x14ac:dyDescent="0.25">
      <c r="F1801" s="39"/>
      <c r="G1801" s="39"/>
      <c r="H1801" s="39"/>
      <c r="I1801" s="39"/>
    </row>
    <row r="1802" spans="6:9" x14ac:dyDescent="0.25">
      <c r="F1802" s="39"/>
      <c r="G1802" s="39"/>
      <c r="H1802" s="39"/>
      <c r="I1802" s="39"/>
    </row>
    <row r="1803" spans="6:9" x14ac:dyDescent="0.25">
      <c r="F1803" s="39"/>
      <c r="G1803" s="39"/>
      <c r="H1803" s="39"/>
      <c r="I1803" s="39"/>
    </row>
    <row r="1804" spans="6:9" x14ac:dyDescent="0.25">
      <c r="F1804" s="39"/>
      <c r="G1804" s="39"/>
      <c r="H1804" s="39"/>
      <c r="I1804" s="39"/>
    </row>
    <row r="1805" spans="6:9" x14ac:dyDescent="0.25">
      <c r="F1805" s="39"/>
      <c r="G1805" s="39"/>
      <c r="H1805" s="39"/>
      <c r="I1805" s="39"/>
    </row>
    <row r="1806" spans="6:9" x14ac:dyDescent="0.25">
      <c r="F1806" s="39"/>
      <c r="G1806" s="39"/>
      <c r="H1806" s="39"/>
      <c r="I1806" s="39"/>
    </row>
    <row r="1807" spans="6:9" x14ac:dyDescent="0.25">
      <c r="F1807" s="39"/>
      <c r="G1807" s="39"/>
      <c r="H1807" s="39"/>
      <c r="I1807" s="39"/>
    </row>
    <row r="1808" spans="6:9" x14ac:dyDescent="0.25">
      <c r="F1808" s="39"/>
      <c r="G1808" s="39"/>
      <c r="H1808" s="39"/>
      <c r="I1808" s="39"/>
    </row>
    <row r="1809" spans="6:9" x14ac:dyDescent="0.25">
      <c r="F1809" s="39"/>
      <c r="G1809" s="39"/>
      <c r="H1809" s="39"/>
      <c r="I1809" s="39"/>
    </row>
    <row r="1810" spans="6:9" x14ac:dyDescent="0.25">
      <c r="F1810" s="39"/>
      <c r="G1810" s="39"/>
      <c r="H1810" s="39"/>
      <c r="I1810" s="39"/>
    </row>
    <row r="1811" spans="6:9" x14ac:dyDescent="0.25">
      <c r="F1811" s="39"/>
      <c r="G1811" s="39"/>
      <c r="H1811" s="39"/>
      <c r="I1811" s="39"/>
    </row>
    <row r="1812" spans="6:9" x14ac:dyDescent="0.25">
      <c r="F1812" s="39"/>
      <c r="G1812" s="39"/>
      <c r="H1812" s="39"/>
      <c r="I1812" s="39"/>
    </row>
    <row r="1813" spans="6:9" x14ac:dyDescent="0.25">
      <c r="F1813" s="39"/>
      <c r="G1813" s="39"/>
      <c r="H1813" s="39"/>
      <c r="I1813" s="39"/>
    </row>
    <row r="1814" spans="6:9" x14ac:dyDescent="0.25">
      <c r="F1814" s="39"/>
      <c r="G1814" s="39"/>
      <c r="H1814" s="39"/>
      <c r="I1814" s="39"/>
    </row>
    <row r="1815" spans="6:9" x14ac:dyDescent="0.25">
      <c r="F1815" s="39"/>
      <c r="G1815" s="39"/>
      <c r="H1815" s="39"/>
      <c r="I1815" s="39"/>
    </row>
    <row r="1816" spans="6:9" x14ac:dyDescent="0.25">
      <c r="F1816" s="39"/>
      <c r="G1816" s="39"/>
      <c r="H1816" s="39"/>
      <c r="I1816" s="39"/>
    </row>
    <row r="1817" spans="6:9" x14ac:dyDescent="0.25">
      <c r="F1817" s="39"/>
      <c r="G1817" s="39"/>
      <c r="H1817" s="39"/>
      <c r="I1817" s="39"/>
    </row>
    <row r="1818" spans="6:9" x14ac:dyDescent="0.25">
      <c r="F1818" s="39"/>
      <c r="G1818" s="39"/>
      <c r="H1818" s="39"/>
      <c r="I1818" s="39"/>
    </row>
    <row r="1819" spans="6:9" x14ac:dyDescent="0.25">
      <c r="F1819" s="39"/>
      <c r="G1819" s="39"/>
      <c r="H1819" s="39"/>
      <c r="I1819" s="39"/>
    </row>
    <row r="1820" spans="6:9" x14ac:dyDescent="0.25">
      <c r="F1820" s="39"/>
      <c r="G1820" s="39"/>
      <c r="H1820" s="39"/>
      <c r="I1820" s="39"/>
    </row>
    <row r="1821" spans="6:9" x14ac:dyDescent="0.25">
      <c r="F1821" s="39"/>
      <c r="G1821" s="39"/>
      <c r="H1821" s="39"/>
      <c r="I1821" s="39"/>
    </row>
    <row r="1822" spans="6:9" x14ac:dyDescent="0.25">
      <c r="F1822" s="39"/>
      <c r="G1822" s="39"/>
      <c r="H1822" s="39"/>
      <c r="I1822" s="39"/>
    </row>
    <row r="1823" spans="6:9" x14ac:dyDescent="0.25">
      <c r="F1823" s="39"/>
      <c r="G1823" s="39"/>
      <c r="H1823" s="39"/>
      <c r="I1823" s="39"/>
    </row>
    <row r="1824" spans="6:9" x14ac:dyDescent="0.25">
      <c r="F1824" s="39"/>
      <c r="G1824" s="39"/>
      <c r="H1824" s="39"/>
      <c r="I1824" s="39"/>
    </row>
    <row r="1825" spans="6:9" x14ac:dyDescent="0.25">
      <c r="F1825" s="39"/>
      <c r="G1825" s="39"/>
      <c r="H1825" s="39"/>
      <c r="I1825" s="39"/>
    </row>
    <row r="1826" spans="6:9" x14ac:dyDescent="0.25">
      <c r="F1826" s="39"/>
      <c r="G1826" s="39"/>
      <c r="H1826" s="39"/>
      <c r="I1826" s="39"/>
    </row>
    <row r="1827" spans="6:9" x14ac:dyDescent="0.25">
      <c r="F1827" s="39"/>
      <c r="G1827" s="39"/>
      <c r="H1827" s="39"/>
      <c r="I1827" s="39"/>
    </row>
    <row r="1828" spans="6:9" x14ac:dyDescent="0.25">
      <c r="F1828" s="39"/>
      <c r="G1828" s="39"/>
      <c r="H1828" s="39"/>
      <c r="I1828" s="39"/>
    </row>
    <row r="1829" spans="6:9" x14ac:dyDescent="0.25">
      <c r="F1829" s="39"/>
      <c r="G1829" s="39"/>
      <c r="H1829" s="39"/>
      <c r="I1829" s="39"/>
    </row>
    <row r="1830" spans="6:9" x14ac:dyDescent="0.25">
      <c r="F1830" s="39"/>
      <c r="G1830" s="39"/>
      <c r="H1830" s="39"/>
      <c r="I1830" s="39"/>
    </row>
    <row r="1831" spans="6:9" x14ac:dyDescent="0.25">
      <c r="F1831" s="39"/>
      <c r="G1831" s="39"/>
      <c r="H1831" s="39"/>
      <c r="I1831" s="39"/>
    </row>
    <row r="1832" spans="6:9" x14ac:dyDescent="0.25">
      <c r="F1832" s="39"/>
      <c r="G1832" s="39"/>
      <c r="H1832" s="39"/>
      <c r="I1832" s="39"/>
    </row>
    <row r="1833" spans="6:9" x14ac:dyDescent="0.25">
      <c r="F1833" s="39"/>
      <c r="G1833" s="39"/>
      <c r="H1833" s="39"/>
      <c r="I1833" s="39"/>
    </row>
    <row r="1834" spans="6:9" x14ac:dyDescent="0.25">
      <c r="F1834" s="39"/>
      <c r="G1834" s="39"/>
      <c r="H1834" s="39"/>
      <c r="I1834" s="39"/>
    </row>
    <row r="1835" spans="6:9" x14ac:dyDescent="0.25">
      <c r="F1835" s="39"/>
      <c r="G1835" s="39"/>
      <c r="H1835" s="39"/>
      <c r="I1835" s="39"/>
    </row>
    <row r="1836" spans="6:9" x14ac:dyDescent="0.25">
      <c r="F1836" s="39"/>
      <c r="G1836" s="39"/>
      <c r="H1836" s="39"/>
      <c r="I1836" s="39"/>
    </row>
    <row r="1837" spans="6:9" x14ac:dyDescent="0.25">
      <c r="F1837" s="39"/>
      <c r="G1837" s="39"/>
      <c r="H1837" s="39"/>
      <c r="I1837" s="39"/>
    </row>
    <row r="1838" spans="6:9" x14ac:dyDescent="0.25">
      <c r="F1838" s="39"/>
      <c r="G1838" s="39"/>
      <c r="H1838" s="39"/>
      <c r="I1838" s="39"/>
    </row>
    <row r="1839" spans="6:9" x14ac:dyDescent="0.25">
      <c r="F1839" s="39"/>
      <c r="G1839" s="39"/>
      <c r="H1839" s="39"/>
      <c r="I1839" s="39"/>
    </row>
    <row r="1840" spans="6:9" x14ac:dyDescent="0.25">
      <c r="F1840" s="39"/>
      <c r="G1840" s="39"/>
      <c r="H1840" s="39"/>
      <c r="I1840" s="39"/>
    </row>
    <row r="1841" spans="6:9" x14ac:dyDescent="0.25">
      <c r="F1841" s="39"/>
      <c r="G1841" s="39"/>
      <c r="H1841" s="39"/>
      <c r="I1841" s="39"/>
    </row>
    <row r="1842" spans="6:9" x14ac:dyDescent="0.25">
      <c r="F1842" s="39"/>
      <c r="G1842" s="39"/>
      <c r="H1842" s="39"/>
      <c r="I1842" s="39"/>
    </row>
    <row r="1843" spans="6:9" x14ac:dyDescent="0.25">
      <c r="F1843" s="39"/>
      <c r="G1843" s="39"/>
      <c r="H1843" s="39"/>
      <c r="I1843" s="39"/>
    </row>
    <row r="1844" spans="6:9" x14ac:dyDescent="0.25">
      <c r="F1844" s="39"/>
      <c r="G1844" s="39"/>
      <c r="H1844" s="39"/>
      <c r="I1844" s="39"/>
    </row>
    <row r="1845" spans="6:9" x14ac:dyDescent="0.25">
      <c r="F1845" s="39"/>
      <c r="G1845" s="39"/>
      <c r="H1845" s="39"/>
      <c r="I1845" s="39"/>
    </row>
    <row r="1846" spans="6:9" x14ac:dyDescent="0.25">
      <c r="F1846" s="39"/>
      <c r="G1846" s="39"/>
      <c r="H1846" s="39"/>
      <c r="I1846" s="39"/>
    </row>
    <row r="1847" spans="6:9" x14ac:dyDescent="0.25">
      <c r="F1847" s="39"/>
      <c r="G1847" s="39"/>
      <c r="H1847" s="39"/>
      <c r="I1847" s="39"/>
    </row>
    <row r="1848" spans="6:9" x14ac:dyDescent="0.25">
      <c r="F1848" s="39"/>
      <c r="G1848" s="39"/>
      <c r="H1848" s="39"/>
      <c r="I1848" s="39"/>
    </row>
    <row r="1849" spans="6:9" x14ac:dyDescent="0.25">
      <c r="F1849" s="39"/>
      <c r="G1849" s="39"/>
      <c r="H1849" s="39"/>
      <c r="I1849" s="39"/>
    </row>
    <row r="1850" spans="6:9" x14ac:dyDescent="0.25">
      <c r="F1850" s="39"/>
      <c r="G1850" s="39"/>
      <c r="H1850" s="39"/>
      <c r="I1850" s="39"/>
    </row>
    <row r="1851" spans="6:9" x14ac:dyDescent="0.25">
      <c r="F1851" s="39"/>
      <c r="G1851" s="39"/>
      <c r="H1851" s="39"/>
      <c r="I1851" s="39"/>
    </row>
    <row r="1852" spans="6:9" x14ac:dyDescent="0.25">
      <c r="F1852" s="39"/>
      <c r="G1852" s="39"/>
      <c r="H1852" s="39"/>
      <c r="I1852" s="39"/>
    </row>
    <row r="1853" spans="6:9" x14ac:dyDescent="0.25">
      <c r="F1853" s="39"/>
      <c r="G1853" s="39"/>
      <c r="H1853" s="39"/>
      <c r="I1853" s="39"/>
    </row>
    <row r="1854" spans="6:9" x14ac:dyDescent="0.25">
      <c r="F1854" s="39"/>
      <c r="G1854" s="39"/>
      <c r="H1854" s="39"/>
      <c r="I1854" s="39"/>
    </row>
    <row r="1855" spans="6:9" x14ac:dyDescent="0.25">
      <c r="F1855" s="39"/>
      <c r="G1855" s="39"/>
      <c r="H1855" s="39"/>
      <c r="I1855" s="39"/>
    </row>
    <row r="1856" spans="6:9" x14ac:dyDescent="0.25">
      <c r="F1856" s="39"/>
      <c r="G1856" s="39"/>
      <c r="H1856" s="39"/>
      <c r="I1856" s="39"/>
    </row>
    <row r="1857" spans="6:9" x14ac:dyDescent="0.25">
      <c r="F1857" s="39"/>
      <c r="G1857" s="39"/>
      <c r="H1857" s="39"/>
      <c r="I1857" s="39"/>
    </row>
    <row r="1858" spans="6:9" x14ac:dyDescent="0.25">
      <c r="F1858" s="39"/>
      <c r="G1858" s="39"/>
      <c r="H1858" s="39"/>
      <c r="I1858" s="39"/>
    </row>
    <row r="1859" spans="6:9" x14ac:dyDescent="0.25">
      <c r="F1859" s="39"/>
      <c r="G1859" s="39"/>
      <c r="H1859" s="39"/>
      <c r="I1859" s="39"/>
    </row>
    <row r="1860" spans="6:9" x14ac:dyDescent="0.25">
      <c r="F1860" s="39"/>
      <c r="G1860" s="39"/>
      <c r="H1860" s="39"/>
      <c r="I1860" s="39"/>
    </row>
    <row r="1861" spans="6:9" x14ac:dyDescent="0.25">
      <c r="F1861" s="39"/>
      <c r="G1861" s="39"/>
      <c r="H1861" s="39"/>
      <c r="I1861" s="39"/>
    </row>
    <row r="1862" spans="6:9" x14ac:dyDescent="0.25">
      <c r="F1862" s="39"/>
      <c r="G1862" s="39"/>
      <c r="H1862" s="39"/>
      <c r="I1862" s="39"/>
    </row>
    <row r="1863" spans="6:9" x14ac:dyDescent="0.25">
      <c r="F1863" s="39"/>
      <c r="G1863" s="39"/>
      <c r="H1863" s="39"/>
      <c r="I1863" s="39"/>
    </row>
    <row r="1864" spans="6:9" x14ac:dyDescent="0.25">
      <c r="F1864" s="39"/>
      <c r="G1864" s="39"/>
      <c r="H1864" s="39"/>
      <c r="I1864" s="39"/>
    </row>
    <row r="1865" spans="6:9" x14ac:dyDescent="0.25">
      <c r="F1865" s="39"/>
      <c r="G1865" s="39"/>
      <c r="H1865" s="39"/>
      <c r="I1865" s="39"/>
    </row>
    <row r="1866" spans="6:9" x14ac:dyDescent="0.25">
      <c r="F1866" s="39"/>
      <c r="G1866" s="39"/>
      <c r="H1866" s="39"/>
      <c r="I1866" s="39"/>
    </row>
    <row r="1867" spans="6:9" x14ac:dyDescent="0.25">
      <c r="F1867" s="39"/>
      <c r="G1867" s="39"/>
      <c r="H1867" s="39"/>
      <c r="I1867" s="39"/>
    </row>
    <row r="1868" spans="6:9" x14ac:dyDescent="0.25">
      <c r="F1868" s="39"/>
      <c r="G1868" s="39"/>
      <c r="H1868" s="39"/>
      <c r="I1868" s="39"/>
    </row>
    <row r="1869" spans="6:9" x14ac:dyDescent="0.25">
      <c r="F1869" s="39"/>
      <c r="G1869" s="39"/>
      <c r="H1869" s="39"/>
      <c r="I1869" s="39"/>
    </row>
    <row r="1870" spans="6:9" x14ac:dyDescent="0.25">
      <c r="F1870" s="39"/>
      <c r="G1870" s="39"/>
      <c r="H1870" s="39"/>
      <c r="I1870" s="39"/>
    </row>
    <row r="1871" spans="6:9" x14ac:dyDescent="0.25">
      <c r="F1871" s="39"/>
      <c r="G1871" s="39"/>
      <c r="H1871" s="39"/>
      <c r="I1871" s="39"/>
    </row>
    <row r="1872" spans="6:9" x14ac:dyDescent="0.25">
      <c r="F1872" s="39"/>
      <c r="G1872" s="39"/>
      <c r="H1872" s="39"/>
      <c r="I1872" s="39"/>
    </row>
    <row r="1873" spans="6:9" x14ac:dyDescent="0.25">
      <c r="F1873" s="39"/>
      <c r="G1873" s="39"/>
      <c r="H1873" s="39"/>
      <c r="I1873" s="39"/>
    </row>
    <row r="1874" spans="6:9" x14ac:dyDescent="0.25">
      <c r="F1874" s="39"/>
      <c r="G1874" s="39"/>
      <c r="H1874" s="39"/>
      <c r="I1874" s="39"/>
    </row>
    <row r="1875" spans="6:9" x14ac:dyDescent="0.25">
      <c r="F1875" s="39"/>
      <c r="G1875" s="39"/>
      <c r="H1875" s="39"/>
      <c r="I1875" s="39"/>
    </row>
    <row r="1876" spans="6:9" x14ac:dyDescent="0.25">
      <c r="F1876" s="39"/>
      <c r="G1876" s="39"/>
      <c r="H1876" s="39"/>
      <c r="I1876" s="39"/>
    </row>
    <row r="1877" spans="6:9" x14ac:dyDescent="0.25">
      <c r="F1877" s="39"/>
      <c r="G1877" s="39"/>
      <c r="H1877" s="39"/>
      <c r="I1877" s="39"/>
    </row>
    <row r="1878" spans="6:9" x14ac:dyDescent="0.25">
      <c r="F1878" s="39"/>
      <c r="G1878" s="39"/>
      <c r="H1878" s="39"/>
      <c r="I1878" s="39"/>
    </row>
    <row r="1879" spans="6:9" x14ac:dyDescent="0.25">
      <c r="F1879" s="39"/>
      <c r="G1879" s="39"/>
      <c r="H1879" s="39"/>
      <c r="I1879" s="39"/>
    </row>
    <row r="1880" spans="6:9" x14ac:dyDescent="0.25">
      <c r="F1880" s="39"/>
      <c r="G1880" s="39"/>
      <c r="H1880" s="39"/>
      <c r="I1880" s="39"/>
    </row>
    <row r="1881" spans="6:9" x14ac:dyDescent="0.25">
      <c r="F1881" s="39"/>
      <c r="G1881" s="39"/>
      <c r="H1881" s="39"/>
      <c r="I1881" s="39"/>
    </row>
    <row r="1882" spans="6:9" x14ac:dyDescent="0.25">
      <c r="F1882" s="39"/>
      <c r="G1882" s="39"/>
      <c r="H1882" s="39"/>
      <c r="I1882" s="39"/>
    </row>
    <row r="1883" spans="6:9" x14ac:dyDescent="0.25">
      <c r="F1883" s="39"/>
      <c r="G1883" s="39"/>
      <c r="H1883" s="39"/>
      <c r="I1883" s="39"/>
    </row>
    <row r="1884" spans="6:9" x14ac:dyDescent="0.25">
      <c r="F1884" s="39"/>
      <c r="G1884" s="39"/>
      <c r="H1884" s="39"/>
      <c r="I1884" s="39"/>
    </row>
    <row r="1885" spans="6:9" x14ac:dyDescent="0.25">
      <c r="F1885" s="39"/>
      <c r="G1885" s="39"/>
      <c r="H1885" s="39"/>
      <c r="I1885" s="39"/>
    </row>
    <row r="1886" spans="6:9" x14ac:dyDescent="0.25">
      <c r="F1886" s="39"/>
      <c r="G1886" s="39"/>
      <c r="H1886" s="39"/>
      <c r="I1886" s="39"/>
    </row>
    <row r="1887" spans="6:9" x14ac:dyDescent="0.25">
      <c r="F1887" s="39"/>
      <c r="G1887" s="39"/>
      <c r="H1887" s="39"/>
      <c r="I1887" s="39"/>
    </row>
    <row r="1888" spans="6:9" x14ac:dyDescent="0.25">
      <c r="F1888" s="39"/>
      <c r="G1888" s="39"/>
      <c r="H1888" s="39"/>
      <c r="I1888" s="39"/>
    </row>
    <row r="1889" spans="6:9" x14ac:dyDescent="0.25">
      <c r="F1889" s="39"/>
      <c r="G1889" s="39"/>
      <c r="H1889" s="39"/>
      <c r="I1889" s="39"/>
    </row>
    <row r="1890" spans="6:9" x14ac:dyDescent="0.25">
      <c r="F1890" s="39"/>
      <c r="G1890" s="39"/>
      <c r="H1890" s="39"/>
      <c r="I1890" s="39"/>
    </row>
    <row r="1891" spans="6:9" x14ac:dyDescent="0.25">
      <c r="F1891" s="39"/>
      <c r="G1891" s="39"/>
      <c r="H1891" s="39"/>
      <c r="I1891" s="39"/>
    </row>
    <row r="1892" spans="6:9" x14ac:dyDescent="0.25">
      <c r="F1892" s="39"/>
      <c r="G1892" s="39"/>
      <c r="H1892" s="39"/>
      <c r="I1892" s="39"/>
    </row>
    <row r="1893" spans="6:9" x14ac:dyDescent="0.25">
      <c r="F1893" s="39"/>
      <c r="G1893" s="39"/>
      <c r="H1893" s="39"/>
      <c r="I1893" s="39"/>
    </row>
    <row r="1894" spans="6:9" x14ac:dyDescent="0.25">
      <c r="F1894" s="39"/>
      <c r="G1894" s="39"/>
      <c r="H1894" s="39"/>
      <c r="I1894" s="39"/>
    </row>
    <row r="1895" spans="6:9" x14ac:dyDescent="0.25">
      <c r="F1895" s="39"/>
      <c r="G1895" s="39"/>
      <c r="H1895" s="39"/>
      <c r="I1895" s="39"/>
    </row>
    <row r="1896" spans="6:9" x14ac:dyDescent="0.25">
      <c r="F1896" s="39"/>
      <c r="G1896" s="39"/>
      <c r="H1896" s="39"/>
      <c r="I1896" s="39"/>
    </row>
    <row r="1897" spans="6:9" x14ac:dyDescent="0.25">
      <c r="F1897" s="39"/>
      <c r="G1897" s="39"/>
      <c r="H1897" s="39"/>
      <c r="I1897" s="39"/>
    </row>
    <row r="1898" spans="6:9" x14ac:dyDescent="0.25">
      <c r="F1898" s="39"/>
      <c r="G1898" s="39"/>
      <c r="H1898" s="39"/>
      <c r="I1898" s="39"/>
    </row>
    <row r="1899" spans="6:9" x14ac:dyDescent="0.25">
      <c r="F1899" s="39"/>
      <c r="G1899" s="39"/>
      <c r="H1899" s="39"/>
      <c r="I1899" s="39"/>
    </row>
    <row r="1900" spans="6:9" x14ac:dyDescent="0.25">
      <c r="F1900" s="39"/>
      <c r="G1900" s="39"/>
      <c r="H1900" s="39"/>
      <c r="I1900" s="39"/>
    </row>
    <row r="1901" spans="6:9" x14ac:dyDescent="0.25">
      <c r="F1901" s="39"/>
      <c r="G1901" s="39"/>
      <c r="H1901" s="39"/>
      <c r="I1901" s="39"/>
    </row>
    <row r="1902" spans="6:9" x14ac:dyDescent="0.25">
      <c r="F1902" s="39"/>
      <c r="G1902" s="39"/>
      <c r="H1902" s="39"/>
      <c r="I1902" s="39"/>
    </row>
    <row r="1903" spans="6:9" x14ac:dyDescent="0.25">
      <c r="F1903" s="39"/>
      <c r="G1903" s="39"/>
      <c r="H1903" s="39"/>
      <c r="I1903" s="39"/>
    </row>
    <row r="1904" spans="6:9" x14ac:dyDescent="0.25">
      <c r="F1904" s="39"/>
      <c r="G1904" s="39"/>
      <c r="H1904" s="39"/>
      <c r="I1904" s="39"/>
    </row>
    <row r="1905" spans="6:9" x14ac:dyDescent="0.25">
      <c r="F1905" s="39"/>
      <c r="G1905" s="39"/>
      <c r="H1905" s="39"/>
      <c r="I1905" s="39"/>
    </row>
    <row r="1906" spans="6:9" x14ac:dyDescent="0.25">
      <c r="F1906" s="39"/>
      <c r="G1906" s="39"/>
      <c r="H1906" s="39"/>
      <c r="I1906" s="39"/>
    </row>
    <row r="1907" spans="6:9" x14ac:dyDescent="0.25">
      <c r="F1907" s="39"/>
      <c r="G1907" s="39"/>
      <c r="H1907" s="39"/>
      <c r="I1907" s="39"/>
    </row>
    <row r="1908" spans="6:9" x14ac:dyDescent="0.25">
      <c r="F1908" s="39"/>
      <c r="G1908" s="39"/>
      <c r="H1908" s="39"/>
      <c r="I1908" s="39"/>
    </row>
    <row r="1909" spans="6:9" x14ac:dyDescent="0.25">
      <c r="F1909" s="39"/>
      <c r="G1909" s="39"/>
      <c r="H1909" s="39"/>
      <c r="I1909" s="39"/>
    </row>
    <row r="1910" spans="6:9" x14ac:dyDescent="0.25">
      <c r="F1910" s="39"/>
      <c r="G1910" s="39"/>
      <c r="H1910" s="39"/>
      <c r="I1910" s="39"/>
    </row>
    <row r="1911" spans="6:9" x14ac:dyDescent="0.25">
      <c r="F1911" s="39"/>
      <c r="G1911" s="39"/>
      <c r="H1911" s="39"/>
      <c r="I1911" s="39"/>
    </row>
    <row r="1912" spans="6:9" x14ac:dyDescent="0.25">
      <c r="F1912" s="39"/>
      <c r="G1912" s="39"/>
      <c r="H1912" s="39"/>
      <c r="I1912" s="39"/>
    </row>
    <row r="1913" spans="6:9" x14ac:dyDescent="0.25">
      <c r="F1913" s="39"/>
      <c r="G1913" s="39"/>
      <c r="H1913" s="39"/>
      <c r="I1913" s="39"/>
    </row>
    <row r="1914" spans="6:9" x14ac:dyDescent="0.25">
      <c r="F1914" s="39"/>
      <c r="G1914" s="39"/>
      <c r="H1914" s="39"/>
      <c r="I1914" s="39"/>
    </row>
    <row r="1915" spans="6:9" x14ac:dyDescent="0.25">
      <c r="F1915" s="39"/>
      <c r="G1915" s="39"/>
      <c r="H1915" s="39"/>
      <c r="I1915" s="39"/>
    </row>
    <row r="1916" spans="6:9" x14ac:dyDescent="0.25">
      <c r="F1916" s="39"/>
      <c r="G1916" s="39"/>
      <c r="H1916" s="39"/>
      <c r="I1916" s="39"/>
    </row>
    <row r="1917" spans="6:9" x14ac:dyDescent="0.25">
      <c r="F1917" s="39"/>
      <c r="G1917" s="39"/>
      <c r="H1917" s="39"/>
      <c r="I1917" s="39"/>
    </row>
    <row r="1918" spans="6:9" x14ac:dyDescent="0.25">
      <c r="F1918" s="39"/>
      <c r="G1918" s="39"/>
      <c r="H1918" s="39"/>
      <c r="I1918" s="39"/>
    </row>
    <row r="1919" spans="6:9" x14ac:dyDescent="0.25">
      <c r="F1919" s="39"/>
      <c r="G1919" s="39"/>
      <c r="H1919" s="39"/>
      <c r="I1919" s="39"/>
    </row>
    <row r="1920" spans="6:9" x14ac:dyDescent="0.25">
      <c r="F1920" s="39"/>
      <c r="G1920" s="39"/>
      <c r="H1920" s="39"/>
      <c r="I1920" s="39"/>
    </row>
    <row r="1921" spans="6:9" x14ac:dyDescent="0.25">
      <c r="F1921" s="39"/>
      <c r="G1921" s="39"/>
      <c r="H1921" s="39"/>
      <c r="I1921" s="39"/>
    </row>
    <row r="1922" spans="6:9" x14ac:dyDescent="0.25">
      <c r="F1922" s="39"/>
      <c r="G1922" s="39"/>
      <c r="H1922" s="39"/>
      <c r="I1922" s="39"/>
    </row>
    <row r="1923" spans="6:9" x14ac:dyDescent="0.25">
      <c r="F1923" s="39"/>
      <c r="G1923" s="39"/>
      <c r="H1923" s="39"/>
      <c r="I1923" s="39"/>
    </row>
    <row r="1924" spans="6:9" x14ac:dyDescent="0.25">
      <c r="F1924" s="39"/>
      <c r="G1924" s="39"/>
      <c r="H1924" s="39"/>
      <c r="I1924" s="39"/>
    </row>
    <row r="1925" spans="6:9" x14ac:dyDescent="0.25">
      <c r="F1925" s="39"/>
      <c r="G1925" s="39"/>
      <c r="H1925" s="39"/>
      <c r="I1925" s="39"/>
    </row>
    <row r="1926" spans="6:9" x14ac:dyDescent="0.25">
      <c r="F1926" s="39"/>
      <c r="G1926" s="39"/>
      <c r="H1926" s="39"/>
      <c r="I1926" s="39"/>
    </row>
    <row r="1927" spans="6:9" x14ac:dyDescent="0.25">
      <c r="F1927" s="39"/>
      <c r="G1927" s="39"/>
      <c r="H1927" s="39"/>
      <c r="I1927" s="39"/>
    </row>
    <row r="1928" spans="6:9" x14ac:dyDescent="0.25">
      <c r="F1928" s="39"/>
      <c r="G1928" s="39"/>
      <c r="H1928" s="39"/>
      <c r="I1928" s="39"/>
    </row>
    <row r="1929" spans="6:9" x14ac:dyDescent="0.25">
      <c r="F1929" s="39"/>
      <c r="G1929" s="39"/>
      <c r="H1929" s="39"/>
      <c r="I1929" s="39"/>
    </row>
    <row r="1930" spans="6:9" x14ac:dyDescent="0.25">
      <c r="F1930" s="39"/>
      <c r="G1930" s="39"/>
      <c r="H1930" s="39"/>
      <c r="I1930" s="39"/>
    </row>
    <row r="1931" spans="6:9" x14ac:dyDescent="0.25">
      <c r="F1931" s="39"/>
      <c r="G1931" s="39"/>
      <c r="H1931" s="39"/>
      <c r="I1931" s="39"/>
    </row>
    <row r="1932" spans="6:9" x14ac:dyDescent="0.25">
      <c r="F1932" s="39"/>
      <c r="G1932" s="39"/>
      <c r="H1932" s="39"/>
      <c r="I1932" s="39"/>
    </row>
    <row r="1933" spans="6:9" x14ac:dyDescent="0.25">
      <c r="F1933" s="39"/>
      <c r="G1933" s="39"/>
      <c r="H1933" s="39"/>
      <c r="I1933" s="39"/>
    </row>
    <row r="1934" spans="6:9" x14ac:dyDescent="0.25">
      <c r="F1934" s="39"/>
      <c r="G1934" s="39"/>
      <c r="H1934" s="39"/>
      <c r="I1934" s="39"/>
    </row>
    <row r="1935" spans="6:9" x14ac:dyDescent="0.25">
      <c r="F1935" s="39"/>
      <c r="G1935" s="39"/>
      <c r="H1935" s="39"/>
      <c r="I1935" s="39"/>
    </row>
    <row r="1936" spans="6:9" x14ac:dyDescent="0.25">
      <c r="F1936" s="39"/>
      <c r="G1936" s="39"/>
      <c r="H1936" s="39"/>
      <c r="I1936" s="39"/>
    </row>
    <row r="1937" spans="6:9" x14ac:dyDescent="0.25">
      <c r="F1937" s="39"/>
      <c r="G1937" s="39"/>
      <c r="H1937" s="39"/>
      <c r="I1937" s="39"/>
    </row>
    <row r="1938" spans="6:9" x14ac:dyDescent="0.25">
      <c r="F1938" s="39"/>
      <c r="G1938" s="39"/>
      <c r="H1938" s="39"/>
      <c r="I1938" s="39"/>
    </row>
    <row r="1939" spans="6:9" x14ac:dyDescent="0.25">
      <c r="F1939" s="39"/>
      <c r="G1939" s="39"/>
      <c r="H1939" s="39"/>
      <c r="I1939" s="39"/>
    </row>
    <row r="1940" spans="6:9" x14ac:dyDescent="0.25">
      <c r="F1940" s="39"/>
      <c r="G1940" s="39"/>
      <c r="H1940" s="39"/>
      <c r="I1940" s="39"/>
    </row>
    <row r="1941" spans="6:9" x14ac:dyDescent="0.25">
      <c r="F1941" s="39"/>
      <c r="G1941" s="39"/>
      <c r="H1941" s="39"/>
      <c r="I1941" s="39"/>
    </row>
    <row r="1942" spans="6:9" x14ac:dyDescent="0.25">
      <c r="F1942" s="39"/>
      <c r="G1942" s="39"/>
      <c r="H1942" s="39"/>
      <c r="I1942" s="39"/>
    </row>
    <row r="1943" spans="6:9" x14ac:dyDescent="0.25">
      <c r="F1943" s="39"/>
      <c r="G1943" s="39"/>
      <c r="H1943" s="39"/>
      <c r="I1943" s="39"/>
    </row>
    <row r="1944" spans="6:9" x14ac:dyDescent="0.25">
      <c r="F1944" s="39"/>
      <c r="G1944" s="39"/>
      <c r="H1944" s="39"/>
      <c r="I1944" s="39"/>
    </row>
    <row r="1945" spans="6:9" x14ac:dyDescent="0.25">
      <c r="F1945" s="39"/>
      <c r="G1945" s="39"/>
      <c r="H1945" s="39"/>
      <c r="I1945" s="39"/>
    </row>
    <row r="1946" spans="6:9" x14ac:dyDescent="0.25">
      <c r="F1946" s="39"/>
      <c r="G1946" s="39"/>
      <c r="H1946" s="39"/>
      <c r="I1946" s="39"/>
    </row>
    <row r="1947" spans="6:9" x14ac:dyDescent="0.25">
      <c r="F1947" s="39"/>
      <c r="G1947" s="39"/>
      <c r="H1947" s="39"/>
      <c r="I1947" s="39"/>
    </row>
    <row r="1948" spans="6:9" x14ac:dyDescent="0.25">
      <c r="F1948" s="39"/>
      <c r="G1948" s="39"/>
      <c r="H1948" s="39"/>
      <c r="I1948" s="39"/>
    </row>
    <row r="1949" spans="6:9" x14ac:dyDescent="0.25">
      <c r="F1949" s="39"/>
      <c r="G1949" s="39"/>
      <c r="H1949" s="39"/>
      <c r="I1949" s="39"/>
    </row>
    <row r="1950" spans="6:9" x14ac:dyDescent="0.25">
      <c r="F1950" s="39"/>
      <c r="G1950" s="39"/>
      <c r="H1950" s="39"/>
      <c r="I1950" s="39"/>
    </row>
    <row r="1951" spans="6:9" x14ac:dyDescent="0.25">
      <c r="F1951" s="39"/>
      <c r="G1951" s="39"/>
      <c r="H1951" s="39"/>
      <c r="I1951" s="39"/>
    </row>
    <row r="1952" spans="6:9" x14ac:dyDescent="0.25">
      <c r="F1952" s="39"/>
      <c r="G1952" s="39"/>
      <c r="H1952" s="39"/>
      <c r="I1952" s="39"/>
    </row>
    <row r="1953" spans="6:9" x14ac:dyDescent="0.25">
      <c r="F1953" s="39"/>
      <c r="G1953" s="39"/>
      <c r="H1953" s="39"/>
      <c r="I1953" s="39"/>
    </row>
    <row r="1954" spans="6:9" x14ac:dyDescent="0.25">
      <c r="F1954" s="39"/>
      <c r="G1954" s="39"/>
      <c r="H1954" s="39"/>
      <c r="I1954" s="39"/>
    </row>
    <row r="1955" spans="6:9" x14ac:dyDescent="0.25">
      <c r="F1955" s="39"/>
      <c r="G1955" s="39"/>
      <c r="H1955" s="39"/>
      <c r="I1955" s="39"/>
    </row>
    <row r="1956" spans="6:9" x14ac:dyDescent="0.25">
      <c r="F1956" s="39"/>
      <c r="G1956" s="39"/>
      <c r="H1956" s="39"/>
      <c r="I1956" s="39"/>
    </row>
    <row r="1957" spans="6:9" x14ac:dyDescent="0.25">
      <c r="F1957" s="39"/>
      <c r="G1957" s="39"/>
      <c r="H1957" s="39"/>
      <c r="I1957" s="39"/>
    </row>
    <row r="1958" spans="6:9" x14ac:dyDescent="0.25">
      <c r="F1958" s="39"/>
      <c r="G1958" s="39"/>
      <c r="H1958" s="39"/>
      <c r="I1958" s="39"/>
    </row>
    <row r="1959" spans="6:9" x14ac:dyDescent="0.25">
      <c r="F1959" s="39"/>
      <c r="G1959" s="39"/>
      <c r="H1959" s="39"/>
      <c r="I1959" s="39"/>
    </row>
    <row r="1960" spans="6:9" x14ac:dyDescent="0.25">
      <c r="F1960" s="39"/>
      <c r="G1960" s="39"/>
      <c r="H1960" s="39"/>
      <c r="I1960" s="39"/>
    </row>
    <row r="1961" spans="6:9" x14ac:dyDescent="0.25">
      <c r="F1961" s="39"/>
      <c r="G1961" s="39"/>
      <c r="H1961" s="39"/>
      <c r="I1961" s="39"/>
    </row>
    <row r="1962" spans="6:9" x14ac:dyDescent="0.25">
      <c r="F1962" s="39"/>
      <c r="G1962" s="39"/>
      <c r="H1962" s="39"/>
      <c r="I1962" s="39"/>
    </row>
    <row r="1963" spans="6:9" x14ac:dyDescent="0.25">
      <c r="F1963" s="39"/>
      <c r="G1963" s="39"/>
      <c r="H1963" s="39"/>
      <c r="I1963" s="39"/>
    </row>
    <row r="1964" spans="6:9" x14ac:dyDescent="0.25">
      <c r="F1964" s="39"/>
      <c r="G1964" s="39"/>
      <c r="H1964" s="39"/>
      <c r="I1964" s="39"/>
    </row>
    <row r="1965" spans="6:9" x14ac:dyDescent="0.25">
      <c r="F1965" s="39"/>
      <c r="G1965" s="39"/>
      <c r="H1965" s="39"/>
      <c r="I1965" s="39"/>
    </row>
    <row r="1966" spans="6:9" x14ac:dyDescent="0.25">
      <c r="F1966" s="39"/>
      <c r="G1966" s="39"/>
      <c r="H1966" s="39"/>
      <c r="I1966" s="39"/>
    </row>
    <row r="1967" spans="6:9" x14ac:dyDescent="0.25">
      <c r="F1967" s="39"/>
      <c r="G1967" s="39"/>
      <c r="H1967" s="39"/>
      <c r="I1967" s="39"/>
    </row>
    <row r="1968" spans="6:9" x14ac:dyDescent="0.25">
      <c r="F1968" s="39"/>
      <c r="G1968" s="39"/>
      <c r="H1968" s="39"/>
      <c r="I1968" s="39"/>
    </row>
    <row r="1969" spans="6:9" x14ac:dyDescent="0.25">
      <c r="F1969" s="39"/>
      <c r="G1969" s="39"/>
      <c r="H1969" s="39"/>
      <c r="I1969" s="39"/>
    </row>
    <row r="1970" spans="6:9" x14ac:dyDescent="0.25">
      <c r="F1970" s="39"/>
      <c r="G1970" s="39"/>
      <c r="H1970" s="39"/>
      <c r="I1970" s="39"/>
    </row>
    <row r="1971" spans="6:9" x14ac:dyDescent="0.25">
      <c r="F1971" s="39"/>
      <c r="G1971" s="39"/>
      <c r="H1971" s="39"/>
      <c r="I1971" s="39"/>
    </row>
    <row r="1972" spans="6:9" x14ac:dyDescent="0.25">
      <c r="F1972" s="39"/>
      <c r="G1972" s="39"/>
      <c r="H1972" s="39"/>
      <c r="I1972" s="39"/>
    </row>
    <row r="1973" spans="6:9" x14ac:dyDescent="0.25">
      <c r="F1973" s="39"/>
      <c r="G1973" s="39"/>
      <c r="H1973" s="39"/>
      <c r="I1973" s="39"/>
    </row>
    <row r="1974" spans="6:9" x14ac:dyDescent="0.25">
      <c r="F1974" s="39"/>
      <c r="G1974" s="39"/>
      <c r="H1974" s="39"/>
      <c r="I1974" s="39"/>
    </row>
    <row r="1975" spans="6:9" x14ac:dyDescent="0.25">
      <c r="F1975" s="39"/>
      <c r="G1975" s="39"/>
      <c r="H1975" s="39"/>
      <c r="I1975" s="39"/>
    </row>
    <row r="1976" spans="6:9" x14ac:dyDescent="0.25">
      <c r="F1976" s="39"/>
      <c r="G1976" s="39"/>
      <c r="H1976" s="39"/>
      <c r="I1976" s="39"/>
    </row>
    <row r="1977" spans="6:9" x14ac:dyDescent="0.25">
      <c r="F1977" s="39"/>
      <c r="G1977" s="39"/>
      <c r="H1977" s="39"/>
      <c r="I1977" s="39"/>
    </row>
    <row r="1978" spans="6:9" x14ac:dyDescent="0.25">
      <c r="F1978" s="39"/>
      <c r="G1978" s="39"/>
      <c r="H1978" s="39"/>
      <c r="I1978" s="39"/>
    </row>
    <row r="1979" spans="6:9" x14ac:dyDescent="0.25">
      <c r="F1979" s="39"/>
      <c r="G1979" s="39"/>
      <c r="H1979" s="39"/>
      <c r="I1979" s="39"/>
    </row>
    <row r="1980" spans="6:9" x14ac:dyDescent="0.25">
      <c r="F1980" s="39"/>
      <c r="G1980" s="39"/>
      <c r="H1980" s="39"/>
      <c r="I1980" s="39"/>
    </row>
    <row r="1981" spans="6:9" x14ac:dyDescent="0.25">
      <c r="F1981" s="39"/>
      <c r="G1981" s="39"/>
      <c r="H1981" s="39"/>
      <c r="I1981" s="39"/>
    </row>
    <row r="1982" spans="6:9" x14ac:dyDescent="0.25">
      <c r="F1982" s="39"/>
      <c r="G1982" s="39"/>
      <c r="H1982" s="39"/>
      <c r="I1982" s="39"/>
    </row>
    <row r="1983" spans="6:9" x14ac:dyDescent="0.25">
      <c r="F1983" s="39"/>
      <c r="G1983" s="39"/>
      <c r="H1983" s="39"/>
      <c r="I1983" s="39"/>
    </row>
    <row r="1984" spans="6:9" x14ac:dyDescent="0.25">
      <c r="F1984" s="39"/>
      <c r="G1984" s="39"/>
      <c r="H1984" s="39"/>
      <c r="I1984" s="39"/>
    </row>
    <row r="1985" spans="6:9" x14ac:dyDescent="0.25">
      <c r="F1985" s="39"/>
      <c r="G1985" s="39"/>
      <c r="H1985" s="39"/>
      <c r="I1985" s="39"/>
    </row>
    <row r="1986" spans="6:9" x14ac:dyDescent="0.25">
      <c r="F1986" s="39"/>
      <c r="G1986" s="39"/>
      <c r="H1986" s="39"/>
      <c r="I1986" s="39"/>
    </row>
    <row r="1987" spans="6:9" x14ac:dyDescent="0.25">
      <c r="F1987" s="39"/>
      <c r="G1987" s="39"/>
      <c r="H1987" s="39"/>
      <c r="I1987" s="39"/>
    </row>
    <row r="1988" spans="6:9" x14ac:dyDescent="0.25">
      <c r="F1988" s="39"/>
      <c r="G1988" s="39"/>
      <c r="H1988" s="39"/>
      <c r="I1988" s="39"/>
    </row>
    <row r="1989" spans="6:9" x14ac:dyDescent="0.25">
      <c r="F1989" s="39"/>
      <c r="G1989" s="39"/>
      <c r="H1989" s="39"/>
      <c r="I1989" s="39"/>
    </row>
    <row r="1990" spans="6:9" x14ac:dyDescent="0.25">
      <c r="F1990" s="39"/>
      <c r="G1990" s="39"/>
      <c r="H1990" s="39"/>
      <c r="I1990" s="39"/>
    </row>
    <row r="1991" spans="6:9" x14ac:dyDescent="0.25">
      <c r="F1991" s="39"/>
      <c r="G1991" s="39"/>
      <c r="H1991" s="39"/>
      <c r="I1991" s="39"/>
    </row>
    <row r="1992" spans="6:9" x14ac:dyDescent="0.25">
      <c r="F1992" s="39"/>
      <c r="G1992" s="39"/>
      <c r="H1992" s="39"/>
      <c r="I1992" s="39"/>
    </row>
    <row r="1993" spans="6:9" x14ac:dyDescent="0.25">
      <c r="F1993" s="39"/>
      <c r="G1993" s="39"/>
      <c r="H1993" s="39"/>
      <c r="I1993" s="39"/>
    </row>
    <row r="1994" spans="6:9" x14ac:dyDescent="0.25">
      <c r="F1994" s="39"/>
      <c r="G1994" s="39"/>
      <c r="H1994" s="39"/>
      <c r="I1994" s="39"/>
    </row>
    <row r="1995" spans="6:9" x14ac:dyDescent="0.25">
      <c r="F1995" s="39"/>
      <c r="G1995" s="39"/>
      <c r="H1995" s="39"/>
      <c r="I1995" s="39"/>
    </row>
    <row r="1996" spans="6:9" x14ac:dyDescent="0.25">
      <c r="F1996" s="39"/>
      <c r="G1996" s="39"/>
      <c r="H1996" s="39"/>
      <c r="I1996" s="39"/>
    </row>
    <row r="1997" spans="6:9" x14ac:dyDescent="0.25">
      <c r="F1997" s="39"/>
      <c r="G1997" s="39"/>
      <c r="H1997" s="39"/>
      <c r="I1997" s="39"/>
    </row>
    <row r="1998" spans="6:9" x14ac:dyDescent="0.25">
      <c r="F1998" s="39"/>
      <c r="G1998" s="39"/>
      <c r="H1998" s="39"/>
      <c r="I1998" s="39"/>
    </row>
    <row r="1999" spans="6:9" x14ac:dyDescent="0.25">
      <c r="F1999" s="39"/>
      <c r="G1999" s="39"/>
      <c r="H1999" s="39"/>
      <c r="I1999" s="39"/>
    </row>
    <row r="2000" spans="6:9" x14ac:dyDescent="0.25">
      <c r="F2000" s="39"/>
      <c r="G2000" s="39"/>
      <c r="H2000" s="39"/>
      <c r="I2000" s="39"/>
    </row>
    <row r="2001" spans="6:9" x14ac:dyDescent="0.25">
      <c r="F2001" s="39"/>
      <c r="G2001" s="39"/>
      <c r="H2001" s="39"/>
      <c r="I2001" s="39"/>
    </row>
    <row r="2002" spans="6:9" x14ac:dyDescent="0.25">
      <c r="F2002" s="39"/>
      <c r="G2002" s="39"/>
      <c r="H2002" s="39"/>
      <c r="I2002" s="39"/>
    </row>
    <row r="2003" spans="6:9" x14ac:dyDescent="0.25">
      <c r="F2003" s="39"/>
      <c r="G2003" s="39"/>
      <c r="H2003" s="39"/>
      <c r="I2003" s="39"/>
    </row>
    <row r="2004" spans="6:9" x14ac:dyDescent="0.25">
      <c r="F2004" s="39"/>
      <c r="G2004" s="39"/>
      <c r="H2004" s="39"/>
      <c r="I2004" s="39"/>
    </row>
    <row r="2005" spans="6:9" x14ac:dyDescent="0.25">
      <c r="F2005" s="39"/>
      <c r="G2005" s="39"/>
      <c r="H2005" s="39"/>
      <c r="I2005" s="39"/>
    </row>
    <row r="2006" spans="6:9" x14ac:dyDescent="0.25">
      <c r="F2006" s="39"/>
      <c r="G2006" s="39"/>
      <c r="H2006" s="39"/>
      <c r="I2006" s="39"/>
    </row>
    <row r="2007" spans="6:9" x14ac:dyDescent="0.25">
      <c r="F2007" s="39"/>
      <c r="G2007" s="39"/>
      <c r="H2007" s="39"/>
      <c r="I2007" s="39"/>
    </row>
    <row r="2008" spans="6:9" x14ac:dyDescent="0.25">
      <c r="F2008" s="39"/>
      <c r="G2008" s="39"/>
      <c r="H2008" s="39"/>
      <c r="I2008" s="39"/>
    </row>
    <row r="2009" spans="6:9" x14ac:dyDescent="0.25">
      <c r="F2009" s="39"/>
      <c r="G2009" s="39"/>
      <c r="H2009" s="39"/>
      <c r="I2009" s="39"/>
    </row>
    <row r="2010" spans="6:9" x14ac:dyDescent="0.25">
      <c r="F2010" s="39"/>
      <c r="G2010" s="39"/>
      <c r="H2010" s="39"/>
      <c r="I2010" s="39"/>
    </row>
    <row r="2011" spans="6:9" x14ac:dyDescent="0.25">
      <c r="F2011" s="39"/>
      <c r="G2011" s="39"/>
      <c r="H2011" s="39"/>
      <c r="I2011" s="39"/>
    </row>
    <row r="2012" spans="6:9" x14ac:dyDescent="0.25">
      <c r="F2012" s="39"/>
      <c r="G2012" s="39"/>
      <c r="H2012" s="39"/>
      <c r="I2012" s="39"/>
    </row>
    <row r="2013" spans="6:9" x14ac:dyDescent="0.25">
      <c r="F2013" s="39"/>
      <c r="G2013" s="39"/>
      <c r="H2013" s="39"/>
      <c r="I2013" s="39"/>
    </row>
    <row r="2014" spans="6:9" x14ac:dyDescent="0.25">
      <c r="F2014" s="39"/>
      <c r="G2014" s="39"/>
      <c r="H2014" s="39"/>
      <c r="I2014" s="39"/>
    </row>
    <row r="2015" spans="6:9" x14ac:dyDescent="0.25">
      <c r="F2015" s="39"/>
      <c r="G2015" s="39"/>
      <c r="H2015" s="39"/>
      <c r="I2015" s="39"/>
    </row>
    <row r="2016" spans="6:9" x14ac:dyDescent="0.25">
      <c r="F2016" s="39"/>
      <c r="G2016" s="39"/>
      <c r="H2016" s="39"/>
      <c r="I2016" s="39"/>
    </row>
    <row r="2017" spans="6:9" x14ac:dyDescent="0.25">
      <c r="F2017" s="39"/>
      <c r="G2017" s="39"/>
      <c r="H2017" s="39"/>
      <c r="I2017" s="39"/>
    </row>
    <row r="2018" spans="6:9" x14ac:dyDescent="0.25">
      <c r="F2018" s="39"/>
      <c r="G2018" s="39"/>
      <c r="H2018" s="39"/>
      <c r="I2018" s="39"/>
    </row>
    <row r="2019" spans="6:9" x14ac:dyDescent="0.25">
      <c r="F2019" s="39"/>
      <c r="G2019" s="39"/>
      <c r="H2019" s="39"/>
      <c r="I2019" s="39"/>
    </row>
    <row r="2020" spans="6:9" x14ac:dyDescent="0.25">
      <c r="F2020" s="39"/>
      <c r="G2020" s="39"/>
      <c r="H2020" s="39"/>
      <c r="I2020" s="39"/>
    </row>
    <row r="2021" spans="6:9" x14ac:dyDescent="0.25">
      <c r="F2021" s="39"/>
      <c r="G2021" s="39"/>
      <c r="H2021" s="39"/>
      <c r="I2021" s="39"/>
    </row>
    <row r="2022" spans="6:9" x14ac:dyDescent="0.25">
      <c r="F2022" s="39"/>
      <c r="G2022" s="39"/>
      <c r="H2022" s="39"/>
      <c r="I2022" s="39"/>
    </row>
    <row r="2023" spans="6:9" x14ac:dyDescent="0.25">
      <c r="F2023" s="39"/>
      <c r="G2023" s="39"/>
      <c r="H2023" s="39"/>
      <c r="I2023" s="39"/>
    </row>
    <row r="2024" spans="6:9" x14ac:dyDescent="0.25">
      <c r="F2024" s="39"/>
      <c r="G2024" s="39"/>
      <c r="H2024" s="39"/>
      <c r="I2024" s="39"/>
    </row>
    <row r="2025" spans="6:9" x14ac:dyDescent="0.25">
      <c r="F2025" s="39"/>
      <c r="G2025" s="39"/>
      <c r="H2025" s="39"/>
      <c r="I2025" s="39"/>
    </row>
    <row r="2026" spans="6:9" x14ac:dyDescent="0.25">
      <c r="F2026" s="39"/>
      <c r="G2026" s="39"/>
      <c r="H2026" s="39"/>
      <c r="I2026" s="39"/>
    </row>
    <row r="2027" spans="6:9" x14ac:dyDescent="0.25">
      <c r="F2027" s="39"/>
      <c r="G2027" s="39"/>
      <c r="H2027" s="39"/>
      <c r="I2027" s="39"/>
    </row>
    <row r="2028" spans="6:9" x14ac:dyDescent="0.25">
      <c r="F2028" s="39"/>
      <c r="G2028" s="39"/>
      <c r="H2028" s="39"/>
      <c r="I2028" s="39"/>
    </row>
    <row r="2029" spans="6:9" x14ac:dyDescent="0.25">
      <c r="F2029" s="39"/>
      <c r="G2029" s="39"/>
      <c r="H2029" s="39"/>
      <c r="I2029" s="39"/>
    </row>
    <row r="2030" spans="6:9" x14ac:dyDescent="0.25">
      <c r="F2030" s="39"/>
      <c r="G2030" s="39"/>
      <c r="H2030" s="39"/>
      <c r="I2030" s="39"/>
    </row>
    <row r="2031" spans="6:9" x14ac:dyDescent="0.25">
      <c r="F2031" s="39"/>
      <c r="G2031" s="39"/>
      <c r="H2031" s="39"/>
      <c r="I2031" s="39"/>
    </row>
    <row r="2032" spans="6:9" x14ac:dyDescent="0.25">
      <c r="F2032" s="39"/>
      <c r="G2032" s="39"/>
      <c r="H2032" s="39"/>
      <c r="I2032" s="39"/>
    </row>
    <row r="2033" spans="6:9" x14ac:dyDescent="0.25">
      <c r="F2033" s="39"/>
      <c r="G2033" s="39"/>
      <c r="H2033" s="39"/>
      <c r="I2033" s="39"/>
    </row>
    <row r="2034" spans="6:9" x14ac:dyDescent="0.25">
      <c r="F2034" s="39"/>
      <c r="G2034" s="39"/>
      <c r="H2034" s="39"/>
      <c r="I2034" s="39"/>
    </row>
    <row r="2035" spans="6:9" x14ac:dyDescent="0.25">
      <c r="F2035" s="39"/>
      <c r="G2035" s="39"/>
      <c r="H2035" s="39"/>
      <c r="I2035" s="39"/>
    </row>
    <row r="2036" spans="6:9" x14ac:dyDescent="0.25">
      <c r="F2036" s="39"/>
      <c r="G2036" s="39"/>
      <c r="H2036" s="39"/>
      <c r="I2036" s="39"/>
    </row>
    <row r="2037" spans="6:9" x14ac:dyDescent="0.25">
      <c r="F2037" s="39"/>
      <c r="G2037" s="39"/>
      <c r="H2037" s="39"/>
      <c r="I2037" s="39"/>
    </row>
    <row r="2038" spans="6:9" x14ac:dyDescent="0.25">
      <c r="F2038" s="39"/>
      <c r="G2038" s="39"/>
      <c r="H2038" s="39"/>
      <c r="I2038" s="39"/>
    </row>
    <row r="2039" spans="6:9" x14ac:dyDescent="0.25">
      <c r="F2039" s="39"/>
      <c r="G2039" s="39"/>
      <c r="H2039" s="39"/>
      <c r="I2039" s="39"/>
    </row>
    <row r="2040" spans="6:9" x14ac:dyDescent="0.25">
      <c r="F2040" s="39"/>
      <c r="G2040" s="39"/>
      <c r="H2040" s="39"/>
      <c r="I2040" s="39"/>
    </row>
    <row r="2041" spans="6:9" x14ac:dyDescent="0.25">
      <c r="F2041" s="39"/>
      <c r="G2041" s="39"/>
      <c r="H2041" s="39"/>
      <c r="I2041" s="39"/>
    </row>
    <row r="2042" spans="6:9" x14ac:dyDescent="0.25">
      <c r="F2042" s="39"/>
      <c r="G2042" s="39"/>
      <c r="H2042" s="39"/>
      <c r="I2042" s="39"/>
    </row>
    <row r="2043" spans="6:9" x14ac:dyDescent="0.25">
      <c r="F2043" s="39"/>
      <c r="G2043" s="39"/>
      <c r="H2043" s="39"/>
      <c r="I2043" s="39"/>
    </row>
    <row r="2044" spans="6:9" x14ac:dyDescent="0.25">
      <c r="F2044" s="39"/>
      <c r="G2044" s="39"/>
      <c r="H2044" s="39"/>
      <c r="I2044" s="39"/>
    </row>
    <row r="2045" spans="6:9" x14ac:dyDescent="0.25">
      <c r="F2045" s="39"/>
      <c r="G2045" s="39"/>
      <c r="H2045" s="39"/>
      <c r="I2045" s="39"/>
    </row>
    <row r="2046" spans="6:9" x14ac:dyDescent="0.25">
      <c r="F2046" s="39"/>
      <c r="G2046" s="39"/>
      <c r="H2046" s="39"/>
      <c r="I2046" s="39"/>
    </row>
    <row r="2047" spans="6:9" x14ac:dyDescent="0.25">
      <c r="F2047" s="39"/>
      <c r="G2047" s="39"/>
      <c r="H2047" s="39"/>
      <c r="I2047" s="39"/>
    </row>
    <row r="2048" spans="6:9" x14ac:dyDescent="0.25">
      <c r="F2048" s="39"/>
      <c r="G2048" s="39"/>
      <c r="H2048" s="39"/>
      <c r="I2048" s="39"/>
    </row>
    <row r="2049" spans="6:9" x14ac:dyDescent="0.25">
      <c r="F2049" s="39"/>
      <c r="G2049" s="39"/>
      <c r="H2049" s="39"/>
      <c r="I2049" s="39"/>
    </row>
    <row r="2050" spans="6:9" x14ac:dyDescent="0.25">
      <c r="F2050" s="39"/>
      <c r="G2050" s="39"/>
      <c r="H2050" s="39"/>
      <c r="I2050" s="39"/>
    </row>
    <row r="2051" spans="6:9" x14ac:dyDescent="0.25">
      <c r="F2051" s="39"/>
      <c r="G2051" s="39"/>
      <c r="H2051" s="39"/>
      <c r="I2051" s="39"/>
    </row>
    <row r="2052" spans="6:9" x14ac:dyDescent="0.25">
      <c r="F2052" s="39"/>
      <c r="G2052" s="39"/>
      <c r="H2052" s="39"/>
      <c r="I2052" s="39"/>
    </row>
    <row r="2053" spans="6:9" x14ac:dyDescent="0.25">
      <c r="F2053" s="39"/>
      <c r="G2053" s="39"/>
      <c r="H2053" s="39"/>
      <c r="I2053" s="39"/>
    </row>
    <row r="2054" spans="6:9" x14ac:dyDescent="0.25">
      <c r="F2054" s="39"/>
      <c r="G2054" s="39"/>
      <c r="H2054" s="39"/>
      <c r="I2054" s="39"/>
    </row>
    <row r="2055" spans="6:9" x14ac:dyDescent="0.25">
      <c r="F2055" s="39"/>
      <c r="G2055" s="39"/>
      <c r="H2055" s="39"/>
      <c r="I2055" s="39"/>
    </row>
    <row r="2056" spans="6:9" x14ac:dyDescent="0.25">
      <c r="F2056" s="39"/>
      <c r="G2056" s="39"/>
      <c r="H2056" s="39"/>
      <c r="I2056" s="39"/>
    </row>
    <row r="2057" spans="6:9" x14ac:dyDescent="0.25">
      <c r="F2057" s="39"/>
      <c r="G2057" s="39"/>
      <c r="H2057" s="39"/>
      <c r="I2057" s="39"/>
    </row>
    <row r="2058" spans="6:9" x14ac:dyDescent="0.25">
      <c r="F2058" s="39"/>
      <c r="G2058" s="39"/>
      <c r="H2058" s="39"/>
      <c r="I2058" s="39"/>
    </row>
    <row r="2059" spans="6:9" x14ac:dyDescent="0.25">
      <c r="F2059" s="39"/>
      <c r="G2059" s="39"/>
      <c r="H2059" s="39"/>
      <c r="I2059" s="39"/>
    </row>
    <row r="2060" spans="6:9" x14ac:dyDescent="0.25">
      <c r="F2060" s="39"/>
      <c r="G2060" s="39"/>
      <c r="H2060" s="39"/>
      <c r="I2060" s="39"/>
    </row>
    <row r="2061" spans="6:9" x14ac:dyDescent="0.25">
      <c r="F2061" s="39"/>
      <c r="G2061" s="39"/>
      <c r="H2061" s="39"/>
      <c r="I2061" s="39"/>
    </row>
    <row r="2062" spans="6:9" x14ac:dyDescent="0.25">
      <c r="F2062" s="39"/>
      <c r="G2062" s="39"/>
      <c r="H2062" s="39"/>
      <c r="I2062" s="39"/>
    </row>
    <row r="2063" spans="6:9" x14ac:dyDescent="0.25">
      <c r="F2063" s="39"/>
      <c r="G2063" s="39"/>
      <c r="H2063" s="39"/>
      <c r="I2063" s="39"/>
    </row>
    <row r="2064" spans="6:9" x14ac:dyDescent="0.25">
      <c r="F2064" s="39"/>
      <c r="G2064" s="39"/>
      <c r="H2064" s="39"/>
      <c r="I2064" s="39"/>
    </row>
    <row r="2065" spans="6:9" x14ac:dyDescent="0.25">
      <c r="F2065" s="39"/>
      <c r="G2065" s="39"/>
      <c r="H2065" s="39"/>
      <c r="I2065" s="39"/>
    </row>
    <row r="2066" spans="6:9" x14ac:dyDescent="0.25">
      <c r="F2066" s="39"/>
      <c r="G2066" s="39"/>
      <c r="H2066" s="39"/>
      <c r="I2066" s="39"/>
    </row>
    <row r="2067" spans="6:9" x14ac:dyDescent="0.25">
      <c r="F2067" s="39"/>
      <c r="G2067" s="39"/>
      <c r="H2067" s="39"/>
      <c r="I2067" s="39"/>
    </row>
    <row r="2068" spans="6:9" x14ac:dyDescent="0.25">
      <c r="F2068" s="39"/>
      <c r="G2068" s="39"/>
      <c r="H2068" s="39"/>
      <c r="I2068" s="39"/>
    </row>
    <row r="2069" spans="6:9" x14ac:dyDescent="0.25">
      <c r="F2069" s="39"/>
      <c r="G2069" s="39"/>
      <c r="H2069" s="39"/>
      <c r="I2069" s="39"/>
    </row>
    <row r="2070" spans="6:9" x14ac:dyDescent="0.25">
      <c r="F2070" s="39"/>
      <c r="G2070" s="39"/>
      <c r="H2070" s="39"/>
      <c r="I2070" s="39"/>
    </row>
    <row r="2071" spans="6:9" x14ac:dyDescent="0.25">
      <c r="F2071" s="39"/>
      <c r="G2071" s="39"/>
      <c r="H2071" s="39"/>
      <c r="I2071" s="39"/>
    </row>
    <row r="2072" spans="6:9" x14ac:dyDescent="0.25">
      <c r="F2072" s="39"/>
      <c r="G2072" s="39"/>
      <c r="H2072" s="39"/>
      <c r="I2072" s="39"/>
    </row>
    <row r="2073" spans="6:9" x14ac:dyDescent="0.25">
      <c r="F2073" s="39"/>
      <c r="G2073" s="39"/>
      <c r="H2073" s="39"/>
      <c r="I2073" s="39"/>
    </row>
    <row r="2074" spans="6:9" x14ac:dyDescent="0.25">
      <c r="F2074" s="39"/>
      <c r="G2074" s="39"/>
      <c r="H2074" s="39"/>
      <c r="I2074" s="39"/>
    </row>
    <row r="2075" spans="6:9" x14ac:dyDescent="0.25">
      <c r="F2075" s="39"/>
      <c r="G2075" s="39"/>
      <c r="H2075" s="39"/>
      <c r="I2075" s="39"/>
    </row>
    <row r="2076" spans="6:9" x14ac:dyDescent="0.25">
      <c r="F2076" s="39"/>
      <c r="G2076" s="39"/>
      <c r="H2076" s="39"/>
      <c r="I2076" s="39"/>
    </row>
    <row r="2077" spans="6:9" x14ac:dyDescent="0.25">
      <c r="F2077" s="39"/>
      <c r="G2077" s="39"/>
      <c r="H2077" s="39"/>
      <c r="I2077" s="39"/>
    </row>
    <row r="2078" spans="6:9" x14ac:dyDescent="0.25">
      <c r="F2078" s="39"/>
      <c r="G2078" s="39"/>
      <c r="H2078" s="39"/>
      <c r="I2078" s="39"/>
    </row>
    <row r="2079" spans="6:9" x14ac:dyDescent="0.25">
      <c r="F2079" s="39"/>
      <c r="G2079" s="39"/>
      <c r="H2079" s="39"/>
      <c r="I2079" s="39"/>
    </row>
    <row r="2080" spans="6:9" x14ac:dyDescent="0.25">
      <c r="F2080" s="39"/>
      <c r="G2080" s="39"/>
      <c r="H2080" s="39"/>
      <c r="I2080" s="39"/>
    </row>
    <row r="2081" spans="6:9" x14ac:dyDescent="0.25">
      <c r="F2081" s="39"/>
      <c r="G2081" s="39"/>
      <c r="H2081" s="39"/>
      <c r="I2081" s="39"/>
    </row>
    <row r="2082" spans="6:9" x14ac:dyDescent="0.25">
      <c r="F2082" s="39"/>
      <c r="G2082" s="39"/>
      <c r="H2082" s="39"/>
      <c r="I2082" s="39"/>
    </row>
    <row r="2083" spans="6:9" x14ac:dyDescent="0.25">
      <c r="F2083" s="39"/>
      <c r="G2083" s="39"/>
      <c r="H2083" s="39"/>
      <c r="I2083" s="39"/>
    </row>
    <row r="2084" spans="6:9" x14ac:dyDescent="0.25">
      <c r="F2084" s="39"/>
      <c r="G2084" s="39"/>
      <c r="H2084" s="39"/>
      <c r="I2084" s="39"/>
    </row>
    <row r="2085" spans="6:9" x14ac:dyDescent="0.25">
      <c r="F2085" s="39"/>
      <c r="G2085" s="39"/>
      <c r="H2085" s="39"/>
      <c r="I2085" s="39"/>
    </row>
    <row r="2086" spans="6:9" x14ac:dyDescent="0.25">
      <c r="F2086" s="39"/>
      <c r="G2086" s="39"/>
      <c r="H2086" s="39"/>
      <c r="I2086" s="39"/>
    </row>
    <row r="2087" spans="6:9" x14ac:dyDescent="0.25">
      <c r="F2087" s="39"/>
      <c r="G2087" s="39"/>
      <c r="H2087" s="39"/>
      <c r="I2087" s="39"/>
    </row>
    <row r="2088" spans="6:9" x14ac:dyDescent="0.25">
      <c r="F2088" s="39"/>
      <c r="G2088" s="39"/>
      <c r="H2088" s="39"/>
      <c r="I2088" s="39"/>
    </row>
    <row r="2089" spans="6:9" x14ac:dyDescent="0.25">
      <c r="F2089" s="39"/>
      <c r="G2089" s="39"/>
      <c r="H2089" s="39"/>
      <c r="I2089" s="39"/>
    </row>
    <row r="2090" spans="6:9" x14ac:dyDescent="0.25">
      <c r="F2090" s="39"/>
      <c r="G2090" s="39"/>
      <c r="H2090" s="39"/>
      <c r="I2090" s="39"/>
    </row>
    <row r="2091" spans="6:9" x14ac:dyDescent="0.25">
      <c r="F2091" s="39"/>
      <c r="G2091" s="39"/>
      <c r="H2091" s="39"/>
      <c r="I2091" s="39"/>
    </row>
    <row r="2092" spans="6:9" x14ac:dyDescent="0.25">
      <c r="F2092" s="39"/>
      <c r="G2092" s="39"/>
      <c r="H2092" s="39"/>
      <c r="I2092" s="39"/>
    </row>
    <row r="2093" spans="6:9" x14ac:dyDescent="0.25">
      <c r="F2093" s="39"/>
      <c r="G2093" s="39"/>
      <c r="H2093" s="39"/>
      <c r="I2093" s="39"/>
    </row>
    <row r="2094" spans="6:9" x14ac:dyDescent="0.25">
      <c r="F2094" s="39"/>
      <c r="G2094" s="39"/>
      <c r="H2094" s="39"/>
      <c r="I2094" s="39"/>
    </row>
    <row r="2095" spans="6:9" x14ac:dyDescent="0.25">
      <c r="F2095" s="39"/>
      <c r="G2095" s="39"/>
      <c r="H2095" s="39"/>
      <c r="I2095" s="39"/>
    </row>
    <row r="2096" spans="6:9" x14ac:dyDescent="0.25">
      <c r="F2096" s="39"/>
      <c r="G2096" s="39"/>
      <c r="H2096" s="39"/>
      <c r="I2096" s="39"/>
    </row>
    <row r="2097" spans="6:9" x14ac:dyDescent="0.25">
      <c r="F2097" s="39"/>
      <c r="G2097" s="39"/>
      <c r="H2097" s="39"/>
      <c r="I2097" s="39"/>
    </row>
    <row r="2098" spans="6:9" x14ac:dyDescent="0.25">
      <c r="F2098" s="39"/>
      <c r="G2098" s="39"/>
      <c r="H2098" s="39"/>
      <c r="I2098" s="39"/>
    </row>
    <row r="2099" spans="6:9" x14ac:dyDescent="0.25">
      <c r="F2099" s="39"/>
      <c r="G2099" s="39"/>
      <c r="H2099" s="39"/>
      <c r="I2099" s="39"/>
    </row>
    <row r="2100" spans="6:9" x14ac:dyDescent="0.25">
      <c r="F2100" s="39"/>
      <c r="G2100" s="39"/>
      <c r="H2100" s="39"/>
      <c r="I2100" s="39"/>
    </row>
    <row r="2101" spans="6:9" x14ac:dyDescent="0.25">
      <c r="F2101" s="39"/>
      <c r="G2101" s="39"/>
      <c r="H2101" s="39"/>
      <c r="I2101" s="39"/>
    </row>
    <row r="2102" spans="6:9" x14ac:dyDescent="0.25">
      <c r="F2102" s="39"/>
      <c r="G2102" s="39"/>
      <c r="H2102" s="39"/>
      <c r="I2102" s="39"/>
    </row>
    <row r="2103" spans="6:9" x14ac:dyDescent="0.25">
      <c r="F2103" s="39"/>
      <c r="G2103" s="39"/>
      <c r="H2103" s="39"/>
      <c r="I2103" s="39"/>
    </row>
    <row r="2104" spans="6:9" x14ac:dyDescent="0.25">
      <c r="F2104" s="39"/>
      <c r="G2104" s="39"/>
      <c r="H2104" s="39"/>
      <c r="I2104" s="39"/>
    </row>
    <row r="2105" spans="6:9" x14ac:dyDescent="0.25">
      <c r="F2105" s="39"/>
      <c r="G2105" s="39"/>
      <c r="H2105" s="39"/>
      <c r="I2105" s="39"/>
    </row>
    <row r="2106" spans="6:9" x14ac:dyDescent="0.25">
      <c r="F2106" s="39"/>
      <c r="G2106" s="39"/>
      <c r="H2106" s="39"/>
      <c r="I2106" s="39"/>
    </row>
    <row r="2107" spans="6:9" x14ac:dyDescent="0.25">
      <c r="F2107" s="39"/>
      <c r="G2107" s="39"/>
      <c r="H2107" s="39"/>
      <c r="I2107" s="39"/>
    </row>
    <row r="2108" spans="6:9" x14ac:dyDescent="0.25">
      <c r="F2108" s="39"/>
      <c r="G2108" s="39"/>
      <c r="H2108" s="39"/>
      <c r="I2108" s="39"/>
    </row>
    <row r="2109" spans="6:9" x14ac:dyDescent="0.25">
      <c r="F2109" s="39"/>
      <c r="G2109" s="39"/>
      <c r="H2109" s="39"/>
      <c r="I2109" s="39"/>
    </row>
    <row r="2110" spans="6:9" x14ac:dyDescent="0.25">
      <c r="F2110" s="39"/>
      <c r="G2110" s="39"/>
      <c r="H2110" s="39"/>
      <c r="I2110" s="39"/>
    </row>
    <row r="2111" spans="6:9" x14ac:dyDescent="0.25">
      <c r="F2111" s="39"/>
      <c r="G2111" s="39"/>
      <c r="H2111" s="39"/>
      <c r="I2111" s="39"/>
    </row>
    <row r="2112" spans="6:9" x14ac:dyDescent="0.25">
      <c r="F2112" s="39"/>
      <c r="G2112" s="39"/>
      <c r="H2112" s="39"/>
      <c r="I2112" s="39"/>
    </row>
    <row r="2113" spans="6:9" x14ac:dyDescent="0.25">
      <c r="F2113" s="39"/>
      <c r="G2113" s="39"/>
      <c r="H2113" s="39"/>
      <c r="I2113" s="39"/>
    </row>
    <row r="2114" spans="6:9" x14ac:dyDescent="0.25">
      <c r="F2114" s="39"/>
      <c r="G2114" s="39"/>
      <c r="H2114" s="39"/>
      <c r="I2114" s="39"/>
    </row>
    <row r="2115" spans="6:9" x14ac:dyDescent="0.25">
      <c r="F2115" s="39"/>
      <c r="G2115" s="39"/>
      <c r="H2115" s="39"/>
      <c r="I2115" s="39"/>
    </row>
    <row r="2116" spans="6:9" x14ac:dyDescent="0.25">
      <c r="F2116" s="39"/>
      <c r="G2116" s="39"/>
      <c r="H2116" s="39"/>
      <c r="I2116" s="39"/>
    </row>
    <row r="2117" spans="6:9" x14ac:dyDescent="0.25">
      <c r="F2117" s="39"/>
      <c r="G2117" s="39"/>
      <c r="H2117" s="39"/>
      <c r="I2117" s="39"/>
    </row>
    <row r="2118" spans="6:9" x14ac:dyDescent="0.25">
      <c r="F2118" s="39"/>
      <c r="G2118" s="39"/>
      <c r="H2118" s="39"/>
      <c r="I2118" s="39"/>
    </row>
    <row r="2119" spans="6:9" x14ac:dyDescent="0.25">
      <c r="F2119" s="39"/>
      <c r="G2119" s="39"/>
      <c r="H2119" s="39"/>
      <c r="I2119" s="39"/>
    </row>
    <row r="2120" spans="6:9" x14ac:dyDescent="0.25">
      <c r="F2120" s="39"/>
      <c r="G2120" s="39"/>
      <c r="H2120" s="39"/>
      <c r="I2120" s="39"/>
    </row>
    <row r="2121" spans="6:9" x14ac:dyDescent="0.25">
      <c r="F2121" s="39"/>
      <c r="G2121" s="39"/>
      <c r="H2121" s="39"/>
      <c r="I2121" s="39"/>
    </row>
    <row r="2122" spans="6:9" x14ac:dyDescent="0.25">
      <c r="F2122" s="39"/>
      <c r="G2122" s="39"/>
      <c r="H2122" s="39"/>
      <c r="I2122" s="39"/>
    </row>
    <row r="2123" spans="6:9" x14ac:dyDescent="0.25">
      <c r="F2123" s="39"/>
      <c r="G2123" s="39"/>
      <c r="H2123" s="39"/>
      <c r="I2123" s="39"/>
    </row>
    <row r="2124" spans="6:9" x14ac:dyDescent="0.25">
      <c r="F2124" s="39"/>
      <c r="G2124" s="39"/>
      <c r="H2124" s="39"/>
      <c r="I2124" s="39"/>
    </row>
    <row r="2125" spans="6:9" x14ac:dyDescent="0.25">
      <c r="F2125" s="39"/>
      <c r="G2125" s="39"/>
      <c r="H2125" s="39"/>
      <c r="I2125" s="39"/>
    </row>
    <row r="2126" spans="6:9" x14ac:dyDescent="0.25">
      <c r="F2126" s="39"/>
      <c r="G2126" s="39"/>
      <c r="H2126" s="39"/>
      <c r="I2126" s="39"/>
    </row>
    <row r="2127" spans="6:9" x14ac:dyDescent="0.25">
      <c r="F2127" s="39"/>
      <c r="G2127" s="39"/>
      <c r="H2127" s="39"/>
      <c r="I2127" s="39"/>
    </row>
    <row r="2128" spans="6:9" x14ac:dyDescent="0.25">
      <c r="F2128" s="39"/>
      <c r="G2128" s="39"/>
      <c r="H2128" s="39"/>
      <c r="I2128" s="39"/>
    </row>
    <row r="2129" spans="6:9" x14ac:dyDescent="0.25">
      <c r="F2129" s="39"/>
      <c r="G2129" s="39"/>
      <c r="H2129" s="39"/>
      <c r="I2129" s="39"/>
    </row>
    <row r="2130" spans="6:9" x14ac:dyDescent="0.25">
      <c r="F2130" s="39"/>
      <c r="G2130" s="39"/>
      <c r="H2130" s="39"/>
      <c r="I2130" s="39"/>
    </row>
    <row r="2131" spans="6:9" x14ac:dyDescent="0.25">
      <c r="F2131" s="39"/>
      <c r="G2131" s="39"/>
      <c r="H2131" s="39"/>
      <c r="I2131" s="39"/>
    </row>
    <row r="2132" spans="6:9" x14ac:dyDescent="0.25">
      <c r="F2132" s="39"/>
      <c r="G2132" s="39"/>
      <c r="H2132" s="39"/>
      <c r="I2132" s="39"/>
    </row>
    <row r="2133" spans="6:9" x14ac:dyDescent="0.25">
      <c r="F2133" s="39"/>
      <c r="G2133" s="39"/>
      <c r="H2133" s="39"/>
      <c r="I2133" s="39"/>
    </row>
    <row r="2134" spans="6:9" x14ac:dyDescent="0.25">
      <c r="F2134" s="39"/>
      <c r="G2134" s="39"/>
      <c r="H2134" s="39"/>
      <c r="I2134" s="39"/>
    </row>
    <row r="2135" spans="6:9" x14ac:dyDescent="0.25">
      <c r="F2135" s="39"/>
      <c r="G2135" s="39"/>
      <c r="H2135" s="39"/>
      <c r="I2135" s="39"/>
    </row>
    <row r="2136" spans="6:9" x14ac:dyDescent="0.25">
      <c r="F2136" s="39"/>
      <c r="G2136" s="39"/>
      <c r="H2136" s="39"/>
      <c r="I2136" s="39"/>
    </row>
    <row r="2137" spans="6:9" x14ac:dyDescent="0.25">
      <c r="F2137" s="39"/>
      <c r="G2137" s="39"/>
      <c r="H2137" s="39"/>
      <c r="I2137" s="39"/>
    </row>
    <row r="2138" spans="6:9" x14ac:dyDescent="0.25">
      <c r="F2138" s="39"/>
      <c r="G2138" s="39"/>
      <c r="H2138" s="39"/>
      <c r="I2138" s="39"/>
    </row>
    <row r="2139" spans="6:9" x14ac:dyDescent="0.25">
      <c r="F2139" s="39"/>
      <c r="G2139" s="39"/>
      <c r="H2139" s="39"/>
      <c r="I2139" s="39"/>
    </row>
    <row r="2140" spans="6:9" x14ac:dyDescent="0.25">
      <c r="F2140" s="39"/>
      <c r="G2140" s="39"/>
      <c r="H2140" s="39"/>
      <c r="I2140" s="39"/>
    </row>
    <row r="2141" spans="6:9" x14ac:dyDescent="0.25">
      <c r="F2141" s="39"/>
      <c r="G2141" s="39"/>
      <c r="H2141" s="39"/>
      <c r="I2141" s="39"/>
    </row>
    <row r="2142" spans="6:9" x14ac:dyDescent="0.25">
      <c r="F2142" s="39"/>
      <c r="G2142" s="39"/>
      <c r="H2142" s="39"/>
      <c r="I2142" s="39"/>
    </row>
    <row r="2143" spans="6:9" x14ac:dyDescent="0.25">
      <c r="F2143" s="39"/>
      <c r="G2143" s="39"/>
      <c r="H2143" s="39"/>
      <c r="I2143" s="39"/>
    </row>
    <row r="2144" spans="6:9" x14ac:dyDescent="0.25">
      <c r="F2144" s="39"/>
      <c r="G2144" s="39"/>
      <c r="H2144" s="39"/>
      <c r="I2144" s="39"/>
    </row>
    <row r="2145" spans="6:9" x14ac:dyDescent="0.25">
      <c r="F2145" s="39"/>
      <c r="G2145" s="39"/>
      <c r="H2145" s="39"/>
      <c r="I2145" s="39"/>
    </row>
    <row r="2146" spans="6:9" x14ac:dyDescent="0.25">
      <c r="F2146" s="39"/>
      <c r="G2146" s="39"/>
      <c r="H2146" s="39"/>
      <c r="I2146" s="39"/>
    </row>
    <row r="2147" spans="6:9" x14ac:dyDescent="0.25">
      <c r="F2147" s="39"/>
      <c r="G2147" s="39"/>
      <c r="H2147" s="39"/>
      <c r="I2147" s="39"/>
    </row>
    <row r="2148" spans="6:9" x14ac:dyDescent="0.25">
      <c r="F2148" s="39"/>
      <c r="G2148" s="39"/>
      <c r="H2148" s="39"/>
      <c r="I2148" s="39"/>
    </row>
    <row r="2149" spans="6:9" x14ac:dyDescent="0.25">
      <c r="F2149" s="39"/>
      <c r="G2149" s="39"/>
      <c r="H2149" s="39"/>
      <c r="I2149" s="39"/>
    </row>
    <row r="2150" spans="6:9" x14ac:dyDescent="0.25">
      <c r="F2150" s="39"/>
      <c r="G2150" s="39"/>
      <c r="H2150" s="39"/>
      <c r="I2150" s="39"/>
    </row>
    <row r="2151" spans="6:9" x14ac:dyDescent="0.25">
      <c r="F2151" s="39"/>
      <c r="G2151" s="39"/>
      <c r="H2151" s="39"/>
      <c r="I2151" s="39"/>
    </row>
    <row r="2152" spans="6:9" x14ac:dyDescent="0.25">
      <c r="F2152" s="39"/>
      <c r="G2152" s="39"/>
      <c r="H2152" s="39"/>
      <c r="I2152" s="39"/>
    </row>
    <row r="2153" spans="6:9" x14ac:dyDescent="0.25">
      <c r="F2153" s="39"/>
      <c r="G2153" s="39"/>
      <c r="H2153" s="39"/>
      <c r="I2153" s="39"/>
    </row>
    <row r="2154" spans="6:9" x14ac:dyDescent="0.25">
      <c r="F2154" s="39"/>
      <c r="G2154" s="39"/>
      <c r="H2154" s="39"/>
      <c r="I2154" s="39"/>
    </row>
    <row r="2155" spans="6:9" x14ac:dyDescent="0.25">
      <c r="F2155" s="39"/>
      <c r="G2155" s="39"/>
      <c r="H2155" s="39"/>
      <c r="I2155" s="39"/>
    </row>
    <row r="2156" spans="6:9" x14ac:dyDescent="0.25">
      <c r="F2156" s="39"/>
      <c r="G2156" s="39"/>
      <c r="H2156" s="39"/>
      <c r="I2156" s="39"/>
    </row>
    <row r="2157" spans="6:9" x14ac:dyDescent="0.25">
      <c r="F2157" s="39"/>
      <c r="G2157" s="39"/>
      <c r="H2157" s="39"/>
      <c r="I2157" s="39"/>
    </row>
    <row r="2158" spans="6:9" x14ac:dyDescent="0.25">
      <c r="F2158" s="39"/>
      <c r="G2158" s="39"/>
      <c r="H2158" s="39"/>
      <c r="I2158" s="39"/>
    </row>
    <row r="2159" spans="6:9" x14ac:dyDescent="0.25">
      <c r="F2159" s="39"/>
      <c r="G2159" s="39"/>
      <c r="H2159" s="39"/>
      <c r="I2159" s="39"/>
    </row>
    <row r="2160" spans="6:9" x14ac:dyDescent="0.25">
      <c r="F2160" s="39"/>
      <c r="G2160" s="39"/>
      <c r="H2160" s="39"/>
      <c r="I2160" s="39"/>
    </row>
    <row r="2161" spans="6:9" x14ac:dyDescent="0.25">
      <c r="F2161" s="39"/>
      <c r="G2161" s="39"/>
      <c r="H2161" s="39"/>
      <c r="I2161" s="39"/>
    </row>
    <row r="2162" spans="6:9" x14ac:dyDescent="0.25">
      <c r="F2162" s="39"/>
      <c r="G2162" s="39"/>
      <c r="H2162" s="39"/>
      <c r="I2162" s="39"/>
    </row>
    <row r="2163" spans="6:9" x14ac:dyDescent="0.25">
      <c r="F2163" s="39"/>
      <c r="G2163" s="39"/>
      <c r="H2163" s="39"/>
      <c r="I2163" s="39"/>
    </row>
    <row r="2164" spans="6:9" x14ac:dyDescent="0.25">
      <c r="F2164" s="39"/>
      <c r="G2164" s="39"/>
      <c r="H2164" s="39"/>
      <c r="I2164" s="39"/>
    </row>
    <row r="2165" spans="6:9" x14ac:dyDescent="0.25">
      <c r="F2165" s="39"/>
      <c r="G2165" s="39"/>
      <c r="H2165" s="39"/>
      <c r="I2165" s="39"/>
    </row>
    <row r="2166" spans="6:9" x14ac:dyDescent="0.25">
      <c r="F2166" s="39"/>
      <c r="G2166" s="39"/>
      <c r="H2166" s="39"/>
      <c r="I2166" s="39"/>
    </row>
    <row r="2167" spans="6:9" x14ac:dyDescent="0.25">
      <c r="F2167" s="39"/>
      <c r="G2167" s="39"/>
      <c r="H2167" s="39"/>
      <c r="I2167" s="39"/>
    </row>
    <row r="2168" spans="6:9" x14ac:dyDescent="0.25">
      <c r="F2168" s="39"/>
      <c r="G2168" s="39"/>
      <c r="H2168" s="39"/>
      <c r="I2168" s="39"/>
    </row>
    <row r="2169" spans="6:9" x14ac:dyDescent="0.25">
      <c r="F2169" s="39"/>
      <c r="G2169" s="39"/>
      <c r="H2169" s="39"/>
      <c r="I2169" s="39"/>
    </row>
    <row r="2170" spans="6:9" x14ac:dyDescent="0.25">
      <c r="F2170" s="39"/>
      <c r="G2170" s="39"/>
      <c r="H2170" s="39"/>
      <c r="I2170" s="39"/>
    </row>
    <row r="2171" spans="6:9" x14ac:dyDescent="0.25">
      <c r="F2171" s="39"/>
      <c r="G2171" s="39"/>
      <c r="H2171" s="39"/>
      <c r="I2171" s="39"/>
    </row>
    <row r="2172" spans="6:9" x14ac:dyDescent="0.25">
      <c r="F2172" s="39"/>
      <c r="G2172" s="39"/>
      <c r="H2172" s="39"/>
      <c r="I2172" s="39"/>
    </row>
    <row r="2173" spans="6:9" x14ac:dyDescent="0.25">
      <c r="F2173" s="39"/>
      <c r="G2173" s="39"/>
      <c r="H2173" s="39"/>
      <c r="I2173" s="39"/>
    </row>
    <row r="2174" spans="6:9" x14ac:dyDescent="0.25">
      <c r="F2174" s="39"/>
      <c r="G2174" s="39"/>
      <c r="H2174" s="39"/>
      <c r="I2174" s="39"/>
    </row>
    <row r="2175" spans="6:9" x14ac:dyDescent="0.25">
      <c r="F2175" s="39"/>
      <c r="G2175" s="39"/>
      <c r="H2175" s="39"/>
      <c r="I2175" s="39"/>
    </row>
    <row r="2176" spans="6:9" x14ac:dyDescent="0.25">
      <c r="F2176" s="39"/>
      <c r="G2176" s="39"/>
      <c r="H2176" s="39"/>
      <c r="I2176" s="39"/>
    </row>
    <row r="2177" spans="6:9" x14ac:dyDescent="0.25">
      <c r="F2177" s="39"/>
      <c r="G2177" s="39"/>
      <c r="H2177" s="39"/>
      <c r="I2177" s="39"/>
    </row>
    <row r="2178" spans="6:9" x14ac:dyDescent="0.25">
      <c r="F2178" s="39"/>
      <c r="G2178" s="39"/>
      <c r="H2178" s="39"/>
      <c r="I2178" s="39"/>
    </row>
    <row r="2179" spans="6:9" x14ac:dyDescent="0.25">
      <c r="F2179" s="39"/>
      <c r="G2179" s="39"/>
      <c r="H2179" s="39"/>
      <c r="I2179" s="39"/>
    </row>
    <row r="2180" spans="6:9" x14ac:dyDescent="0.25">
      <c r="F2180" s="39"/>
      <c r="G2180" s="39"/>
      <c r="H2180" s="39"/>
      <c r="I2180" s="39"/>
    </row>
    <row r="2181" spans="6:9" x14ac:dyDescent="0.25">
      <c r="F2181" s="39"/>
      <c r="G2181" s="39"/>
      <c r="H2181" s="39"/>
      <c r="I2181" s="39"/>
    </row>
    <row r="2182" spans="6:9" x14ac:dyDescent="0.25">
      <c r="F2182" s="39"/>
      <c r="G2182" s="39"/>
      <c r="H2182" s="39"/>
      <c r="I2182" s="39"/>
    </row>
    <row r="2183" spans="6:9" x14ac:dyDescent="0.25">
      <c r="F2183" s="39"/>
      <c r="G2183" s="39"/>
      <c r="H2183" s="39"/>
      <c r="I2183" s="39"/>
    </row>
    <row r="2184" spans="6:9" x14ac:dyDescent="0.25">
      <c r="F2184" s="39"/>
      <c r="G2184" s="39"/>
      <c r="H2184" s="39"/>
      <c r="I2184" s="39"/>
    </row>
    <row r="2185" spans="6:9" x14ac:dyDescent="0.25">
      <c r="F2185" s="39"/>
      <c r="G2185" s="39"/>
      <c r="H2185" s="39"/>
      <c r="I2185" s="39"/>
    </row>
    <row r="2186" spans="6:9" x14ac:dyDescent="0.25">
      <c r="F2186" s="39"/>
      <c r="G2186" s="39"/>
      <c r="H2186" s="39"/>
      <c r="I2186" s="39"/>
    </row>
    <row r="2187" spans="6:9" x14ac:dyDescent="0.25">
      <c r="F2187" s="39"/>
      <c r="G2187" s="39"/>
      <c r="H2187" s="39"/>
      <c r="I2187" s="39"/>
    </row>
    <row r="2188" spans="6:9" x14ac:dyDescent="0.25">
      <c r="F2188" s="39"/>
      <c r="G2188" s="39"/>
      <c r="H2188" s="39"/>
      <c r="I2188" s="39"/>
    </row>
    <row r="2189" spans="6:9" x14ac:dyDescent="0.25">
      <c r="F2189" s="39"/>
      <c r="G2189" s="39"/>
      <c r="H2189" s="39"/>
      <c r="I2189" s="39"/>
    </row>
    <row r="2190" spans="6:9" x14ac:dyDescent="0.25">
      <c r="F2190" s="39"/>
      <c r="G2190" s="39"/>
      <c r="H2190" s="39"/>
      <c r="I2190" s="39"/>
    </row>
    <row r="2191" spans="6:9" x14ac:dyDescent="0.25">
      <c r="F2191" s="39"/>
      <c r="G2191" s="39"/>
      <c r="H2191" s="39"/>
      <c r="I2191" s="39"/>
    </row>
    <row r="2192" spans="6:9" x14ac:dyDescent="0.25">
      <c r="F2192" s="39"/>
      <c r="G2192" s="39"/>
      <c r="H2192" s="39"/>
      <c r="I2192" s="39"/>
    </row>
    <row r="2193" spans="6:9" x14ac:dyDescent="0.25">
      <c r="F2193" s="39"/>
      <c r="G2193" s="39"/>
      <c r="H2193" s="39"/>
      <c r="I2193" s="39"/>
    </row>
    <row r="2194" spans="6:9" x14ac:dyDescent="0.25">
      <c r="F2194" s="39"/>
      <c r="G2194" s="39"/>
      <c r="H2194" s="39"/>
      <c r="I2194" s="39"/>
    </row>
    <row r="2195" spans="6:9" x14ac:dyDescent="0.25">
      <c r="F2195" s="39"/>
      <c r="G2195" s="39"/>
      <c r="H2195" s="39"/>
      <c r="I2195" s="39"/>
    </row>
    <row r="2196" spans="6:9" x14ac:dyDescent="0.25">
      <c r="F2196" s="39"/>
      <c r="G2196" s="39"/>
      <c r="H2196" s="39"/>
      <c r="I2196" s="39"/>
    </row>
    <row r="2197" spans="6:9" x14ac:dyDescent="0.25">
      <c r="F2197" s="39"/>
      <c r="G2197" s="39"/>
      <c r="H2197" s="39"/>
      <c r="I2197" s="39"/>
    </row>
    <row r="2198" spans="6:9" x14ac:dyDescent="0.25">
      <c r="F2198" s="39"/>
      <c r="G2198" s="39"/>
      <c r="H2198" s="39"/>
      <c r="I2198" s="39"/>
    </row>
    <row r="2199" spans="6:9" x14ac:dyDescent="0.25">
      <c r="F2199" s="39"/>
      <c r="G2199" s="39"/>
      <c r="H2199" s="39"/>
      <c r="I2199" s="39"/>
    </row>
    <row r="2200" spans="6:9" x14ac:dyDescent="0.25">
      <c r="F2200" s="39"/>
      <c r="G2200" s="39"/>
      <c r="H2200" s="39"/>
      <c r="I2200" s="39"/>
    </row>
    <row r="2201" spans="6:9" x14ac:dyDescent="0.25">
      <c r="F2201" s="39"/>
      <c r="G2201" s="39"/>
      <c r="H2201" s="39"/>
      <c r="I2201" s="39"/>
    </row>
    <row r="2202" spans="6:9" x14ac:dyDescent="0.25">
      <c r="F2202" s="39"/>
      <c r="G2202" s="39"/>
      <c r="H2202" s="39"/>
      <c r="I2202" s="39"/>
    </row>
    <row r="2203" spans="6:9" x14ac:dyDescent="0.25">
      <c r="F2203" s="39"/>
      <c r="G2203" s="39"/>
      <c r="H2203" s="39"/>
      <c r="I2203" s="39"/>
    </row>
    <row r="2204" spans="6:9" x14ac:dyDescent="0.25">
      <c r="F2204" s="39"/>
      <c r="G2204" s="39"/>
      <c r="H2204" s="39"/>
      <c r="I2204" s="39"/>
    </row>
    <row r="2205" spans="6:9" x14ac:dyDescent="0.25">
      <c r="F2205" s="39"/>
      <c r="G2205" s="39"/>
      <c r="H2205" s="39"/>
      <c r="I2205" s="39"/>
    </row>
    <row r="2206" spans="6:9" x14ac:dyDescent="0.25">
      <c r="F2206" s="39"/>
      <c r="G2206" s="39"/>
      <c r="H2206" s="39"/>
      <c r="I2206" s="39"/>
    </row>
    <row r="2207" spans="6:9" x14ac:dyDescent="0.25">
      <c r="F2207" s="39"/>
      <c r="G2207" s="39"/>
      <c r="H2207" s="39"/>
      <c r="I2207" s="39"/>
    </row>
    <row r="2208" spans="6:9" x14ac:dyDescent="0.25">
      <c r="F2208" s="39"/>
      <c r="G2208" s="39"/>
      <c r="H2208" s="39"/>
      <c r="I2208" s="39"/>
    </row>
    <row r="2209" spans="6:9" x14ac:dyDescent="0.25">
      <c r="F2209" s="39"/>
      <c r="G2209" s="39"/>
      <c r="H2209" s="39"/>
      <c r="I2209" s="39"/>
    </row>
    <row r="2210" spans="6:9" x14ac:dyDescent="0.25">
      <c r="F2210" s="39"/>
      <c r="G2210" s="39"/>
      <c r="H2210" s="39"/>
      <c r="I2210" s="39"/>
    </row>
    <row r="2211" spans="6:9" x14ac:dyDescent="0.25">
      <c r="F2211" s="39"/>
      <c r="G2211" s="39"/>
      <c r="H2211" s="39"/>
      <c r="I2211" s="39"/>
    </row>
    <row r="2212" spans="6:9" x14ac:dyDescent="0.25">
      <c r="F2212" s="39"/>
      <c r="G2212" s="39"/>
      <c r="H2212" s="39"/>
      <c r="I2212" s="39"/>
    </row>
    <row r="2213" spans="6:9" x14ac:dyDescent="0.25">
      <c r="F2213" s="39"/>
      <c r="G2213" s="39"/>
      <c r="H2213" s="39"/>
      <c r="I2213" s="39"/>
    </row>
    <row r="2214" spans="6:9" x14ac:dyDescent="0.25">
      <c r="F2214" s="39"/>
      <c r="G2214" s="39"/>
      <c r="H2214" s="39"/>
      <c r="I2214" s="39"/>
    </row>
    <row r="2215" spans="6:9" x14ac:dyDescent="0.25">
      <c r="F2215" s="39"/>
      <c r="G2215" s="39"/>
      <c r="H2215" s="39"/>
      <c r="I2215" s="39"/>
    </row>
    <row r="2216" spans="6:9" x14ac:dyDescent="0.25">
      <c r="F2216" s="39"/>
      <c r="G2216" s="39"/>
      <c r="H2216" s="39"/>
      <c r="I2216" s="39"/>
    </row>
    <row r="2217" spans="6:9" x14ac:dyDescent="0.25">
      <c r="F2217" s="39"/>
      <c r="G2217" s="39"/>
      <c r="H2217" s="39"/>
      <c r="I2217" s="39"/>
    </row>
    <row r="2218" spans="6:9" x14ac:dyDescent="0.25">
      <c r="F2218" s="39"/>
      <c r="G2218" s="39"/>
      <c r="H2218" s="39"/>
      <c r="I2218" s="39"/>
    </row>
    <row r="2219" spans="6:9" x14ac:dyDescent="0.25">
      <c r="F2219" s="39"/>
      <c r="G2219" s="39"/>
      <c r="H2219" s="39"/>
      <c r="I2219" s="39"/>
    </row>
    <row r="2220" spans="6:9" x14ac:dyDescent="0.25">
      <c r="F2220" s="39"/>
      <c r="G2220" s="39"/>
      <c r="H2220" s="39"/>
      <c r="I2220" s="39"/>
    </row>
    <row r="2221" spans="6:9" x14ac:dyDescent="0.25">
      <c r="F2221" s="39"/>
      <c r="G2221" s="39"/>
      <c r="H2221" s="39"/>
      <c r="I2221" s="39"/>
    </row>
    <row r="2222" spans="6:9" x14ac:dyDescent="0.25">
      <c r="F2222" s="39"/>
      <c r="G2222" s="39"/>
      <c r="H2222" s="39"/>
      <c r="I2222" s="39"/>
    </row>
    <row r="2223" spans="6:9" x14ac:dyDescent="0.25">
      <c r="F2223" s="39"/>
      <c r="G2223" s="39"/>
      <c r="H2223" s="39"/>
      <c r="I2223" s="39"/>
    </row>
    <row r="2224" spans="6:9" x14ac:dyDescent="0.25">
      <c r="F2224" s="39"/>
      <c r="G2224" s="39"/>
      <c r="H2224" s="39"/>
      <c r="I2224" s="39"/>
    </row>
    <row r="2225" spans="6:9" x14ac:dyDescent="0.25">
      <c r="F2225" s="39"/>
      <c r="G2225" s="39"/>
      <c r="H2225" s="39"/>
      <c r="I2225" s="39"/>
    </row>
    <row r="2226" spans="6:9" x14ac:dyDescent="0.25">
      <c r="F2226" s="39"/>
      <c r="G2226" s="39"/>
      <c r="H2226" s="39"/>
      <c r="I2226" s="39"/>
    </row>
    <row r="2227" spans="6:9" x14ac:dyDescent="0.25">
      <c r="F2227" s="39"/>
      <c r="G2227" s="39"/>
      <c r="H2227" s="39"/>
      <c r="I2227" s="39"/>
    </row>
    <row r="2228" spans="6:9" x14ac:dyDescent="0.25">
      <c r="F2228" s="39"/>
      <c r="G2228" s="39"/>
      <c r="H2228" s="39"/>
      <c r="I2228" s="39"/>
    </row>
    <row r="2229" spans="6:9" x14ac:dyDescent="0.25">
      <c r="F2229" s="39"/>
      <c r="G2229" s="39"/>
      <c r="H2229" s="39"/>
      <c r="I2229" s="39"/>
    </row>
    <row r="2230" spans="6:9" x14ac:dyDescent="0.25">
      <c r="F2230" s="39"/>
      <c r="G2230" s="39"/>
      <c r="H2230" s="39"/>
      <c r="I2230" s="39"/>
    </row>
    <row r="2231" spans="6:9" x14ac:dyDescent="0.25">
      <c r="F2231" s="39"/>
      <c r="G2231" s="39"/>
      <c r="H2231" s="39"/>
      <c r="I2231" s="39"/>
    </row>
    <row r="2232" spans="6:9" x14ac:dyDescent="0.25">
      <c r="F2232" s="39"/>
      <c r="G2232" s="39"/>
      <c r="H2232" s="39"/>
      <c r="I2232" s="39"/>
    </row>
    <row r="2233" spans="6:9" x14ac:dyDescent="0.25">
      <c r="F2233" s="39"/>
      <c r="G2233" s="39"/>
      <c r="H2233" s="39"/>
      <c r="I2233" s="39"/>
    </row>
    <row r="2234" spans="6:9" x14ac:dyDescent="0.25">
      <c r="F2234" s="39"/>
      <c r="G2234" s="39"/>
      <c r="H2234" s="39"/>
      <c r="I2234" s="39"/>
    </row>
    <row r="2235" spans="6:9" x14ac:dyDescent="0.25">
      <c r="F2235" s="39"/>
      <c r="G2235" s="39"/>
      <c r="H2235" s="39"/>
      <c r="I2235" s="39"/>
    </row>
    <row r="2236" spans="6:9" x14ac:dyDescent="0.25">
      <c r="F2236" s="39"/>
      <c r="G2236" s="39"/>
      <c r="H2236" s="39"/>
      <c r="I2236" s="39"/>
    </row>
    <row r="2237" spans="6:9" x14ac:dyDescent="0.25">
      <c r="F2237" s="39"/>
      <c r="G2237" s="39"/>
      <c r="H2237" s="39"/>
      <c r="I2237" s="39"/>
    </row>
    <row r="2238" spans="6:9" x14ac:dyDescent="0.25">
      <c r="F2238" s="39"/>
      <c r="G2238" s="39"/>
      <c r="H2238" s="39"/>
      <c r="I2238" s="39"/>
    </row>
    <row r="2239" spans="6:9" x14ac:dyDescent="0.25">
      <c r="F2239" s="39"/>
      <c r="G2239" s="39"/>
      <c r="H2239" s="39"/>
      <c r="I2239" s="39"/>
    </row>
    <row r="2240" spans="6:9" x14ac:dyDescent="0.25">
      <c r="F2240" s="39"/>
      <c r="G2240" s="39"/>
      <c r="H2240" s="39"/>
      <c r="I2240" s="39"/>
    </row>
    <row r="2241" spans="6:9" x14ac:dyDescent="0.25">
      <c r="F2241" s="39"/>
      <c r="G2241" s="39"/>
      <c r="H2241" s="39"/>
      <c r="I2241" s="39"/>
    </row>
    <row r="2242" spans="6:9" x14ac:dyDescent="0.25">
      <c r="F2242" s="39"/>
      <c r="G2242" s="39"/>
      <c r="H2242" s="39"/>
      <c r="I2242" s="39"/>
    </row>
    <row r="2243" spans="6:9" x14ac:dyDescent="0.25">
      <c r="F2243" s="39"/>
      <c r="G2243" s="39"/>
      <c r="H2243" s="39"/>
      <c r="I2243" s="39"/>
    </row>
    <row r="2244" spans="6:9" x14ac:dyDescent="0.25">
      <c r="F2244" s="39"/>
      <c r="G2244" s="39"/>
      <c r="H2244" s="39"/>
      <c r="I2244" s="39"/>
    </row>
    <row r="2245" spans="6:9" x14ac:dyDescent="0.25">
      <c r="F2245" s="39"/>
      <c r="G2245" s="39"/>
      <c r="H2245" s="39"/>
      <c r="I2245" s="39"/>
    </row>
    <row r="2246" spans="6:9" x14ac:dyDescent="0.25">
      <c r="F2246" s="39"/>
      <c r="G2246" s="39"/>
      <c r="H2246" s="39"/>
      <c r="I2246" s="39"/>
    </row>
    <row r="2247" spans="6:9" x14ac:dyDescent="0.25">
      <c r="F2247" s="39"/>
      <c r="G2247" s="39"/>
      <c r="H2247" s="39"/>
      <c r="I2247" s="39"/>
    </row>
    <row r="2248" spans="6:9" x14ac:dyDescent="0.25">
      <c r="F2248" s="39"/>
      <c r="G2248" s="39"/>
      <c r="H2248" s="39"/>
      <c r="I2248" s="39"/>
    </row>
    <row r="2249" spans="6:9" x14ac:dyDescent="0.25">
      <c r="F2249" s="39"/>
      <c r="G2249" s="39"/>
      <c r="H2249" s="39"/>
      <c r="I2249" s="39"/>
    </row>
    <row r="2250" spans="6:9" x14ac:dyDescent="0.25">
      <c r="F2250" s="39"/>
      <c r="G2250" s="39"/>
      <c r="H2250" s="39"/>
      <c r="I2250" s="39"/>
    </row>
    <row r="2251" spans="6:9" x14ac:dyDescent="0.25">
      <c r="F2251" s="39"/>
      <c r="G2251" s="39"/>
      <c r="H2251" s="39"/>
      <c r="I2251" s="39"/>
    </row>
    <row r="2252" spans="6:9" x14ac:dyDescent="0.25">
      <c r="F2252" s="39"/>
      <c r="G2252" s="39"/>
      <c r="H2252" s="39"/>
      <c r="I2252" s="39"/>
    </row>
    <row r="2253" spans="6:9" x14ac:dyDescent="0.25">
      <c r="F2253" s="39"/>
      <c r="G2253" s="39"/>
      <c r="H2253" s="39"/>
      <c r="I2253" s="39"/>
    </row>
    <row r="2254" spans="6:9" x14ac:dyDescent="0.25">
      <c r="F2254" s="39"/>
      <c r="G2254" s="39"/>
      <c r="H2254" s="39"/>
      <c r="I2254" s="39"/>
    </row>
    <row r="2255" spans="6:9" x14ac:dyDescent="0.25">
      <c r="F2255" s="39"/>
      <c r="G2255" s="39"/>
      <c r="H2255" s="39"/>
      <c r="I2255" s="39"/>
    </row>
    <row r="2256" spans="6:9" x14ac:dyDescent="0.25">
      <c r="F2256" s="39"/>
      <c r="G2256" s="39"/>
      <c r="H2256" s="39"/>
      <c r="I2256" s="39"/>
    </row>
    <row r="2257" spans="6:9" x14ac:dyDescent="0.25">
      <c r="F2257" s="39"/>
      <c r="G2257" s="39"/>
      <c r="H2257" s="39"/>
      <c r="I2257" s="39"/>
    </row>
    <row r="2258" spans="6:9" x14ac:dyDescent="0.25">
      <c r="F2258" s="39"/>
      <c r="G2258" s="39"/>
      <c r="H2258" s="39"/>
      <c r="I2258" s="39"/>
    </row>
    <row r="2259" spans="6:9" x14ac:dyDescent="0.25">
      <c r="F2259" s="39"/>
      <c r="G2259" s="39"/>
      <c r="H2259" s="39"/>
      <c r="I2259" s="39"/>
    </row>
    <row r="2260" spans="6:9" x14ac:dyDescent="0.25">
      <c r="F2260" s="39"/>
      <c r="G2260" s="39"/>
      <c r="H2260" s="39"/>
      <c r="I2260" s="39"/>
    </row>
    <row r="2261" spans="6:9" x14ac:dyDescent="0.25">
      <c r="F2261" s="39"/>
      <c r="G2261" s="39"/>
      <c r="H2261" s="39"/>
      <c r="I2261" s="39"/>
    </row>
    <row r="2262" spans="6:9" x14ac:dyDescent="0.25">
      <c r="F2262" s="39"/>
      <c r="G2262" s="39"/>
      <c r="H2262" s="39"/>
      <c r="I2262" s="39"/>
    </row>
    <row r="2263" spans="6:9" x14ac:dyDescent="0.25">
      <c r="F2263" s="39"/>
      <c r="G2263" s="39"/>
      <c r="H2263" s="39"/>
      <c r="I2263" s="39"/>
    </row>
    <row r="2264" spans="6:9" x14ac:dyDescent="0.25">
      <c r="F2264" s="39"/>
      <c r="G2264" s="39"/>
      <c r="H2264" s="39"/>
      <c r="I2264" s="39"/>
    </row>
    <row r="2265" spans="6:9" x14ac:dyDescent="0.25">
      <c r="F2265" s="39"/>
      <c r="G2265" s="39"/>
      <c r="H2265" s="39"/>
      <c r="I2265" s="39"/>
    </row>
    <row r="2266" spans="6:9" x14ac:dyDescent="0.25">
      <c r="F2266" s="39"/>
      <c r="G2266" s="39"/>
      <c r="H2266" s="39"/>
      <c r="I2266" s="39"/>
    </row>
    <row r="2267" spans="6:9" x14ac:dyDescent="0.25">
      <c r="F2267" s="39"/>
      <c r="G2267" s="39"/>
      <c r="H2267" s="39"/>
      <c r="I2267" s="39"/>
    </row>
    <row r="2268" spans="6:9" x14ac:dyDescent="0.25">
      <c r="F2268" s="39"/>
      <c r="G2268" s="39"/>
      <c r="H2268" s="39"/>
      <c r="I2268" s="39"/>
    </row>
    <row r="2269" spans="6:9" x14ac:dyDescent="0.25">
      <c r="F2269" s="39"/>
      <c r="G2269" s="39"/>
      <c r="H2269" s="39"/>
      <c r="I2269" s="39"/>
    </row>
    <row r="2270" spans="6:9" x14ac:dyDescent="0.25">
      <c r="F2270" s="39"/>
      <c r="G2270" s="39"/>
      <c r="H2270" s="39"/>
      <c r="I2270" s="39"/>
    </row>
    <row r="2271" spans="6:9" x14ac:dyDescent="0.25">
      <c r="F2271" s="39"/>
      <c r="G2271" s="39"/>
      <c r="H2271" s="39"/>
      <c r="I2271" s="39"/>
    </row>
    <row r="2272" spans="6:9" x14ac:dyDescent="0.25">
      <c r="F2272" s="39"/>
      <c r="G2272" s="39"/>
      <c r="H2272" s="39"/>
      <c r="I2272" s="39"/>
    </row>
    <row r="2273" spans="6:9" x14ac:dyDescent="0.25">
      <c r="F2273" s="39"/>
      <c r="G2273" s="39"/>
      <c r="H2273" s="39"/>
      <c r="I2273" s="39"/>
    </row>
    <row r="2274" spans="6:9" x14ac:dyDescent="0.25">
      <c r="F2274" s="39"/>
      <c r="G2274" s="39"/>
      <c r="H2274" s="39"/>
      <c r="I2274" s="39"/>
    </row>
    <row r="2275" spans="6:9" x14ac:dyDescent="0.25">
      <c r="F2275" s="39"/>
      <c r="G2275" s="39"/>
      <c r="H2275" s="39"/>
      <c r="I2275" s="39"/>
    </row>
    <row r="2276" spans="6:9" x14ac:dyDescent="0.25">
      <c r="F2276" s="39"/>
      <c r="G2276" s="39"/>
      <c r="H2276" s="39"/>
      <c r="I2276" s="39"/>
    </row>
    <row r="2277" spans="6:9" x14ac:dyDescent="0.25">
      <c r="F2277" s="39"/>
      <c r="G2277" s="39"/>
      <c r="H2277" s="39"/>
      <c r="I2277" s="39"/>
    </row>
    <row r="2278" spans="6:9" x14ac:dyDescent="0.25">
      <c r="F2278" s="39"/>
      <c r="G2278" s="39"/>
      <c r="H2278" s="39"/>
      <c r="I2278" s="39"/>
    </row>
    <row r="2279" spans="6:9" x14ac:dyDescent="0.25">
      <c r="F2279" s="39"/>
      <c r="G2279" s="39"/>
      <c r="H2279" s="39"/>
      <c r="I2279" s="39"/>
    </row>
    <row r="2280" spans="6:9" x14ac:dyDescent="0.25">
      <c r="F2280" s="39"/>
      <c r="G2280" s="39"/>
      <c r="H2280" s="39"/>
      <c r="I2280" s="39"/>
    </row>
    <row r="2281" spans="6:9" x14ac:dyDescent="0.25">
      <c r="F2281" s="39"/>
      <c r="G2281" s="39"/>
      <c r="H2281" s="39"/>
      <c r="I2281" s="39"/>
    </row>
    <row r="2282" spans="6:9" x14ac:dyDescent="0.25">
      <c r="F2282" s="39"/>
      <c r="G2282" s="39"/>
      <c r="H2282" s="39"/>
      <c r="I2282" s="39"/>
    </row>
    <row r="2283" spans="6:9" x14ac:dyDescent="0.25">
      <c r="F2283" s="39"/>
      <c r="G2283" s="39"/>
      <c r="H2283" s="39"/>
      <c r="I2283" s="39"/>
    </row>
    <row r="2284" spans="6:9" x14ac:dyDescent="0.25">
      <c r="F2284" s="39"/>
      <c r="G2284" s="39"/>
      <c r="H2284" s="39"/>
      <c r="I2284" s="39"/>
    </row>
    <row r="2285" spans="6:9" x14ac:dyDescent="0.25">
      <c r="F2285" s="39"/>
      <c r="G2285" s="39"/>
      <c r="H2285" s="39"/>
      <c r="I2285" s="39"/>
    </row>
    <row r="2286" spans="6:9" x14ac:dyDescent="0.25">
      <c r="F2286" s="39"/>
      <c r="G2286" s="39"/>
      <c r="H2286" s="39"/>
      <c r="I2286" s="39"/>
    </row>
    <row r="2287" spans="6:9" x14ac:dyDescent="0.25">
      <c r="F2287" s="39"/>
      <c r="G2287" s="39"/>
      <c r="H2287" s="39"/>
      <c r="I2287" s="39"/>
    </row>
    <row r="2288" spans="6:9" x14ac:dyDescent="0.25">
      <c r="F2288" s="39"/>
      <c r="G2288" s="39"/>
      <c r="H2288" s="39"/>
      <c r="I2288" s="39"/>
    </row>
    <row r="2289" spans="6:9" x14ac:dyDescent="0.25">
      <c r="F2289" s="39"/>
      <c r="G2289" s="39"/>
      <c r="H2289" s="39"/>
      <c r="I2289" s="39"/>
    </row>
    <row r="2290" spans="6:9" x14ac:dyDescent="0.25">
      <c r="F2290" s="39"/>
      <c r="G2290" s="39"/>
      <c r="H2290" s="39"/>
      <c r="I2290" s="39"/>
    </row>
    <row r="2291" spans="6:9" x14ac:dyDescent="0.25">
      <c r="F2291" s="39"/>
      <c r="G2291" s="39"/>
      <c r="H2291" s="39"/>
      <c r="I2291" s="39"/>
    </row>
    <row r="2292" spans="6:9" x14ac:dyDescent="0.25">
      <c r="F2292" s="39"/>
      <c r="G2292" s="39"/>
      <c r="H2292" s="39"/>
      <c r="I2292" s="39"/>
    </row>
    <row r="2293" spans="6:9" x14ac:dyDescent="0.25">
      <c r="F2293" s="39"/>
      <c r="G2293" s="39"/>
      <c r="H2293" s="39"/>
      <c r="I2293" s="39"/>
    </row>
    <row r="2294" spans="6:9" x14ac:dyDescent="0.25">
      <c r="F2294" s="39"/>
      <c r="G2294" s="39"/>
      <c r="H2294" s="39"/>
      <c r="I2294" s="39"/>
    </row>
    <row r="2295" spans="6:9" x14ac:dyDescent="0.25">
      <c r="F2295" s="39"/>
      <c r="G2295" s="39"/>
      <c r="H2295" s="39"/>
      <c r="I2295" s="39"/>
    </row>
    <row r="2296" spans="6:9" x14ac:dyDescent="0.25">
      <c r="F2296" s="39"/>
      <c r="G2296" s="39"/>
      <c r="H2296" s="39"/>
      <c r="I2296" s="39"/>
    </row>
    <row r="2297" spans="6:9" x14ac:dyDescent="0.25">
      <c r="F2297" s="39"/>
      <c r="G2297" s="39"/>
      <c r="H2297" s="39"/>
      <c r="I2297" s="39"/>
    </row>
    <row r="2298" spans="6:9" x14ac:dyDescent="0.25">
      <c r="F2298" s="39"/>
      <c r="G2298" s="39"/>
      <c r="H2298" s="39"/>
      <c r="I2298" s="39"/>
    </row>
    <row r="2299" spans="6:9" x14ac:dyDescent="0.25">
      <c r="F2299" s="39"/>
      <c r="G2299" s="39"/>
      <c r="H2299" s="39"/>
      <c r="I2299" s="39"/>
    </row>
    <row r="2300" spans="6:9" x14ac:dyDescent="0.25">
      <c r="F2300" s="39"/>
      <c r="G2300" s="39"/>
      <c r="H2300" s="39"/>
      <c r="I2300" s="39"/>
    </row>
    <row r="2301" spans="6:9" x14ac:dyDescent="0.25">
      <c r="F2301" s="39"/>
      <c r="G2301" s="39"/>
      <c r="H2301" s="39"/>
      <c r="I2301" s="39"/>
    </row>
    <row r="2302" spans="6:9" x14ac:dyDescent="0.25">
      <c r="F2302" s="39"/>
      <c r="G2302" s="39"/>
      <c r="H2302" s="39"/>
      <c r="I2302" s="39"/>
    </row>
    <row r="2303" spans="6:9" x14ac:dyDescent="0.25">
      <c r="F2303" s="39"/>
      <c r="G2303" s="39"/>
      <c r="H2303" s="39"/>
      <c r="I2303" s="39"/>
    </row>
    <row r="2304" spans="6:9" x14ac:dyDescent="0.25">
      <c r="F2304" s="39"/>
      <c r="G2304" s="39"/>
      <c r="H2304" s="39"/>
      <c r="I2304" s="39"/>
    </row>
    <row r="2305" spans="6:9" x14ac:dyDescent="0.25">
      <c r="F2305" s="39"/>
      <c r="G2305" s="39"/>
      <c r="H2305" s="39"/>
      <c r="I2305" s="39"/>
    </row>
    <row r="2306" spans="6:9" x14ac:dyDescent="0.25">
      <c r="F2306" s="39"/>
      <c r="G2306" s="39"/>
      <c r="H2306" s="39"/>
      <c r="I2306" s="39"/>
    </row>
    <row r="2307" spans="6:9" x14ac:dyDescent="0.25">
      <c r="F2307" s="39"/>
      <c r="G2307" s="39"/>
      <c r="H2307" s="39"/>
      <c r="I2307" s="39"/>
    </row>
    <row r="2308" spans="6:9" x14ac:dyDescent="0.25">
      <c r="F2308" s="39"/>
      <c r="G2308" s="39"/>
      <c r="H2308" s="39"/>
      <c r="I2308" s="39"/>
    </row>
    <row r="2309" spans="6:9" x14ac:dyDescent="0.25">
      <c r="F2309" s="39"/>
      <c r="G2309" s="39"/>
      <c r="H2309" s="39"/>
      <c r="I2309" s="39"/>
    </row>
    <row r="2310" spans="6:9" x14ac:dyDescent="0.25">
      <c r="F2310" s="39"/>
      <c r="G2310" s="39"/>
      <c r="H2310" s="39"/>
      <c r="I2310" s="39"/>
    </row>
    <row r="2311" spans="6:9" x14ac:dyDescent="0.25">
      <c r="F2311" s="39"/>
      <c r="G2311" s="39"/>
      <c r="H2311" s="39"/>
      <c r="I2311" s="39"/>
    </row>
    <row r="2312" spans="6:9" x14ac:dyDescent="0.25">
      <c r="F2312" s="39"/>
      <c r="G2312" s="39"/>
      <c r="H2312" s="39"/>
      <c r="I2312" s="39"/>
    </row>
    <row r="2313" spans="6:9" x14ac:dyDescent="0.25">
      <c r="F2313" s="39"/>
      <c r="G2313" s="39"/>
      <c r="H2313" s="39"/>
      <c r="I2313" s="39"/>
    </row>
    <row r="2314" spans="6:9" x14ac:dyDescent="0.25">
      <c r="F2314" s="39"/>
      <c r="G2314" s="39"/>
      <c r="H2314" s="39"/>
      <c r="I2314" s="39"/>
    </row>
    <row r="2315" spans="6:9" x14ac:dyDescent="0.25">
      <c r="F2315" s="39"/>
      <c r="G2315" s="39"/>
      <c r="H2315" s="39"/>
      <c r="I2315" s="39"/>
    </row>
    <row r="2316" spans="6:9" x14ac:dyDescent="0.25">
      <c r="F2316" s="39"/>
      <c r="G2316" s="39"/>
      <c r="H2316" s="39"/>
      <c r="I2316" s="39"/>
    </row>
    <row r="2317" spans="6:9" x14ac:dyDescent="0.25">
      <c r="F2317" s="39"/>
      <c r="G2317" s="39"/>
      <c r="H2317" s="39"/>
      <c r="I2317" s="39"/>
    </row>
    <row r="2318" spans="6:9" x14ac:dyDescent="0.25">
      <c r="F2318" s="39"/>
      <c r="G2318" s="39"/>
      <c r="H2318" s="39"/>
      <c r="I2318" s="39"/>
    </row>
    <row r="2319" spans="6:9" x14ac:dyDescent="0.25">
      <c r="F2319" s="39"/>
      <c r="G2319" s="39"/>
      <c r="H2319" s="39"/>
      <c r="I2319" s="39"/>
    </row>
    <row r="2320" spans="6:9" x14ac:dyDescent="0.25">
      <c r="F2320" s="39"/>
      <c r="G2320" s="39"/>
      <c r="H2320" s="39"/>
      <c r="I2320" s="39"/>
    </row>
    <row r="2321" spans="6:9" x14ac:dyDescent="0.25">
      <c r="F2321" s="39"/>
      <c r="G2321" s="39"/>
      <c r="H2321" s="39"/>
      <c r="I2321" s="39"/>
    </row>
    <row r="2322" spans="6:9" x14ac:dyDescent="0.25">
      <c r="F2322" s="39"/>
      <c r="G2322" s="39"/>
      <c r="H2322" s="39"/>
      <c r="I2322" s="39"/>
    </row>
    <row r="2323" spans="6:9" x14ac:dyDescent="0.25">
      <c r="F2323" s="39"/>
      <c r="G2323" s="39"/>
      <c r="H2323" s="39"/>
      <c r="I2323" s="39"/>
    </row>
    <row r="2324" spans="6:9" x14ac:dyDescent="0.25">
      <c r="F2324" s="39"/>
      <c r="G2324" s="39"/>
      <c r="H2324" s="39"/>
      <c r="I2324" s="39"/>
    </row>
    <row r="2325" spans="6:9" x14ac:dyDescent="0.25">
      <c r="F2325" s="39"/>
      <c r="G2325" s="39"/>
      <c r="H2325" s="39"/>
      <c r="I2325" s="39"/>
    </row>
    <row r="2326" spans="6:9" x14ac:dyDescent="0.25">
      <c r="F2326" s="39"/>
      <c r="G2326" s="39"/>
      <c r="H2326" s="39"/>
      <c r="I2326" s="39"/>
    </row>
    <row r="2327" spans="6:9" x14ac:dyDescent="0.25">
      <c r="F2327" s="39"/>
      <c r="G2327" s="39"/>
      <c r="H2327" s="39"/>
      <c r="I2327" s="39"/>
    </row>
    <row r="2328" spans="6:9" x14ac:dyDescent="0.25">
      <c r="F2328" s="39"/>
      <c r="G2328" s="39"/>
      <c r="H2328" s="39"/>
      <c r="I2328" s="39"/>
    </row>
    <row r="2329" spans="6:9" x14ac:dyDescent="0.25">
      <c r="F2329" s="39"/>
      <c r="G2329" s="39"/>
      <c r="H2329" s="39"/>
      <c r="I2329" s="39"/>
    </row>
    <row r="2330" spans="6:9" x14ac:dyDescent="0.25">
      <c r="F2330" s="39"/>
      <c r="G2330" s="39"/>
      <c r="H2330" s="39"/>
      <c r="I2330" s="39"/>
    </row>
    <row r="2331" spans="6:9" x14ac:dyDescent="0.25">
      <c r="F2331" s="39"/>
      <c r="G2331" s="39"/>
      <c r="H2331" s="39"/>
      <c r="I2331" s="39"/>
    </row>
    <row r="2332" spans="6:9" x14ac:dyDescent="0.25">
      <c r="F2332" s="39"/>
      <c r="G2332" s="39"/>
      <c r="H2332" s="39"/>
      <c r="I2332" s="39"/>
    </row>
    <row r="2333" spans="6:9" x14ac:dyDescent="0.25">
      <c r="F2333" s="39"/>
      <c r="G2333" s="39"/>
      <c r="H2333" s="39"/>
      <c r="I2333" s="39"/>
    </row>
    <row r="2334" spans="6:9" x14ac:dyDescent="0.25">
      <c r="F2334" s="39"/>
      <c r="G2334" s="39"/>
      <c r="H2334" s="39"/>
      <c r="I2334" s="39"/>
    </row>
    <row r="2335" spans="6:9" x14ac:dyDescent="0.25">
      <c r="F2335" s="39"/>
      <c r="G2335" s="39"/>
      <c r="H2335" s="39"/>
      <c r="I2335" s="39"/>
    </row>
    <row r="2336" spans="6:9" x14ac:dyDescent="0.25">
      <c r="F2336" s="39"/>
      <c r="G2336" s="39"/>
      <c r="H2336" s="39"/>
      <c r="I2336" s="39"/>
    </row>
    <row r="2337" spans="6:9" x14ac:dyDescent="0.25">
      <c r="F2337" s="39"/>
      <c r="G2337" s="39"/>
      <c r="H2337" s="39"/>
      <c r="I2337" s="39"/>
    </row>
    <row r="2338" spans="6:9" x14ac:dyDescent="0.25">
      <c r="F2338" s="39"/>
      <c r="G2338" s="39"/>
      <c r="H2338" s="39"/>
      <c r="I2338" s="39"/>
    </row>
    <row r="2339" spans="6:9" x14ac:dyDescent="0.25">
      <c r="F2339" s="39"/>
      <c r="G2339" s="39"/>
      <c r="H2339" s="39"/>
      <c r="I2339" s="39"/>
    </row>
    <row r="2340" spans="6:9" x14ac:dyDescent="0.25">
      <c r="F2340" s="39"/>
      <c r="G2340" s="39"/>
      <c r="H2340" s="39"/>
      <c r="I2340" s="39"/>
    </row>
    <row r="2341" spans="6:9" x14ac:dyDescent="0.25">
      <c r="F2341" s="39"/>
      <c r="G2341" s="39"/>
      <c r="H2341" s="39"/>
      <c r="I2341" s="39"/>
    </row>
    <row r="2342" spans="6:9" x14ac:dyDescent="0.25">
      <c r="F2342" s="39"/>
      <c r="G2342" s="39"/>
      <c r="H2342" s="39"/>
      <c r="I2342" s="39"/>
    </row>
    <row r="2343" spans="6:9" x14ac:dyDescent="0.25">
      <c r="F2343" s="39"/>
      <c r="G2343" s="39"/>
      <c r="H2343" s="39"/>
      <c r="I2343" s="39"/>
    </row>
    <row r="2344" spans="6:9" x14ac:dyDescent="0.25">
      <c r="F2344" s="39"/>
      <c r="G2344" s="39"/>
      <c r="H2344" s="39"/>
      <c r="I2344" s="39"/>
    </row>
    <row r="2345" spans="6:9" x14ac:dyDescent="0.25">
      <c r="F2345" s="39"/>
      <c r="G2345" s="39"/>
      <c r="H2345" s="39"/>
      <c r="I2345" s="39"/>
    </row>
    <row r="2346" spans="6:9" x14ac:dyDescent="0.25">
      <c r="F2346" s="39"/>
      <c r="G2346" s="39"/>
      <c r="H2346" s="39"/>
      <c r="I2346" s="39"/>
    </row>
    <row r="2347" spans="6:9" x14ac:dyDescent="0.25">
      <c r="F2347" s="39"/>
      <c r="G2347" s="39"/>
      <c r="H2347" s="39"/>
      <c r="I2347" s="39"/>
    </row>
    <row r="2348" spans="6:9" x14ac:dyDescent="0.25">
      <c r="F2348" s="39"/>
      <c r="G2348" s="39"/>
      <c r="H2348" s="39"/>
      <c r="I2348" s="39"/>
    </row>
    <row r="2349" spans="6:9" x14ac:dyDescent="0.25">
      <c r="F2349" s="39"/>
      <c r="G2349" s="39"/>
      <c r="H2349" s="39"/>
      <c r="I2349" s="39"/>
    </row>
    <row r="2350" spans="6:9" x14ac:dyDescent="0.25">
      <c r="F2350" s="39"/>
      <c r="G2350" s="39"/>
      <c r="H2350" s="39"/>
      <c r="I2350" s="39"/>
    </row>
    <row r="2351" spans="6:9" x14ac:dyDescent="0.25">
      <c r="F2351" s="39"/>
      <c r="G2351" s="39"/>
      <c r="H2351" s="39"/>
      <c r="I2351" s="39"/>
    </row>
    <row r="2352" spans="6:9" x14ac:dyDescent="0.25">
      <c r="F2352" s="39"/>
      <c r="G2352" s="39"/>
      <c r="H2352" s="39"/>
      <c r="I2352" s="39"/>
    </row>
    <row r="2353" spans="6:9" x14ac:dyDescent="0.25">
      <c r="F2353" s="39"/>
      <c r="G2353" s="39"/>
      <c r="H2353" s="39"/>
      <c r="I2353" s="39"/>
    </row>
    <row r="2354" spans="6:9" x14ac:dyDescent="0.25">
      <c r="F2354" s="39"/>
      <c r="G2354" s="39"/>
      <c r="H2354" s="39"/>
      <c r="I2354" s="39"/>
    </row>
    <row r="2355" spans="6:9" x14ac:dyDescent="0.25">
      <c r="F2355" s="39"/>
      <c r="G2355" s="39"/>
      <c r="H2355" s="39"/>
      <c r="I2355" s="39"/>
    </row>
    <row r="2356" spans="6:9" x14ac:dyDescent="0.25">
      <c r="F2356" s="39"/>
      <c r="G2356" s="39"/>
      <c r="H2356" s="39"/>
      <c r="I2356" s="39"/>
    </row>
    <row r="2357" spans="6:9" x14ac:dyDescent="0.25">
      <c r="F2357" s="39"/>
      <c r="G2357" s="39"/>
      <c r="H2357" s="39"/>
      <c r="I2357" s="39"/>
    </row>
    <row r="2358" spans="6:9" x14ac:dyDescent="0.25">
      <c r="F2358" s="39"/>
      <c r="G2358" s="39"/>
      <c r="H2358" s="39"/>
      <c r="I2358" s="39"/>
    </row>
    <row r="2359" spans="6:9" x14ac:dyDescent="0.25">
      <c r="F2359" s="39"/>
      <c r="G2359" s="39"/>
      <c r="H2359" s="39"/>
      <c r="I2359" s="39"/>
    </row>
    <row r="2360" spans="6:9" x14ac:dyDescent="0.25">
      <c r="F2360" s="39"/>
      <c r="G2360" s="39"/>
      <c r="H2360" s="39"/>
      <c r="I2360" s="39"/>
    </row>
    <row r="2361" spans="6:9" x14ac:dyDescent="0.25">
      <c r="F2361" s="39"/>
      <c r="G2361" s="39"/>
      <c r="H2361" s="39"/>
      <c r="I2361" s="39"/>
    </row>
    <row r="2362" spans="6:9" x14ac:dyDescent="0.25">
      <c r="F2362" s="39"/>
      <c r="G2362" s="39"/>
      <c r="H2362" s="39"/>
      <c r="I2362" s="39"/>
    </row>
    <row r="2363" spans="6:9" x14ac:dyDescent="0.25">
      <c r="F2363" s="39"/>
      <c r="G2363" s="39"/>
      <c r="H2363" s="39"/>
      <c r="I2363" s="39"/>
    </row>
    <row r="2364" spans="6:9" x14ac:dyDescent="0.25">
      <c r="F2364" s="39"/>
      <c r="G2364" s="39"/>
      <c r="H2364" s="39"/>
      <c r="I2364" s="39"/>
    </row>
    <row r="2365" spans="6:9" x14ac:dyDescent="0.25">
      <c r="F2365" s="39"/>
      <c r="G2365" s="39"/>
      <c r="H2365" s="39"/>
      <c r="I2365" s="39"/>
    </row>
    <row r="2366" spans="6:9" x14ac:dyDescent="0.25">
      <c r="F2366" s="39"/>
      <c r="G2366" s="39"/>
      <c r="H2366" s="39"/>
      <c r="I2366" s="39"/>
    </row>
    <row r="2367" spans="6:9" x14ac:dyDescent="0.25">
      <c r="F2367" s="39"/>
      <c r="G2367" s="39"/>
      <c r="H2367" s="39"/>
      <c r="I2367" s="39"/>
    </row>
    <row r="2368" spans="6:9" x14ac:dyDescent="0.25">
      <c r="F2368" s="39"/>
      <c r="G2368" s="39"/>
      <c r="H2368" s="39"/>
      <c r="I2368" s="39"/>
    </row>
    <row r="2369" spans="6:9" x14ac:dyDescent="0.25">
      <c r="F2369" s="39"/>
      <c r="G2369" s="39"/>
      <c r="H2369" s="39"/>
      <c r="I2369" s="39"/>
    </row>
    <row r="2370" spans="6:9" x14ac:dyDescent="0.25">
      <c r="F2370" s="39"/>
      <c r="G2370" s="39"/>
      <c r="H2370" s="39"/>
      <c r="I2370" s="39"/>
    </row>
    <row r="2371" spans="6:9" x14ac:dyDescent="0.25">
      <c r="F2371" s="39"/>
      <c r="G2371" s="39"/>
      <c r="H2371" s="39"/>
      <c r="I2371" s="39"/>
    </row>
    <row r="2372" spans="6:9" x14ac:dyDescent="0.25">
      <c r="F2372" s="39"/>
      <c r="G2372" s="39"/>
      <c r="H2372" s="39"/>
      <c r="I2372" s="39"/>
    </row>
    <row r="2373" spans="6:9" x14ac:dyDescent="0.25">
      <c r="F2373" s="39"/>
      <c r="G2373" s="39"/>
      <c r="H2373" s="39"/>
      <c r="I2373" s="39"/>
    </row>
    <row r="2374" spans="6:9" x14ac:dyDescent="0.25">
      <c r="F2374" s="39"/>
      <c r="G2374" s="39"/>
      <c r="H2374" s="39"/>
      <c r="I2374" s="39"/>
    </row>
    <row r="2375" spans="6:9" x14ac:dyDescent="0.25">
      <c r="F2375" s="39"/>
      <c r="G2375" s="39"/>
      <c r="H2375" s="39"/>
      <c r="I2375" s="39"/>
    </row>
    <row r="2376" spans="6:9" x14ac:dyDescent="0.25">
      <c r="F2376" s="39"/>
      <c r="G2376" s="39"/>
      <c r="H2376" s="39"/>
      <c r="I2376" s="39"/>
    </row>
    <row r="2377" spans="6:9" x14ac:dyDescent="0.25">
      <c r="F2377" s="39"/>
      <c r="G2377" s="39"/>
      <c r="H2377" s="39"/>
      <c r="I2377" s="39"/>
    </row>
    <row r="2378" spans="6:9" x14ac:dyDescent="0.25">
      <c r="F2378" s="39"/>
      <c r="G2378" s="39"/>
      <c r="H2378" s="39"/>
      <c r="I2378" s="39"/>
    </row>
    <row r="2379" spans="6:9" x14ac:dyDescent="0.25">
      <c r="F2379" s="39"/>
      <c r="G2379" s="39"/>
      <c r="H2379" s="39"/>
      <c r="I2379" s="39"/>
    </row>
    <row r="2380" spans="6:9" x14ac:dyDescent="0.25">
      <c r="F2380" s="39"/>
      <c r="G2380" s="39"/>
      <c r="H2380" s="39"/>
      <c r="I2380" s="39"/>
    </row>
    <row r="2381" spans="6:9" x14ac:dyDescent="0.25">
      <c r="F2381" s="39"/>
      <c r="G2381" s="39"/>
      <c r="H2381" s="39"/>
      <c r="I2381" s="39"/>
    </row>
    <row r="2382" spans="6:9" x14ac:dyDescent="0.25">
      <c r="F2382" s="39"/>
      <c r="G2382" s="39"/>
      <c r="H2382" s="39"/>
      <c r="I2382" s="39"/>
    </row>
    <row r="2383" spans="6:9" x14ac:dyDescent="0.25">
      <c r="F2383" s="39"/>
      <c r="G2383" s="39"/>
      <c r="H2383" s="39"/>
      <c r="I2383" s="39"/>
    </row>
    <row r="2384" spans="6:9" x14ac:dyDescent="0.25">
      <c r="F2384" s="39"/>
      <c r="G2384" s="39"/>
      <c r="H2384" s="39"/>
      <c r="I2384" s="39"/>
    </row>
    <row r="2385" spans="6:9" x14ac:dyDescent="0.25">
      <c r="F2385" s="39"/>
      <c r="G2385" s="39"/>
      <c r="H2385" s="39"/>
      <c r="I2385" s="39"/>
    </row>
    <row r="2386" spans="6:9" x14ac:dyDescent="0.25">
      <c r="F2386" s="39"/>
      <c r="G2386" s="39"/>
      <c r="H2386" s="39"/>
      <c r="I2386" s="39"/>
    </row>
    <row r="2387" spans="6:9" x14ac:dyDescent="0.25">
      <c r="F2387" s="39"/>
      <c r="G2387" s="39"/>
      <c r="H2387" s="39"/>
      <c r="I2387" s="39"/>
    </row>
    <row r="2388" spans="6:9" x14ac:dyDescent="0.25">
      <c r="F2388" s="39"/>
      <c r="G2388" s="39"/>
      <c r="H2388" s="39"/>
      <c r="I2388" s="39"/>
    </row>
    <row r="2389" spans="6:9" x14ac:dyDescent="0.25">
      <c r="F2389" s="39"/>
      <c r="G2389" s="39"/>
      <c r="H2389" s="39"/>
      <c r="I2389" s="39"/>
    </row>
    <row r="2390" spans="6:9" x14ac:dyDescent="0.25">
      <c r="F2390" s="39"/>
      <c r="G2390" s="39"/>
      <c r="H2390" s="39"/>
      <c r="I2390" s="39"/>
    </row>
    <row r="2391" spans="6:9" x14ac:dyDescent="0.25">
      <c r="F2391" s="39"/>
      <c r="G2391" s="39"/>
      <c r="H2391" s="39"/>
      <c r="I2391" s="39"/>
    </row>
    <row r="2392" spans="6:9" x14ac:dyDescent="0.25">
      <c r="F2392" s="39"/>
      <c r="G2392" s="39"/>
      <c r="H2392" s="39"/>
      <c r="I2392" s="39"/>
    </row>
    <row r="2393" spans="6:9" x14ac:dyDescent="0.25">
      <c r="F2393" s="39"/>
      <c r="G2393" s="39"/>
      <c r="H2393" s="39"/>
      <c r="I2393" s="39"/>
    </row>
    <row r="2394" spans="6:9" x14ac:dyDescent="0.25">
      <c r="F2394" s="39"/>
      <c r="G2394" s="39"/>
      <c r="H2394" s="39"/>
      <c r="I2394" s="39"/>
    </row>
    <row r="2395" spans="6:9" x14ac:dyDescent="0.25">
      <c r="F2395" s="39"/>
      <c r="G2395" s="39"/>
      <c r="H2395" s="39"/>
      <c r="I2395" s="39"/>
    </row>
    <row r="2396" spans="6:9" x14ac:dyDescent="0.25">
      <c r="F2396" s="39"/>
      <c r="G2396" s="39"/>
      <c r="H2396" s="39"/>
      <c r="I2396" s="39"/>
    </row>
    <row r="2397" spans="6:9" x14ac:dyDescent="0.25">
      <c r="F2397" s="39"/>
      <c r="G2397" s="39"/>
      <c r="H2397" s="39"/>
      <c r="I2397" s="39"/>
    </row>
    <row r="2398" spans="6:9" x14ac:dyDescent="0.25">
      <c r="F2398" s="39"/>
      <c r="G2398" s="39"/>
      <c r="H2398" s="39"/>
      <c r="I2398" s="39"/>
    </row>
    <row r="2399" spans="6:9" x14ac:dyDescent="0.25">
      <c r="F2399" s="39"/>
      <c r="G2399" s="39"/>
      <c r="H2399" s="39"/>
      <c r="I2399" s="39"/>
    </row>
    <row r="2400" spans="6:9" x14ac:dyDescent="0.25">
      <c r="F2400" s="39"/>
      <c r="G2400" s="39"/>
      <c r="H2400" s="39"/>
      <c r="I2400" s="39"/>
    </row>
    <row r="2401" spans="6:9" x14ac:dyDescent="0.25">
      <c r="F2401" s="39"/>
      <c r="G2401" s="39"/>
      <c r="H2401" s="39"/>
      <c r="I2401" s="39"/>
    </row>
    <row r="2402" spans="6:9" x14ac:dyDescent="0.25">
      <c r="F2402" s="39"/>
      <c r="G2402" s="39"/>
      <c r="H2402" s="39"/>
      <c r="I2402" s="39"/>
    </row>
    <row r="2403" spans="6:9" x14ac:dyDescent="0.25">
      <c r="F2403" s="39"/>
      <c r="G2403" s="39"/>
      <c r="H2403" s="39"/>
      <c r="I2403" s="39"/>
    </row>
    <row r="2404" spans="6:9" x14ac:dyDescent="0.25">
      <c r="F2404" s="39"/>
      <c r="G2404" s="39"/>
      <c r="H2404" s="39"/>
      <c r="I2404" s="39"/>
    </row>
    <row r="2405" spans="6:9" x14ac:dyDescent="0.25">
      <c r="F2405" s="39"/>
      <c r="G2405" s="39"/>
      <c r="H2405" s="39"/>
      <c r="I2405" s="39"/>
    </row>
    <row r="2406" spans="6:9" x14ac:dyDescent="0.25">
      <c r="F2406" s="39"/>
      <c r="G2406" s="39"/>
      <c r="H2406" s="39"/>
      <c r="I2406" s="39"/>
    </row>
    <row r="2407" spans="6:9" x14ac:dyDescent="0.25">
      <c r="F2407" s="39"/>
      <c r="G2407" s="39"/>
      <c r="H2407" s="39"/>
      <c r="I2407" s="39"/>
    </row>
    <row r="2408" spans="6:9" x14ac:dyDescent="0.25">
      <c r="F2408" s="39"/>
      <c r="G2408" s="39"/>
      <c r="H2408" s="39"/>
      <c r="I2408" s="39"/>
    </row>
    <row r="2409" spans="6:9" x14ac:dyDescent="0.25">
      <c r="F2409" s="39"/>
      <c r="G2409" s="39"/>
      <c r="H2409" s="39"/>
      <c r="I2409" s="39"/>
    </row>
    <row r="2410" spans="6:9" x14ac:dyDescent="0.25">
      <c r="F2410" s="39"/>
      <c r="G2410" s="39"/>
      <c r="H2410" s="39"/>
      <c r="I2410" s="39"/>
    </row>
    <row r="2411" spans="6:9" x14ac:dyDescent="0.25">
      <c r="F2411" s="39"/>
      <c r="G2411" s="39"/>
      <c r="H2411" s="39"/>
      <c r="I2411" s="39"/>
    </row>
    <row r="2412" spans="6:9" x14ac:dyDescent="0.25">
      <c r="F2412" s="39"/>
      <c r="G2412" s="39"/>
      <c r="H2412" s="39"/>
      <c r="I2412" s="39"/>
    </row>
    <row r="2413" spans="6:9" x14ac:dyDescent="0.25">
      <c r="F2413" s="39"/>
      <c r="G2413" s="39"/>
      <c r="H2413" s="39"/>
      <c r="I2413" s="39"/>
    </row>
    <row r="2414" spans="6:9" x14ac:dyDescent="0.25">
      <c r="F2414" s="39"/>
      <c r="G2414" s="39"/>
      <c r="H2414" s="39"/>
      <c r="I2414" s="39"/>
    </row>
    <row r="2415" spans="6:9" x14ac:dyDescent="0.25">
      <c r="F2415" s="39"/>
      <c r="G2415" s="39"/>
      <c r="H2415" s="39"/>
      <c r="I2415" s="39"/>
    </row>
    <row r="2416" spans="6:9" x14ac:dyDescent="0.25">
      <c r="F2416" s="39"/>
      <c r="G2416" s="39"/>
      <c r="H2416" s="39"/>
      <c r="I2416" s="39"/>
    </row>
    <row r="2417" spans="6:9" x14ac:dyDescent="0.25">
      <c r="F2417" s="39"/>
      <c r="G2417" s="39"/>
      <c r="H2417" s="39"/>
      <c r="I2417" s="39"/>
    </row>
    <row r="2418" spans="6:9" x14ac:dyDescent="0.25">
      <c r="F2418" s="39"/>
      <c r="G2418" s="39"/>
      <c r="H2418" s="39"/>
      <c r="I2418" s="39"/>
    </row>
    <row r="2419" spans="6:9" x14ac:dyDescent="0.25">
      <c r="F2419" s="39"/>
      <c r="G2419" s="39"/>
      <c r="H2419" s="39"/>
      <c r="I2419" s="39"/>
    </row>
    <row r="2420" spans="6:9" x14ac:dyDescent="0.25">
      <c r="F2420" s="39"/>
      <c r="G2420" s="39"/>
      <c r="H2420" s="39"/>
      <c r="I2420" s="39"/>
    </row>
    <row r="2421" spans="6:9" x14ac:dyDescent="0.25">
      <c r="F2421" s="39"/>
      <c r="G2421" s="39"/>
      <c r="H2421" s="39"/>
      <c r="I2421" s="39"/>
    </row>
    <row r="2422" spans="6:9" x14ac:dyDescent="0.25">
      <c r="F2422" s="39"/>
      <c r="G2422" s="39"/>
      <c r="H2422" s="39"/>
      <c r="I2422" s="39"/>
    </row>
    <row r="2423" spans="6:9" x14ac:dyDescent="0.25">
      <c r="F2423" s="39"/>
      <c r="G2423" s="39"/>
      <c r="H2423" s="39"/>
      <c r="I2423" s="39"/>
    </row>
    <row r="2424" spans="6:9" x14ac:dyDescent="0.25">
      <c r="F2424" s="39"/>
      <c r="G2424" s="39"/>
      <c r="H2424" s="39"/>
      <c r="I2424" s="39"/>
    </row>
    <row r="2425" spans="6:9" x14ac:dyDescent="0.25">
      <c r="F2425" s="39"/>
      <c r="G2425" s="39"/>
      <c r="H2425" s="39"/>
      <c r="I2425" s="39"/>
    </row>
    <row r="2426" spans="6:9" x14ac:dyDescent="0.25">
      <c r="F2426" s="39"/>
      <c r="G2426" s="39"/>
      <c r="H2426" s="39"/>
      <c r="I2426" s="39"/>
    </row>
    <row r="2427" spans="6:9" x14ac:dyDescent="0.25">
      <c r="F2427" s="39"/>
      <c r="G2427" s="39"/>
      <c r="H2427" s="39"/>
      <c r="I2427" s="39"/>
    </row>
    <row r="2428" spans="6:9" x14ac:dyDescent="0.25">
      <c r="F2428" s="39"/>
      <c r="G2428" s="39"/>
      <c r="H2428" s="39"/>
      <c r="I2428" s="39"/>
    </row>
    <row r="2429" spans="6:9" x14ac:dyDescent="0.25">
      <c r="F2429" s="39"/>
      <c r="G2429" s="39"/>
      <c r="H2429" s="39"/>
      <c r="I2429" s="39"/>
    </row>
    <row r="2430" spans="6:9" x14ac:dyDescent="0.25">
      <c r="F2430" s="39"/>
      <c r="G2430" s="39"/>
      <c r="H2430" s="39"/>
      <c r="I2430" s="39"/>
    </row>
    <row r="2431" spans="6:9" x14ac:dyDescent="0.25">
      <c r="F2431" s="39"/>
      <c r="G2431" s="39"/>
      <c r="H2431" s="39"/>
      <c r="I2431" s="39"/>
    </row>
    <row r="2432" spans="6:9" x14ac:dyDescent="0.25">
      <c r="F2432" s="39"/>
      <c r="G2432" s="39"/>
      <c r="H2432" s="39"/>
      <c r="I2432" s="39"/>
    </row>
    <row r="2433" spans="6:9" x14ac:dyDescent="0.25">
      <c r="F2433" s="39"/>
      <c r="G2433" s="39"/>
      <c r="H2433" s="39"/>
      <c r="I2433" s="39"/>
    </row>
    <row r="2434" spans="6:9" x14ac:dyDescent="0.25">
      <c r="F2434" s="39"/>
      <c r="G2434" s="39"/>
      <c r="H2434" s="39"/>
      <c r="I2434" s="39"/>
    </row>
    <row r="2435" spans="6:9" x14ac:dyDescent="0.25">
      <c r="F2435" s="39"/>
      <c r="G2435" s="39"/>
      <c r="H2435" s="39"/>
      <c r="I2435" s="39"/>
    </row>
    <row r="2436" spans="6:9" x14ac:dyDescent="0.25">
      <c r="F2436" s="39"/>
      <c r="G2436" s="39"/>
      <c r="H2436" s="39"/>
      <c r="I2436" s="39"/>
    </row>
    <row r="2437" spans="6:9" x14ac:dyDescent="0.25">
      <c r="F2437" s="39"/>
      <c r="G2437" s="39"/>
      <c r="H2437" s="39"/>
      <c r="I2437" s="39"/>
    </row>
    <row r="2438" spans="6:9" x14ac:dyDescent="0.25">
      <c r="F2438" s="39"/>
      <c r="G2438" s="39"/>
      <c r="H2438" s="39"/>
      <c r="I2438" s="39"/>
    </row>
    <row r="2439" spans="6:9" x14ac:dyDescent="0.25">
      <c r="F2439" s="39"/>
      <c r="G2439" s="39"/>
      <c r="H2439" s="39"/>
      <c r="I2439" s="39"/>
    </row>
    <row r="2440" spans="6:9" x14ac:dyDescent="0.25">
      <c r="F2440" s="39"/>
      <c r="G2440" s="39"/>
      <c r="H2440" s="39"/>
      <c r="I2440" s="39"/>
    </row>
    <row r="2441" spans="6:9" x14ac:dyDescent="0.25">
      <c r="F2441" s="39"/>
      <c r="G2441" s="39"/>
      <c r="H2441" s="39"/>
      <c r="I2441" s="39"/>
    </row>
    <row r="2442" spans="6:9" x14ac:dyDescent="0.25">
      <c r="F2442" s="39"/>
      <c r="G2442" s="39"/>
      <c r="H2442" s="39"/>
      <c r="I2442" s="39"/>
    </row>
    <row r="2443" spans="6:9" x14ac:dyDescent="0.25">
      <c r="F2443" s="39"/>
      <c r="G2443" s="39"/>
      <c r="H2443" s="39"/>
      <c r="I2443" s="39"/>
    </row>
    <row r="2444" spans="6:9" x14ac:dyDescent="0.25">
      <c r="F2444" s="39"/>
      <c r="G2444" s="39"/>
      <c r="H2444" s="39"/>
      <c r="I2444" s="39"/>
    </row>
    <row r="2445" spans="6:9" x14ac:dyDescent="0.25">
      <c r="F2445" s="39"/>
      <c r="G2445" s="39"/>
      <c r="H2445" s="39"/>
      <c r="I2445" s="39"/>
    </row>
    <row r="2446" spans="6:9" x14ac:dyDescent="0.25">
      <c r="F2446" s="39"/>
      <c r="G2446" s="39"/>
      <c r="H2446" s="39"/>
      <c r="I2446" s="39"/>
    </row>
    <row r="2447" spans="6:9" x14ac:dyDescent="0.25">
      <c r="F2447" s="39"/>
      <c r="G2447" s="39"/>
      <c r="H2447" s="39"/>
      <c r="I2447" s="39"/>
    </row>
    <row r="2448" spans="6:9" x14ac:dyDescent="0.25">
      <c r="F2448" s="39"/>
      <c r="G2448" s="39"/>
      <c r="H2448" s="39"/>
      <c r="I2448" s="39"/>
    </row>
    <row r="2449" spans="6:9" x14ac:dyDescent="0.25">
      <c r="F2449" s="39"/>
      <c r="G2449" s="39"/>
      <c r="H2449" s="39"/>
      <c r="I2449" s="39"/>
    </row>
    <row r="2450" spans="6:9" x14ac:dyDescent="0.25">
      <c r="F2450" s="39"/>
      <c r="G2450" s="39"/>
      <c r="H2450" s="39"/>
      <c r="I2450" s="39"/>
    </row>
    <row r="2451" spans="6:9" x14ac:dyDescent="0.25">
      <c r="F2451" s="39"/>
      <c r="G2451" s="39"/>
      <c r="H2451" s="39"/>
      <c r="I2451" s="39"/>
    </row>
    <row r="2452" spans="6:9" x14ac:dyDescent="0.25">
      <c r="F2452" s="39"/>
      <c r="G2452" s="39"/>
      <c r="H2452" s="39"/>
      <c r="I2452" s="39"/>
    </row>
    <row r="2453" spans="6:9" x14ac:dyDescent="0.25">
      <c r="F2453" s="39"/>
      <c r="G2453" s="39"/>
      <c r="H2453" s="39"/>
      <c r="I2453" s="39"/>
    </row>
    <row r="2454" spans="6:9" x14ac:dyDescent="0.25">
      <c r="F2454" s="39"/>
      <c r="G2454" s="39"/>
      <c r="H2454" s="39"/>
      <c r="I2454" s="39"/>
    </row>
    <row r="2455" spans="6:9" x14ac:dyDescent="0.25">
      <c r="F2455" s="39"/>
      <c r="G2455" s="39"/>
      <c r="H2455" s="39"/>
      <c r="I2455" s="39"/>
    </row>
    <row r="2456" spans="6:9" x14ac:dyDescent="0.25">
      <c r="F2456" s="39"/>
      <c r="G2456" s="39"/>
      <c r="H2456" s="39"/>
      <c r="I2456" s="39"/>
    </row>
    <row r="2457" spans="6:9" x14ac:dyDescent="0.25">
      <c r="F2457" s="39"/>
      <c r="G2457" s="39"/>
      <c r="H2457" s="39"/>
      <c r="I2457" s="39"/>
    </row>
    <row r="2458" spans="6:9" x14ac:dyDescent="0.25">
      <c r="F2458" s="39"/>
      <c r="G2458" s="39"/>
      <c r="H2458" s="39"/>
      <c r="I2458" s="39"/>
    </row>
    <row r="2459" spans="6:9" x14ac:dyDescent="0.25">
      <c r="F2459" s="39"/>
      <c r="G2459" s="39"/>
      <c r="H2459" s="39"/>
      <c r="I2459" s="39"/>
    </row>
    <row r="2460" spans="6:9" x14ac:dyDescent="0.25">
      <c r="F2460" s="39"/>
      <c r="G2460" s="39"/>
      <c r="H2460" s="39"/>
      <c r="I2460" s="39"/>
    </row>
    <row r="2461" spans="6:9" x14ac:dyDescent="0.25">
      <c r="F2461" s="39"/>
      <c r="G2461" s="39"/>
      <c r="H2461" s="39"/>
      <c r="I2461" s="39"/>
    </row>
    <row r="2462" spans="6:9" x14ac:dyDescent="0.25">
      <c r="F2462" s="39"/>
      <c r="G2462" s="39"/>
      <c r="H2462" s="39"/>
      <c r="I2462" s="39"/>
    </row>
    <row r="2463" spans="6:9" x14ac:dyDescent="0.25">
      <c r="F2463" s="39"/>
      <c r="G2463" s="39"/>
      <c r="H2463" s="39"/>
      <c r="I2463" s="39"/>
    </row>
    <row r="2464" spans="6:9" x14ac:dyDescent="0.25">
      <c r="F2464" s="39"/>
      <c r="G2464" s="39"/>
      <c r="H2464" s="39"/>
      <c r="I2464" s="39"/>
    </row>
    <row r="2465" spans="6:9" x14ac:dyDescent="0.25">
      <c r="F2465" s="39"/>
      <c r="G2465" s="39"/>
      <c r="H2465" s="39"/>
      <c r="I2465" s="39"/>
    </row>
    <row r="2466" spans="6:9" x14ac:dyDescent="0.25">
      <c r="F2466" s="39"/>
      <c r="G2466" s="39"/>
      <c r="H2466" s="39"/>
      <c r="I2466" s="39"/>
    </row>
    <row r="2467" spans="6:9" x14ac:dyDescent="0.25">
      <c r="F2467" s="39"/>
      <c r="G2467" s="39"/>
      <c r="H2467" s="39"/>
      <c r="I2467" s="39"/>
    </row>
    <row r="2468" spans="6:9" x14ac:dyDescent="0.25">
      <c r="F2468" s="39"/>
      <c r="G2468" s="39"/>
      <c r="H2468" s="39"/>
      <c r="I2468" s="39"/>
    </row>
    <row r="2469" spans="6:9" x14ac:dyDescent="0.25">
      <c r="F2469" s="39"/>
      <c r="G2469" s="39"/>
      <c r="H2469" s="39"/>
      <c r="I2469" s="39"/>
    </row>
    <row r="2470" spans="6:9" x14ac:dyDescent="0.25">
      <c r="F2470" s="39"/>
      <c r="G2470" s="39"/>
      <c r="H2470" s="39"/>
      <c r="I2470" s="39"/>
    </row>
    <row r="2471" spans="6:9" x14ac:dyDescent="0.25">
      <c r="F2471" s="39"/>
      <c r="G2471" s="39"/>
      <c r="H2471" s="39"/>
      <c r="I2471" s="39"/>
    </row>
    <row r="2472" spans="6:9" x14ac:dyDescent="0.25">
      <c r="F2472" s="39"/>
      <c r="G2472" s="39"/>
      <c r="H2472" s="39"/>
      <c r="I2472" s="39"/>
    </row>
    <row r="2473" spans="6:9" x14ac:dyDescent="0.25">
      <c r="F2473" s="39"/>
      <c r="G2473" s="39"/>
      <c r="H2473" s="39"/>
      <c r="I2473" s="39"/>
    </row>
    <row r="2474" spans="6:9" x14ac:dyDescent="0.25">
      <c r="F2474" s="39"/>
      <c r="G2474" s="39"/>
      <c r="H2474" s="39"/>
      <c r="I2474" s="39"/>
    </row>
    <row r="2475" spans="6:9" x14ac:dyDescent="0.25">
      <c r="F2475" s="39"/>
      <c r="G2475" s="39"/>
      <c r="H2475" s="39"/>
      <c r="I2475" s="39"/>
    </row>
    <row r="2476" spans="6:9" x14ac:dyDescent="0.25">
      <c r="F2476" s="39"/>
      <c r="G2476" s="39"/>
      <c r="H2476" s="39"/>
      <c r="I2476" s="39"/>
    </row>
    <row r="2477" spans="6:9" x14ac:dyDescent="0.25">
      <c r="F2477" s="39"/>
      <c r="G2477" s="39"/>
      <c r="H2477" s="39"/>
      <c r="I2477" s="39"/>
    </row>
    <row r="2478" spans="6:9" x14ac:dyDescent="0.25">
      <c r="F2478" s="39"/>
      <c r="G2478" s="39"/>
      <c r="H2478" s="39"/>
      <c r="I2478" s="39"/>
    </row>
    <row r="2479" spans="6:9" x14ac:dyDescent="0.25">
      <c r="F2479" s="39"/>
      <c r="G2479" s="39"/>
      <c r="H2479" s="39"/>
      <c r="I2479" s="39"/>
    </row>
    <row r="2480" spans="6:9" x14ac:dyDescent="0.25">
      <c r="F2480" s="39"/>
      <c r="G2480" s="39"/>
      <c r="H2480" s="39"/>
      <c r="I2480" s="39"/>
    </row>
    <row r="2481" spans="6:9" x14ac:dyDescent="0.25">
      <c r="F2481" s="39"/>
      <c r="G2481" s="39"/>
      <c r="H2481" s="39"/>
      <c r="I2481" s="39"/>
    </row>
    <row r="2482" spans="6:9" x14ac:dyDescent="0.25">
      <c r="F2482" s="39"/>
      <c r="G2482" s="39"/>
      <c r="H2482" s="39"/>
      <c r="I2482" s="39"/>
    </row>
    <row r="2483" spans="6:9" x14ac:dyDescent="0.25">
      <c r="F2483" s="39"/>
      <c r="G2483" s="39"/>
      <c r="H2483" s="39"/>
      <c r="I2483" s="39"/>
    </row>
    <row r="2484" spans="6:9" x14ac:dyDescent="0.25">
      <c r="F2484" s="39"/>
      <c r="G2484" s="39"/>
      <c r="H2484" s="39"/>
      <c r="I2484" s="39"/>
    </row>
    <row r="2485" spans="6:9" x14ac:dyDescent="0.25">
      <c r="F2485" s="39"/>
      <c r="G2485" s="39"/>
      <c r="H2485" s="39"/>
      <c r="I2485" s="39"/>
    </row>
    <row r="2486" spans="6:9" x14ac:dyDescent="0.25">
      <c r="F2486" s="39"/>
      <c r="G2486" s="39"/>
      <c r="H2486" s="39"/>
      <c r="I2486" s="39"/>
    </row>
    <row r="2487" spans="6:9" x14ac:dyDescent="0.25">
      <c r="F2487" s="39"/>
      <c r="G2487" s="39"/>
      <c r="H2487" s="39"/>
      <c r="I2487" s="39"/>
    </row>
    <row r="2488" spans="6:9" x14ac:dyDescent="0.25">
      <c r="F2488" s="39"/>
      <c r="G2488" s="39"/>
      <c r="H2488" s="39"/>
      <c r="I2488" s="39"/>
    </row>
    <row r="2489" spans="6:9" x14ac:dyDescent="0.25">
      <c r="F2489" s="39"/>
      <c r="G2489" s="39"/>
      <c r="H2489" s="39"/>
      <c r="I2489" s="39"/>
    </row>
    <row r="2490" spans="6:9" x14ac:dyDescent="0.25">
      <c r="F2490" s="39"/>
      <c r="G2490" s="39"/>
      <c r="H2490" s="39"/>
      <c r="I2490" s="39"/>
    </row>
    <row r="2491" spans="6:9" x14ac:dyDescent="0.25">
      <c r="F2491" s="39"/>
      <c r="G2491" s="39"/>
      <c r="H2491" s="39"/>
      <c r="I2491" s="39"/>
    </row>
    <row r="2492" spans="6:9" x14ac:dyDescent="0.25">
      <c r="F2492" s="39"/>
      <c r="G2492" s="39"/>
      <c r="H2492" s="39"/>
      <c r="I2492" s="39"/>
    </row>
    <row r="2493" spans="6:9" x14ac:dyDescent="0.25">
      <c r="F2493" s="39"/>
      <c r="G2493" s="39"/>
      <c r="H2493" s="39"/>
      <c r="I2493" s="39"/>
    </row>
    <row r="2494" spans="6:9" x14ac:dyDescent="0.25">
      <c r="F2494" s="39"/>
      <c r="G2494" s="39"/>
      <c r="H2494" s="39"/>
      <c r="I2494" s="39"/>
    </row>
    <row r="2495" spans="6:9" x14ac:dyDescent="0.25">
      <c r="F2495" s="39"/>
      <c r="G2495" s="39"/>
      <c r="H2495" s="39"/>
      <c r="I2495" s="39"/>
    </row>
    <row r="2496" spans="6:9" x14ac:dyDescent="0.25">
      <c r="F2496" s="39"/>
      <c r="G2496" s="39"/>
      <c r="H2496" s="39"/>
      <c r="I2496" s="39"/>
    </row>
    <row r="2497" spans="6:9" x14ac:dyDescent="0.25">
      <c r="F2497" s="39"/>
      <c r="G2497" s="39"/>
      <c r="H2497" s="39"/>
      <c r="I2497" s="39"/>
    </row>
    <row r="2498" spans="6:9" x14ac:dyDescent="0.25">
      <c r="F2498" s="39"/>
      <c r="G2498" s="39"/>
      <c r="H2498" s="39"/>
      <c r="I2498" s="39"/>
    </row>
    <row r="2499" spans="6:9" x14ac:dyDescent="0.25">
      <c r="F2499" s="39"/>
      <c r="G2499" s="39"/>
      <c r="H2499" s="39"/>
      <c r="I2499" s="39"/>
    </row>
    <row r="2500" spans="6:9" x14ac:dyDescent="0.25">
      <c r="F2500" s="39"/>
      <c r="G2500" s="39"/>
      <c r="H2500" s="39"/>
      <c r="I2500" s="39"/>
    </row>
    <row r="2501" spans="6:9" x14ac:dyDescent="0.25">
      <c r="F2501" s="39"/>
      <c r="G2501" s="39"/>
      <c r="H2501" s="39"/>
      <c r="I2501" s="39"/>
    </row>
    <row r="2502" spans="6:9" x14ac:dyDescent="0.25">
      <c r="F2502" s="39"/>
      <c r="G2502" s="39"/>
      <c r="H2502" s="39"/>
      <c r="I2502" s="39"/>
    </row>
    <row r="2503" spans="6:9" x14ac:dyDescent="0.25">
      <c r="F2503" s="39"/>
      <c r="G2503" s="39"/>
      <c r="H2503" s="39"/>
      <c r="I2503" s="39"/>
    </row>
    <row r="2504" spans="6:9" x14ac:dyDescent="0.25">
      <c r="F2504" s="39"/>
      <c r="G2504" s="39"/>
      <c r="H2504" s="39"/>
      <c r="I2504" s="39"/>
    </row>
    <row r="2505" spans="6:9" x14ac:dyDescent="0.25">
      <c r="F2505" s="39"/>
      <c r="G2505" s="39"/>
      <c r="H2505" s="39"/>
      <c r="I2505" s="39"/>
    </row>
    <row r="2506" spans="6:9" x14ac:dyDescent="0.25">
      <c r="F2506" s="39"/>
      <c r="G2506" s="39"/>
      <c r="H2506" s="39"/>
      <c r="I2506" s="39"/>
    </row>
    <row r="2507" spans="6:9" x14ac:dyDescent="0.25">
      <c r="F2507" s="39"/>
      <c r="G2507" s="39"/>
      <c r="H2507" s="39"/>
      <c r="I2507" s="39"/>
    </row>
    <row r="2508" spans="6:9" x14ac:dyDescent="0.25">
      <c r="F2508" s="39"/>
      <c r="G2508" s="39"/>
      <c r="H2508" s="39"/>
      <c r="I2508" s="39"/>
    </row>
    <row r="2509" spans="6:9" x14ac:dyDescent="0.25">
      <c r="F2509" s="39"/>
      <c r="G2509" s="39"/>
      <c r="H2509" s="39"/>
      <c r="I2509" s="39"/>
    </row>
    <row r="2510" spans="6:9" x14ac:dyDescent="0.25">
      <c r="F2510" s="39"/>
      <c r="G2510" s="39"/>
      <c r="H2510" s="39"/>
      <c r="I2510" s="39"/>
    </row>
    <row r="2511" spans="6:9" x14ac:dyDescent="0.25">
      <c r="F2511" s="39"/>
      <c r="G2511" s="39"/>
      <c r="H2511" s="39"/>
      <c r="I2511" s="39"/>
    </row>
    <row r="2512" spans="6:9" x14ac:dyDescent="0.25">
      <c r="F2512" s="39"/>
      <c r="G2512" s="39"/>
      <c r="H2512" s="39"/>
      <c r="I2512" s="39"/>
    </row>
    <row r="2513" spans="6:9" x14ac:dyDescent="0.25">
      <c r="F2513" s="39"/>
      <c r="G2513" s="39"/>
      <c r="H2513" s="39"/>
      <c r="I2513" s="39"/>
    </row>
    <row r="2514" spans="6:9" x14ac:dyDescent="0.25">
      <c r="F2514" s="39"/>
      <c r="G2514" s="39"/>
      <c r="H2514" s="39"/>
      <c r="I2514" s="39"/>
    </row>
    <row r="2515" spans="6:9" x14ac:dyDescent="0.25">
      <c r="F2515" s="39"/>
      <c r="G2515" s="39"/>
      <c r="H2515" s="39"/>
      <c r="I2515" s="39"/>
    </row>
    <row r="2516" spans="6:9" x14ac:dyDescent="0.25">
      <c r="F2516" s="39"/>
      <c r="G2516" s="39"/>
      <c r="H2516" s="39"/>
      <c r="I2516" s="39"/>
    </row>
    <row r="2517" spans="6:9" x14ac:dyDescent="0.25">
      <c r="F2517" s="39"/>
      <c r="G2517" s="39"/>
      <c r="H2517" s="39"/>
      <c r="I2517" s="39"/>
    </row>
    <row r="2518" spans="6:9" x14ac:dyDescent="0.25">
      <c r="F2518" s="39"/>
      <c r="G2518" s="39"/>
      <c r="H2518" s="39"/>
      <c r="I2518" s="39"/>
    </row>
    <row r="2519" spans="6:9" x14ac:dyDescent="0.25">
      <c r="F2519" s="39"/>
      <c r="G2519" s="39"/>
      <c r="H2519" s="39"/>
      <c r="I2519" s="39"/>
    </row>
    <row r="2520" spans="6:9" x14ac:dyDescent="0.25">
      <c r="F2520" s="39"/>
      <c r="G2520" s="39"/>
      <c r="H2520" s="39"/>
      <c r="I2520" s="39"/>
    </row>
    <row r="2521" spans="6:9" x14ac:dyDescent="0.25">
      <c r="F2521" s="39"/>
      <c r="G2521" s="39"/>
      <c r="H2521" s="39"/>
      <c r="I2521" s="39"/>
    </row>
    <row r="2522" spans="6:9" x14ac:dyDescent="0.25">
      <c r="F2522" s="39"/>
      <c r="G2522" s="39"/>
      <c r="H2522" s="39"/>
      <c r="I2522" s="39"/>
    </row>
    <row r="2523" spans="6:9" x14ac:dyDescent="0.25">
      <c r="F2523" s="39"/>
      <c r="G2523" s="39"/>
      <c r="H2523" s="39"/>
      <c r="I2523" s="39"/>
    </row>
    <row r="2524" spans="6:9" x14ac:dyDescent="0.25">
      <c r="F2524" s="39"/>
      <c r="G2524" s="39"/>
      <c r="H2524" s="39"/>
      <c r="I2524" s="39"/>
    </row>
    <row r="2525" spans="6:9" x14ac:dyDescent="0.25">
      <c r="F2525" s="39"/>
      <c r="G2525" s="39"/>
      <c r="H2525" s="39"/>
      <c r="I2525" s="39"/>
    </row>
    <row r="2526" spans="6:9" x14ac:dyDescent="0.25">
      <c r="F2526" s="39"/>
      <c r="G2526" s="39"/>
      <c r="H2526" s="39"/>
      <c r="I2526" s="39"/>
    </row>
    <row r="2527" spans="6:9" x14ac:dyDescent="0.25">
      <c r="F2527" s="39"/>
      <c r="G2527" s="39"/>
      <c r="H2527" s="39"/>
      <c r="I2527" s="39"/>
    </row>
    <row r="2528" spans="6:9" x14ac:dyDescent="0.25">
      <c r="F2528" s="39"/>
      <c r="G2528" s="39"/>
      <c r="H2528" s="39"/>
      <c r="I2528" s="39"/>
    </row>
    <row r="2529" spans="6:9" x14ac:dyDescent="0.25">
      <c r="F2529" s="39"/>
      <c r="G2529" s="39"/>
      <c r="H2529" s="39"/>
      <c r="I2529" s="39"/>
    </row>
    <row r="2530" spans="6:9" x14ac:dyDescent="0.25">
      <c r="F2530" s="39"/>
      <c r="G2530" s="39"/>
      <c r="H2530" s="39"/>
      <c r="I2530" s="39"/>
    </row>
    <row r="2531" spans="6:9" x14ac:dyDescent="0.25">
      <c r="F2531" s="39"/>
      <c r="G2531" s="39"/>
      <c r="H2531" s="39"/>
      <c r="I2531" s="39"/>
    </row>
    <row r="2532" spans="6:9" x14ac:dyDescent="0.25">
      <c r="F2532" s="39"/>
      <c r="G2532" s="39"/>
      <c r="H2532" s="39"/>
      <c r="I2532" s="39"/>
    </row>
    <row r="2533" spans="6:9" x14ac:dyDescent="0.25">
      <c r="F2533" s="39"/>
      <c r="G2533" s="39"/>
      <c r="H2533" s="39"/>
      <c r="I2533" s="39"/>
    </row>
    <row r="2534" spans="6:9" x14ac:dyDescent="0.25">
      <c r="F2534" s="39"/>
      <c r="G2534" s="39"/>
      <c r="H2534" s="39"/>
      <c r="I2534" s="39"/>
    </row>
    <row r="2535" spans="6:9" x14ac:dyDescent="0.25">
      <c r="F2535" s="39"/>
      <c r="G2535" s="39"/>
      <c r="H2535" s="39"/>
      <c r="I2535" s="39"/>
    </row>
    <row r="2536" spans="6:9" x14ac:dyDescent="0.25">
      <c r="F2536" s="39"/>
      <c r="G2536" s="39"/>
      <c r="H2536" s="39"/>
      <c r="I2536" s="39"/>
    </row>
    <row r="2537" spans="6:9" x14ac:dyDescent="0.25">
      <c r="F2537" s="39"/>
      <c r="G2537" s="39"/>
      <c r="H2537" s="39"/>
      <c r="I2537" s="39"/>
    </row>
    <row r="2538" spans="6:9" x14ac:dyDescent="0.25">
      <c r="F2538" s="39"/>
      <c r="G2538" s="39"/>
      <c r="H2538" s="39"/>
      <c r="I2538" s="39"/>
    </row>
    <row r="2539" spans="6:9" x14ac:dyDescent="0.25">
      <c r="F2539" s="39"/>
      <c r="G2539" s="39"/>
      <c r="H2539" s="39"/>
      <c r="I2539" s="39"/>
    </row>
    <row r="2540" spans="6:9" x14ac:dyDescent="0.25">
      <c r="F2540" s="39"/>
      <c r="G2540" s="39"/>
      <c r="H2540" s="39"/>
      <c r="I2540" s="39"/>
    </row>
    <row r="2541" spans="6:9" x14ac:dyDescent="0.25">
      <c r="F2541" s="39"/>
      <c r="G2541" s="39"/>
      <c r="H2541" s="39"/>
      <c r="I2541" s="39"/>
    </row>
    <row r="2542" spans="6:9" x14ac:dyDescent="0.25">
      <c r="F2542" s="39"/>
      <c r="G2542" s="39"/>
      <c r="H2542" s="39"/>
      <c r="I2542" s="39"/>
    </row>
    <row r="2543" spans="6:9" x14ac:dyDescent="0.25">
      <c r="F2543" s="39"/>
      <c r="G2543" s="39"/>
      <c r="H2543" s="39"/>
      <c r="I2543" s="39"/>
    </row>
    <row r="2544" spans="6:9" x14ac:dyDescent="0.25">
      <c r="F2544" s="39"/>
      <c r="G2544" s="39"/>
      <c r="H2544" s="39"/>
      <c r="I2544" s="39"/>
    </row>
    <row r="2545" spans="6:9" x14ac:dyDescent="0.25">
      <c r="F2545" s="39"/>
      <c r="G2545" s="39"/>
      <c r="H2545" s="39"/>
      <c r="I2545" s="39"/>
    </row>
    <row r="2546" spans="6:9" x14ac:dyDescent="0.25">
      <c r="F2546" s="39"/>
      <c r="G2546" s="39"/>
      <c r="H2546" s="39"/>
      <c r="I2546" s="39"/>
    </row>
    <row r="2547" spans="6:9" x14ac:dyDescent="0.25">
      <c r="F2547" s="39"/>
      <c r="G2547" s="39"/>
      <c r="H2547" s="39"/>
      <c r="I2547" s="39"/>
    </row>
    <row r="2548" spans="6:9" x14ac:dyDescent="0.25">
      <c r="F2548" s="39"/>
      <c r="G2548" s="39"/>
      <c r="H2548" s="39"/>
      <c r="I2548" s="39"/>
    </row>
    <row r="2549" spans="6:9" x14ac:dyDescent="0.25">
      <c r="F2549" s="39"/>
      <c r="G2549" s="39"/>
      <c r="H2549" s="39"/>
      <c r="I2549" s="39"/>
    </row>
    <row r="2550" spans="6:9" x14ac:dyDescent="0.25">
      <c r="F2550" s="39"/>
      <c r="G2550" s="39"/>
      <c r="H2550" s="39"/>
      <c r="I2550" s="39"/>
    </row>
    <row r="2551" spans="6:9" x14ac:dyDescent="0.25">
      <c r="F2551" s="39"/>
      <c r="G2551" s="39"/>
      <c r="H2551" s="39"/>
      <c r="I2551" s="39"/>
    </row>
    <row r="2552" spans="6:9" x14ac:dyDescent="0.25">
      <c r="F2552" s="39"/>
      <c r="G2552" s="39"/>
      <c r="H2552" s="39"/>
      <c r="I2552" s="39"/>
    </row>
    <row r="2553" spans="6:9" x14ac:dyDescent="0.25">
      <c r="F2553" s="39"/>
      <c r="G2553" s="39"/>
      <c r="H2553" s="39"/>
      <c r="I2553" s="39"/>
    </row>
    <row r="2554" spans="6:9" x14ac:dyDescent="0.25">
      <c r="F2554" s="39"/>
      <c r="G2554" s="39"/>
      <c r="H2554" s="39"/>
      <c r="I2554" s="39"/>
    </row>
    <row r="2555" spans="6:9" x14ac:dyDescent="0.25">
      <c r="F2555" s="39"/>
      <c r="G2555" s="39"/>
      <c r="H2555" s="39"/>
      <c r="I2555" s="39"/>
    </row>
    <row r="2556" spans="6:9" x14ac:dyDescent="0.25">
      <c r="F2556" s="39"/>
      <c r="G2556" s="39"/>
      <c r="H2556" s="39"/>
      <c r="I2556" s="39"/>
    </row>
    <row r="2557" spans="6:9" x14ac:dyDescent="0.25">
      <c r="F2557" s="39"/>
      <c r="G2557" s="39"/>
      <c r="H2557" s="39"/>
      <c r="I2557" s="39"/>
    </row>
    <row r="2558" spans="6:9" x14ac:dyDescent="0.25">
      <c r="F2558" s="39"/>
      <c r="G2558" s="39"/>
      <c r="H2558" s="39"/>
      <c r="I2558" s="39"/>
    </row>
    <row r="2559" spans="6:9" x14ac:dyDescent="0.25">
      <c r="F2559" s="39"/>
      <c r="G2559" s="39"/>
      <c r="H2559" s="39"/>
      <c r="I2559" s="39"/>
    </row>
    <row r="2560" spans="6:9" x14ac:dyDescent="0.25">
      <c r="F2560" s="39"/>
      <c r="G2560" s="39"/>
      <c r="H2560" s="39"/>
      <c r="I2560" s="39"/>
    </row>
    <row r="2561" spans="6:9" x14ac:dyDescent="0.25">
      <c r="F2561" s="39"/>
      <c r="G2561" s="39"/>
      <c r="H2561" s="39"/>
      <c r="I2561" s="39"/>
    </row>
    <row r="2562" spans="6:9" x14ac:dyDescent="0.25">
      <c r="F2562" s="39"/>
      <c r="G2562" s="39"/>
      <c r="H2562" s="39"/>
      <c r="I2562" s="39"/>
    </row>
    <row r="2563" spans="6:9" x14ac:dyDescent="0.25">
      <c r="F2563" s="39"/>
      <c r="G2563" s="39"/>
      <c r="H2563" s="39"/>
      <c r="I2563" s="39"/>
    </row>
    <row r="2564" spans="6:9" x14ac:dyDescent="0.25">
      <c r="F2564" s="39"/>
      <c r="G2564" s="39"/>
      <c r="H2564" s="39"/>
      <c r="I2564" s="39"/>
    </row>
    <row r="2565" spans="6:9" x14ac:dyDescent="0.25">
      <c r="F2565" s="39"/>
      <c r="G2565" s="39"/>
      <c r="H2565" s="39"/>
      <c r="I2565" s="39"/>
    </row>
    <row r="2566" spans="6:9" x14ac:dyDescent="0.25">
      <c r="F2566" s="39"/>
      <c r="G2566" s="39"/>
      <c r="H2566" s="39"/>
      <c r="I2566" s="39"/>
    </row>
    <row r="2567" spans="6:9" x14ac:dyDescent="0.25">
      <c r="F2567" s="39"/>
      <c r="G2567" s="39"/>
      <c r="H2567" s="39"/>
      <c r="I2567" s="39"/>
    </row>
    <row r="2568" spans="6:9" x14ac:dyDescent="0.25">
      <c r="F2568" s="39"/>
      <c r="G2568" s="39"/>
      <c r="H2568" s="39"/>
      <c r="I2568" s="39"/>
    </row>
    <row r="2569" spans="6:9" x14ac:dyDescent="0.25">
      <c r="F2569" s="39"/>
      <c r="G2569" s="39"/>
      <c r="H2569" s="39"/>
      <c r="I2569" s="39"/>
    </row>
    <row r="2570" spans="6:9" x14ac:dyDescent="0.25">
      <c r="F2570" s="39"/>
      <c r="G2570" s="39"/>
      <c r="H2570" s="39"/>
      <c r="I2570" s="39"/>
    </row>
    <row r="2571" spans="6:9" x14ac:dyDescent="0.25">
      <c r="F2571" s="39"/>
      <c r="G2571" s="39"/>
      <c r="H2571" s="39"/>
      <c r="I2571" s="39"/>
    </row>
    <row r="2572" spans="6:9" x14ac:dyDescent="0.25">
      <c r="F2572" s="39"/>
      <c r="G2572" s="39"/>
      <c r="H2572" s="39"/>
      <c r="I2572" s="39"/>
    </row>
    <row r="2573" spans="6:9" x14ac:dyDescent="0.25">
      <c r="F2573" s="39"/>
      <c r="G2573" s="39"/>
      <c r="H2573" s="39"/>
      <c r="I2573" s="39"/>
    </row>
    <row r="2574" spans="6:9" x14ac:dyDescent="0.25">
      <c r="F2574" s="39"/>
      <c r="G2574" s="39"/>
      <c r="H2574" s="39"/>
      <c r="I2574" s="39"/>
    </row>
    <row r="2575" spans="6:9" x14ac:dyDescent="0.25">
      <c r="F2575" s="39"/>
      <c r="G2575" s="39"/>
      <c r="H2575" s="39"/>
      <c r="I2575" s="39"/>
    </row>
    <row r="2576" spans="6:9" x14ac:dyDescent="0.25">
      <c r="F2576" s="39"/>
      <c r="G2576" s="39"/>
      <c r="H2576" s="39"/>
      <c r="I2576" s="39"/>
    </row>
    <row r="2577" spans="6:9" x14ac:dyDescent="0.25">
      <c r="F2577" s="39"/>
      <c r="G2577" s="39"/>
      <c r="H2577" s="39"/>
      <c r="I2577" s="39"/>
    </row>
    <row r="2578" spans="6:9" x14ac:dyDescent="0.25">
      <c r="F2578" s="39"/>
      <c r="G2578" s="39"/>
      <c r="H2578" s="39"/>
      <c r="I2578" s="39"/>
    </row>
    <row r="2579" spans="6:9" x14ac:dyDescent="0.25">
      <c r="F2579" s="39"/>
      <c r="G2579" s="39"/>
      <c r="H2579" s="39"/>
      <c r="I2579" s="39"/>
    </row>
    <row r="2580" spans="6:9" x14ac:dyDescent="0.25">
      <c r="F2580" s="39"/>
      <c r="G2580" s="39"/>
      <c r="H2580" s="39"/>
      <c r="I2580" s="39"/>
    </row>
    <row r="2581" spans="6:9" x14ac:dyDescent="0.25">
      <c r="F2581" s="39"/>
      <c r="G2581" s="39"/>
      <c r="H2581" s="39"/>
      <c r="I2581" s="39"/>
    </row>
    <row r="2582" spans="6:9" x14ac:dyDescent="0.25">
      <c r="F2582" s="39"/>
      <c r="G2582" s="39"/>
      <c r="H2582" s="39"/>
      <c r="I2582" s="39"/>
    </row>
    <row r="2583" spans="6:9" x14ac:dyDescent="0.25">
      <c r="F2583" s="39"/>
      <c r="G2583" s="39"/>
      <c r="H2583" s="39"/>
      <c r="I2583" s="39"/>
    </row>
    <row r="2584" spans="6:9" x14ac:dyDescent="0.25">
      <c r="F2584" s="39"/>
      <c r="G2584" s="39"/>
      <c r="H2584" s="39"/>
      <c r="I2584" s="39"/>
    </row>
    <row r="2585" spans="6:9" x14ac:dyDescent="0.25">
      <c r="F2585" s="39"/>
      <c r="G2585" s="39"/>
      <c r="H2585" s="39"/>
      <c r="I2585" s="39"/>
    </row>
    <row r="2586" spans="6:9" x14ac:dyDescent="0.25">
      <c r="F2586" s="39"/>
      <c r="G2586" s="39"/>
      <c r="H2586" s="39"/>
      <c r="I2586" s="39"/>
    </row>
    <row r="2587" spans="6:9" x14ac:dyDescent="0.25">
      <c r="F2587" s="39"/>
      <c r="G2587" s="39"/>
      <c r="H2587" s="39"/>
      <c r="I2587" s="39"/>
    </row>
    <row r="2588" spans="6:9" x14ac:dyDescent="0.25">
      <c r="F2588" s="39"/>
      <c r="G2588" s="39"/>
      <c r="H2588" s="39"/>
      <c r="I2588" s="39"/>
    </row>
    <row r="2589" spans="6:9" x14ac:dyDescent="0.25">
      <c r="F2589" s="39"/>
      <c r="G2589" s="39"/>
      <c r="H2589" s="39"/>
      <c r="I2589" s="39"/>
    </row>
    <row r="2590" spans="6:9" x14ac:dyDescent="0.25">
      <c r="F2590" s="39"/>
      <c r="G2590" s="39"/>
      <c r="H2590" s="39"/>
      <c r="I2590" s="39"/>
    </row>
    <row r="2591" spans="6:9" x14ac:dyDescent="0.25">
      <c r="F2591" s="39"/>
      <c r="G2591" s="39"/>
      <c r="H2591" s="39"/>
      <c r="I2591" s="39"/>
    </row>
    <row r="2592" spans="6:9" x14ac:dyDescent="0.25">
      <c r="F2592" s="39"/>
      <c r="G2592" s="39"/>
      <c r="H2592" s="39"/>
      <c r="I2592" s="39"/>
    </row>
    <row r="2593" spans="6:9" x14ac:dyDescent="0.25">
      <c r="F2593" s="39"/>
      <c r="G2593" s="39"/>
      <c r="H2593" s="39"/>
      <c r="I2593" s="39"/>
    </row>
    <row r="2594" spans="6:9" x14ac:dyDescent="0.25">
      <c r="F2594" s="39"/>
      <c r="G2594" s="39"/>
      <c r="H2594" s="39"/>
      <c r="I2594" s="39"/>
    </row>
    <row r="2595" spans="6:9" x14ac:dyDescent="0.25">
      <c r="F2595" s="39"/>
      <c r="G2595" s="39"/>
      <c r="H2595" s="39"/>
      <c r="I2595" s="39"/>
    </row>
    <row r="2596" spans="6:9" x14ac:dyDescent="0.25">
      <c r="F2596" s="39"/>
      <c r="G2596" s="39"/>
      <c r="H2596" s="39"/>
      <c r="I2596" s="39"/>
    </row>
    <row r="2597" spans="6:9" x14ac:dyDescent="0.25">
      <c r="F2597" s="39"/>
      <c r="G2597" s="39"/>
      <c r="H2597" s="39"/>
      <c r="I2597" s="39"/>
    </row>
    <row r="2598" spans="6:9" x14ac:dyDescent="0.25">
      <c r="F2598" s="39"/>
      <c r="G2598" s="39"/>
      <c r="H2598" s="39"/>
      <c r="I2598" s="39"/>
    </row>
    <row r="2599" spans="6:9" x14ac:dyDescent="0.25">
      <c r="F2599" s="39"/>
      <c r="G2599" s="39"/>
      <c r="H2599" s="39"/>
      <c r="I2599" s="39"/>
    </row>
    <row r="2600" spans="6:9" x14ac:dyDescent="0.25">
      <c r="F2600" s="39"/>
      <c r="G2600" s="39"/>
      <c r="H2600" s="39"/>
      <c r="I2600" s="39"/>
    </row>
    <row r="2601" spans="6:9" x14ac:dyDescent="0.25">
      <c r="F2601" s="39"/>
      <c r="G2601" s="39"/>
      <c r="H2601" s="39"/>
      <c r="I2601" s="39"/>
    </row>
    <row r="2602" spans="6:9" x14ac:dyDescent="0.25">
      <c r="F2602" s="39"/>
      <c r="G2602" s="39"/>
      <c r="H2602" s="39"/>
      <c r="I2602" s="39"/>
    </row>
    <row r="2603" spans="6:9" x14ac:dyDescent="0.25">
      <c r="F2603" s="39"/>
      <c r="G2603" s="39"/>
      <c r="H2603" s="39"/>
      <c r="I2603" s="39"/>
    </row>
    <row r="2604" spans="6:9" x14ac:dyDescent="0.25">
      <c r="F2604" s="39"/>
      <c r="G2604" s="39"/>
      <c r="H2604" s="39"/>
      <c r="I2604" s="39"/>
    </row>
    <row r="2605" spans="6:9" x14ac:dyDescent="0.25">
      <c r="F2605" s="39"/>
      <c r="G2605" s="39"/>
      <c r="H2605" s="39"/>
      <c r="I2605" s="39"/>
    </row>
    <row r="2606" spans="6:9" x14ac:dyDescent="0.25">
      <c r="F2606" s="39"/>
      <c r="G2606" s="39"/>
      <c r="H2606" s="39"/>
      <c r="I2606" s="39"/>
    </row>
    <row r="2607" spans="6:9" x14ac:dyDescent="0.25">
      <c r="F2607" s="39"/>
      <c r="G2607" s="39"/>
      <c r="H2607" s="39"/>
      <c r="I2607" s="39"/>
    </row>
    <row r="2608" spans="6:9" x14ac:dyDescent="0.25">
      <c r="F2608" s="39"/>
      <c r="G2608" s="39"/>
      <c r="H2608" s="39"/>
      <c r="I2608" s="39"/>
    </row>
    <row r="2609" spans="6:9" x14ac:dyDescent="0.25">
      <c r="F2609" s="39"/>
      <c r="G2609" s="39"/>
      <c r="H2609" s="39"/>
      <c r="I2609" s="39"/>
    </row>
    <row r="2610" spans="6:9" x14ac:dyDescent="0.25">
      <c r="F2610" s="39"/>
      <c r="G2610" s="39"/>
      <c r="H2610" s="39"/>
      <c r="I2610" s="39"/>
    </row>
    <row r="2611" spans="6:9" x14ac:dyDescent="0.25">
      <c r="F2611" s="39"/>
      <c r="G2611" s="39"/>
      <c r="H2611" s="39"/>
      <c r="I2611" s="39"/>
    </row>
    <row r="2612" spans="6:9" x14ac:dyDescent="0.25">
      <c r="F2612" s="39"/>
      <c r="G2612" s="39"/>
      <c r="H2612" s="39"/>
      <c r="I2612" s="39"/>
    </row>
    <row r="2613" spans="6:9" x14ac:dyDescent="0.25">
      <c r="F2613" s="39"/>
      <c r="G2613" s="39"/>
      <c r="H2613" s="39"/>
      <c r="I2613" s="39"/>
    </row>
    <row r="2614" spans="6:9" x14ac:dyDescent="0.25">
      <c r="F2614" s="39"/>
      <c r="G2614" s="39"/>
      <c r="H2614" s="39"/>
      <c r="I2614" s="39"/>
    </row>
    <row r="2615" spans="6:9" x14ac:dyDescent="0.25">
      <c r="F2615" s="39"/>
      <c r="G2615" s="39"/>
      <c r="H2615" s="39"/>
      <c r="I2615" s="39"/>
    </row>
    <row r="2616" spans="6:9" x14ac:dyDescent="0.25">
      <c r="F2616" s="39"/>
      <c r="G2616" s="39"/>
      <c r="H2616" s="39"/>
      <c r="I2616" s="39"/>
    </row>
    <row r="2617" spans="6:9" x14ac:dyDescent="0.25">
      <c r="F2617" s="39"/>
      <c r="G2617" s="39"/>
      <c r="H2617" s="39"/>
      <c r="I2617" s="39"/>
    </row>
    <row r="2618" spans="6:9" x14ac:dyDescent="0.25">
      <c r="F2618" s="39"/>
      <c r="G2618" s="39"/>
      <c r="H2618" s="39"/>
      <c r="I2618" s="39"/>
    </row>
    <row r="2619" spans="6:9" x14ac:dyDescent="0.25">
      <c r="F2619" s="39"/>
      <c r="G2619" s="39"/>
      <c r="H2619" s="39"/>
      <c r="I2619" s="39"/>
    </row>
    <row r="2620" spans="6:9" x14ac:dyDescent="0.25">
      <c r="F2620" s="39"/>
      <c r="G2620" s="39"/>
      <c r="H2620" s="39"/>
      <c r="I2620" s="39"/>
    </row>
    <row r="2621" spans="6:9" x14ac:dyDescent="0.25">
      <c r="F2621" s="39"/>
      <c r="G2621" s="39"/>
      <c r="H2621" s="39"/>
      <c r="I2621" s="39"/>
    </row>
    <row r="2622" spans="6:9" x14ac:dyDescent="0.25">
      <c r="F2622" s="39"/>
      <c r="G2622" s="39"/>
      <c r="H2622" s="39"/>
      <c r="I2622" s="39"/>
    </row>
    <row r="2623" spans="6:9" x14ac:dyDescent="0.25">
      <c r="F2623" s="39"/>
      <c r="G2623" s="39"/>
      <c r="H2623" s="39"/>
      <c r="I2623" s="39"/>
    </row>
    <row r="2624" spans="6:9" x14ac:dyDescent="0.25">
      <c r="F2624" s="39"/>
      <c r="G2624" s="39"/>
      <c r="H2624" s="39"/>
      <c r="I2624" s="39"/>
    </row>
    <row r="2625" spans="6:9" x14ac:dyDescent="0.25">
      <c r="F2625" s="39"/>
      <c r="G2625" s="39"/>
      <c r="H2625" s="39"/>
      <c r="I2625" s="39"/>
    </row>
    <row r="2626" spans="6:9" x14ac:dyDescent="0.25">
      <c r="F2626" s="39"/>
      <c r="G2626" s="39"/>
      <c r="H2626" s="39"/>
      <c r="I2626" s="39"/>
    </row>
    <row r="2627" spans="6:9" x14ac:dyDescent="0.25">
      <c r="F2627" s="39"/>
      <c r="G2627" s="39"/>
      <c r="H2627" s="39"/>
      <c r="I2627" s="39"/>
    </row>
    <row r="2628" spans="6:9" x14ac:dyDescent="0.25">
      <c r="F2628" s="39"/>
      <c r="G2628" s="39"/>
      <c r="H2628" s="39"/>
      <c r="I2628" s="39"/>
    </row>
    <row r="2629" spans="6:9" x14ac:dyDescent="0.25">
      <c r="F2629" s="39"/>
      <c r="G2629" s="39"/>
      <c r="H2629" s="39"/>
      <c r="I2629" s="39"/>
    </row>
    <row r="2630" spans="6:9" x14ac:dyDescent="0.25">
      <c r="F2630" s="39"/>
      <c r="G2630" s="39"/>
      <c r="H2630" s="39"/>
      <c r="I2630" s="39"/>
    </row>
    <row r="2631" spans="6:9" x14ac:dyDescent="0.25">
      <c r="F2631" s="39"/>
      <c r="G2631" s="39"/>
      <c r="H2631" s="39"/>
      <c r="I2631" s="39"/>
    </row>
    <row r="2632" spans="6:9" x14ac:dyDescent="0.25">
      <c r="F2632" s="39"/>
      <c r="G2632" s="39"/>
      <c r="H2632" s="39"/>
      <c r="I2632" s="39"/>
    </row>
    <row r="2633" spans="6:9" x14ac:dyDescent="0.25">
      <c r="F2633" s="39"/>
      <c r="G2633" s="39"/>
      <c r="H2633" s="39"/>
      <c r="I2633" s="39"/>
    </row>
    <row r="2634" spans="6:9" x14ac:dyDescent="0.25">
      <c r="F2634" s="39"/>
      <c r="G2634" s="39"/>
      <c r="H2634" s="39"/>
      <c r="I2634" s="39"/>
    </row>
    <row r="2635" spans="6:9" x14ac:dyDescent="0.25">
      <c r="F2635" s="39"/>
      <c r="G2635" s="39"/>
      <c r="H2635" s="39"/>
      <c r="I2635" s="39"/>
    </row>
    <row r="2636" spans="6:9" x14ac:dyDescent="0.25">
      <c r="F2636" s="39"/>
      <c r="G2636" s="39"/>
      <c r="H2636" s="39"/>
      <c r="I2636" s="39"/>
    </row>
    <row r="2637" spans="6:9" x14ac:dyDescent="0.25">
      <c r="F2637" s="39"/>
      <c r="G2637" s="39"/>
      <c r="H2637" s="39"/>
      <c r="I2637" s="39"/>
    </row>
    <row r="2638" spans="6:9" x14ac:dyDescent="0.25">
      <c r="F2638" s="39"/>
      <c r="G2638" s="39"/>
      <c r="H2638" s="39"/>
      <c r="I2638" s="39"/>
    </row>
    <row r="2639" spans="6:9" x14ac:dyDescent="0.25">
      <c r="F2639" s="39"/>
      <c r="G2639" s="39"/>
      <c r="H2639" s="39"/>
      <c r="I2639" s="39"/>
    </row>
    <row r="2640" spans="6:9" x14ac:dyDescent="0.25">
      <c r="F2640" s="39"/>
      <c r="G2640" s="39"/>
      <c r="H2640" s="39"/>
      <c r="I2640" s="39"/>
    </row>
    <row r="2641" spans="6:9" x14ac:dyDescent="0.25">
      <c r="F2641" s="39"/>
      <c r="G2641" s="39"/>
      <c r="H2641" s="39"/>
      <c r="I2641" s="39"/>
    </row>
    <row r="2642" spans="6:9" x14ac:dyDescent="0.25">
      <c r="F2642" s="39"/>
      <c r="G2642" s="39"/>
      <c r="H2642" s="39"/>
      <c r="I2642" s="39"/>
    </row>
    <row r="2643" spans="6:9" x14ac:dyDescent="0.25">
      <c r="F2643" s="39"/>
      <c r="G2643" s="39"/>
      <c r="H2643" s="39"/>
      <c r="I2643" s="39"/>
    </row>
    <row r="2644" spans="6:9" x14ac:dyDescent="0.25">
      <c r="F2644" s="39"/>
      <c r="G2644" s="39"/>
      <c r="H2644" s="39"/>
      <c r="I2644" s="39"/>
    </row>
    <row r="2645" spans="6:9" x14ac:dyDescent="0.25">
      <c r="F2645" s="39"/>
      <c r="G2645" s="39"/>
      <c r="H2645" s="39"/>
      <c r="I2645" s="39"/>
    </row>
    <row r="2646" spans="6:9" x14ac:dyDescent="0.25">
      <c r="F2646" s="39"/>
      <c r="G2646" s="39"/>
      <c r="H2646" s="39"/>
      <c r="I2646" s="39"/>
    </row>
    <row r="2647" spans="6:9" x14ac:dyDescent="0.25">
      <c r="F2647" s="39"/>
      <c r="G2647" s="39"/>
      <c r="H2647" s="39"/>
      <c r="I2647" s="39"/>
    </row>
    <row r="2648" spans="6:9" x14ac:dyDescent="0.25">
      <c r="F2648" s="39"/>
      <c r="G2648" s="39"/>
      <c r="H2648" s="39"/>
      <c r="I2648" s="39"/>
    </row>
    <row r="2649" spans="6:9" x14ac:dyDescent="0.25">
      <c r="F2649" s="39"/>
      <c r="G2649" s="39"/>
      <c r="H2649" s="39"/>
      <c r="I2649" s="39"/>
    </row>
    <row r="2650" spans="6:9" x14ac:dyDescent="0.25">
      <c r="F2650" s="39"/>
      <c r="G2650" s="39"/>
      <c r="H2650" s="39"/>
      <c r="I2650" s="39"/>
    </row>
    <row r="2651" spans="6:9" x14ac:dyDescent="0.25">
      <c r="F2651" s="39"/>
      <c r="G2651" s="39"/>
      <c r="H2651" s="39"/>
      <c r="I2651" s="39"/>
    </row>
    <row r="2652" spans="6:9" x14ac:dyDescent="0.25">
      <c r="F2652" s="39"/>
      <c r="G2652" s="39"/>
      <c r="H2652" s="39"/>
      <c r="I2652" s="39"/>
    </row>
    <row r="2653" spans="6:9" x14ac:dyDescent="0.25">
      <c r="F2653" s="39"/>
      <c r="G2653" s="39"/>
      <c r="H2653" s="39"/>
      <c r="I2653" s="39"/>
    </row>
    <row r="2654" spans="6:9" x14ac:dyDescent="0.25">
      <c r="F2654" s="39"/>
      <c r="G2654" s="39"/>
      <c r="H2654" s="39"/>
      <c r="I2654" s="39"/>
    </row>
    <row r="2655" spans="6:9" x14ac:dyDescent="0.25">
      <c r="F2655" s="39"/>
      <c r="G2655" s="39"/>
      <c r="H2655" s="39"/>
      <c r="I2655" s="39"/>
    </row>
    <row r="2656" spans="6:9" x14ac:dyDescent="0.25">
      <c r="F2656" s="39"/>
      <c r="G2656" s="39"/>
      <c r="H2656" s="39"/>
      <c r="I2656" s="39"/>
    </row>
    <row r="2657" spans="6:9" x14ac:dyDescent="0.25">
      <c r="F2657" s="39"/>
      <c r="G2657" s="39"/>
      <c r="H2657" s="39"/>
      <c r="I2657" s="39"/>
    </row>
    <row r="2658" spans="6:9" x14ac:dyDescent="0.25">
      <c r="F2658" s="39"/>
      <c r="G2658" s="39"/>
      <c r="H2658" s="39"/>
      <c r="I2658" s="39"/>
    </row>
    <row r="2659" spans="6:9" x14ac:dyDescent="0.25">
      <c r="F2659" s="39"/>
      <c r="G2659" s="39"/>
      <c r="H2659" s="39"/>
      <c r="I2659" s="39"/>
    </row>
    <row r="2660" spans="6:9" x14ac:dyDescent="0.25">
      <c r="F2660" s="39"/>
      <c r="G2660" s="39"/>
      <c r="H2660" s="39"/>
      <c r="I2660" s="39"/>
    </row>
    <row r="2661" spans="6:9" x14ac:dyDescent="0.25">
      <c r="F2661" s="39"/>
      <c r="G2661" s="39"/>
      <c r="H2661" s="39"/>
      <c r="I2661" s="39"/>
    </row>
    <row r="2662" spans="6:9" x14ac:dyDescent="0.25">
      <c r="F2662" s="39"/>
      <c r="G2662" s="39"/>
      <c r="H2662" s="39"/>
      <c r="I2662" s="39"/>
    </row>
    <row r="2663" spans="6:9" x14ac:dyDescent="0.25">
      <c r="F2663" s="39"/>
      <c r="G2663" s="39"/>
      <c r="H2663" s="39"/>
      <c r="I2663" s="39"/>
    </row>
    <row r="2664" spans="6:9" x14ac:dyDescent="0.25">
      <c r="F2664" s="39"/>
      <c r="G2664" s="39"/>
      <c r="H2664" s="39"/>
      <c r="I2664" s="39"/>
    </row>
    <row r="2665" spans="6:9" x14ac:dyDescent="0.25">
      <c r="F2665" s="39"/>
      <c r="G2665" s="39"/>
      <c r="H2665" s="39"/>
      <c r="I2665" s="39"/>
    </row>
    <row r="2666" spans="6:9" x14ac:dyDescent="0.25">
      <c r="F2666" s="39"/>
      <c r="G2666" s="39"/>
      <c r="H2666" s="39"/>
      <c r="I2666" s="39"/>
    </row>
    <row r="2667" spans="6:9" x14ac:dyDescent="0.25">
      <c r="F2667" s="39"/>
      <c r="G2667" s="39"/>
      <c r="H2667" s="39"/>
      <c r="I2667" s="39"/>
    </row>
    <row r="2668" spans="6:9" x14ac:dyDescent="0.25">
      <c r="F2668" s="39"/>
      <c r="G2668" s="39"/>
      <c r="H2668" s="39"/>
      <c r="I2668" s="39"/>
    </row>
    <row r="2669" spans="6:9" x14ac:dyDescent="0.25">
      <c r="F2669" s="39"/>
      <c r="G2669" s="39"/>
      <c r="H2669" s="39"/>
      <c r="I2669" s="39"/>
    </row>
    <row r="2670" spans="6:9" x14ac:dyDescent="0.25">
      <c r="F2670" s="39"/>
      <c r="G2670" s="39"/>
      <c r="H2670" s="39"/>
      <c r="I2670" s="39"/>
    </row>
    <row r="2671" spans="6:9" x14ac:dyDescent="0.25">
      <c r="F2671" s="39"/>
      <c r="G2671" s="39"/>
      <c r="H2671" s="39"/>
      <c r="I2671" s="39"/>
    </row>
    <row r="2672" spans="6:9" x14ac:dyDescent="0.25">
      <c r="F2672" s="39"/>
      <c r="G2672" s="39"/>
      <c r="H2672" s="39"/>
      <c r="I2672" s="39"/>
    </row>
    <row r="2673" spans="6:9" x14ac:dyDescent="0.25">
      <c r="F2673" s="39"/>
      <c r="G2673" s="39"/>
      <c r="H2673" s="39"/>
      <c r="I2673" s="39"/>
    </row>
    <row r="2674" spans="6:9" x14ac:dyDescent="0.25">
      <c r="F2674" s="39"/>
      <c r="G2674" s="39"/>
      <c r="H2674" s="39"/>
      <c r="I2674" s="39"/>
    </row>
    <row r="2675" spans="6:9" x14ac:dyDescent="0.25">
      <c r="F2675" s="39"/>
      <c r="G2675" s="39"/>
      <c r="H2675" s="39"/>
      <c r="I2675" s="39"/>
    </row>
    <row r="2676" spans="6:9" x14ac:dyDescent="0.25">
      <c r="F2676" s="39"/>
      <c r="G2676" s="39"/>
      <c r="H2676" s="39"/>
      <c r="I2676" s="39"/>
    </row>
    <row r="2677" spans="6:9" x14ac:dyDescent="0.25">
      <c r="F2677" s="39"/>
      <c r="G2677" s="39"/>
      <c r="H2677" s="39"/>
      <c r="I2677" s="39"/>
    </row>
    <row r="2678" spans="6:9" x14ac:dyDescent="0.25">
      <c r="F2678" s="39"/>
      <c r="G2678" s="39"/>
      <c r="H2678" s="39"/>
      <c r="I2678" s="39"/>
    </row>
    <row r="2679" spans="6:9" x14ac:dyDescent="0.25">
      <c r="F2679" s="39"/>
      <c r="G2679" s="39"/>
      <c r="H2679" s="39"/>
      <c r="I2679" s="39"/>
    </row>
    <row r="2680" spans="6:9" x14ac:dyDescent="0.25">
      <c r="F2680" s="39"/>
      <c r="G2680" s="39"/>
      <c r="H2680" s="39"/>
      <c r="I2680" s="39"/>
    </row>
    <row r="2681" spans="6:9" x14ac:dyDescent="0.25">
      <c r="F2681" s="39"/>
      <c r="G2681" s="39"/>
      <c r="H2681" s="39"/>
      <c r="I2681" s="39"/>
    </row>
    <row r="2682" spans="6:9" x14ac:dyDescent="0.25">
      <c r="F2682" s="39"/>
      <c r="G2682" s="39"/>
      <c r="H2682" s="39"/>
      <c r="I2682" s="39"/>
    </row>
    <row r="2683" spans="6:9" x14ac:dyDescent="0.25">
      <c r="F2683" s="39"/>
      <c r="G2683" s="39"/>
      <c r="H2683" s="39"/>
      <c r="I2683" s="39"/>
    </row>
    <row r="2684" spans="6:9" x14ac:dyDescent="0.25">
      <c r="F2684" s="39"/>
      <c r="G2684" s="39"/>
      <c r="H2684" s="39"/>
      <c r="I2684" s="39"/>
    </row>
    <row r="2685" spans="6:9" x14ac:dyDescent="0.25">
      <c r="F2685" s="39"/>
      <c r="G2685" s="39"/>
      <c r="H2685" s="39"/>
      <c r="I2685" s="39"/>
    </row>
    <row r="2686" spans="6:9" x14ac:dyDescent="0.25">
      <c r="F2686" s="39"/>
      <c r="G2686" s="39"/>
      <c r="H2686" s="39"/>
      <c r="I2686" s="39"/>
    </row>
    <row r="2687" spans="6:9" x14ac:dyDescent="0.25">
      <c r="F2687" s="39"/>
      <c r="G2687" s="39"/>
      <c r="H2687" s="39"/>
      <c r="I2687" s="39"/>
    </row>
    <row r="2688" spans="6:9" x14ac:dyDescent="0.25">
      <c r="F2688" s="39"/>
      <c r="G2688" s="39"/>
      <c r="H2688" s="39"/>
      <c r="I2688" s="39"/>
    </row>
    <row r="2689" spans="6:9" x14ac:dyDescent="0.25">
      <c r="F2689" s="39"/>
      <c r="G2689" s="39"/>
      <c r="H2689" s="39"/>
      <c r="I2689" s="39"/>
    </row>
    <row r="2690" spans="6:9" x14ac:dyDescent="0.25">
      <c r="F2690" s="39"/>
      <c r="G2690" s="39"/>
      <c r="H2690" s="39"/>
      <c r="I2690" s="39"/>
    </row>
    <row r="2691" spans="6:9" x14ac:dyDescent="0.25">
      <c r="F2691" s="39"/>
      <c r="G2691" s="39"/>
      <c r="H2691" s="39"/>
      <c r="I2691" s="39"/>
    </row>
    <row r="2692" spans="6:9" x14ac:dyDescent="0.25">
      <c r="F2692" s="39"/>
      <c r="G2692" s="39"/>
      <c r="H2692" s="39"/>
      <c r="I2692" s="39"/>
    </row>
    <row r="2693" spans="6:9" x14ac:dyDescent="0.25">
      <c r="F2693" s="39"/>
      <c r="G2693" s="39"/>
      <c r="H2693" s="39"/>
      <c r="I2693" s="39"/>
    </row>
    <row r="2694" spans="6:9" x14ac:dyDescent="0.25">
      <c r="F2694" s="39"/>
      <c r="G2694" s="39"/>
      <c r="H2694" s="39"/>
      <c r="I2694" s="39"/>
    </row>
    <row r="2695" spans="6:9" x14ac:dyDescent="0.25">
      <c r="F2695" s="39"/>
      <c r="G2695" s="39"/>
      <c r="H2695" s="39"/>
      <c r="I2695" s="39"/>
    </row>
    <row r="2696" spans="6:9" x14ac:dyDescent="0.25">
      <c r="F2696" s="39"/>
      <c r="G2696" s="39"/>
      <c r="H2696" s="39"/>
      <c r="I2696" s="39"/>
    </row>
    <row r="2697" spans="6:9" x14ac:dyDescent="0.25">
      <c r="F2697" s="39"/>
      <c r="G2697" s="39"/>
      <c r="H2697" s="39"/>
      <c r="I2697" s="39"/>
    </row>
    <row r="2698" spans="6:9" x14ac:dyDescent="0.25">
      <c r="F2698" s="39"/>
      <c r="G2698" s="39"/>
      <c r="H2698" s="39"/>
      <c r="I2698" s="39"/>
    </row>
    <row r="2699" spans="6:9" x14ac:dyDescent="0.25">
      <c r="F2699" s="39"/>
      <c r="G2699" s="39"/>
      <c r="H2699" s="39"/>
      <c r="I2699" s="39"/>
    </row>
    <row r="2700" spans="6:9" x14ac:dyDescent="0.25">
      <c r="F2700" s="39"/>
      <c r="G2700" s="39"/>
      <c r="H2700" s="39"/>
      <c r="I2700" s="39"/>
    </row>
    <row r="2701" spans="6:9" x14ac:dyDescent="0.25">
      <c r="F2701" s="39"/>
      <c r="G2701" s="39"/>
      <c r="H2701" s="39"/>
      <c r="I2701" s="39"/>
    </row>
    <row r="2702" spans="6:9" x14ac:dyDescent="0.25">
      <c r="F2702" s="39"/>
      <c r="G2702" s="39"/>
      <c r="H2702" s="39"/>
      <c r="I2702" s="39"/>
    </row>
    <row r="2703" spans="6:9" x14ac:dyDescent="0.25">
      <c r="F2703" s="39"/>
      <c r="G2703" s="39"/>
      <c r="H2703" s="39"/>
      <c r="I2703" s="39"/>
    </row>
    <row r="2704" spans="6:9" x14ac:dyDescent="0.25">
      <c r="F2704" s="39"/>
      <c r="G2704" s="39"/>
      <c r="H2704" s="39"/>
      <c r="I2704" s="39"/>
    </row>
    <row r="2705" spans="6:9" x14ac:dyDescent="0.25">
      <c r="F2705" s="39"/>
      <c r="G2705" s="39"/>
      <c r="H2705" s="39"/>
      <c r="I2705" s="39"/>
    </row>
    <row r="2706" spans="6:9" x14ac:dyDescent="0.25">
      <c r="F2706" s="39"/>
      <c r="G2706" s="39"/>
      <c r="H2706" s="39"/>
      <c r="I2706" s="39"/>
    </row>
    <row r="2707" spans="6:9" x14ac:dyDescent="0.25">
      <c r="F2707" s="39"/>
      <c r="G2707" s="39"/>
      <c r="H2707" s="39"/>
      <c r="I2707" s="39"/>
    </row>
    <row r="2708" spans="6:9" x14ac:dyDescent="0.25">
      <c r="F2708" s="39"/>
      <c r="G2708" s="39"/>
      <c r="H2708" s="39"/>
      <c r="I2708" s="39"/>
    </row>
    <row r="2709" spans="6:9" x14ac:dyDescent="0.25">
      <c r="F2709" s="39"/>
      <c r="G2709" s="39"/>
      <c r="H2709" s="39"/>
      <c r="I2709" s="39"/>
    </row>
    <row r="2710" spans="6:9" x14ac:dyDescent="0.25">
      <c r="F2710" s="39"/>
      <c r="G2710" s="39"/>
      <c r="H2710" s="39"/>
      <c r="I2710" s="39"/>
    </row>
    <row r="2711" spans="6:9" x14ac:dyDescent="0.25">
      <c r="F2711" s="39"/>
      <c r="G2711" s="39"/>
      <c r="H2711" s="39"/>
      <c r="I2711" s="39"/>
    </row>
    <row r="2712" spans="6:9" x14ac:dyDescent="0.25">
      <c r="F2712" s="39"/>
      <c r="G2712" s="39"/>
      <c r="H2712" s="39"/>
      <c r="I2712" s="39"/>
    </row>
    <row r="2713" spans="6:9" x14ac:dyDescent="0.25">
      <c r="F2713" s="39"/>
      <c r="G2713" s="39"/>
      <c r="H2713" s="39"/>
      <c r="I2713" s="39"/>
    </row>
    <row r="2714" spans="6:9" x14ac:dyDescent="0.25">
      <c r="F2714" s="39"/>
      <c r="G2714" s="39"/>
      <c r="H2714" s="39"/>
      <c r="I2714" s="39"/>
    </row>
    <row r="2715" spans="6:9" x14ac:dyDescent="0.25">
      <c r="F2715" s="39"/>
      <c r="G2715" s="39"/>
      <c r="H2715" s="39"/>
      <c r="I2715" s="39"/>
    </row>
    <row r="2716" spans="6:9" x14ac:dyDescent="0.25">
      <c r="F2716" s="39"/>
      <c r="G2716" s="39"/>
      <c r="H2716" s="39"/>
      <c r="I2716" s="39"/>
    </row>
    <row r="2717" spans="6:9" x14ac:dyDescent="0.25">
      <c r="F2717" s="39"/>
      <c r="G2717" s="39"/>
      <c r="H2717" s="39"/>
      <c r="I2717" s="39"/>
    </row>
    <row r="2718" spans="6:9" x14ac:dyDescent="0.25">
      <c r="F2718" s="39"/>
      <c r="G2718" s="39"/>
      <c r="H2718" s="39"/>
      <c r="I2718" s="39"/>
    </row>
    <row r="2719" spans="6:9" x14ac:dyDescent="0.25">
      <c r="F2719" s="39"/>
      <c r="G2719" s="39"/>
      <c r="H2719" s="39"/>
      <c r="I2719" s="39"/>
    </row>
    <row r="2720" spans="6:9" x14ac:dyDescent="0.25">
      <c r="F2720" s="39"/>
      <c r="G2720" s="39"/>
      <c r="H2720" s="39"/>
      <c r="I2720" s="39"/>
    </row>
    <row r="2721" spans="6:9" x14ac:dyDescent="0.25">
      <c r="F2721" s="39"/>
      <c r="G2721" s="39"/>
      <c r="H2721" s="39"/>
      <c r="I2721" s="39"/>
    </row>
    <row r="2722" spans="6:9" x14ac:dyDescent="0.25">
      <c r="F2722" s="39"/>
      <c r="G2722" s="39"/>
      <c r="H2722" s="39"/>
      <c r="I2722" s="39"/>
    </row>
    <row r="2723" spans="6:9" x14ac:dyDescent="0.25">
      <c r="F2723" s="39"/>
      <c r="G2723" s="39"/>
      <c r="H2723" s="39"/>
      <c r="I2723" s="39"/>
    </row>
    <row r="2724" spans="6:9" x14ac:dyDescent="0.25">
      <c r="F2724" s="39"/>
      <c r="G2724" s="39"/>
      <c r="H2724" s="39"/>
      <c r="I2724" s="39"/>
    </row>
    <row r="2725" spans="6:9" x14ac:dyDescent="0.25">
      <c r="F2725" s="39"/>
      <c r="G2725" s="39"/>
      <c r="H2725" s="39"/>
      <c r="I2725" s="39"/>
    </row>
    <row r="2726" spans="6:9" x14ac:dyDescent="0.25">
      <c r="F2726" s="39"/>
      <c r="G2726" s="39"/>
      <c r="H2726" s="39"/>
      <c r="I2726" s="39"/>
    </row>
    <row r="2727" spans="6:9" x14ac:dyDescent="0.25">
      <c r="F2727" s="39"/>
      <c r="G2727" s="39"/>
      <c r="H2727" s="39"/>
      <c r="I2727" s="39"/>
    </row>
    <row r="2728" spans="6:9" x14ac:dyDescent="0.25">
      <c r="F2728" s="39"/>
      <c r="G2728" s="39"/>
      <c r="H2728" s="39"/>
      <c r="I2728" s="39"/>
    </row>
    <row r="2729" spans="6:9" x14ac:dyDescent="0.25">
      <c r="F2729" s="39"/>
      <c r="G2729" s="39"/>
      <c r="H2729" s="39"/>
      <c r="I2729" s="39"/>
    </row>
    <row r="2730" spans="6:9" x14ac:dyDescent="0.25">
      <c r="F2730" s="39"/>
      <c r="G2730" s="39"/>
      <c r="H2730" s="39"/>
      <c r="I2730" s="39"/>
    </row>
    <row r="2731" spans="6:9" x14ac:dyDescent="0.25">
      <c r="F2731" s="39"/>
      <c r="G2731" s="39"/>
      <c r="H2731" s="39"/>
      <c r="I2731" s="39"/>
    </row>
    <row r="2732" spans="6:9" x14ac:dyDescent="0.25">
      <c r="F2732" s="39"/>
      <c r="G2732" s="39"/>
      <c r="H2732" s="39"/>
      <c r="I2732" s="39"/>
    </row>
    <row r="2733" spans="6:9" x14ac:dyDescent="0.25">
      <c r="F2733" s="39"/>
      <c r="G2733" s="39"/>
      <c r="H2733" s="39"/>
      <c r="I2733" s="39"/>
    </row>
    <row r="2734" spans="6:9" x14ac:dyDescent="0.25">
      <c r="F2734" s="39"/>
      <c r="G2734" s="39"/>
      <c r="H2734" s="39"/>
      <c r="I2734" s="39"/>
    </row>
    <row r="2735" spans="6:9" x14ac:dyDescent="0.25">
      <c r="F2735" s="39"/>
      <c r="G2735" s="39"/>
      <c r="H2735" s="39"/>
      <c r="I2735" s="39"/>
    </row>
    <row r="2736" spans="6:9" x14ac:dyDescent="0.25">
      <c r="F2736" s="39"/>
      <c r="G2736" s="39"/>
      <c r="H2736" s="39"/>
      <c r="I2736" s="39"/>
    </row>
    <row r="2737" spans="6:9" x14ac:dyDescent="0.25">
      <c r="F2737" s="39"/>
      <c r="G2737" s="39"/>
      <c r="H2737" s="39"/>
      <c r="I2737" s="39"/>
    </row>
    <row r="2738" spans="6:9" x14ac:dyDescent="0.25">
      <c r="F2738" s="39"/>
      <c r="G2738" s="39"/>
      <c r="H2738" s="39"/>
      <c r="I2738" s="39"/>
    </row>
    <row r="2739" spans="6:9" x14ac:dyDescent="0.25">
      <c r="F2739" s="39"/>
      <c r="G2739" s="39"/>
      <c r="H2739" s="39"/>
      <c r="I2739" s="39"/>
    </row>
    <row r="2740" spans="6:9" x14ac:dyDescent="0.25">
      <c r="F2740" s="39"/>
      <c r="G2740" s="39"/>
      <c r="H2740" s="39"/>
      <c r="I2740" s="39"/>
    </row>
    <row r="2741" spans="6:9" x14ac:dyDescent="0.25">
      <c r="F2741" s="39"/>
      <c r="G2741" s="39"/>
      <c r="H2741" s="39"/>
      <c r="I2741" s="39"/>
    </row>
    <row r="2742" spans="6:9" x14ac:dyDescent="0.25">
      <c r="F2742" s="39"/>
      <c r="G2742" s="39"/>
      <c r="H2742" s="39"/>
      <c r="I2742" s="39"/>
    </row>
    <row r="2743" spans="6:9" x14ac:dyDescent="0.25">
      <c r="F2743" s="39"/>
      <c r="G2743" s="39"/>
      <c r="H2743" s="39"/>
      <c r="I2743" s="39"/>
    </row>
    <row r="2744" spans="6:9" x14ac:dyDescent="0.25">
      <c r="F2744" s="39"/>
      <c r="G2744" s="39"/>
      <c r="H2744" s="39"/>
      <c r="I2744" s="39"/>
    </row>
    <row r="2745" spans="6:9" x14ac:dyDescent="0.25">
      <c r="F2745" s="39"/>
      <c r="G2745" s="39"/>
      <c r="H2745" s="39"/>
      <c r="I2745" s="39"/>
    </row>
    <row r="2746" spans="6:9" x14ac:dyDescent="0.25">
      <c r="F2746" s="39"/>
      <c r="G2746" s="39"/>
      <c r="H2746" s="39"/>
      <c r="I2746" s="39"/>
    </row>
    <row r="2747" spans="6:9" x14ac:dyDescent="0.25">
      <c r="F2747" s="39"/>
      <c r="G2747" s="39"/>
      <c r="H2747" s="39"/>
      <c r="I2747" s="39"/>
    </row>
    <row r="2748" spans="6:9" x14ac:dyDescent="0.25">
      <c r="F2748" s="39"/>
      <c r="G2748" s="39"/>
      <c r="H2748" s="39"/>
      <c r="I2748" s="39"/>
    </row>
    <row r="2749" spans="6:9" x14ac:dyDescent="0.25">
      <c r="F2749" s="39"/>
      <c r="G2749" s="39"/>
      <c r="H2749" s="39"/>
      <c r="I2749" s="39"/>
    </row>
    <row r="2750" spans="6:9" x14ac:dyDescent="0.25">
      <c r="F2750" s="39"/>
      <c r="G2750" s="39"/>
      <c r="H2750" s="39"/>
      <c r="I2750" s="39"/>
    </row>
    <row r="2751" spans="6:9" x14ac:dyDescent="0.25">
      <c r="F2751" s="39"/>
      <c r="G2751" s="39"/>
      <c r="H2751" s="39"/>
      <c r="I2751" s="39"/>
    </row>
    <row r="2752" spans="6:9" x14ac:dyDescent="0.25">
      <c r="F2752" s="39"/>
      <c r="G2752" s="39"/>
      <c r="H2752" s="39"/>
      <c r="I2752" s="39"/>
    </row>
    <row r="2753" spans="6:9" x14ac:dyDescent="0.25">
      <c r="F2753" s="39"/>
      <c r="G2753" s="39"/>
      <c r="H2753" s="39"/>
      <c r="I2753" s="39"/>
    </row>
    <row r="2754" spans="6:9" x14ac:dyDescent="0.25">
      <c r="F2754" s="39"/>
      <c r="G2754" s="39"/>
      <c r="H2754" s="39"/>
      <c r="I2754" s="39"/>
    </row>
    <row r="2755" spans="6:9" x14ac:dyDescent="0.25">
      <c r="F2755" s="39"/>
      <c r="G2755" s="39"/>
      <c r="H2755" s="39"/>
      <c r="I2755" s="39"/>
    </row>
    <row r="2756" spans="6:9" x14ac:dyDescent="0.25">
      <c r="F2756" s="39"/>
      <c r="G2756" s="39"/>
      <c r="H2756" s="39"/>
      <c r="I2756" s="39"/>
    </row>
    <row r="2757" spans="6:9" x14ac:dyDescent="0.25">
      <c r="F2757" s="39"/>
      <c r="G2757" s="39"/>
      <c r="H2757" s="39"/>
      <c r="I2757" s="39"/>
    </row>
    <row r="2758" spans="6:9" x14ac:dyDescent="0.25">
      <c r="F2758" s="39"/>
      <c r="G2758" s="39"/>
      <c r="H2758" s="39"/>
      <c r="I2758" s="39"/>
    </row>
    <row r="2759" spans="6:9" x14ac:dyDescent="0.25">
      <c r="F2759" s="39"/>
      <c r="G2759" s="39"/>
      <c r="H2759" s="39"/>
      <c r="I2759" s="39"/>
    </row>
    <row r="2760" spans="6:9" x14ac:dyDescent="0.25">
      <c r="F2760" s="39"/>
      <c r="G2760" s="39"/>
      <c r="H2760" s="39"/>
      <c r="I2760" s="39"/>
    </row>
    <row r="2761" spans="6:9" x14ac:dyDescent="0.25">
      <c r="F2761" s="39"/>
      <c r="G2761" s="39"/>
      <c r="H2761" s="39"/>
      <c r="I2761" s="39"/>
    </row>
    <row r="2762" spans="6:9" x14ac:dyDescent="0.25">
      <c r="F2762" s="39"/>
      <c r="G2762" s="39"/>
      <c r="H2762" s="39"/>
      <c r="I2762" s="39"/>
    </row>
    <row r="2763" spans="6:9" x14ac:dyDescent="0.25">
      <c r="F2763" s="39"/>
      <c r="G2763" s="39"/>
      <c r="H2763" s="39"/>
      <c r="I2763" s="39"/>
    </row>
    <row r="2764" spans="6:9" x14ac:dyDescent="0.25">
      <c r="F2764" s="39"/>
      <c r="G2764" s="39"/>
      <c r="H2764" s="39"/>
      <c r="I2764" s="39"/>
    </row>
    <row r="2765" spans="6:9" x14ac:dyDescent="0.25">
      <c r="F2765" s="39"/>
      <c r="G2765" s="39"/>
      <c r="H2765" s="39"/>
      <c r="I2765" s="39"/>
    </row>
    <row r="2766" spans="6:9" x14ac:dyDescent="0.25">
      <c r="F2766" s="39"/>
      <c r="G2766" s="39"/>
      <c r="H2766" s="39"/>
      <c r="I2766" s="39"/>
    </row>
    <row r="2767" spans="6:9" x14ac:dyDescent="0.25">
      <c r="F2767" s="39"/>
      <c r="G2767" s="39"/>
      <c r="H2767" s="39"/>
      <c r="I2767" s="39"/>
    </row>
    <row r="2768" spans="6:9" x14ac:dyDescent="0.25">
      <c r="F2768" s="39"/>
      <c r="G2768" s="39"/>
      <c r="H2768" s="39"/>
      <c r="I2768" s="39"/>
    </row>
    <row r="2769" spans="6:9" x14ac:dyDescent="0.25">
      <c r="F2769" s="39"/>
      <c r="G2769" s="39"/>
      <c r="H2769" s="39"/>
      <c r="I2769" s="39"/>
    </row>
    <row r="2770" spans="6:9" x14ac:dyDescent="0.25">
      <c r="F2770" s="39"/>
      <c r="G2770" s="39"/>
      <c r="H2770" s="39"/>
      <c r="I2770" s="39"/>
    </row>
    <row r="2771" spans="6:9" x14ac:dyDescent="0.25">
      <c r="F2771" s="39"/>
      <c r="G2771" s="39"/>
      <c r="H2771" s="39"/>
      <c r="I2771" s="39"/>
    </row>
    <row r="2772" spans="6:9" x14ac:dyDescent="0.25">
      <c r="F2772" s="39"/>
      <c r="G2772" s="39"/>
      <c r="H2772" s="39"/>
      <c r="I2772" s="39"/>
    </row>
    <row r="2773" spans="6:9" x14ac:dyDescent="0.25">
      <c r="F2773" s="39"/>
      <c r="G2773" s="39"/>
      <c r="H2773" s="39"/>
      <c r="I2773" s="39"/>
    </row>
    <row r="2774" spans="6:9" x14ac:dyDescent="0.25">
      <c r="F2774" s="39"/>
      <c r="G2774" s="39"/>
      <c r="H2774" s="39"/>
      <c r="I2774" s="39"/>
    </row>
    <row r="2775" spans="6:9" x14ac:dyDescent="0.25">
      <c r="F2775" s="39"/>
      <c r="G2775" s="39"/>
      <c r="H2775" s="39"/>
      <c r="I2775" s="39"/>
    </row>
    <row r="2776" spans="6:9" x14ac:dyDescent="0.25">
      <c r="F2776" s="39"/>
      <c r="G2776" s="39"/>
      <c r="H2776" s="39"/>
      <c r="I2776" s="39"/>
    </row>
    <row r="2777" spans="6:9" x14ac:dyDescent="0.25">
      <c r="F2777" s="39"/>
      <c r="G2777" s="39"/>
      <c r="H2777" s="39"/>
      <c r="I2777" s="39"/>
    </row>
    <row r="2778" spans="6:9" x14ac:dyDescent="0.25">
      <c r="F2778" s="39"/>
      <c r="G2778" s="39"/>
      <c r="H2778" s="39"/>
      <c r="I2778" s="39"/>
    </row>
    <row r="2779" spans="6:9" x14ac:dyDescent="0.25">
      <c r="F2779" s="39"/>
      <c r="G2779" s="39"/>
      <c r="H2779" s="39"/>
      <c r="I2779" s="39"/>
    </row>
    <row r="2780" spans="6:9" x14ac:dyDescent="0.25">
      <c r="F2780" s="39"/>
      <c r="G2780" s="39"/>
      <c r="H2780" s="39"/>
      <c r="I2780" s="39"/>
    </row>
    <row r="2781" spans="6:9" x14ac:dyDescent="0.25">
      <c r="F2781" s="39"/>
      <c r="G2781" s="39"/>
      <c r="H2781" s="39"/>
      <c r="I2781" s="39"/>
    </row>
    <row r="2782" spans="6:9" x14ac:dyDescent="0.25">
      <c r="F2782" s="39"/>
      <c r="G2782" s="39"/>
      <c r="H2782" s="39"/>
      <c r="I2782" s="39"/>
    </row>
    <row r="2783" spans="6:9" x14ac:dyDescent="0.25">
      <c r="F2783" s="39"/>
      <c r="G2783" s="39"/>
      <c r="H2783" s="39"/>
      <c r="I2783" s="39"/>
    </row>
    <row r="2784" spans="6:9" x14ac:dyDescent="0.25">
      <c r="F2784" s="39"/>
      <c r="G2784" s="39"/>
      <c r="H2784" s="39"/>
      <c r="I2784" s="39"/>
    </row>
    <row r="2785" spans="6:9" x14ac:dyDescent="0.25">
      <c r="F2785" s="39"/>
      <c r="G2785" s="39"/>
      <c r="H2785" s="39"/>
      <c r="I2785" s="39"/>
    </row>
    <row r="2786" spans="6:9" x14ac:dyDescent="0.25">
      <c r="F2786" s="39"/>
      <c r="G2786" s="39"/>
      <c r="H2786" s="39"/>
      <c r="I2786" s="39"/>
    </row>
    <row r="2787" spans="6:9" x14ac:dyDescent="0.25">
      <c r="F2787" s="39"/>
      <c r="G2787" s="39"/>
      <c r="H2787" s="39"/>
      <c r="I2787" s="39"/>
    </row>
    <row r="2788" spans="6:9" x14ac:dyDescent="0.25">
      <c r="F2788" s="39"/>
      <c r="G2788" s="39"/>
      <c r="H2788" s="39"/>
      <c r="I2788" s="39"/>
    </row>
    <row r="2789" spans="6:9" x14ac:dyDescent="0.25">
      <c r="F2789" s="39"/>
      <c r="G2789" s="39"/>
      <c r="H2789" s="39"/>
      <c r="I2789" s="39"/>
    </row>
    <row r="2790" spans="6:9" x14ac:dyDescent="0.25">
      <c r="F2790" s="39"/>
      <c r="G2790" s="39"/>
      <c r="H2790" s="39"/>
      <c r="I2790" s="39"/>
    </row>
    <row r="2791" spans="6:9" x14ac:dyDescent="0.25">
      <c r="F2791" s="39"/>
      <c r="G2791" s="39"/>
      <c r="H2791" s="39"/>
      <c r="I2791" s="39"/>
    </row>
    <row r="2792" spans="6:9" x14ac:dyDescent="0.25">
      <c r="F2792" s="39"/>
      <c r="G2792" s="39"/>
      <c r="H2792" s="39"/>
      <c r="I2792" s="39"/>
    </row>
    <row r="2793" spans="6:9" x14ac:dyDescent="0.25">
      <c r="F2793" s="39"/>
      <c r="G2793" s="39"/>
      <c r="H2793" s="39"/>
      <c r="I2793" s="39"/>
    </row>
    <row r="2794" spans="6:9" x14ac:dyDescent="0.25">
      <c r="F2794" s="39"/>
      <c r="G2794" s="39"/>
      <c r="H2794" s="39"/>
      <c r="I2794" s="39"/>
    </row>
    <row r="2795" spans="6:9" x14ac:dyDescent="0.25">
      <c r="F2795" s="39"/>
      <c r="G2795" s="39"/>
      <c r="H2795" s="39"/>
      <c r="I2795" s="39"/>
    </row>
    <row r="2796" spans="6:9" x14ac:dyDescent="0.25">
      <c r="F2796" s="39"/>
      <c r="G2796" s="39"/>
      <c r="H2796" s="39"/>
      <c r="I2796" s="39"/>
    </row>
    <row r="2797" spans="6:9" x14ac:dyDescent="0.25">
      <c r="F2797" s="39"/>
      <c r="G2797" s="39"/>
      <c r="H2797" s="39"/>
      <c r="I2797" s="39"/>
    </row>
    <row r="2798" spans="6:9" x14ac:dyDescent="0.25">
      <c r="F2798" s="39"/>
      <c r="G2798" s="39"/>
      <c r="H2798" s="39"/>
      <c r="I2798" s="39"/>
    </row>
    <row r="2799" spans="6:9" x14ac:dyDescent="0.25">
      <c r="F2799" s="39"/>
      <c r="G2799" s="39"/>
      <c r="H2799" s="39"/>
      <c r="I2799" s="39"/>
    </row>
    <row r="2800" spans="6:9" x14ac:dyDescent="0.25">
      <c r="F2800" s="39"/>
      <c r="G2800" s="39"/>
      <c r="H2800" s="39"/>
      <c r="I2800" s="39"/>
    </row>
    <row r="2801" spans="6:9" x14ac:dyDescent="0.25">
      <c r="F2801" s="39"/>
      <c r="G2801" s="39"/>
      <c r="H2801" s="39"/>
      <c r="I2801" s="39"/>
    </row>
    <row r="2802" spans="6:9" x14ac:dyDescent="0.25">
      <c r="F2802" s="39"/>
      <c r="G2802" s="39"/>
      <c r="H2802" s="39"/>
      <c r="I2802" s="39"/>
    </row>
    <row r="2803" spans="6:9" x14ac:dyDescent="0.25">
      <c r="F2803" s="39"/>
      <c r="G2803" s="39"/>
      <c r="H2803" s="39"/>
      <c r="I2803" s="39"/>
    </row>
    <row r="2804" spans="6:9" x14ac:dyDescent="0.25">
      <c r="F2804" s="39"/>
      <c r="G2804" s="39"/>
      <c r="H2804" s="39"/>
      <c r="I2804" s="39"/>
    </row>
    <row r="2805" spans="6:9" x14ac:dyDescent="0.25">
      <c r="F2805" s="39"/>
      <c r="G2805" s="39"/>
      <c r="H2805" s="39"/>
      <c r="I2805" s="39"/>
    </row>
    <row r="2806" spans="6:9" x14ac:dyDescent="0.25">
      <c r="F2806" s="39"/>
      <c r="G2806" s="39"/>
      <c r="H2806" s="39"/>
      <c r="I2806" s="39"/>
    </row>
    <row r="2807" spans="6:9" x14ac:dyDescent="0.25">
      <c r="F2807" s="39"/>
      <c r="G2807" s="39"/>
      <c r="H2807" s="39"/>
      <c r="I2807" s="39"/>
    </row>
    <row r="2808" spans="6:9" x14ac:dyDescent="0.25">
      <c r="F2808" s="39"/>
      <c r="G2808" s="39"/>
      <c r="H2808" s="39"/>
      <c r="I2808" s="39"/>
    </row>
    <row r="2809" spans="6:9" x14ac:dyDescent="0.25">
      <c r="F2809" s="39"/>
      <c r="G2809" s="39"/>
      <c r="H2809" s="39"/>
      <c r="I2809" s="39"/>
    </row>
    <row r="2810" spans="6:9" x14ac:dyDescent="0.25">
      <c r="F2810" s="39"/>
      <c r="G2810" s="39"/>
      <c r="H2810" s="39"/>
      <c r="I2810" s="39"/>
    </row>
    <row r="2811" spans="6:9" x14ac:dyDescent="0.25">
      <c r="F2811" s="39"/>
      <c r="G2811" s="39"/>
      <c r="H2811" s="39"/>
      <c r="I2811" s="39"/>
    </row>
    <row r="2812" spans="6:9" x14ac:dyDescent="0.25">
      <c r="F2812" s="39"/>
      <c r="G2812" s="39"/>
      <c r="H2812" s="39"/>
      <c r="I2812" s="39"/>
    </row>
    <row r="2813" spans="6:9" x14ac:dyDescent="0.25">
      <c r="F2813" s="39"/>
      <c r="G2813" s="39"/>
      <c r="H2813" s="39"/>
      <c r="I2813" s="39"/>
    </row>
    <row r="2814" spans="6:9" x14ac:dyDescent="0.25">
      <c r="F2814" s="39"/>
      <c r="G2814" s="39"/>
      <c r="H2814" s="39"/>
      <c r="I2814" s="39"/>
    </row>
    <row r="2815" spans="6:9" x14ac:dyDescent="0.25">
      <c r="F2815" s="39"/>
      <c r="G2815" s="39"/>
      <c r="H2815" s="39"/>
      <c r="I2815" s="39"/>
    </row>
    <row r="2816" spans="6:9" x14ac:dyDescent="0.25">
      <c r="F2816" s="39"/>
      <c r="G2816" s="39"/>
      <c r="H2816" s="39"/>
      <c r="I2816" s="39"/>
    </row>
    <row r="2817" spans="6:9" x14ac:dyDescent="0.25">
      <c r="F2817" s="39"/>
      <c r="G2817" s="39"/>
      <c r="H2817" s="39"/>
      <c r="I2817" s="39"/>
    </row>
    <row r="2818" spans="6:9" x14ac:dyDescent="0.25">
      <c r="F2818" s="39"/>
      <c r="G2818" s="39"/>
      <c r="H2818" s="39"/>
      <c r="I2818" s="39"/>
    </row>
    <row r="2819" spans="6:9" x14ac:dyDescent="0.25">
      <c r="F2819" s="39"/>
      <c r="G2819" s="39"/>
      <c r="H2819" s="39"/>
      <c r="I2819" s="39"/>
    </row>
    <row r="2820" spans="6:9" x14ac:dyDescent="0.25">
      <c r="F2820" s="39"/>
      <c r="G2820" s="39"/>
      <c r="H2820" s="39"/>
      <c r="I2820" s="39"/>
    </row>
    <row r="2821" spans="6:9" x14ac:dyDescent="0.25">
      <c r="F2821" s="39"/>
      <c r="G2821" s="39"/>
      <c r="H2821" s="39"/>
      <c r="I2821" s="39"/>
    </row>
    <row r="2822" spans="6:9" x14ac:dyDescent="0.25">
      <c r="F2822" s="39"/>
      <c r="G2822" s="39"/>
      <c r="H2822" s="39"/>
      <c r="I2822" s="39"/>
    </row>
    <row r="2823" spans="6:9" x14ac:dyDescent="0.25">
      <c r="F2823" s="39"/>
      <c r="G2823" s="39"/>
      <c r="H2823" s="39"/>
      <c r="I2823" s="39"/>
    </row>
    <row r="2824" spans="6:9" x14ac:dyDescent="0.25">
      <c r="F2824" s="39"/>
      <c r="G2824" s="39"/>
      <c r="H2824" s="39"/>
      <c r="I2824" s="39"/>
    </row>
    <row r="2825" spans="6:9" x14ac:dyDescent="0.25">
      <c r="F2825" s="39"/>
      <c r="G2825" s="39"/>
      <c r="H2825" s="39"/>
      <c r="I2825" s="39"/>
    </row>
    <row r="2826" spans="6:9" x14ac:dyDescent="0.25">
      <c r="F2826" s="39"/>
      <c r="G2826" s="39"/>
      <c r="H2826" s="39"/>
      <c r="I2826" s="39"/>
    </row>
    <row r="2827" spans="6:9" x14ac:dyDescent="0.25">
      <c r="F2827" s="39"/>
      <c r="G2827" s="39"/>
      <c r="H2827" s="39"/>
      <c r="I2827" s="39"/>
    </row>
    <row r="2828" spans="6:9" x14ac:dyDescent="0.25">
      <c r="F2828" s="39"/>
      <c r="G2828" s="39"/>
      <c r="H2828" s="39"/>
      <c r="I2828" s="39"/>
    </row>
    <row r="2829" spans="6:9" x14ac:dyDescent="0.25">
      <c r="F2829" s="39"/>
      <c r="G2829" s="39"/>
      <c r="H2829" s="39"/>
      <c r="I2829" s="39"/>
    </row>
    <row r="2830" spans="6:9" x14ac:dyDescent="0.25">
      <c r="F2830" s="39"/>
      <c r="G2830" s="39"/>
      <c r="H2830" s="39"/>
      <c r="I2830" s="39"/>
    </row>
    <row r="2831" spans="6:9" x14ac:dyDescent="0.25">
      <c r="F2831" s="39"/>
      <c r="G2831" s="39"/>
      <c r="H2831" s="39"/>
      <c r="I2831" s="39"/>
    </row>
    <row r="2832" spans="6:9" x14ac:dyDescent="0.25">
      <c r="F2832" s="39"/>
      <c r="G2832" s="39"/>
      <c r="H2832" s="39"/>
      <c r="I2832" s="39"/>
    </row>
    <row r="2833" spans="6:9" x14ac:dyDescent="0.25">
      <c r="F2833" s="39"/>
      <c r="G2833" s="39"/>
      <c r="H2833" s="39"/>
      <c r="I2833" s="39"/>
    </row>
    <row r="2834" spans="6:9" x14ac:dyDescent="0.25">
      <c r="F2834" s="39"/>
      <c r="G2834" s="39"/>
      <c r="H2834" s="39"/>
      <c r="I2834" s="39"/>
    </row>
    <row r="2835" spans="6:9" x14ac:dyDescent="0.25">
      <c r="F2835" s="39"/>
      <c r="G2835" s="39"/>
      <c r="H2835" s="39"/>
      <c r="I2835" s="39"/>
    </row>
    <row r="2836" spans="6:9" x14ac:dyDescent="0.25">
      <c r="F2836" s="39"/>
      <c r="G2836" s="39"/>
      <c r="H2836" s="39"/>
      <c r="I2836" s="39"/>
    </row>
    <row r="2837" spans="6:9" x14ac:dyDescent="0.25">
      <c r="F2837" s="39"/>
      <c r="G2837" s="39"/>
      <c r="H2837" s="39"/>
      <c r="I2837" s="39"/>
    </row>
    <row r="2838" spans="6:9" x14ac:dyDescent="0.25">
      <c r="F2838" s="39"/>
      <c r="G2838" s="39"/>
      <c r="H2838" s="39"/>
      <c r="I2838" s="39"/>
    </row>
    <row r="2839" spans="6:9" x14ac:dyDescent="0.25">
      <c r="F2839" s="39"/>
      <c r="G2839" s="39"/>
      <c r="H2839" s="39"/>
      <c r="I2839" s="39"/>
    </row>
    <row r="2840" spans="6:9" x14ac:dyDescent="0.25">
      <c r="F2840" s="39"/>
      <c r="G2840" s="39"/>
      <c r="H2840" s="39"/>
      <c r="I2840" s="39"/>
    </row>
    <row r="2841" spans="6:9" x14ac:dyDescent="0.25">
      <c r="F2841" s="39"/>
      <c r="G2841" s="39"/>
      <c r="H2841" s="39"/>
      <c r="I2841" s="39"/>
    </row>
    <row r="2842" spans="6:9" x14ac:dyDescent="0.25">
      <c r="F2842" s="39"/>
      <c r="G2842" s="39"/>
      <c r="H2842" s="39"/>
      <c r="I2842" s="39"/>
    </row>
    <row r="2843" spans="6:9" x14ac:dyDescent="0.25">
      <c r="F2843" s="39"/>
      <c r="G2843" s="39"/>
      <c r="H2843" s="39"/>
      <c r="I2843" s="39"/>
    </row>
    <row r="2844" spans="6:9" x14ac:dyDescent="0.25">
      <c r="F2844" s="39"/>
      <c r="G2844" s="39"/>
      <c r="H2844" s="39"/>
      <c r="I2844" s="39"/>
    </row>
    <row r="2845" spans="6:9" x14ac:dyDescent="0.25">
      <c r="F2845" s="39"/>
      <c r="G2845" s="39"/>
      <c r="H2845" s="39"/>
      <c r="I2845" s="39"/>
    </row>
    <row r="2846" spans="6:9" x14ac:dyDescent="0.25">
      <c r="F2846" s="39"/>
      <c r="G2846" s="39"/>
      <c r="H2846" s="39"/>
      <c r="I2846" s="39"/>
    </row>
    <row r="2847" spans="6:9" x14ac:dyDescent="0.25">
      <c r="F2847" s="39"/>
      <c r="G2847" s="39"/>
      <c r="H2847" s="39"/>
      <c r="I2847" s="39"/>
    </row>
    <row r="2848" spans="6:9" x14ac:dyDescent="0.25">
      <c r="F2848" s="39"/>
      <c r="G2848" s="39"/>
      <c r="H2848" s="39"/>
      <c r="I2848" s="39"/>
    </row>
    <row r="2849" spans="6:9" x14ac:dyDescent="0.25">
      <c r="F2849" s="39"/>
      <c r="G2849" s="39"/>
      <c r="H2849" s="39"/>
      <c r="I2849" s="39"/>
    </row>
    <row r="2850" spans="6:9" x14ac:dyDescent="0.25">
      <c r="F2850" s="39"/>
      <c r="G2850" s="39"/>
      <c r="H2850" s="39"/>
      <c r="I2850" s="39"/>
    </row>
    <row r="2851" spans="6:9" x14ac:dyDescent="0.25">
      <c r="F2851" s="39"/>
      <c r="G2851" s="39"/>
      <c r="H2851" s="39"/>
      <c r="I2851" s="39"/>
    </row>
    <row r="2852" spans="6:9" x14ac:dyDescent="0.25">
      <c r="F2852" s="39"/>
      <c r="G2852" s="39"/>
      <c r="H2852" s="39"/>
      <c r="I2852" s="39"/>
    </row>
    <row r="2853" spans="6:9" x14ac:dyDescent="0.25">
      <c r="F2853" s="39"/>
      <c r="G2853" s="39"/>
      <c r="H2853" s="39"/>
      <c r="I2853" s="39"/>
    </row>
    <row r="2854" spans="6:9" x14ac:dyDescent="0.25">
      <c r="F2854" s="39"/>
      <c r="G2854" s="39"/>
      <c r="H2854" s="39"/>
      <c r="I2854" s="39"/>
    </row>
    <row r="2855" spans="6:9" x14ac:dyDescent="0.25">
      <c r="F2855" s="39"/>
      <c r="G2855" s="39"/>
      <c r="H2855" s="39"/>
      <c r="I2855" s="39"/>
    </row>
    <row r="2856" spans="6:9" x14ac:dyDescent="0.25">
      <c r="F2856" s="39"/>
      <c r="G2856" s="39"/>
      <c r="H2856" s="39"/>
      <c r="I2856" s="39"/>
    </row>
    <row r="2857" spans="6:9" x14ac:dyDescent="0.25">
      <c r="F2857" s="39"/>
      <c r="G2857" s="39"/>
      <c r="H2857" s="39"/>
      <c r="I2857" s="39"/>
    </row>
    <row r="2858" spans="6:9" x14ac:dyDescent="0.25">
      <c r="F2858" s="39"/>
      <c r="G2858" s="39"/>
      <c r="H2858" s="39"/>
      <c r="I2858" s="39"/>
    </row>
    <row r="2859" spans="6:9" x14ac:dyDescent="0.25">
      <c r="F2859" s="39"/>
      <c r="G2859" s="39"/>
      <c r="H2859" s="39"/>
      <c r="I2859" s="39"/>
    </row>
    <row r="2860" spans="6:9" x14ac:dyDescent="0.25">
      <c r="F2860" s="39"/>
      <c r="G2860" s="39"/>
      <c r="H2860" s="39"/>
      <c r="I2860" s="39"/>
    </row>
    <row r="2861" spans="6:9" x14ac:dyDescent="0.25">
      <c r="F2861" s="39"/>
      <c r="G2861" s="39"/>
      <c r="H2861" s="39"/>
      <c r="I2861" s="39"/>
    </row>
    <row r="2862" spans="6:9" x14ac:dyDescent="0.25">
      <c r="F2862" s="39"/>
      <c r="G2862" s="39"/>
      <c r="H2862" s="39"/>
      <c r="I2862" s="39"/>
    </row>
    <row r="2863" spans="6:9" x14ac:dyDescent="0.25">
      <c r="F2863" s="39"/>
      <c r="G2863" s="39"/>
      <c r="H2863" s="39"/>
      <c r="I2863" s="39"/>
    </row>
    <row r="2864" spans="6:9" x14ac:dyDescent="0.25">
      <c r="F2864" s="39"/>
      <c r="G2864" s="39"/>
      <c r="H2864" s="39"/>
      <c r="I2864" s="39"/>
    </row>
    <row r="2865" spans="6:9" x14ac:dyDescent="0.25">
      <c r="F2865" s="39"/>
      <c r="G2865" s="39"/>
      <c r="H2865" s="39"/>
      <c r="I2865" s="39"/>
    </row>
    <row r="2866" spans="6:9" x14ac:dyDescent="0.25">
      <c r="F2866" s="39"/>
      <c r="G2866" s="39"/>
      <c r="H2866" s="39"/>
      <c r="I2866" s="39"/>
    </row>
    <row r="2867" spans="6:9" x14ac:dyDescent="0.25">
      <c r="F2867" s="39"/>
      <c r="G2867" s="39"/>
      <c r="H2867" s="39"/>
      <c r="I2867" s="39"/>
    </row>
    <row r="2868" spans="6:9" x14ac:dyDescent="0.25">
      <c r="F2868" s="39"/>
      <c r="G2868" s="39"/>
      <c r="H2868" s="39"/>
      <c r="I2868" s="39"/>
    </row>
    <row r="2869" spans="6:9" x14ac:dyDescent="0.25">
      <c r="F2869" s="39"/>
      <c r="G2869" s="39"/>
      <c r="H2869" s="39"/>
      <c r="I2869" s="39"/>
    </row>
    <row r="2870" spans="6:9" x14ac:dyDescent="0.25">
      <c r="F2870" s="39"/>
      <c r="G2870" s="39"/>
      <c r="H2870" s="39"/>
      <c r="I2870" s="39"/>
    </row>
    <row r="2871" spans="6:9" x14ac:dyDescent="0.25">
      <c r="F2871" s="39"/>
      <c r="G2871" s="39"/>
      <c r="H2871" s="39"/>
      <c r="I2871" s="39"/>
    </row>
    <row r="2872" spans="6:9" x14ac:dyDescent="0.25">
      <c r="F2872" s="39"/>
      <c r="G2872" s="39"/>
      <c r="H2872" s="39"/>
      <c r="I2872" s="39"/>
    </row>
    <row r="2873" spans="6:9" x14ac:dyDescent="0.25">
      <c r="F2873" s="39"/>
      <c r="G2873" s="39"/>
      <c r="H2873" s="39"/>
      <c r="I2873" s="39"/>
    </row>
    <row r="2874" spans="6:9" x14ac:dyDescent="0.25">
      <c r="F2874" s="39"/>
      <c r="G2874" s="39"/>
      <c r="H2874" s="39"/>
      <c r="I2874" s="39"/>
    </row>
    <row r="2875" spans="6:9" x14ac:dyDescent="0.25">
      <c r="F2875" s="39"/>
      <c r="G2875" s="39"/>
      <c r="H2875" s="39"/>
      <c r="I2875" s="39"/>
    </row>
    <row r="2876" spans="6:9" x14ac:dyDescent="0.25">
      <c r="F2876" s="39"/>
      <c r="G2876" s="39"/>
      <c r="H2876" s="39"/>
      <c r="I2876" s="39"/>
    </row>
    <row r="2877" spans="6:9" x14ac:dyDescent="0.25">
      <c r="F2877" s="39"/>
      <c r="G2877" s="39"/>
      <c r="H2877" s="39"/>
      <c r="I2877" s="39"/>
    </row>
    <row r="2878" spans="6:9" x14ac:dyDescent="0.25">
      <c r="F2878" s="39"/>
      <c r="G2878" s="39"/>
      <c r="H2878" s="39"/>
      <c r="I2878" s="39"/>
    </row>
    <row r="2879" spans="6:9" x14ac:dyDescent="0.25">
      <c r="F2879" s="39"/>
      <c r="G2879" s="39"/>
      <c r="H2879" s="39"/>
      <c r="I2879" s="39"/>
    </row>
    <row r="2880" spans="6:9" x14ac:dyDescent="0.25">
      <c r="F2880" s="39"/>
      <c r="G2880" s="39"/>
      <c r="H2880" s="39"/>
      <c r="I2880" s="39"/>
    </row>
    <row r="2881" spans="6:9" x14ac:dyDescent="0.25">
      <c r="F2881" s="39"/>
      <c r="G2881" s="39"/>
      <c r="H2881" s="39"/>
      <c r="I2881" s="39"/>
    </row>
    <row r="2882" spans="6:9" x14ac:dyDescent="0.25">
      <c r="F2882" s="39"/>
      <c r="G2882" s="39"/>
      <c r="H2882" s="39"/>
      <c r="I2882" s="39"/>
    </row>
    <row r="2883" spans="6:9" x14ac:dyDescent="0.25">
      <c r="F2883" s="39"/>
      <c r="G2883" s="39"/>
      <c r="H2883" s="39"/>
      <c r="I2883" s="39"/>
    </row>
    <row r="2884" spans="6:9" x14ac:dyDescent="0.25">
      <c r="F2884" s="39"/>
      <c r="G2884" s="39"/>
      <c r="H2884" s="39"/>
      <c r="I2884" s="39"/>
    </row>
    <row r="2885" spans="6:9" x14ac:dyDescent="0.25">
      <c r="F2885" s="39"/>
      <c r="G2885" s="39"/>
      <c r="H2885" s="39"/>
      <c r="I2885" s="39"/>
    </row>
    <row r="2886" spans="6:9" x14ac:dyDescent="0.25">
      <c r="F2886" s="39"/>
      <c r="G2886" s="39"/>
      <c r="H2886" s="39"/>
      <c r="I2886" s="39"/>
    </row>
    <row r="2887" spans="6:9" x14ac:dyDescent="0.25">
      <c r="F2887" s="39"/>
      <c r="G2887" s="39"/>
      <c r="H2887" s="39"/>
      <c r="I2887" s="39"/>
    </row>
    <row r="2888" spans="6:9" x14ac:dyDescent="0.25">
      <c r="F2888" s="39"/>
      <c r="G2888" s="39"/>
      <c r="H2888" s="39"/>
      <c r="I2888" s="39"/>
    </row>
    <row r="2889" spans="6:9" x14ac:dyDescent="0.25">
      <c r="F2889" s="39"/>
      <c r="G2889" s="39"/>
      <c r="H2889" s="39"/>
      <c r="I2889" s="39"/>
    </row>
    <row r="2890" spans="6:9" x14ac:dyDescent="0.25">
      <c r="F2890" s="39"/>
      <c r="G2890" s="39"/>
      <c r="H2890" s="39"/>
      <c r="I2890" s="39"/>
    </row>
    <row r="2891" spans="6:9" x14ac:dyDescent="0.25">
      <c r="F2891" s="39"/>
      <c r="G2891" s="39"/>
      <c r="H2891" s="39"/>
      <c r="I2891" s="39"/>
    </row>
    <row r="2892" spans="6:9" x14ac:dyDescent="0.25">
      <c r="F2892" s="39"/>
      <c r="G2892" s="39"/>
      <c r="H2892" s="39"/>
      <c r="I2892" s="39"/>
    </row>
    <row r="2893" spans="6:9" x14ac:dyDescent="0.25">
      <c r="F2893" s="39"/>
      <c r="G2893" s="39"/>
      <c r="H2893" s="39"/>
      <c r="I2893" s="39"/>
    </row>
    <row r="2894" spans="6:9" x14ac:dyDescent="0.25">
      <c r="F2894" s="39"/>
      <c r="G2894" s="39"/>
      <c r="H2894" s="39"/>
      <c r="I2894" s="39"/>
    </row>
    <row r="2895" spans="6:9" x14ac:dyDescent="0.25">
      <c r="F2895" s="39"/>
      <c r="G2895" s="39"/>
      <c r="H2895" s="39"/>
      <c r="I2895" s="39"/>
    </row>
    <row r="2896" spans="6:9" x14ac:dyDescent="0.25">
      <c r="F2896" s="39"/>
      <c r="G2896" s="39"/>
      <c r="H2896" s="39"/>
      <c r="I2896" s="39"/>
    </row>
    <row r="2897" spans="6:9" x14ac:dyDescent="0.25">
      <c r="F2897" s="39"/>
      <c r="G2897" s="39"/>
      <c r="H2897" s="39"/>
      <c r="I2897" s="39"/>
    </row>
    <row r="2898" spans="6:9" x14ac:dyDescent="0.25">
      <c r="F2898" s="39"/>
      <c r="G2898" s="39"/>
      <c r="H2898" s="39"/>
      <c r="I2898" s="39"/>
    </row>
    <row r="2899" spans="6:9" x14ac:dyDescent="0.25">
      <c r="F2899" s="39"/>
      <c r="G2899" s="39"/>
      <c r="H2899" s="39"/>
      <c r="I2899" s="39"/>
    </row>
    <row r="2900" spans="6:9" x14ac:dyDescent="0.25">
      <c r="F2900" s="39"/>
      <c r="G2900" s="39"/>
      <c r="H2900" s="39"/>
      <c r="I2900" s="39"/>
    </row>
    <row r="2901" spans="6:9" x14ac:dyDescent="0.25">
      <c r="F2901" s="39"/>
      <c r="G2901" s="39"/>
      <c r="H2901" s="39"/>
      <c r="I2901" s="39"/>
    </row>
    <row r="2902" spans="6:9" x14ac:dyDescent="0.25">
      <c r="F2902" s="39"/>
      <c r="G2902" s="39"/>
      <c r="H2902" s="39"/>
      <c r="I2902" s="39"/>
    </row>
    <row r="2903" spans="6:9" x14ac:dyDescent="0.25">
      <c r="F2903" s="39"/>
      <c r="G2903" s="39"/>
      <c r="H2903" s="39"/>
      <c r="I2903" s="39"/>
    </row>
    <row r="2904" spans="6:9" x14ac:dyDescent="0.25">
      <c r="F2904" s="39"/>
      <c r="G2904" s="39"/>
      <c r="H2904" s="39"/>
      <c r="I2904" s="39"/>
    </row>
    <row r="2905" spans="6:9" x14ac:dyDescent="0.25">
      <c r="F2905" s="39"/>
      <c r="G2905" s="39"/>
      <c r="H2905" s="39"/>
      <c r="I2905" s="39"/>
    </row>
    <row r="2906" spans="6:9" x14ac:dyDescent="0.25">
      <c r="F2906" s="39"/>
      <c r="G2906" s="39"/>
      <c r="H2906" s="39"/>
      <c r="I2906" s="39"/>
    </row>
    <row r="2907" spans="6:9" x14ac:dyDescent="0.25">
      <c r="F2907" s="39"/>
      <c r="G2907" s="39"/>
      <c r="H2907" s="39"/>
      <c r="I2907" s="39"/>
    </row>
    <row r="2908" spans="6:9" x14ac:dyDescent="0.25">
      <c r="F2908" s="39"/>
      <c r="G2908" s="39"/>
      <c r="H2908" s="39"/>
      <c r="I2908" s="39"/>
    </row>
    <row r="2909" spans="6:9" x14ac:dyDescent="0.25">
      <c r="F2909" s="39"/>
      <c r="G2909" s="39"/>
      <c r="H2909" s="39"/>
      <c r="I2909" s="39"/>
    </row>
    <row r="2910" spans="6:9" x14ac:dyDescent="0.25">
      <c r="F2910" s="39"/>
      <c r="G2910" s="39"/>
      <c r="H2910" s="39"/>
      <c r="I2910" s="39"/>
    </row>
    <row r="2911" spans="6:9" x14ac:dyDescent="0.25">
      <c r="F2911" s="39"/>
      <c r="G2911" s="39"/>
      <c r="H2911" s="39"/>
      <c r="I2911" s="39"/>
    </row>
    <row r="2912" spans="6:9" x14ac:dyDescent="0.25">
      <c r="F2912" s="39"/>
      <c r="G2912" s="39"/>
      <c r="H2912" s="39"/>
      <c r="I2912" s="39"/>
    </row>
    <row r="2913" spans="6:9" x14ac:dyDescent="0.25">
      <c r="F2913" s="39"/>
      <c r="G2913" s="39"/>
      <c r="H2913" s="39"/>
      <c r="I2913" s="39"/>
    </row>
    <row r="2914" spans="6:9" x14ac:dyDescent="0.25">
      <c r="F2914" s="39"/>
      <c r="G2914" s="39"/>
      <c r="H2914" s="39"/>
      <c r="I2914" s="39"/>
    </row>
    <row r="2915" spans="6:9" x14ac:dyDescent="0.25">
      <c r="F2915" s="39"/>
      <c r="G2915" s="39"/>
      <c r="H2915" s="39"/>
      <c r="I2915" s="39"/>
    </row>
    <row r="2916" spans="6:9" x14ac:dyDescent="0.25">
      <c r="F2916" s="39"/>
      <c r="G2916" s="39"/>
      <c r="H2916" s="39"/>
      <c r="I2916" s="39"/>
    </row>
    <row r="2917" spans="6:9" x14ac:dyDescent="0.25">
      <c r="F2917" s="39"/>
      <c r="G2917" s="39"/>
      <c r="H2917" s="39"/>
      <c r="I2917" s="39"/>
    </row>
    <row r="2918" spans="6:9" x14ac:dyDescent="0.25">
      <c r="F2918" s="39"/>
      <c r="G2918" s="39"/>
      <c r="H2918" s="39"/>
      <c r="I2918" s="39"/>
    </row>
    <row r="2919" spans="6:9" x14ac:dyDescent="0.25">
      <c r="F2919" s="39"/>
      <c r="G2919" s="39"/>
      <c r="H2919" s="39"/>
      <c r="I2919" s="39"/>
    </row>
    <row r="2920" spans="6:9" x14ac:dyDescent="0.25">
      <c r="F2920" s="39"/>
      <c r="G2920" s="39"/>
      <c r="H2920" s="39"/>
      <c r="I2920" s="39"/>
    </row>
    <row r="2921" spans="6:9" x14ac:dyDescent="0.25">
      <c r="F2921" s="39"/>
      <c r="G2921" s="39"/>
      <c r="H2921" s="39"/>
      <c r="I2921" s="39"/>
    </row>
    <row r="2922" spans="6:9" x14ac:dyDescent="0.25">
      <c r="F2922" s="39"/>
      <c r="G2922" s="39"/>
      <c r="H2922" s="39"/>
      <c r="I2922" s="39"/>
    </row>
    <row r="2923" spans="6:9" x14ac:dyDescent="0.25">
      <c r="F2923" s="39"/>
      <c r="G2923" s="39"/>
      <c r="H2923" s="39"/>
      <c r="I2923" s="39"/>
    </row>
    <row r="2924" spans="6:9" x14ac:dyDescent="0.25">
      <c r="F2924" s="39"/>
      <c r="G2924" s="39"/>
      <c r="H2924" s="39"/>
      <c r="I2924" s="39"/>
    </row>
    <row r="2925" spans="6:9" x14ac:dyDescent="0.25">
      <c r="F2925" s="39"/>
      <c r="G2925" s="39"/>
      <c r="H2925" s="39"/>
      <c r="I2925" s="39"/>
    </row>
    <row r="2926" spans="6:9" x14ac:dyDescent="0.25">
      <c r="F2926" s="39"/>
      <c r="G2926" s="39"/>
      <c r="H2926" s="39"/>
      <c r="I2926" s="39"/>
    </row>
    <row r="2927" spans="6:9" x14ac:dyDescent="0.25">
      <c r="F2927" s="39"/>
      <c r="G2927" s="39"/>
      <c r="H2927" s="39"/>
      <c r="I2927" s="39"/>
    </row>
    <row r="2928" spans="6:9" x14ac:dyDescent="0.25">
      <c r="F2928" s="39"/>
      <c r="G2928" s="39"/>
      <c r="H2928" s="39"/>
      <c r="I2928" s="39"/>
    </row>
    <row r="2929" spans="6:9" x14ac:dyDescent="0.25">
      <c r="F2929" s="39"/>
      <c r="G2929" s="39"/>
      <c r="H2929" s="39"/>
      <c r="I2929" s="39"/>
    </row>
    <row r="2930" spans="6:9" x14ac:dyDescent="0.25">
      <c r="F2930" s="39"/>
      <c r="G2930" s="39"/>
      <c r="H2930" s="39"/>
      <c r="I2930" s="39"/>
    </row>
    <row r="2931" spans="6:9" x14ac:dyDescent="0.25">
      <c r="F2931" s="39"/>
      <c r="G2931" s="39"/>
      <c r="H2931" s="39"/>
      <c r="I2931" s="39"/>
    </row>
    <row r="2932" spans="6:9" x14ac:dyDescent="0.25">
      <c r="F2932" s="39"/>
      <c r="G2932" s="39"/>
      <c r="H2932" s="39"/>
      <c r="I2932" s="39"/>
    </row>
    <row r="2933" spans="6:9" x14ac:dyDescent="0.25">
      <c r="F2933" s="39"/>
      <c r="G2933" s="39"/>
      <c r="H2933" s="39"/>
      <c r="I2933" s="39"/>
    </row>
    <row r="2934" spans="6:9" x14ac:dyDescent="0.25">
      <c r="F2934" s="39"/>
      <c r="G2934" s="39"/>
      <c r="H2934" s="39"/>
      <c r="I2934" s="39"/>
    </row>
    <row r="2935" spans="6:9" x14ac:dyDescent="0.25">
      <c r="F2935" s="39"/>
      <c r="G2935" s="39"/>
      <c r="H2935" s="39"/>
      <c r="I2935" s="39"/>
    </row>
    <row r="2936" spans="6:9" x14ac:dyDescent="0.25">
      <c r="F2936" s="39"/>
      <c r="G2936" s="39"/>
      <c r="H2936" s="39"/>
      <c r="I2936" s="39"/>
    </row>
    <row r="2937" spans="6:9" x14ac:dyDescent="0.25">
      <c r="F2937" s="39"/>
      <c r="G2937" s="39"/>
      <c r="H2937" s="39"/>
      <c r="I2937" s="39"/>
    </row>
    <row r="2938" spans="6:9" x14ac:dyDescent="0.25">
      <c r="F2938" s="39"/>
      <c r="G2938" s="39"/>
      <c r="H2938" s="39"/>
      <c r="I2938" s="39"/>
    </row>
    <row r="2939" spans="6:9" x14ac:dyDescent="0.25">
      <c r="F2939" s="39"/>
      <c r="G2939" s="39"/>
      <c r="H2939" s="39"/>
      <c r="I2939" s="39"/>
    </row>
    <row r="2940" spans="6:9" x14ac:dyDescent="0.25">
      <c r="F2940" s="39"/>
      <c r="G2940" s="39"/>
      <c r="H2940" s="39"/>
      <c r="I2940" s="39"/>
    </row>
    <row r="2941" spans="6:9" x14ac:dyDescent="0.25">
      <c r="F2941" s="39"/>
      <c r="G2941" s="39"/>
      <c r="H2941" s="39"/>
      <c r="I2941" s="39"/>
    </row>
    <row r="2942" spans="6:9" x14ac:dyDescent="0.25">
      <c r="F2942" s="39"/>
      <c r="G2942" s="39"/>
      <c r="H2942" s="39"/>
      <c r="I2942" s="39"/>
    </row>
    <row r="2943" spans="6:9" x14ac:dyDescent="0.25">
      <c r="F2943" s="39"/>
      <c r="G2943" s="39"/>
      <c r="H2943" s="39"/>
      <c r="I2943" s="39"/>
    </row>
    <row r="2944" spans="6:9" x14ac:dyDescent="0.25">
      <c r="F2944" s="39"/>
      <c r="G2944" s="39"/>
      <c r="H2944" s="39"/>
      <c r="I2944" s="39"/>
    </row>
    <row r="2945" spans="6:9" x14ac:dyDescent="0.25">
      <c r="F2945" s="39"/>
      <c r="G2945" s="39"/>
      <c r="H2945" s="39"/>
      <c r="I2945" s="39"/>
    </row>
    <row r="2946" spans="6:9" x14ac:dyDescent="0.25">
      <c r="F2946" s="39"/>
      <c r="G2946" s="39"/>
      <c r="H2946" s="39"/>
      <c r="I2946" s="39"/>
    </row>
    <row r="2947" spans="6:9" x14ac:dyDescent="0.25">
      <c r="F2947" s="39"/>
      <c r="G2947" s="39"/>
      <c r="H2947" s="39"/>
      <c r="I2947" s="39"/>
    </row>
    <row r="2948" spans="6:9" x14ac:dyDescent="0.25">
      <c r="F2948" s="39"/>
      <c r="G2948" s="39"/>
      <c r="H2948" s="39"/>
      <c r="I2948" s="39"/>
    </row>
    <row r="2949" spans="6:9" x14ac:dyDescent="0.25">
      <c r="F2949" s="39"/>
      <c r="G2949" s="39"/>
      <c r="H2949" s="39"/>
      <c r="I2949" s="39"/>
    </row>
    <row r="2950" spans="6:9" x14ac:dyDescent="0.25">
      <c r="F2950" s="39"/>
      <c r="G2950" s="39"/>
      <c r="H2950" s="39"/>
      <c r="I2950" s="39"/>
    </row>
    <row r="2951" spans="6:9" x14ac:dyDescent="0.25">
      <c r="F2951" s="39"/>
      <c r="G2951" s="39"/>
      <c r="H2951" s="39"/>
      <c r="I2951" s="39"/>
    </row>
    <row r="2952" spans="6:9" x14ac:dyDescent="0.25">
      <c r="F2952" s="39"/>
      <c r="G2952" s="39"/>
      <c r="H2952" s="39"/>
      <c r="I2952" s="39"/>
    </row>
    <row r="2953" spans="6:9" x14ac:dyDescent="0.25">
      <c r="F2953" s="39"/>
      <c r="G2953" s="39"/>
      <c r="H2953" s="39"/>
      <c r="I2953" s="39"/>
    </row>
    <row r="2954" spans="6:9" x14ac:dyDescent="0.25">
      <c r="F2954" s="39"/>
      <c r="G2954" s="39"/>
      <c r="H2954" s="39"/>
      <c r="I2954" s="39"/>
    </row>
    <row r="2955" spans="6:9" x14ac:dyDescent="0.25">
      <c r="F2955" s="39"/>
      <c r="G2955" s="39"/>
      <c r="H2955" s="39"/>
      <c r="I2955" s="39"/>
    </row>
    <row r="2956" spans="6:9" x14ac:dyDescent="0.25">
      <c r="F2956" s="39"/>
      <c r="G2956" s="39"/>
      <c r="H2956" s="39"/>
      <c r="I2956" s="39"/>
    </row>
    <row r="2957" spans="6:9" x14ac:dyDescent="0.25">
      <c r="F2957" s="39"/>
      <c r="G2957" s="39"/>
      <c r="H2957" s="39"/>
      <c r="I2957" s="39"/>
    </row>
    <row r="2958" spans="6:9" x14ac:dyDescent="0.25">
      <c r="F2958" s="39"/>
      <c r="G2958" s="39"/>
      <c r="H2958" s="39"/>
      <c r="I2958" s="39"/>
    </row>
    <row r="2959" spans="6:9" x14ac:dyDescent="0.25">
      <c r="F2959" s="39"/>
      <c r="G2959" s="39"/>
      <c r="H2959" s="39"/>
      <c r="I2959" s="39"/>
    </row>
    <row r="2960" spans="6:9" x14ac:dyDescent="0.25">
      <c r="F2960" s="39"/>
      <c r="G2960" s="39"/>
      <c r="H2960" s="39"/>
      <c r="I2960" s="39"/>
    </row>
    <row r="2961" spans="6:9" x14ac:dyDescent="0.25">
      <c r="F2961" s="39"/>
      <c r="G2961" s="39"/>
      <c r="H2961" s="39"/>
      <c r="I2961" s="39"/>
    </row>
    <row r="2962" spans="6:9" x14ac:dyDescent="0.25">
      <c r="F2962" s="39"/>
      <c r="G2962" s="39"/>
      <c r="H2962" s="39"/>
      <c r="I2962" s="39"/>
    </row>
    <row r="2963" spans="6:9" x14ac:dyDescent="0.25">
      <c r="F2963" s="39"/>
      <c r="G2963" s="39"/>
      <c r="H2963" s="39"/>
      <c r="I2963" s="39"/>
    </row>
    <row r="2964" spans="6:9" x14ac:dyDescent="0.25">
      <c r="F2964" s="39"/>
      <c r="G2964" s="39"/>
      <c r="H2964" s="39"/>
      <c r="I2964" s="39"/>
    </row>
    <row r="2965" spans="6:9" x14ac:dyDescent="0.25">
      <c r="F2965" s="39"/>
      <c r="G2965" s="39"/>
      <c r="H2965" s="39"/>
      <c r="I2965" s="39"/>
    </row>
    <row r="2966" spans="6:9" x14ac:dyDescent="0.25">
      <c r="F2966" s="39"/>
      <c r="G2966" s="39"/>
      <c r="H2966" s="39"/>
      <c r="I2966" s="39"/>
    </row>
    <row r="2967" spans="6:9" x14ac:dyDescent="0.25">
      <c r="F2967" s="39"/>
      <c r="G2967" s="39"/>
      <c r="H2967" s="39"/>
      <c r="I2967" s="39"/>
    </row>
    <row r="2968" spans="6:9" x14ac:dyDescent="0.25">
      <c r="F2968" s="39"/>
      <c r="G2968" s="39"/>
      <c r="H2968" s="39"/>
      <c r="I2968" s="39"/>
    </row>
    <row r="2969" spans="6:9" x14ac:dyDescent="0.25">
      <c r="F2969" s="39"/>
      <c r="G2969" s="39"/>
      <c r="H2969" s="39"/>
      <c r="I2969" s="39"/>
    </row>
    <row r="2970" spans="6:9" x14ac:dyDescent="0.25">
      <c r="F2970" s="39"/>
      <c r="G2970" s="39"/>
      <c r="H2970" s="39"/>
      <c r="I2970" s="39"/>
    </row>
    <row r="2971" spans="6:9" x14ac:dyDescent="0.25">
      <c r="F2971" s="39"/>
      <c r="G2971" s="39"/>
      <c r="H2971" s="39"/>
      <c r="I2971" s="39"/>
    </row>
    <row r="2972" spans="6:9" x14ac:dyDescent="0.25">
      <c r="F2972" s="39"/>
      <c r="G2972" s="39"/>
      <c r="H2972" s="39"/>
      <c r="I2972" s="39"/>
    </row>
    <row r="2973" spans="6:9" x14ac:dyDescent="0.25">
      <c r="F2973" s="39"/>
      <c r="G2973" s="39"/>
      <c r="H2973" s="39"/>
      <c r="I2973" s="39"/>
    </row>
    <row r="2974" spans="6:9" x14ac:dyDescent="0.25">
      <c r="F2974" s="39"/>
      <c r="G2974" s="39"/>
      <c r="H2974" s="39"/>
      <c r="I2974" s="39"/>
    </row>
    <row r="2975" spans="6:9" x14ac:dyDescent="0.25">
      <c r="F2975" s="39"/>
      <c r="G2975" s="39"/>
      <c r="H2975" s="39"/>
      <c r="I2975" s="39"/>
    </row>
    <row r="2976" spans="6:9" x14ac:dyDescent="0.25">
      <c r="F2976" s="39"/>
      <c r="G2976" s="39"/>
      <c r="H2976" s="39"/>
      <c r="I2976" s="39"/>
    </row>
    <row r="2977" spans="6:9" x14ac:dyDescent="0.25">
      <c r="F2977" s="39"/>
      <c r="G2977" s="39"/>
      <c r="H2977" s="39"/>
      <c r="I2977" s="39"/>
    </row>
    <row r="2978" spans="6:9" x14ac:dyDescent="0.25">
      <c r="F2978" s="39"/>
      <c r="G2978" s="39"/>
      <c r="H2978" s="39"/>
      <c r="I2978" s="39"/>
    </row>
    <row r="2979" spans="6:9" x14ac:dyDescent="0.25">
      <c r="F2979" s="39"/>
      <c r="G2979" s="39"/>
      <c r="H2979" s="39"/>
      <c r="I2979" s="39"/>
    </row>
    <row r="2980" spans="6:9" x14ac:dyDescent="0.25">
      <c r="F2980" s="39"/>
      <c r="G2980" s="39"/>
      <c r="H2980" s="39"/>
      <c r="I2980" s="39"/>
    </row>
    <row r="2981" spans="6:9" x14ac:dyDescent="0.25">
      <c r="F2981" s="39"/>
      <c r="G2981" s="39"/>
      <c r="H2981" s="39"/>
      <c r="I2981" s="39"/>
    </row>
    <row r="2982" spans="6:9" x14ac:dyDescent="0.25">
      <c r="F2982" s="39"/>
      <c r="G2982" s="39"/>
      <c r="H2982" s="39"/>
      <c r="I2982" s="39"/>
    </row>
    <row r="2983" spans="6:9" x14ac:dyDescent="0.25">
      <c r="F2983" s="39"/>
      <c r="G2983" s="39"/>
      <c r="H2983" s="39"/>
      <c r="I2983" s="39"/>
    </row>
    <row r="2984" spans="6:9" x14ac:dyDescent="0.25">
      <c r="F2984" s="39"/>
      <c r="G2984" s="39"/>
      <c r="H2984" s="39"/>
      <c r="I2984" s="39"/>
    </row>
    <row r="2985" spans="6:9" x14ac:dyDescent="0.25">
      <c r="F2985" s="39"/>
      <c r="G2985" s="39"/>
      <c r="H2985" s="39"/>
      <c r="I2985" s="39"/>
    </row>
    <row r="2986" spans="6:9" x14ac:dyDescent="0.25">
      <c r="F2986" s="39"/>
      <c r="G2986" s="39"/>
      <c r="H2986" s="39"/>
      <c r="I2986" s="39"/>
    </row>
    <row r="2987" spans="6:9" x14ac:dyDescent="0.25">
      <c r="F2987" s="39"/>
      <c r="G2987" s="39"/>
      <c r="H2987" s="39"/>
      <c r="I2987" s="39"/>
    </row>
    <row r="2988" spans="6:9" x14ac:dyDescent="0.25">
      <c r="F2988" s="39"/>
      <c r="G2988" s="39"/>
      <c r="H2988" s="39"/>
      <c r="I2988" s="39"/>
    </row>
    <row r="2989" spans="6:9" x14ac:dyDescent="0.25">
      <c r="F2989" s="39"/>
      <c r="G2989" s="39"/>
      <c r="H2989" s="39"/>
      <c r="I2989" s="39"/>
    </row>
    <row r="2990" spans="6:9" x14ac:dyDescent="0.25">
      <c r="F2990" s="39"/>
      <c r="G2990" s="39"/>
      <c r="H2990" s="39"/>
      <c r="I2990" s="39"/>
    </row>
    <row r="2991" spans="6:9" x14ac:dyDescent="0.25">
      <c r="F2991" s="39"/>
      <c r="G2991" s="39"/>
      <c r="H2991" s="39"/>
      <c r="I2991" s="39"/>
    </row>
    <row r="2992" spans="6:9" x14ac:dyDescent="0.25">
      <c r="F2992" s="39"/>
      <c r="G2992" s="39"/>
      <c r="H2992" s="39"/>
      <c r="I2992" s="39"/>
    </row>
    <row r="2993" spans="6:9" x14ac:dyDescent="0.25">
      <c r="F2993" s="39"/>
      <c r="G2993" s="39"/>
      <c r="H2993" s="39"/>
      <c r="I2993" s="39"/>
    </row>
    <row r="2994" spans="6:9" x14ac:dyDescent="0.25">
      <c r="F2994" s="39"/>
      <c r="G2994" s="39"/>
      <c r="H2994" s="39"/>
      <c r="I2994" s="39"/>
    </row>
    <row r="2995" spans="6:9" x14ac:dyDescent="0.25">
      <c r="F2995" s="39"/>
      <c r="G2995" s="39"/>
      <c r="H2995" s="39"/>
      <c r="I2995" s="39"/>
    </row>
    <row r="2996" spans="6:9" x14ac:dyDescent="0.25">
      <c r="F2996" s="39"/>
      <c r="G2996" s="39"/>
      <c r="H2996" s="39"/>
      <c r="I2996" s="39"/>
    </row>
    <row r="2997" spans="6:9" x14ac:dyDescent="0.25">
      <c r="F2997" s="39"/>
      <c r="G2997" s="39"/>
      <c r="H2997" s="39"/>
      <c r="I2997" s="39"/>
    </row>
    <row r="2998" spans="6:9" x14ac:dyDescent="0.25">
      <c r="F2998" s="39"/>
      <c r="G2998" s="39"/>
      <c r="H2998" s="39"/>
      <c r="I2998" s="39"/>
    </row>
    <row r="2999" spans="6:9" x14ac:dyDescent="0.25">
      <c r="F2999" s="39"/>
      <c r="G2999" s="39"/>
      <c r="H2999" s="39"/>
      <c r="I2999" s="39"/>
    </row>
    <row r="3000" spans="6:9" x14ac:dyDescent="0.25">
      <c r="F3000" s="39"/>
      <c r="G3000" s="39"/>
      <c r="H3000" s="39"/>
      <c r="I3000" s="39"/>
    </row>
    <row r="3001" spans="6:9" x14ac:dyDescent="0.25">
      <c r="F3001" s="39"/>
      <c r="G3001" s="39"/>
      <c r="H3001" s="39"/>
      <c r="I3001" s="39"/>
    </row>
    <row r="3002" spans="6:9" x14ac:dyDescent="0.25">
      <c r="F3002" s="39"/>
      <c r="G3002" s="39"/>
      <c r="H3002" s="39"/>
      <c r="I3002" s="39"/>
    </row>
    <row r="3003" spans="6:9" x14ac:dyDescent="0.25">
      <c r="F3003" s="39"/>
      <c r="G3003" s="39"/>
      <c r="H3003" s="39"/>
      <c r="I3003" s="39"/>
    </row>
    <row r="3004" spans="6:9" x14ac:dyDescent="0.25">
      <c r="F3004" s="39"/>
      <c r="G3004" s="39"/>
      <c r="H3004" s="39"/>
      <c r="I3004" s="39"/>
    </row>
    <row r="3005" spans="6:9" x14ac:dyDescent="0.25">
      <c r="F3005" s="39"/>
      <c r="G3005" s="39"/>
      <c r="H3005" s="39"/>
      <c r="I3005" s="39"/>
    </row>
    <row r="3006" spans="6:9" x14ac:dyDescent="0.25">
      <c r="F3006" s="39"/>
      <c r="G3006" s="39"/>
      <c r="H3006" s="39"/>
      <c r="I3006" s="39"/>
    </row>
    <row r="3007" spans="6:9" x14ac:dyDescent="0.25">
      <c r="F3007" s="39"/>
      <c r="G3007" s="39"/>
      <c r="H3007" s="39"/>
      <c r="I3007" s="39"/>
    </row>
    <row r="3008" spans="6:9" x14ac:dyDescent="0.25">
      <c r="F3008" s="39"/>
      <c r="G3008" s="39"/>
      <c r="H3008" s="39"/>
      <c r="I3008" s="39"/>
    </row>
    <row r="3009" spans="6:9" x14ac:dyDescent="0.25">
      <c r="F3009" s="39"/>
      <c r="G3009" s="39"/>
      <c r="H3009" s="39"/>
      <c r="I3009" s="39"/>
    </row>
    <row r="3010" spans="6:9" x14ac:dyDescent="0.25">
      <c r="F3010" s="39"/>
      <c r="G3010" s="39"/>
      <c r="H3010" s="39"/>
      <c r="I3010" s="39"/>
    </row>
    <row r="3011" spans="6:9" x14ac:dyDescent="0.25">
      <c r="F3011" s="39"/>
      <c r="G3011" s="39"/>
      <c r="H3011" s="39"/>
      <c r="I3011" s="39"/>
    </row>
    <row r="3012" spans="6:9" x14ac:dyDescent="0.25">
      <c r="F3012" s="39"/>
      <c r="G3012" s="39"/>
      <c r="H3012" s="39"/>
      <c r="I3012" s="39"/>
    </row>
    <row r="3013" spans="6:9" x14ac:dyDescent="0.25">
      <c r="F3013" s="39"/>
      <c r="G3013" s="39"/>
      <c r="H3013" s="39"/>
      <c r="I3013" s="39"/>
    </row>
    <row r="3014" spans="6:9" x14ac:dyDescent="0.25">
      <c r="F3014" s="39"/>
      <c r="G3014" s="39"/>
      <c r="H3014" s="39"/>
      <c r="I3014" s="39"/>
    </row>
    <row r="3015" spans="6:9" x14ac:dyDescent="0.25">
      <c r="F3015" s="39"/>
      <c r="G3015" s="39"/>
      <c r="H3015" s="39"/>
      <c r="I3015" s="39"/>
    </row>
    <row r="3016" spans="6:9" x14ac:dyDescent="0.25">
      <c r="F3016" s="39"/>
      <c r="G3016" s="39"/>
      <c r="H3016" s="39"/>
      <c r="I3016" s="39"/>
    </row>
    <row r="3017" spans="6:9" x14ac:dyDescent="0.25">
      <c r="F3017" s="39"/>
      <c r="G3017" s="39"/>
      <c r="H3017" s="39"/>
      <c r="I3017" s="39"/>
    </row>
    <row r="3018" spans="6:9" x14ac:dyDescent="0.25">
      <c r="F3018" s="39"/>
      <c r="G3018" s="39"/>
      <c r="H3018" s="39"/>
      <c r="I3018" s="39"/>
    </row>
    <row r="3019" spans="6:9" x14ac:dyDescent="0.25">
      <c r="F3019" s="39"/>
      <c r="G3019" s="39"/>
      <c r="H3019" s="39"/>
      <c r="I3019" s="39"/>
    </row>
    <row r="3020" spans="6:9" x14ac:dyDescent="0.25">
      <c r="F3020" s="39"/>
      <c r="G3020" s="39"/>
      <c r="H3020" s="39"/>
      <c r="I3020" s="39"/>
    </row>
    <row r="3021" spans="6:9" x14ac:dyDescent="0.25">
      <c r="F3021" s="39"/>
      <c r="G3021" s="39"/>
      <c r="H3021" s="39"/>
      <c r="I3021" s="39"/>
    </row>
    <row r="3022" spans="6:9" x14ac:dyDescent="0.25">
      <c r="F3022" s="39"/>
      <c r="G3022" s="39"/>
      <c r="H3022" s="39"/>
      <c r="I3022" s="39"/>
    </row>
    <row r="3023" spans="6:9" x14ac:dyDescent="0.25">
      <c r="F3023" s="39"/>
      <c r="G3023" s="39"/>
      <c r="H3023" s="39"/>
      <c r="I3023" s="39"/>
    </row>
    <row r="3024" spans="6:9" x14ac:dyDescent="0.25">
      <c r="F3024" s="39"/>
      <c r="G3024" s="39"/>
      <c r="H3024" s="39"/>
      <c r="I3024" s="39"/>
    </row>
    <row r="3025" spans="6:9" x14ac:dyDescent="0.25">
      <c r="F3025" s="39"/>
      <c r="G3025" s="39"/>
      <c r="H3025" s="39"/>
      <c r="I3025" s="39"/>
    </row>
    <row r="3026" spans="6:9" x14ac:dyDescent="0.25">
      <c r="F3026" s="39"/>
      <c r="G3026" s="39"/>
      <c r="H3026" s="39"/>
      <c r="I3026" s="39"/>
    </row>
    <row r="3027" spans="6:9" x14ac:dyDescent="0.25">
      <c r="F3027" s="39"/>
      <c r="G3027" s="39"/>
      <c r="H3027" s="39"/>
      <c r="I3027" s="39"/>
    </row>
    <row r="3028" spans="6:9" x14ac:dyDescent="0.25">
      <c r="F3028" s="39"/>
      <c r="G3028" s="39"/>
      <c r="H3028" s="39"/>
      <c r="I3028" s="39"/>
    </row>
    <row r="3029" spans="6:9" x14ac:dyDescent="0.25">
      <c r="F3029" s="39"/>
      <c r="G3029" s="39"/>
      <c r="H3029" s="39"/>
      <c r="I3029" s="39"/>
    </row>
    <row r="3030" spans="6:9" x14ac:dyDescent="0.25">
      <c r="F3030" s="39"/>
      <c r="G3030" s="39"/>
      <c r="H3030" s="39"/>
      <c r="I3030" s="39"/>
    </row>
    <row r="3031" spans="6:9" x14ac:dyDescent="0.25">
      <c r="F3031" s="39"/>
      <c r="G3031" s="39"/>
      <c r="H3031" s="39"/>
      <c r="I3031" s="39"/>
    </row>
    <row r="3032" spans="6:9" x14ac:dyDescent="0.25">
      <c r="F3032" s="39"/>
      <c r="G3032" s="39"/>
      <c r="H3032" s="39"/>
      <c r="I3032" s="39"/>
    </row>
    <row r="3033" spans="6:9" x14ac:dyDescent="0.25">
      <c r="F3033" s="39"/>
      <c r="G3033" s="39"/>
      <c r="H3033" s="39"/>
      <c r="I3033" s="39"/>
    </row>
    <row r="3034" spans="6:9" x14ac:dyDescent="0.25">
      <c r="F3034" s="39"/>
      <c r="G3034" s="39"/>
      <c r="H3034" s="39"/>
      <c r="I3034" s="39"/>
    </row>
    <row r="3035" spans="6:9" x14ac:dyDescent="0.25">
      <c r="F3035" s="39"/>
      <c r="G3035" s="39"/>
      <c r="H3035" s="39"/>
      <c r="I3035" s="39"/>
    </row>
    <row r="3036" spans="6:9" x14ac:dyDescent="0.25">
      <c r="F3036" s="39"/>
      <c r="G3036" s="39"/>
      <c r="H3036" s="39"/>
      <c r="I3036" s="39"/>
    </row>
    <row r="3037" spans="6:9" x14ac:dyDescent="0.25">
      <c r="F3037" s="39"/>
      <c r="G3037" s="39"/>
      <c r="H3037" s="39"/>
      <c r="I3037" s="39"/>
    </row>
    <row r="3038" spans="6:9" x14ac:dyDescent="0.25">
      <c r="F3038" s="39"/>
      <c r="G3038" s="39"/>
      <c r="H3038" s="39"/>
      <c r="I3038" s="39"/>
    </row>
    <row r="3039" spans="6:9" x14ac:dyDescent="0.25">
      <c r="F3039" s="39"/>
      <c r="G3039" s="39"/>
      <c r="H3039" s="39"/>
      <c r="I3039" s="39"/>
    </row>
    <row r="3040" spans="6:9" x14ac:dyDescent="0.25">
      <c r="F3040" s="39"/>
      <c r="G3040" s="39"/>
      <c r="H3040" s="39"/>
      <c r="I3040" s="39"/>
    </row>
    <row r="3041" spans="6:9" x14ac:dyDescent="0.25">
      <c r="F3041" s="39"/>
      <c r="G3041" s="39"/>
      <c r="H3041" s="39"/>
      <c r="I3041" s="39"/>
    </row>
    <row r="3042" spans="6:9" x14ac:dyDescent="0.25">
      <c r="F3042" s="39"/>
      <c r="G3042" s="39"/>
      <c r="H3042" s="39"/>
      <c r="I3042" s="39"/>
    </row>
    <row r="3043" spans="6:9" x14ac:dyDescent="0.25">
      <c r="F3043" s="39"/>
      <c r="G3043" s="39"/>
      <c r="H3043" s="39"/>
      <c r="I3043" s="39"/>
    </row>
    <row r="3044" spans="6:9" x14ac:dyDescent="0.25">
      <c r="F3044" s="39"/>
      <c r="G3044" s="39"/>
      <c r="H3044" s="39"/>
      <c r="I3044" s="39"/>
    </row>
    <row r="3045" spans="6:9" x14ac:dyDescent="0.25">
      <c r="F3045" s="39"/>
      <c r="G3045" s="39"/>
      <c r="H3045" s="39"/>
      <c r="I3045" s="39"/>
    </row>
    <row r="3046" spans="6:9" x14ac:dyDescent="0.25">
      <c r="F3046" s="39"/>
      <c r="G3046" s="39"/>
      <c r="H3046" s="39"/>
      <c r="I3046" s="39"/>
    </row>
    <row r="3047" spans="6:9" x14ac:dyDescent="0.25">
      <c r="F3047" s="39"/>
      <c r="G3047" s="39"/>
      <c r="H3047" s="39"/>
      <c r="I3047" s="39"/>
    </row>
    <row r="3048" spans="6:9" x14ac:dyDescent="0.25">
      <c r="F3048" s="39"/>
      <c r="G3048" s="39"/>
      <c r="H3048" s="39"/>
      <c r="I3048" s="39"/>
    </row>
    <row r="3049" spans="6:9" x14ac:dyDescent="0.25">
      <c r="F3049" s="39"/>
      <c r="G3049" s="39"/>
      <c r="H3049" s="39"/>
      <c r="I3049" s="39"/>
    </row>
    <row r="3050" spans="6:9" x14ac:dyDescent="0.25">
      <c r="F3050" s="39"/>
      <c r="G3050" s="39"/>
      <c r="H3050" s="39"/>
      <c r="I3050" s="39"/>
    </row>
    <row r="3051" spans="6:9" x14ac:dyDescent="0.25">
      <c r="F3051" s="39"/>
      <c r="G3051" s="39"/>
      <c r="H3051" s="39"/>
      <c r="I3051" s="39"/>
    </row>
    <row r="3052" spans="6:9" x14ac:dyDescent="0.25">
      <c r="F3052" s="39"/>
      <c r="G3052" s="39"/>
      <c r="H3052" s="39"/>
      <c r="I3052" s="39"/>
    </row>
    <row r="3053" spans="6:9" x14ac:dyDescent="0.25">
      <c r="F3053" s="39"/>
      <c r="G3053" s="39"/>
      <c r="H3053" s="39"/>
      <c r="I3053" s="39"/>
    </row>
    <row r="3054" spans="6:9" x14ac:dyDescent="0.25">
      <c r="F3054" s="39"/>
      <c r="G3054" s="39"/>
      <c r="H3054" s="39"/>
      <c r="I3054" s="39"/>
    </row>
    <row r="3055" spans="6:9" x14ac:dyDescent="0.25">
      <c r="F3055" s="39"/>
      <c r="G3055" s="39"/>
      <c r="H3055" s="39"/>
      <c r="I3055" s="39"/>
    </row>
    <row r="3056" spans="6:9" x14ac:dyDescent="0.25">
      <c r="F3056" s="39"/>
      <c r="G3056" s="39"/>
      <c r="H3056" s="39"/>
      <c r="I3056" s="39"/>
    </row>
    <row r="3057" spans="6:9" x14ac:dyDescent="0.25">
      <c r="F3057" s="39"/>
      <c r="G3057" s="39"/>
      <c r="H3057" s="39"/>
      <c r="I3057" s="39"/>
    </row>
    <row r="3058" spans="6:9" x14ac:dyDescent="0.25">
      <c r="F3058" s="39"/>
      <c r="G3058" s="39"/>
      <c r="H3058" s="39"/>
      <c r="I3058" s="39"/>
    </row>
    <row r="3059" spans="6:9" x14ac:dyDescent="0.25">
      <c r="F3059" s="39"/>
      <c r="G3059" s="39"/>
      <c r="H3059" s="39"/>
      <c r="I3059" s="39"/>
    </row>
    <row r="3060" spans="6:9" x14ac:dyDescent="0.25">
      <c r="F3060" s="39"/>
      <c r="G3060" s="39"/>
      <c r="H3060" s="39"/>
      <c r="I3060" s="39"/>
    </row>
    <row r="3061" spans="6:9" x14ac:dyDescent="0.25">
      <c r="F3061" s="39"/>
      <c r="G3061" s="39"/>
      <c r="H3061" s="39"/>
      <c r="I3061" s="39"/>
    </row>
    <row r="3062" spans="6:9" x14ac:dyDescent="0.25">
      <c r="F3062" s="39"/>
      <c r="G3062" s="39"/>
      <c r="H3062" s="39"/>
      <c r="I3062" s="39"/>
    </row>
    <row r="3063" spans="6:9" x14ac:dyDescent="0.25">
      <c r="F3063" s="39"/>
      <c r="G3063" s="39"/>
      <c r="H3063" s="39"/>
      <c r="I3063" s="39"/>
    </row>
    <row r="3064" spans="6:9" x14ac:dyDescent="0.25">
      <c r="F3064" s="39"/>
      <c r="G3064" s="39"/>
      <c r="H3064" s="39"/>
      <c r="I3064" s="39"/>
    </row>
    <row r="3065" spans="6:9" x14ac:dyDescent="0.25">
      <c r="F3065" s="39"/>
      <c r="G3065" s="39"/>
      <c r="H3065" s="39"/>
      <c r="I3065" s="39"/>
    </row>
    <row r="3066" spans="6:9" x14ac:dyDescent="0.25">
      <c r="F3066" s="39"/>
      <c r="G3066" s="39"/>
      <c r="H3066" s="39"/>
      <c r="I3066" s="39"/>
    </row>
    <row r="3067" spans="6:9" x14ac:dyDescent="0.25">
      <c r="F3067" s="39"/>
      <c r="G3067" s="39"/>
      <c r="H3067" s="39"/>
      <c r="I3067" s="39"/>
    </row>
    <row r="3068" spans="6:9" x14ac:dyDescent="0.25">
      <c r="F3068" s="39"/>
      <c r="G3068" s="39"/>
      <c r="H3068" s="39"/>
      <c r="I3068" s="39"/>
    </row>
    <row r="3069" spans="6:9" x14ac:dyDescent="0.25">
      <c r="F3069" s="39"/>
      <c r="G3069" s="39"/>
      <c r="H3069" s="39"/>
      <c r="I3069" s="39"/>
    </row>
    <row r="3070" spans="6:9" x14ac:dyDescent="0.25">
      <c r="F3070" s="39"/>
      <c r="G3070" s="39"/>
      <c r="H3070" s="39"/>
      <c r="I3070" s="39"/>
    </row>
    <row r="3071" spans="6:9" x14ac:dyDescent="0.25">
      <c r="F3071" s="39"/>
      <c r="G3071" s="39"/>
      <c r="H3071" s="39"/>
      <c r="I3071" s="39"/>
    </row>
    <row r="3072" spans="6:9" x14ac:dyDescent="0.25">
      <c r="F3072" s="39"/>
      <c r="G3072" s="39"/>
      <c r="H3072" s="39"/>
      <c r="I3072" s="39"/>
    </row>
    <row r="3073" spans="6:9" x14ac:dyDescent="0.25">
      <c r="F3073" s="39"/>
      <c r="G3073" s="39"/>
      <c r="H3073" s="39"/>
      <c r="I3073" s="39"/>
    </row>
    <row r="3074" spans="6:9" x14ac:dyDescent="0.25">
      <c r="F3074" s="39"/>
      <c r="G3074" s="39"/>
      <c r="H3074" s="39"/>
      <c r="I3074" s="39"/>
    </row>
    <row r="3075" spans="6:9" x14ac:dyDescent="0.25">
      <c r="F3075" s="39"/>
      <c r="G3075" s="39"/>
      <c r="H3075" s="39"/>
      <c r="I3075" s="39"/>
    </row>
    <row r="3076" spans="6:9" x14ac:dyDescent="0.25">
      <c r="F3076" s="39"/>
      <c r="G3076" s="39"/>
      <c r="H3076" s="39"/>
      <c r="I3076" s="39"/>
    </row>
    <row r="3077" spans="6:9" x14ac:dyDescent="0.25">
      <c r="F3077" s="39"/>
      <c r="G3077" s="39"/>
      <c r="H3077" s="39"/>
      <c r="I3077" s="39"/>
    </row>
    <row r="3078" spans="6:9" x14ac:dyDescent="0.25">
      <c r="F3078" s="39"/>
      <c r="G3078" s="39"/>
      <c r="H3078" s="39"/>
      <c r="I3078" s="39"/>
    </row>
    <row r="3079" spans="6:9" x14ac:dyDescent="0.25">
      <c r="F3079" s="39"/>
      <c r="G3079" s="39"/>
      <c r="H3079" s="39"/>
      <c r="I3079" s="39"/>
    </row>
    <row r="3080" spans="6:9" x14ac:dyDescent="0.25">
      <c r="F3080" s="39"/>
      <c r="G3080" s="39"/>
      <c r="H3080" s="39"/>
      <c r="I3080" s="39"/>
    </row>
    <row r="3081" spans="6:9" x14ac:dyDescent="0.25">
      <c r="F3081" s="39"/>
      <c r="G3081" s="39"/>
      <c r="H3081" s="39"/>
      <c r="I3081" s="39"/>
    </row>
    <row r="3082" spans="6:9" x14ac:dyDescent="0.25">
      <c r="F3082" s="39"/>
      <c r="G3082" s="39"/>
      <c r="H3082" s="39"/>
      <c r="I3082" s="39"/>
    </row>
    <row r="3083" spans="6:9" x14ac:dyDescent="0.25">
      <c r="F3083" s="39"/>
      <c r="G3083" s="39"/>
      <c r="H3083" s="39"/>
      <c r="I3083" s="39"/>
    </row>
    <row r="3084" spans="6:9" x14ac:dyDescent="0.25">
      <c r="F3084" s="39"/>
      <c r="G3084" s="39"/>
      <c r="H3084" s="39"/>
      <c r="I3084" s="39"/>
    </row>
    <row r="3085" spans="6:9" x14ac:dyDescent="0.25">
      <c r="F3085" s="39"/>
      <c r="G3085" s="39"/>
      <c r="H3085" s="39"/>
      <c r="I3085" s="39"/>
    </row>
    <row r="3086" spans="6:9" x14ac:dyDescent="0.25">
      <c r="F3086" s="39"/>
      <c r="G3086" s="39"/>
      <c r="H3086" s="39"/>
      <c r="I3086" s="39"/>
    </row>
    <row r="3087" spans="6:9" x14ac:dyDescent="0.25">
      <c r="F3087" s="39"/>
      <c r="G3087" s="39"/>
      <c r="H3087" s="39"/>
      <c r="I3087" s="39"/>
    </row>
    <row r="3088" spans="6:9" x14ac:dyDescent="0.25">
      <c r="F3088" s="39"/>
      <c r="G3088" s="39"/>
      <c r="H3088" s="39"/>
      <c r="I3088" s="39"/>
    </row>
    <row r="3089" spans="6:9" x14ac:dyDescent="0.25">
      <c r="F3089" s="39"/>
      <c r="G3089" s="39"/>
      <c r="H3089" s="39"/>
      <c r="I3089" s="39"/>
    </row>
    <row r="3090" spans="6:9" x14ac:dyDescent="0.25">
      <c r="F3090" s="39"/>
      <c r="G3090" s="39"/>
      <c r="H3090" s="39"/>
      <c r="I3090" s="39"/>
    </row>
    <row r="3091" spans="6:9" x14ac:dyDescent="0.25">
      <c r="F3091" s="39"/>
      <c r="G3091" s="39"/>
      <c r="H3091" s="39"/>
      <c r="I3091" s="39"/>
    </row>
    <row r="3092" spans="6:9" x14ac:dyDescent="0.25">
      <c r="F3092" s="39"/>
      <c r="G3092" s="39"/>
      <c r="H3092" s="39"/>
      <c r="I3092" s="39"/>
    </row>
    <row r="3093" spans="6:9" x14ac:dyDescent="0.25">
      <c r="F3093" s="39"/>
      <c r="G3093" s="39"/>
      <c r="H3093" s="39"/>
      <c r="I3093" s="39"/>
    </row>
    <row r="3094" spans="6:9" x14ac:dyDescent="0.25">
      <c r="F3094" s="39"/>
      <c r="G3094" s="39"/>
      <c r="H3094" s="39"/>
      <c r="I3094" s="39"/>
    </row>
    <row r="3095" spans="6:9" x14ac:dyDescent="0.25">
      <c r="F3095" s="39"/>
      <c r="G3095" s="39"/>
      <c r="H3095" s="39"/>
      <c r="I3095" s="39"/>
    </row>
    <row r="3096" spans="6:9" x14ac:dyDescent="0.25">
      <c r="F3096" s="39"/>
      <c r="G3096" s="39"/>
      <c r="H3096" s="39"/>
      <c r="I3096" s="39"/>
    </row>
    <row r="3097" spans="6:9" x14ac:dyDescent="0.25">
      <c r="F3097" s="39"/>
      <c r="G3097" s="39"/>
      <c r="H3097" s="39"/>
      <c r="I3097" s="39"/>
    </row>
    <row r="3098" spans="6:9" x14ac:dyDescent="0.25">
      <c r="F3098" s="39"/>
      <c r="G3098" s="39"/>
      <c r="H3098" s="39"/>
      <c r="I3098" s="39"/>
    </row>
    <row r="3099" spans="6:9" x14ac:dyDescent="0.25">
      <c r="F3099" s="39"/>
      <c r="G3099" s="39"/>
      <c r="H3099" s="39"/>
      <c r="I3099" s="39"/>
    </row>
    <row r="3100" spans="6:9" x14ac:dyDescent="0.25">
      <c r="F3100" s="39"/>
      <c r="G3100" s="39"/>
      <c r="H3100" s="39"/>
      <c r="I3100" s="39"/>
    </row>
    <row r="3101" spans="6:9" x14ac:dyDescent="0.25">
      <c r="F3101" s="39"/>
      <c r="G3101" s="39"/>
      <c r="H3101" s="39"/>
      <c r="I3101" s="39"/>
    </row>
    <row r="3102" spans="6:9" x14ac:dyDescent="0.25">
      <c r="F3102" s="39"/>
      <c r="G3102" s="39"/>
      <c r="H3102" s="39"/>
      <c r="I3102" s="39"/>
    </row>
    <row r="3103" spans="6:9" x14ac:dyDescent="0.25">
      <c r="F3103" s="39"/>
      <c r="G3103" s="39"/>
      <c r="H3103" s="39"/>
      <c r="I3103" s="39"/>
    </row>
    <row r="3104" spans="6:9" x14ac:dyDescent="0.25">
      <c r="F3104" s="39"/>
      <c r="G3104" s="39"/>
      <c r="H3104" s="39"/>
      <c r="I3104" s="39"/>
    </row>
    <row r="3105" spans="6:9" x14ac:dyDescent="0.25">
      <c r="F3105" s="39"/>
      <c r="G3105" s="39"/>
      <c r="H3105" s="39"/>
      <c r="I3105" s="39"/>
    </row>
    <row r="3106" spans="6:9" x14ac:dyDescent="0.25">
      <c r="F3106" s="39"/>
      <c r="G3106" s="39"/>
      <c r="H3106" s="39"/>
      <c r="I3106" s="39"/>
    </row>
    <row r="3107" spans="6:9" x14ac:dyDescent="0.25">
      <c r="F3107" s="39"/>
      <c r="G3107" s="39"/>
      <c r="H3107" s="39"/>
      <c r="I3107" s="39"/>
    </row>
    <row r="3108" spans="6:9" x14ac:dyDescent="0.25">
      <c r="F3108" s="39"/>
      <c r="G3108" s="39"/>
      <c r="H3108" s="39"/>
      <c r="I3108" s="39"/>
    </row>
    <row r="3109" spans="6:9" x14ac:dyDescent="0.25">
      <c r="F3109" s="39"/>
      <c r="G3109" s="39"/>
      <c r="H3109" s="39"/>
      <c r="I3109" s="39"/>
    </row>
    <row r="3110" spans="6:9" x14ac:dyDescent="0.25">
      <c r="F3110" s="39"/>
      <c r="G3110" s="39"/>
      <c r="H3110" s="39"/>
      <c r="I3110" s="39"/>
    </row>
    <row r="3111" spans="6:9" x14ac:dyDescent="0.25">
      <c r="F3111" s="39"/>
      <c r="G3111" s="39"/>
      <c r="H3111" s="39"/>
      <c r="I3111" s="39"/>
    </row>
    <row r="3112" spans="6:9" x14ac:dyDescent="0.25">
      <c r="F3112" s="39"/>
      <c r="G3112" s="39"/>
      <c r="H3112" s="39"/>
      <c r="I3112" s="39"/>
    </row>
    <row r="3113" spans="6:9" x14ac:dyDescent="0.25">
      <c r="F3113" s="39"/>
      <c r="G3113" s="39"/>
      <c r="H3113" s="39"/>
      <c r="I3113" s="39"/>
    </row>
    <row r="3114" spans="6:9" x14ac:dyDescent="0.25">
      <c r="F3114" s="39"/>
      <c r="G3114" s="39"/>
      <c r="H3114" s="39"/>
      <c r="I3114" s="39"/>
    </row>
    <row r="3115" spans="6:9" x14ac:dyDescent="0.25">
      <c r="F3115" s="39"/>
      <c r="G3115" s="39"/>
      <c r="H3115" s="39"/>
      <c r="I3115" s="39"/>
    </row>
    <row r="3116" spans="6:9" x14ac:dyDescent="0.25">
      <c r="F3116" s="39"/>
      <c r="G3116" s="39"/>
      <c r="H3116" s="39"/>
      <c r="I3116" s="39"/>
    </row>
    <row r="3117" spans="6:9" x14ac:dyDescent="0.25">
      <c r="F3117" s="39"/>
      <c r="G3117" s="39"/>
      <c r="H3117" s="39"/>
      <c r="I3117" s="39"/>
    </row>
    <row r="3118" spans="6:9" x14ac:dyDescent="0.25">
      <c r="F3118" s="39"/>
      <c r="G3118" s="39"/>
      <c r="H3118" s="39"/>
      <c r="I3118" s="39"/>
    </row>
    <row r="3119" spans="6:9" x14ac:dyDescent="0.25">
      <c r="F3119" s="39"/>
      <c r="G3119" s="39"/>
      <c r="H3119" s="39"/>
      <c r="I3119" s="39"/>
    </row>
    <row r="3120" spans="6:9" x14ac:dyDescent="0.25">
      <c r="F3120" s="39"/>
      <c r="G3120" s="39"/>
      <c r="H3120" s="39"/>
      <c r="I3120" s="39"/>
    </row>
    <row r="3121" spans="6:9" x14ac:dyDescent="0.25">
      <c r="F3121" s="39"/>
      <c r="G3121" s="39"/>
      <c r="H3121" s="39"/>
      <c r="I3121" s="39"/>
    </row>
    <row r="3122" spans="6:9" x14ac:dyDescent="0.25">
      <c r="F3122" s="39"/>
      <c r="G3122" s="39"/>
      <c r="H3122" s="39"/>
      <c r="I3122" s="39"/>
    </row>
    <row r="3123" spans="6:9" x14ac:dyDescent="0.25">
      <c r="F3123" s="39"/>
      <c r="G3123" s="39"/>
      <c r="H3123" s="39"/>
      <c r="I3123" s="39"/>
    </row>
    <row r="3124" spans="6:9" x14ac:dyDescent="0.25">
      <c r="F3124" s="39"/>
      <c r="G3124" s="39"/>
      <c r="H3124" s="39"/>
      <c r="I3124" s="39"/>
    </row>
    <row r="3125" spans="6:9" x14ac:dyDescent="0.25">
      <c r="F3125" s="39"/>
      <c r="G3125" s="39"/>
      <c r="H3125" s="39"/>
      <c r="I3125" s="39"/>
    </row>
    <row r="3126" spans="6:9" x14ac:dyDescent="0.25">
      <c r="F3126" s="39"/>
      <c r="G3126" s="39"/>
      <c r="H3126" s="39"/>
      <c r="I3126" s="39"/>
    </row>
    <row r="3127" spans="6:9" x14ac:dyDescent="0.25">
      <c r="F3127" s="39"/>
      <c r="G3127" s="39"/>
      <c r="H3127" s="39"/>
      <c r="I3127" s="39"/>
    </row>
    <row r="3128" spans="6:9" x14ac:dyDescent="0.25">
      <c r="F3128" s="39"/>
      <c r="G3128" s="39"/>
      <c r="H3128" s="39"/>
      <c r="I3128" s="39"/>
    </row>
    <row r="3129" spans="6:9" x14ac:dyDescent="0.25">
      <c r="F3129" s="39"/>
      <c r="G3129" s="39"/>
      <c r="H3129" s="39"/>
      <c r="I3129" s="39"/>
    </row>
    <row r="3130" spans="6:9" x14ac:dyDescent="0.25">
      <c r="F3130" s="39"/>
      <c r="G3130" s="39"/>
      <c r="H3130" s="39"/>
      <c r="I3130" s="39"/>
    </row>
    <row r="3131" spans="6:9" x14ac:dyDescent="0.25">
      <c r="F3131" s="39"/>
      <c r="G3131" s="39"/>
      <c r="H3131" s="39"/>
      <c r="I3131" s="39"/>
    </row>
    <row r="3132" spans="6:9" x14ac:dyDescent="0.25">
      <c r="F3132" s="39"/>
      <c r="G3132" s="39"/>
      <c r="H3132" s="39"/>
      <c r="I3132" s="39"/>
    </row>
    <row r="3133" spans="6:9" x14ac:dyDescent="0.25">
      <c r="F3133" s="39"/>
      <c r="G3133" s="39"/>
      <c r="H3133" s="39"/>
      <c r="I3133" s="39"/>
    </row>
    <row r="3134" spans="6:9" x14ac:dyDescent="0.25">
      <c r="F3134" s="39"/>
      <c r="G3134" s="39"/>
      <c r="H3134" s="39"/>
      <c r="I3134" s="39"/>
    </row>
    <row r="3135" spans="6:9" x14ac:dyDescent="0.25">
      <c r="F3135" s="39"/>
      <c r="G3135" s="39"/>
      <c r="H3135" s="39"/>
      <c r="I3135" s="39"/>
    </row>
    <row r="3136" spans="6:9" x14ac:dyDescent="0.25">
      <c r="F3136" s="39"/>
      <c r="G3136" s="39"/>
      <c r="H3136" s="39"/>
      <c r="I3136" s="39"/>
    </row>
    <row r="3137" spans="6:9" x14ac:dyDescent="0.25">
      <c r="F3137" s="39"/>
      <c r="G3137" s="39"/>
      <c r="H3137" s="39"/>
      <c r="I3137" s="39"/>
    </row>
    <row r="3138" spans="6:9" x14ac:dyDescent="0.25">
      <c r="F3138" s="39"/>
      <c r="G3138" s="39"/>
      <c r="H3138" s="39"/>
      <c r="I3138" s="39"/>
    </row>
    <row r="3139" spans="6:9" x14ac:dyDescent="0.25">
      <c r="F3139" s="39"/>
      <c r="G3139" s="39"/>
      <c r="H3139" s="39"/>
      <c r="I3139" s="39"/>
    </row>
    <row r="3140" spans="6:9" x14ac:dyDescent="0.25">
      <c r="F3140" s="39"/>
      <c r="G3140" s="39"/>
      <c r="H3140" s="39"/>
      <c r="I3140" s="39"/>
    </row>
    <row r="3141" spans="6:9" x14ac:dyDescent="0.25">
      <c r="F3141" s="39"/>
      <c r="G3141" s="39"/>
      <c r="H3141" s="39"/>
      <c r="I3141" s="39"/>
    </row>
    <row r="3142" spans="6:9" x14ac:dyDescent="0.25">
      <c r="F3142" s="39"/>
      <c r="G3142" s="39"/>
      <c r="H3142" s="39"/>
      <c r="I3142" s="39"/>
    </row>
    <row r="3143" spans="6:9" x14ac:dyDescent="0.25">
      <c r="F3143" s="39"/>
      <c r="G3143" s="39"/>
      <c r="H3143" s="39"/>
      <c r="I3143" s="39"/>
    </row>
    <row r="3144" spans="6:9" x14ac:dyDescent="0.25">
      <c r="F3144" s="39"/>
      <c r="G3144" s="39"/>
      <c r="H3144" s="39"/>
      <c r="I3144" s="39"/>
    </row>
    <row r="3145" spans="6:9" x14ac:dyDescent="0.25">
      <c r="F3145" s="39"/>
      <c r="G3145" s="39"/>
      <c r="H3145" s="39"/>
      <c r="I3145" s="39"/>
    </row>
    <row r="3146" spans="6:9" x14ac:dyDescent="0.25">
      <c r="F3146" s="39"/>
      <c r="G3146" s="39"/>
      <c r="H3146" s="39"/>
      <c r="I3146" s="39"/>
    </row>
    <row r="3147" spans="6:9" x14ac:dyDescent="0.25">
      <c r="F3147" s="39"/>
      <c r="G3147" s="39"/>
      <c r="H3147" s="39"/>
      <c r="I3147" s="39"/>
    </row>
    <row r="3148" spans="6:9" x14ac:dyDescent="0.25">
      <c r="F3148" s="39"/>
      <c r="G3148" s="39"/>
      <c r="H3148" s="39"/>
      <c r="I3148" s="39"/>
    </row>
    <row r="3149" spans="6:9" x14ac:dyDescent="0.25">
      <c r="F3149" s="39"/>
      <c r="G3149" s="39"/>
      <c r="H3149" s="39"/>
      <c r="I3149" s="39"/>
    </row>
    <row r="3150" spans="6:9" x14ac:dyDescent="0.25">
      <c r="F3150" s="39"/>
      <c r="G3150" s="39"/>
      <c r="H3150" s="39"/>
      <c r="I3150" s="39"/>
    </row>
    <row r="3151" spans="6:9" x14ac:dyDescent="0.25">
      <c r="F3151" s="39"/>
      <c r="G3151" s="39"/>
      <c r="H3151" s="39"/>
      <c r="I3151" s="39"/>
    </row>
    <row r="3152" spans="6:9" x14ac:dyDescent="0.25">
      <c r="F3152" s="39"/>
      <c r="G3152" s="39"/>
      <c r="H3152" s="39"/>
      <c r="I3152" s="39"/>
    </row>
    <row r="3153" spans="6:9" x14ac:dyDescent="0.25">
      <c r="F3153" s="39"/>
      <c r="G3153" s="39"/>
      <c r="H3153" s="39"/>
      <c r="I3153" s="39"/>
    </row>
    <row r="3154" spans="6:9" x14ac:dyDescent="0.25">
      <c r="F3154" s="39"/>
      <c r="G3154" s="39"/>
      <c r="H3154" s="39"/>
      <c r="I3154" s="39"/>
    </row>
    <row r="3155" spans="6:9" x14ac:dyDescent="0.25">
      <c r="F3155" s="39"/>
      <c r="G3155" s="39"/>
      <c r="H3155" s="39"/>
      <c r="I3155" s="39"/>
    </row>
    <row r="3156" spans="6:9" x14ac:dyDescent="0.25">
      <c r="F3156" s="39"/>
      <c r="G3156" s="39"/>
      <c r="H3156" s="39"/>
      <c r="I3156" s="39"/>
    </row>
    <row r="3157" spans="6:9" x14ac:dyDescent="0.25">
      <c r="F3157" s="39"/>
      <c r="G3157" s="39"/>
      <c r="H3157" s="39"/>
      <c r="I3157" s="39"/>
    </row>
    <row r="3158" spans="6:9" x14ac:dyDescent="0.25">
      <c r="F3158" s="39"/>
      <c r="G3158" s="39"/>
      <c r="H3158" s="39"/>
      <c r="I3158" s="39"/>
    </row>
    <row r="3159" spans="6:9" x14ac:dyDescent="0.25">
      <c r="F3159" s="39"/>
      <c r="G3159" s="39"/>
      <c r="H3159" s="39"/>
      <c r="I3159" s="39"/>
    </row>
    <row r="3160" spans="6:9" x14ac:dyDescent="0.25">
      <c r="F3160" s="39"/>
      <c r="G3160" s="39"/>
      <c r="H3160" s="39"/>
      <c r="I3160" s="39"/>
    </row>
    <row r="3161" spans="6:9" x14ac:dyDescent="0.25">
      <c r="F3161" s="39"/>
      <c r="G3161" s="39"/>
      <c r="H3161" s="39"/>
      <c r="I3161" s="39"/>
    </row>
    <row r="3162" spans="6:9" x14ac:dyDescent="0.25">
      <c r="F3162" s="39"/>
      <c r="G3162" s="39"/>
      <c r="H3162" s="39"/>
      <c r="I3162" s="39"/>
    </row>
    <row r="3163" spans="6:9" x14ac:dyDescent="0.25">
      <c r="F3163" s="39"/>
      <c r="G3163" s="39"/>
      <c r="H3163" s="39"/>
      <c r="I3163" s="39"/>
    </row>
    <row r="3164" spans="6:9" x14ac:dyDescent="0.25">
      <c r="F3164" s="39"/>
      <c r="G3164" s="39"/>
      <c r="H3164" s="39"/>
      <c r="I3164" s="39"/>
    </row>
    <row r="3165" spans="6:9" x14ac:dyDescent="0.25">
      <c r="F3165" s="39"/>
      <c r="G3165" s="39"/>
      <c r="H3165" s="39"/>
      <c r="I3165" s="39"/>
    </row>
    <row r="3166" spans="6:9" x14ac:dyDescent="0.25">
      <c r="F3166" s="39"/>
      <c r="G3166" s="39"/>
      <c r="H3166" s="39"/>
      <c r="I3166" s="39"/>
    </row>
    <row r="3167" spans="6:9" x14ac:dyDescent="0.25">
      <c r="F3167" s="39"/>
      <c r="G3167" s="39"/>
      <c r="H3167" s="39"/>
      <c r="I3167" s="39"/>
    </row>
    <row r="3168" spans="6:9" x14ac:dyDescent="0.25">
      <c r="F3168" s="39"/>
      <c r="G3168" s="39"/>
      <c r="H3168" s="39"/>
      <c r="I3168" s="39"/>
    </row>
    <row r="3169" spans="6:9" x14ac:dyDescent="0.25">
      <c r="F3169" s="39"/>
      <c r="G3169" s="39"/>
      <c r="H3169" s="39"/>
      <c r="I3169" s="39"/>
    </row>
    <row r="3170" spans="6:9" x14ac:dyDescent="0.25">
      <c r="F3170" s="39"/>
      <c r="G3170" s="39"/>
      <c r="H3170" s="39"/>
      <c r="I3170" s="39"/>
    </row>
    <row r="3171" spans="6:9" x14ac:dyDescent="0.25">
      <c r="F3171" s="39"/>
      <c r="G3171" s="39"/>
      <c r="H3171" s="39"/>
      <c r="I3171" s="39"/>
    </row>
    <row r="3172" spans="6:9" x14ac:dyDescent="0.25">
      <c r="F3172" s="39"/>
      <c r="G3172" s="39"/>
      <c r="H3172" s="39"/>
      <c r="I3172" s="39"/>
    </row>
    <row r="3173" spans="6:9" x14ac:dyDescent="0.25">
      <c r="F3173" s="39"/>
      <c r="G3173" s="39"/>
      <c r="H3173" s="39"/>
      <c r="I3173" s="39"/>
    </row>
    <row r="3174" spans="6:9" x14ac:dyDescent="0.25">
      <c r="F3174" s="39"/>
      <c r="G3174" s="39"/>
      <c r="H3174" s="39"/>
      <c r="I3174" s="39"/>
    </row>
    <row r="3175" spans="6:9" x14ac:dyDescent="0.25">
      <c r="F3175" s="39"/>
      <c r="G3175" s="39"/>
      <c r="H3175" s="39"/>
      <c r="I3175" s="39"/>
    </row>
    <row r="3176" spans="6:9" x14ac:dyDescent="0.25">
      <c r="F3176" s="39"/>
      <c r="G3176" s="39"/>
      <c r="H3176" s="39"/>
      <c r="I3176" s="39"/>
    </row>
    <row r="3177" spans="6:9" x14ac:dyDescent="0.25">
      <c r="F3177" s="39"/>
      <c r="G3177" s="39"/>
      <c r="H3177" s="39"/>
      <c r="I3177" s="39"/>
    </row>
    <row r="3178" spans="6:9" x14ac:dyDescent="0.25">
      <c r="F3178" s="39"/>
      <c r="G3178" s="39"/>
      <c r="H3178" s="39"/>
      <c r="I3178" s="39"/>
    </row>
    <row r="3179" spans="6:9" x14ac:dyDescent="0.25">
      <c r="F3179" s="39"/>
      <c r="G3179" s="39"/>
      <c r="H3179" s="39"/>
      <c r="I3179" s="39"/>
    </row>
    <row r="3180" spans="6:9" x14ac:dyDescent="0.25">
      <c r="F3180" s="39"/>
      <c r="G3180" s="39"/>
      <c r="H3180" s="39"/>
      <c r="I3180" s="39"/>
    </row>
    <row r="3181" spans="6:9" x14ac:dyDescent="0.25">
      <c r="F3181" s="39"/>
      <c r="G3181" s="39"/>
      <c r="H3181" s="39"/>
      <c r="I3181" s="39"/>
    </row>
    <row r="3182" spans="6:9" x14ac:dyDescent="0.25">
      <c r="F3182" s="39"/>
      <c r="G3182" s="39"/>
      <c r="H3182" s="39"/>
      <c r="I3182" s="39"/>
    </row>
    <row r="3183" spans="6:9" x14ac:dyDescent="0.25">
      <c r="F3183" s="39"/>
      <c r="G3183" s="39"/>
      <c r="H3183" s="39"/>
      <c r="I3183" s="39"/>
    </row>
    <row r="3184" spans="6:9" x14ac:dyDescent="0.25">
      <c r="F3184" s="39"/>
      <c r="G3184" s="39"/>
      <c r="H3184" s="39"/>
      <c r="I3184" s="39"/>
    </row>
    <row r="3185" spans="6:9" x14ac:dyDescent="0.25">
      <c r="F3185" s="39"/>
      <c r="G3185" s="39"/>
      <c r="H3185" s="39"/>
      <c r="I3185" s="39"/>
    </row>
    <row r="3186" spans="6:9" x14ac:dyDescent="0.25">
      <c r="F3186" s="39"/>
      <c r="G3186" s="39"/>
      <c r="H3186" s="39"/>
      <c r="I3186" s="39"/>
    </row>
    <row r="3187" spans="6:9" x14ac:dyDescent="0.25">
      <c r="F3187" s="39"/>
      <c r="G3187" s="39"/>
      <c r="H3187" s="39"/>
      <c r="I3187" s="39"/>
    </row>
    <row r="3188" spans="6:9" x14ac:dyDescent="0.25">
      <c r="F3188" s="39"/>
      <c r="G3188" s="39"/>
      <c r="H3188" s="39"/>
      <c r="I3188" s="39"/>
    </row>
    <row r="3189" spans="6:9" x14ac:dyDescent="0.25">
      <c r="F3189" s="39"/>
      <c r="G3189" s="39"/>
      <c r="H3189" s="39"/>
      <c r="I3189" s="39"/>
    </row>
    <row r="3190" spans="6:9" x14ac:dyDescent="0.25">
      <c r="F3190" s="39"/>
      <c r="G3190" s="39"/>
      <c r="H3190" s="39"/>
      <c r="I3190" s="39"/>
    </row>
    <row r="3191" spans="6:9" x14ac:dyDescent="0.25">
      <c r="F3191" s="39"/>
      <c r="G3191" s="39"/>
      <c r="H3191" s="39"/>
      <c r="I3191" s="39"/>
    </row>
    <row r="3192" spans="6:9" x14ac:dyDescent="0.25">
      <c r="F3192" s="39"/>
      <c r="G3192" s="39"/>
      <c r="H3192" s="39"/>
      <c r="I3192" s="39"/>
    </row>
    <row r="3193" spans="6:9" x14ac:dyDescent="0.25">
      <c r="F3193" s="39"/>
      <c r="G3193" s="39"/>
      <c r="H3193" s="39"/>
      <c r="I3193" s="39"/>
    </row>
    <row r="3194" spans="6:9" x14ac:dyDescent="0.25">
      <c r="F3194" s="39"/>
      <c r="G3194" s="39"/>
      <c r="H3194" s="39"/>
      <c r="I3194" s="39"/>
    </row>
    <row r="3195" spans="6:9" x14ac:dyDescent="0.25">
      <c r="F3195" s="39"/>
      <c r="G3195" s="39"/>
      <c r="H3195" s="39"/>
      <c r="I3195" s="39"/>
    </row>
    <row r="3196" spans="6:9" x14ac:dyDescent="0.25">
      <c r="F3196" s="39"/>
      <c r="G3196" s="39"/>
      <c r="H3196" s="39"/>
      <c r="I3196" s="39"/>
    </row>
    <row r="3197" spans="6:9" x14ac:dyDescent="0.25">
      <c r="F3197" s="39"/>
      <c r="G3197" s="39"/>
      <c r="H3197" s="39"/>
      <c r="I3197" s="39"/>
    </row>
    <row r="3198" spans="6:9" x14ac:dyDescent="0.25">
      <c r="F3198" s="39"/>
      <c r="G3198" s="39"/>
      <c r="H3198" s="39"/>
      <c r="I3198" s="39"/>
    </row>
    <row r="3199" spans="6:9" x14ac:dyDescent="0.25">
      <c r="F3199" s="39"/>
      <c r="G3199" s="39"/>
      <c r="H3199" s="39"/>
      <c r="I3199" s="39"/>
    </row>
    <row r="3200" spans="6:9" x14ac:dyDescent="0.25">
      <c r="F3200" s="39"/>
      <c r="G3200" s="39"/>
      <c r="H3200" s="39"/>
      <c r="I3200" s="39"/>
    </row>
    <row r="3201" spans="6:9" x14ac:dyDescent="0.25">
      <c r="F3201" s="39"/>
      <c r="G3201" s="39"/>
      <c r="H3201" s="39"/>
      <c r="I3201" s="39"/>
    </row>
    <row r="3202" spans="6:9" x14ac:dyDescent="0.25">
      <c r="F3202" s="39"/>
      <c r="G3202" s="39"/>
      <c r="H3202" s="39"/>
      <c r="I3202" s="39"/>
    </row>
    <row r="3203" spans="6:9" x14ac:dyDescent="0.25">
      <c r="F3203" s="39"/>
      <c r="G3203" s="39"/>
      <c r="H3203" s="39"/>
      <c r="I3203" s="39"/>
    </row>
    <row r="3204" spans="6:9" x14ac:dyDescent="0.25">
      <c r="F3204" s="39"/>
      <c r="G3204" s="39"/>
      <c r="H3204" s="39"/>
      <c r="I3204" s="39"/>
    </row>
    <row r="3205" spans="6:9" x14ac:dyDescent="0.25">
      <c r="F3205" s="39"/>
      <c r="G3205" s="39"/>
      <c r="H3205" s="39"/>
      <c r="I3205" s="39"/>
    </row>
    <row r="3206" spans="6:9" x14ac:dyDescent="0.25">
      <c r="F3206" s="39"/>
      <c r="G3206" s="39"/>
      <c r="H3206" s="39"/>
      <c r="I3206" s="39"/>
    </row>
    <row r="3207" spans="6:9" x14ac:dyDescent="0.25">
      <c r="F3207" s="39"/>
      <c r="G3207" s="39"/>
      <c r="H3207" s="39"/>
      <c r="I3207" s="39"/>
    </row>
    <row r="3208" spans="6:9" x14ac:dyDescent="0.25">
      <c r="F3208" s="39"/>
      <c r="G3208" s="39"/>
      <c r="H3208" s="39"/>
      <c r="I3208" s="39"/>
    </row>
    <row r="3209" spans="6:9" x14ac:dyDescent="0.25">
      <c r="F3209" s="39"/>
      <c r="G3209" s="39"/>
      <c r="H3209" s="39"/>
      <c r="I3209" s="39"/>
    </row>
    <row r="3210" spans="6:9" x14ac:dyDescent="0.25">
      <c r="F3210" s="39"/>
      <c r="G3210" s="39"/>
      <c r="H3210" s="39"/>
      <c r="I3210" s="39"/>
    </row>
    <row r="3211" spans="6:9" x14ac:dyDescent="0.25">
      <c r="F3211" s="39"/>
      <c r="G3211" s="39"/>
      <c r="H3211" s="39"/>
      <c r="I3211" s="39"/>
    </row>
    <row r="3212" spans="6:9" x14ac:dyDescent="0.25">
      <c r="F3212" s="39"/>
      <c r="G3212" s="39"/>
      <c r="H3212" s="39"/>
      <c r="I3212" s="39"/>
    </row>
    <row r="3213" spans="6:9" x14ac:dyDescent="0.25">
      <c r="F3213" s="39"/>
      <c r="G3213" s="39"/>
      <c r="H3213" s="39"/>
      <c r="I3213" s="39"/>
    </row>
    <row r="3214" spans="6:9" x14ac:dyDescent="0.25">
      <c r="F3214" s="39"/>
      <c r="G3214" s="39"/>
      <c r="H3214" s="39"/>
      <c r="I3214" s="39"/>
    </row>
    <row r="3215" spans="6:9" x14ac:dyDescent="0.25">
      <c r="F3215" s="39"/>
      <c r="G3215" s="39"/>
      <c r="H3215" s="39"/>
      <c r="I3215" s="39"/>
    </row>
    <row r="3216" spans="6:9" x14ac:dyDescent="0.25">
      <c r="F3216" s="39"/>
      <c r="G3216" s="39"/>
      <c r="H3216" s="39"/>
      <c r="I3216" s="39"/>
    </row>
    <row r="3217" spans="6:9" x14ac:dyDescent="0.25">
      <c r="F3217" s="39"/>
      <c r="G3217" s="39"/>
      <c r="H3217" s="39"/>
      <c r="I3217" s="39"/>
    </row>
    <row r="3218" spans="6:9" x14ac:dyDescent="0.25">
      <c r="F3218" s="39"/>
      <c r="G3218" s="39"/>
      <c r="H3218" s="39"/>
      <c r="I3218" s="39"/>
    </row>
    <row r="3219" spans="6:9" x14ac:dyDescent="0.25">
      <c r="F3219" s="39"/>
      <c r="G3219" s="39"/>
      <c r="H3219" s="39"/>
      <c r="I3219" s="39"/>
    </row>
    <row r="3220" spans="6:9" x14ac:dyDescent="0.25">
      <c r="F3220" s="39"/>
      <c r="G3220" s="39"/>
      <c r="H3220" s="39"/>
      <c r="I3220" s="39"/>
    </row>
    <row r="3221" spans="6:9" x14ac:dyDescent="0.25">
      <c r="F3221" s="39"/>
      <c r="G3221" s="39"/>
      <c r="H3221" s="39"/>
      <c r="I3221" s="39"/>
    </row>
    <row r="3222" spans="6:9" x14ac:dyDescent="0.25">
      <c r="F3222" s="39"/>
      <c r="G3222" s="39"/>
      <c r="H3222" s="39"/>
      <c r="I3222" s="39"/>
    </row>
    <row r="3223" spans="6:9" x14ac:dyDescent="0.25">
      <c r="F3223" s="39"/>
      <c r="G3223" s="39"/>
      <c r="H3223" s="39"/>
      <c r="I3223" s="39"/>
    </row>
    <row r="3224" spans="6:9" x14ac:dyDescent="0.25">
      <c r="F3224" s="39"/>
      <c r="G3224" s="39"/>
      <c r="H3224" s="39"/>
      <c r="I3224" s="39"/>
    </row>
    <row r="3225" spans="6:9" x14ac:dyDescent="0.25">
      <c r="F3225" s="39"/>
      <c r="G3225" s="39"/>
      <c r="H3225" s="39"/>
      <c r="I3225" s="39"/>
    </row>
    <row r="3226" spans="6:9" x14ac:dyDescent="0.25">
      <c r="F3226" s="39"/>
      <c r="G3226" s="39"/>
      <c r="H3226" s="39"/>
      <c r="I3226" s="39"/>
    </row>
    <row r="3227" spans="6:9" x14ac:dyDescent="0.25">
      <c r="F3227" s="39"/>
      <c r="G3227" s="39"/>
      <c r="H3227" s="39"/>
      <c r="I3227" s="39"/>
    </row>
    <row r="3228" spans="6:9" x14ac:dyDescent="0.25">
      <c r="F3228" s="39"/>
      <c r="G3228" s="39"/>
      <c r="H3228" s="39"/>
      <c r="I3228" s="39"/>
    </row>
    <row r="3229" spans="6:9" x14ac:dyDescent="0.25">
      <c r="F3229" s="39"/>
      <c r="G3229" s="39"/>
      <c r="H3229" s="39"/>
      <c r="I3229" s="39"/>
    </row>
    <row r="3230" spans="6:9" x14ac:dyDescent="0.25">
      <c r="F3230" s="39"/>
      <c r="G3230" s="39"/>
      <c r="H3230" s="39"/>
      <c r="I3230" s="39"/>
    </row>
    <row r="3231" spans="6:9" x14ac:dyDescent="0.25">
      <c r="F3231" s="39"/>
      <c r="G3231" s="39"/>
      <c r="H3231" s="39"/>
      <c r="I3231" s="39"/>
    </row>
    <row r="3232" spans="6:9" x14ac:dyDescent="0.25">
      <c r="F3232" s="39"/>
      <c r="G3232" s="39"/>
      <c r="H3232" s="39"/>
      <c r="I3232" s="39"/>
    </row>
    <row r="3233" spans="6:9" x14ac:dyDescent="0.25">
      <c r="F3233" s="39"/>
      <c r="G3233" s="39"/>
      <c r="H3233" s="39"/>
      <c r="I3233" s="39"/>
    </row>
    <row r="3234" spans="6:9" x14ac:dyDescent="0.25">
      <c r="F3234" s="39"/>
      <c r="G3234" s="39"/>
      <c r="H3234" s="39"/>
      <c r="I3234" s="39"/>
    </row>
    <row r="3235" spans="6:9" x14ac:dyDescent="0.25">
      <c r="F3235" s="39"/>
      <c r="G3235" s="39"/>
      <c r="H3235" s="39"/>
      <c r="I3235" s="39"/>
    </row>
    <row r="3236" spans="6:9" x14ac:dyDescent="0.25">
      <c r="F3236" s="39"/>
      <c r="G3236" s="39"/>
      <c r="H3236" s="39"/>
      <c r="I3236" s="39"/>
    </row>
    <row r="3237" spans="6:9" x14ac:dyDescent="0.25">
      <c r="F3237" s="39"/>
      <c r="G3237" s="39"/>
      <c r="H3237" s="39"/>
      <c r="I3237" s="39"/>
    </row>
    <row r="3238" spans="6:9" x14ac:dyDescent="0.25">
      <c r="F3238" s="39"/>
      <c r="G3238" s="39"/>
      <c r="H3238" s="39"/>
      <c r="I3238" s="39"/>
    </row>
    <row r="3239" spans="6:9" x14ac:dyDescent="0.25">
      <c r="F3239" s="39"/>
      <c r="G3239" s="39"/>
      <c r="H3239" s="39"/>
      <c r="I3239" s="39"/>
    </row>
    <row r="3240" spans="6:9" x14ac:dyDescent="0.25">
      <c r="F3240" s="39"/>
      <c r="G3240" s="39"/>
      <c r="H3240" s="39"/>
      <c r="I3240" s="39"/>
    </row>
    <row r="3241" spans="6:9" x14ac:dyDescent="0.25">
      <c r="F3241" s="39"/>
      <c r="G3241" s="39"/>
      <c r="H3241" s="39"/>
      <c r="I3241" s="39"/>
    </row>
    <row r="3242" spans="6:9" x14ac:dyDescent="0.25">
      <c r="F3242" s="39"/>
      <c r="G3242" s="39"/>
      <c r="H3242" s="39"/>
      <c r="I3242" s="39"/>
    </row>
    <row r="3243" spans="6:9" x14ac:dyDescent="0.25">
      <c r="F3243" s="39"/>
      <c r="G3243" s="39"/>
      <c r="H3243" s="39"/>
      <c r="I3243" s="39"/>
    </row>
    <row r="3244" spans="6:9" x14ac:dyDescent="0.25">
      <c r="F3244" s="39"/>
      <c r="G3244" s="39"/>
      <c r="H3244" s="39"/>
      <c r="I3244" s="39"/>
    </row>
    <row r="3245" spans="6:9" x14ac:dyDescent="0.25">
      <c r="F3245" s="39"/>
      <c r="G3245" s="39"/>
      <c r="H3245" s="39"/>
      <c r="I3245" s="39"/>
    </row>
    <row r="3246" spans="6:9" x14ac:dyDescent="0.25">
      <c r="F3246" s="39"/>
      <c r="G3246" s="39"/>
      <c r="H3246" s="39"/>
      <c r="I3246" s="39"/>
    </row>
    <row r="3247" spans="6:9" x14ac:dyDescent="0.25">
      <c r="F3247" s="39"/>
      <c r="G3247" s="39"/>
      <c r="H3247" s="39"/>
      <c r="I3247" s="39"/>
    </row>
    <row r="3248" spans="6:9" x14ac:dyDescent="0.25">
      <c r="F3248" s="39"/>
      <c r="G3248" s="39"/>
      <c r="H3248" s="39"/>
      <c r="I3248" s="39"/>
    </row>
    <row r="3249" spans="6:9" x14ac:dyDescent="0.25">
      <c r="F3249" s="39"/>
      <c r="G3249" s="39"/>
      <c r="H3249" s="39"/>
      <c r="I3249" s="39"/>
    </row>
    <row r="3250" spans="6:9" x14ac:dyDescent="0.25">
      <c r="F3250" s="39"/>
      <c r="G3250" s="39"/>
      <c r="H3250" s="39"/>
      <c r="I3250" s="39"/>
    </row>
    <row r="3251" spans="6:9" x14ac:dyDescent="0.25">
      <c r="F3251" s="39"/>
      <c r="G3251" s="39"/>
      <c r="H3251" s="39"/>
      <c r="I3251" s="39"/>
    </row>
    <row r="3252" spans="6:9" x14ac:dyDescent="0.25">
      <c r="F3252" s="39"/>
      <c r="G3252" s="39"/>
      <c r="H3252" s="39"/>
      <c r="I3252" s="39"/>
    </row>
    <row r="3253" spans="6:9" x14ac:dyDescent="0.25">
      <c r="F3253" s="39"/>
      <c r="G3253" s="39"/>
      <c r="H3253" s="39"/>
      <c r="I3253" s="39"/>
    </row>
    <row r="3254" spans="6:9" x14ac:dyDescent="0.25">
      <c r="F3254" s="39"/>
      <c r="G3254" s="39"/>
      <c r="H3254" s="39"/>
      <c r="I3254" s="39"/>
    </row>
    <row r="3255" spans="6:9" x14ac:dyDescent="0.25">
      <c r="F3255" s="39"/>
      <c r="G3255" s="39"/>
      <c r="H3255" s="39"/>
      <c r="I3255" s="39"/>
    </row>
    <row r="3256" spans="6:9" x14ac:dyDescent="0.25">
      <c r="F3256" s="39"/>
      <c r="G3256" s="39"/>
      <c r="H3256" s="39"/>
      <c r="I3256" s="39"/>
    </row>
    <row r="3257" spans="6:9" x14ac:dyDescent="0.25">
      <c r="F3257" s="39"/>
      <c r="G3257" s="39"/>
      <c r="H3257" s="39"/>
      <c r="I3257" s="39"/>
    </row>
    <row r="3258" spans="6:9" x14ac:dyDescent="0.25">
      <c r="F3258" s="39"/>
      <c r="G3258" s="39"/>
      <c r="H3258" s="39"/>
      <c r="I3258" s="39"/>
    </row>
    <row r="3259" spans="6:9" x14ac:dyDescent="0.25">
      <c r="F3259" s="39"/>
      <c r="G3259" s="39"/>
      <c r="H3259" s="39"/>
      <c r="I3259" s="39"/>
    </row>
    <row r="3260" spans="6:9" x14ac:dyDescent="0.25">
      <c r="F3260" s="39"/>
      <c r="G3260" s="39"/>
      <c r="H3260" s="39"/>
      <c r="I3260" s="39"/>
    </row>
    <row r="3261" spans="6:9" x14ac:dyDescent="0.25">
      <c r="F3261" s="39"/>
      <c r="G3261" s="39"/>
      <c r="H3261" s="39"/>
      <c r="I3261" s="39"/>
    </row>
    <row r="3262" spans="6:9" x14ac:dyDescent="0.25">
      <c r="F3262" s="39"/>
      <c r="G3262" s="39"/>
      <c r="H3262" s="39"/>
      <c r="I3262" s="39"/>
    </row>
    <row r="3263" spans="6:9" x14ac:dyDescent="0.25">
      <c r="F3263" s="39"/>
      <c r="G3263" s="39"/>
      <c r="H3263" s="39"/>
      <c r="I3263" s="39"/>
    </row>
    <row r="3264" spans="6:9" x14ac:dyDescent="0.25">
      <c r="F3264" s="39"/>
      <c r="G3264" s="39"/>
      <c r="H3264" s="39"/>
      <c r="I3264" s="39"/>
    </row>
    <row r="3265" spans="6:9" x14ac:dyDescent="0.25">
      <c r="F3265" s="39"/>
      <c r="G3265" s="39"/>
      <c r="H3265" s="39"/>
      <c r="I3265" s="39"/>
    </row>
    <row r="3266" spans="6:9" x14ac:dyDescent="0.25">
      <c r="F3266" s="39"/>
      <c r="G3266" s="39"/>
      <c r="H3266" s="39"/>
      <c r="I3266" s="39"/>
    </row>
    <row r="3267" spans="6:9" x14ac:dyDescent="0.25">
      <c r="F3267" s="39"/>
      <c r="G3267" s="39"/>
      <c r="H3267" s="39"/>
      <c r="I3267" s="39"/>
    </row>
    <row r="3268" spans="6:9" x14ac:dyDescent="0.25">
      <c r="F3268" s="39"/>
      <c r="G3268" s="39"/>
      <c r="H3268" s="39"/>
      <c r="I3268" s="39"/>
    </row>
    <row r="3269" spans="6:9" x14ac:dyDescent="0.25">
      <c r="F3269" s="39"/>
      <c r="G3269" s="39"/>
      <c r="H3269" s="39"/>
      <c r="I3269" s="39"/>
    </row>
    <row r="3270" spans="6:9" x14ac:dyDescent="0.25">
      <c r="F3270" s="39"/>
      <c r="G3270" s="39"/>
      <c r="H3270" s="39"/>
      <c r="I3270" s="39"/>
    </row>
    <row r="3271" spans="6:9" x14ac:dyDescent="0.25">
      <c r="F3271" s="39"/>
      <c r="G3271" s="39"/>
      <c r="H3271" s="39"/>
      <c r="I3271" s="39"/>
    </row>
    <row r="3272" spans="6:9" x14ac:dyDescent="0.25">
      <c r="F3272" s="39"/>
      <c r="G3272" s="39"/>
      <c r="H3272" s="39"/>
      <c r="I3272" s="39"/>
    </row>
    <row r="3273" spans="6:9" x14ac:dyDescent="0.25">
      <c r="F3273" s="39"/>
      <c r="G3273" s="39"/>
      <c r="H3273" s="39"/>
      <c r="I3273" s="39"/>
    </row>
    <row r="3274" spans="6:9" x14ac:dyDescent="0.25">
      <c r="F3274" s="39"/>
      <c r="G3274" s="39"/>
      <c r="H3274" s="39"/>
      <c r="I3274" s="39"/>
    </row>
    <row r="3275" spans="6:9" x14ac:dyDescent="0.25">
      <c r="F3275" s="39"/>
      <c r="G3275" s="39"/>
      <c r="H3275" s="39"/>
      <c r="I3275" s="39"/>
    </row>
    <row r="3276" spans="6:9" x14ac:dyDescent="0.25">
      <c r="F3276" s="39"/>
      <c r="G3276" s="39"/>
      <c r="H3276" s="39"/>
      <c r="I3276" s="39"/>
    </row>
    <row r="3277" spans="6:9" x14ac:dyDescent="0.25">
      <c r="F3277" s="39"/>
      <c r="G3277" s="39"/>
      <c r="H3277" s="39"/>
      <c r="I3277" s="39"/>
    </row>
    <row r="3278" spans="6:9" x14ac:dyDescent="0.25">
      <c r="F3278" s="39"/>
      <c r="G3278" s="39"/>
      <c r="H3278" s="39"/>
      <c r="I3278" s="39"/>
    </row>
    <row r="3279" spans="6:9" x14ac:dyDescent="0.25">
      <c r="F3279" s="39"/>
      <c r="G3279" s="39"/>
      <c r="H3279" s="39"/>
      <c r="I3279" s="39"/>
    </row>
    <row r="3280" spans="6:9" x14ac:dyDescent="0.25">
      <c r="F3280" s="39"/>
      <c r="G3280" s="39"/>
      <c r="H3280" s="39"/>
      <c r="I3280" s="39"/>
    </row>
    <row r="3281" spans="6:9" x14ac:dyDescent="0.25">
      <c r="F3281" s="39"/>
      <c r="G3281" s="39"/>
      <c r="H3281" s="39"/>
      <c r="I3281" s="39"/>
    </row>
    <row r="3282" spans="6:9" x14ac:dyDescent="0.25">
      <c r="F3282" s="39"/>
      <c r="G3282" s="39"/>
      <c r="H3282" s="39"/>
      <c r="I3282" s="39"/>
    </row>
    <row r="3283" spans="6:9" x14ac:dyDescent="0.25">
      <c r="F3283" s="39"/>
      <c r="G3283" s="39"/>
      <c r="H3283" s="39"/>
      <c r="I3283" s="39"/>
    </row>
    <row r="3284" spans="6:9" x14ac:dyDescent="0.25">
      <c r="F3284" s="39"/>
      <c r="G3284" s="39"/>
      <c r="H3284" s="39"/>
      <c r="I3284" s="39"/>
    </row>
    <row r="3285" spans="6:9" x14ac:dyDescent="0.25">
      <c r="F3285" s="39"/>
      <c r="G3285" s="39"/>
      <c r="H3285" s="39"/>
      <c r="I3285" s="39"/>
    </row>
    <row r="3286" spans="6:9" x14ac:dyDescent="0.25">
      <c r="F3286" s="39"/>
      <c r="G3286" s="39"/>
      <c r="H3286" s="39"/>
      <c r="I3286" s="39"/>
    </row>
    <row r="3287" spans="6:9" x14ac:dyDescent="0.25">
      <c r="F3287" s="39"/>
      <c r="G3287" s="39"/>
      <c r="H3287" s="39"/>
      <c r="I3287" s="39"/>
    </row>
    <row r="3288" spans="6:9" x14ac:dyDescent="0.25">
      <c r="F3288" s="39"/>
      <c r="G3288" s="39"/>
      <c r="H3288" s="39"/>
      <c r="I3288" s="39"/>
    </row>
    <row r="3289" spans="6:9" x14ac:dyDescent="0.25">
      <c r="F3289" s="39"/>
      <c r="G3289" s="39"/>
      <c r="H3289" s="39"/>
      <c r="I3289" s="39"/>
    </row>
    <row r="3290" spans="6:9" x14ac:dyDescent="0.25">
      <c r="F3290" s="39"/>
      <c r="G3290" s="39"/>
      <c r="H3290" s="39"/>
      <c r="I3290" s="39"/>
    </row>
    <row r="3291" spans="6:9" x14ac:dyDescent="0.25">
      <c r="F3291" s="39"/>
      <c r="G3291" s="39"/>
      <c r="H3291" s="39"/>
      <c r="I3291" s="39"/>
    </row>
    <row r="3292" spans="6:9" x14ac:dyDescent="0.25">
      <c r="F3292" s="39"/>
      <c r="G3292" s="39"/>
      <c r="H3292" s="39"/>
      <c r="I3292" s="39"/>
    </row>
    <row r="3293" spans="6:9" x14ac:dyDescent="0.25">
      <c r="F3293" s="39"/>
      <c r="G3293" s="39"/>
      <c r="H3293" s="39"/>
      <c r="I3293" s="39"/>
    </row>
    <row r="3294" spans="6:9" x14ac:dyDescent="0.25">
      <c r="F3294" s="39"/>
      <c r="G3294" s="39"/>
      <c r="H3294" s="39"/>
      <c r="I3294" s="39"/>
    </row>
    <row r="3295" spans="6:9" x14ac:dyDescent="0.25">
      <c r="F3295" s="39"/>
      <c r="G3295" s="39"/>
      <c r="H3295" s="39"/>
      <c r="I3295" s="39"/>
    </row>
    <row r="3296" spans="6:9" x14ac:dyDescent="0.25">
      <c r="F3296" s="39"/>
      <c r="G3296" s="39"/>
      <c r="H3296" s="39"/>
      <c r="I3296" s="39"/>
    </row>
    <row r="3297" spans="6:9" x14ac:dyDescent="0.25">
      <c r="F3297" s="39"/>
      <c r="G3297" s="39"/>
      <c r="H3297" s="39"/>
      <c r="I3297" s="39"/>
    </row>
    <row r="3298" spans="6:9" x14ac:dyDescent="0.25">
      <c r="F3298" s="39"/>
      <c r="G3298" s="39"/>
      <c r="H3298" s="39"/>
      <c r="I3298" s="39"/>
    </row>
    <row r="3299" spans="6:9" x14ac:dyDescent="0.25">
      <c r="F3299" s="39"/>
      <c r="G3299" s="39"/>
      <c r="H3299" s="39"/>
      <c r="I3299" s="39"/>
    </row>
    <row r="3300" spans="6:9" x14ac:dyDescent="0.25">
      <c r="F3300" s="39"/>
      <c r="G3300" s="39"/>
      <c r="H3300" s="39"/>
      <c r="I3300" s="39"/>
    </row>
    <row r="3301" spans="6:9" x14ac:dyDescent="0.25">
      <c r="F3301" s="39"/>
      <c r="G3301" s="39"/>
      <c r="H3301" s="39"/>
      <c r="I3301" s="39"/>
    </row>
    <row r="3302" spans="6:9" x14ac:dyDescent="0.25">
      <c r="F3302" s="39"/>
      <c r="G3302" s="39"/>
      <c r="H3302" s="39"/>
      <c r="I3302" s="39"/>
    </row>
    <row r="3303" spans="6:9" x14ac:dyDescent="0.25">
      <c r="F3303" s="39"/>
      <c r="G3303" s="39"/>
      <c r="H3303" s="39"/>
      <c r="I3303" s="39"/>
    </row>
    <row r="3304" spans="6:9" x14ac:dyDescent="0.25">
      <c r="F3304" s="39"/>
      <c r="G3304" s="39"/>
      <c r="H3304" s="39"/>
      <c r="I3304" s="39"/>
    </row>
    <row r="3305" spans="6:9" x14ac:dyDescent="0.25">
      <c r="F3305" s="39"/>
      <c r="G3305" s="39"/>
      <c r="H3305" s="39"/>
      <c r="I3305" s="39"/>
    </row>
    <row r="3306" spans="6:9" x14ac:dyDescent="0.25">
      <c r="F3306" s="39"/>
      <c r="G3306" s="39"/>
      <c r="H3306" s="39"/>
      <c r="I3306" s="39"/>
    </row>
    <row r="3307" spans="6:9" x14ac:dyDescent="0.25">
      <c r="F3307" s="39"/>
      <c r="G3307" s="39"/>
      <c r="H3307" s="39"/>
      <c r="I3307" s="39"/>
    </row>
    <row r="3308" spans="6:9" x14ac:dyDescent="0.25">
      <c r="F3308" s="39"/>
      <c r="G3308" s="39"/>
      <c r="H3308" s="39"/>
      <c r="I3308" s="39"/>
    </row>
    <row r="3309" spans="6:9" x14ac:dyDescent="0.25">
      <c r="F3309" s="39"/>
      <c r="G3309" s="39"/>
      <c r="H3309" s="39"/>
      <c r="I3309" s="39"/>
    </row>
    <row r="3310" spans="6:9" x14ac:dyDescent="0.25">
      <c r="F3310" s="39"/>
      <c r="G3310" s="39"/>
      <c r="H3310" s="39"/>
      <c r="I3310" s="39"/>
    </row>
    <row r="3311" spans="6:9" x14ac:dyDescent="0.25">
      <c r="F3311" s="39"/>
      <c r="G3311" s="39"/>
      <c r="H3311" s="39"/>
      <c r="I3311" s="39"/>
    </row>
    <row r="3312" spans="6:9" x14ac:dyDescent="0.25">
      <c r="F3312" s="39"/>
      <c r="G3312" s="39"/>
      <c r="H3312" s="39"/>
      <c r="I3312" s="39"/>
    </row>
    <row r="3313" spans="6:9" x14ac:dyDescent="0.25">
      <c r="F3313" s="39"/>
      <c r="G3313" s="39"/>
      <c r="H3313" s="39"/>
      <c r="I3313" s="39"/>
    </row>
    <row r="3314" spans="6:9" x14ac:dyDescent="0.25">
      <c r="F3314" s="39"/>
      <c r="G3314" s="39"/>
      <c r="H3314" s="39"/>
      <c r="I3314" s="39"/>
    </row>
    <row r="3315" spans="6:9" x14ac:dyDescent="0.25">
      <c r="F3315" s="39"/>
      <c r="G3315" s="39"/>
      <c r="H3315" s="39"/>
      <c r="I3315" s="39"/>
    </row>
    <row r="3316" spans="6:9" x14ac:dyDescent="0.25">
      <c r="F3316" s="39"/>
      <c r="G3316" s="39"/>
      <c r="H3316" s="39"/>
      <c r="I3316" s="39"/>
    </row>
    <row r="3317" spans="6:9" x14ac:dyDescent="0.25">
      <c r="F3317" s="39"/>
      <c r="G3317" s="39"/>
      <c r="H3317" s="39"/>
      <c r="I3317" s="39"/>
    </row>
    <row r="3318" spans="6:9" x14ac:dyDescent="0.25">
      <c r="F3318" s="39"/>
      <c r="G3318" s="39"/>
      <c r="H3318" s="39"/>
      <c r="I3318" s="39"/>
    </row>
    <row r="3319" spans="6:9" x14ac:dyDescent="0.25">
      <c r="F3319" s="39"/>
      <c r="G3319" s="39"/>
      <c r="H3319" s="39"/>
      <c r="I3319" s="39"/>
    </row>
    <row r="3320" spans="6:9" x14ac:dyDescent="0.25">
      <c r="F3320" s="39"/>
      <c r="G3320" s="39"/>
      <c r="H3320" s="39"/>
      <c r="I3320" s="39"/>
    </row>
    <row r="3321" spans="6:9" x14ac:dyDescent="0.25">
      <c r="F3321" s="39"/>
      <c r="G3321" s="39"/>
      <c r="H3321" s="39"/>
      <c r="I3321" s="39"/>
    </row>
    <row r="3322" spans="6:9" x14ac:dyDescent="0.25">
      <c r="F3322" s="39"/>
      <c r="G3322" s="39"/>
      <c r="H3322" s="39"/>
      <c r="I3322" s="39"/>
    </row>
    <row r="3323" spans="6:9" x14ac:dyDescent="0.25">
      <c r="F3323" s="39"/>
      <c r="G3323" s="39"/>
      <c r="H3323" s="39"/>
      <c r="I3323" s="39"/>
    </row>
    <row r="3324" spans="6:9" x14ac:dyDescent="0.25">
      <c r="F3324" s="39"/>
      <c r="G3324" s="39"/>
      <c r="H3324" s="39"/>
      <c r="I3324" s="39"/>
    </row>
    <row r="3325" spans="6:9" x14ac:dyDescent="0.25">
      <c r="F3325" s="39"/>
      <c r="G3325" s="39"/>
      <c r="H3325" s="39"/>
      <c r="I3325" s="39"/>
    </row>
    <row r="3326" spans="6:9" x14ac:dyDescent="0.25">
      <c r="F3326" s="39"/>
      <c r="G3326" s="39"/>
      <c r="H3326" s="39"/>
      <c r="I3326" s="39"/>
    </row>
    <row r="3327" spans="6:9" x14ac:dyDescent="0.25">
      <c r="F3327" s="39"/>
      <c r="G3327" s="39"/>
      <c r="H3327" s="39"/>
      <c r="I3327" s="39"/>
    </row>
    <row r="3328" spans="6:9" x14ac:dyDescent="0.25">
      <c r="F3328" s="39"/>
      <c r="G3328" s="39"/>
      <c r="H3328" s="39"/>
      <c r="I3328" s="39"/>
    </row>
    <row r="3329" spans="6:9" x14ac:dyDescent="0.25">
      <c r="F3329" s="39"/>
      <c r="G3329" s="39"/>
      <c r="H3329" s="39"/>
      <c r="I3329" s="39"/>
    </row>
    <row r="3330" spans="6:9" x14ac:dyDescent="0.25">
      <c r="F3330" s="39"/>
      <c r="G3330" s="39"/>
      <c r="H3330" s="39"/>
      <c r="I3330" s="39"/>
    </row>
    <row r="3331" spans="6:9" x14ac:dyDescent="0.25">
      <c r="F3331" s="39"/>
      <c r="G3331" s="39"/>
      <c r="H3331" s="39"/>
      <c r="I3331" s="39"/>
    </row>
    <row r="3332" spans="6:9" x14ac:dyDescent="0.25">
      <c r="F3332" s="39"/>
      <c r="G3332" s="39"/>
      <c r="H3332" s="39"/>
      <c r="I3332" s="39"/>
    </row>
    <row r="3333" spans="6:9" x14ac:dyDescent="0.25">
      <c r="F3333" s="39"/>
      <c r="G3333" s="39"/>
      <c r="H3333" s="39"/>
      <c r="I3333" s="39"/>
    </row>
    <row r="3334" spans="6:9" x14ac:dyDescent="0.25">
      <c r="F3334" s="39"/>
      <c r="G3334" s="39"/>
      <c r="H3334" s="39"/>
      <c r="I3334" s="39"/>
    </row>
    <row r="3335" spans="6:9" x14ac:dyDescent="0.25">
      <c r="F3335" s="39"/>
      <c r="G3335" s="39"/>
      <c r="H3335" s="39"/>
      <c r="I3335" s="39"/>
    </row>
    <row r="3336" spans="6:9" x14ac:dyDescent="0.25">
      <c r="F3336" s="39"/>
      <c r="G3336" s="39"/>
      <c r="H3336" s="39"/>
      <c r="I3336" s="39"/>
    </row>
    <row r="3337" spans="6:9" x14ac:dyDescent="0.25">
      <c r="F3337" s="39"/>
      <c r="G3337" s="39"/>
      <c r="H3337" s="39"/>
      <c r="I3337" s="39"/>
    </row>
    <row r="3338" spans="6:9" x14ac:dyDescent="0.25">
      <c r="F3338" s="39"/>
      <c r="G3338" s="39"/>
      <c r="H3338" s="39"/>
      <c r="I3338" s="39"/>
    </row>
    <row r="3339" spans="6:9" x14ac:dyDescent="0.25">
      <c r="F3339" s="39"/>
      <c r="G3339" s="39"/>
      <c r="H3339" s="39"/>
      <c r="I3339" s="39"/>
    </row>
    <row r="3340" spans="6:9" x14ac:dyDescent="0.25">
      <c r="F3340" s="39"/>
      <c r="G3340" s="39"/>
      <c r="H3340" s="39"/>
      <c r="I3340" s="39"/>
    </row>
    <row r="3341" spans="6:9" x14ac:dyDescent="0.25">
      <c r="F3341" s="39"/>
      <c r="G3341" s="39"/>
      <c r="H3341" s="39"/>
      <c r="I3341" s="39"/>
    </row>
    <row r="3342" spans="6:9" x14ac:dyDescent="0.25">
      <c r="F3342" s="39"/>
      <c r="G3342" s="39"/>
      <c r="H3342" s="39"/>
      <c r="I3342" s="39"/>
    </row>
    <row r="3343" spans="6:9" x14ac:dyDescent="0.25">
      <c r="F3343" s="39"/>
      <c r="G3343" s="39"/>
      <c r="H3343" s="39"/>
      <c r="I3343" s="39"/>
    </row>
    <row r="3344" spans="6:9" x14ac:dyDescent="0.25">
      <c r="F3344" s="39"/>
      <c r="G3344" s="39"/>
      <c r="H3344" s="39"/>
      <c r="I3344" s="39"/>
    </row>
    <row r="3345" spans="6:9" x14ac:dyDescent="0.25">
      <c r="F3345" s="39"/>
      <c r="G3345" s="39"/>
      <c r="H3345" s="39"/>
      <c r="I3345" s="39"/>
    </row>
    <row r="3346" spans="6:9" x14ac:dyDescent="0.25">
      <c r="F3346" s="39"/>
      <c r="G3346" s="39"/>
      <c r="H3346" s="39"/>
      <c r="I3346" s="39"/>
    </row>
    <row r="3347" spans="6:9" x14ac:dyDescent="0.25">
      <c r="F3347" s="39"/>
      <c r="G3347" s="39"/>
      <c r="H3347" s="39"/>
      <c r="I3347" s="39"/>
    </row>
    <row r="3348" spans="6:9" x14ac:dyDescent="0.25">
      <c r="F3348" s="39"/>
      <c r="G3348" s="39"/>
      <c r="H3348" s="39"/>
      <c r="I3348" s="39"/>
    </row>
    <row r="3349" spans="6:9" x14ac:dyDescent="0.25">
      <c r="F3349" s="39"/>
      <c r="G3349" s="39"/>
      <c r="H3349" s="39"/>
      <c r="I3349" s="39"/>
    </row>
    <row r="3350" spans="6:9" x14ac:dyDescent="0.25">
      <c r="F3350" s="39"/>
      <c r="G3350" s="39"/>
      <c r="H3350" s="39"/>
      <c r="I3350" s="39"/>
    </row>
    <row r="3351" spans="6:9" x14ac:dyDescent="0.25">
      <c r="F3351" s="39"/>
      <c r="G3351" s="39"/>
      <c r="H3351" s="39"/>
      <c r="I3351" s="39"/>
    </row>
    <row r="3352" spans="6:9" x14ac:dyDescent="0.25">
      <c r="F3352" s="39"/>
      <c r="G3352" s="39"/>
      <c r="H3352" s="39"/>
      <c r="I3352" s="39"/>
    </row>
    <row r="3353" spans="6:9" x14ac:dyDescent="0.25">
      <c r="F3353" s="39"/>
      <c r="G3353" s="39"/>
      <c r="H3353" s="39"/>
      <c r="I3353" s="39"/>
    </row>
    <row r="3354" spans="6:9" x14ac:dyDescent="0.25">
      <c r="F3354" s="39"/>
      <c r="G3354" s="39"/>
      <c r="H3354" s="39"/>
      <c r="I3354" s="39"/>
    </row>
    <row r="3355" spans="6:9" x14ac:dyDescent="0.25">
      <c r="F3355" s="39"/>
      <c r="G3355" s="39"/>
      <c r="H3355" s="39"/>
      <c r="I3355" s="39"/>
    </row>
    <row r="3356" spans="6:9" x14ac:dyDescent="0.25">
      <c r="F3356" s="39"/>
      <c r="G3356" s="39"/>
      <c r="H3356" s="39"/>
      <c r="I3356" s="39"/>
    </row>
    <row r="3357" spans="6:9" x14ac:dyDescent="0.25">
      <c r="F3357" s="39"/>
      <c r="G3357" s="39"/>
      <c r="H3357" s="39"/>
      <c r="I3357" s="39"/>
    </row>
    <row r="3358" spans="6:9" x14ac:dyDescent="0.25">
      <c r="F3358" s="39"/>
      <c r="G3358" s="39"/>
      <c r="H3358" s="39"/>
      <c r="I3358" s="39"/>
    </row>
    <row r="3359" spans="6:9" x14ac:dyDescent="0.25">
      <c r="F3359" s="39"/>
      <c r="G3359" s="39"/>
      <c r="H3359" s="39"/>
      <c r="I3359" s="39"/>
    </row>
    <row r="3360" spans="6:9" x14ac:dyDescent="0.25">
      <c r="F3360" s="39"/>
      <c r="G3360" s="39"/>
      <c r="H3360" s="39"/>
      <c r="I3360" s="39"/>
    </row>
    <row r="3361" spans="6:9" x14ac:dyDescent="0.25">
      <c r="F3361" s="39"/>
      <c r="G3361" s="39"/>
      <c r="H3361" s="39"/>
      <c r="I3361" s="39"/>
    </row>
    <row r="3362" spans="6:9" x14ac:dyDescent="0.25">
      <c r="F3362" s="39"/>
      <c r="G3362" s="39"/>
      <c r="H3362" s="39"/>
      <c r="I3362" s="39"/>
    </row>
    <row r="3363" spans="6:9" x14ac:dyDescent="0.25">
      <c r="F3363" s="39"/>
      <c r="G3363" s="39"/>
      <c r="H3363" s="39"/>
      <c r="I3363" s="39"/>
    </row>
    <row r="3364" spans="6:9" x14ac:dyDescent="0.25">
      <c r="F3364" s="39"/>
      <c r="G3364" s="39"/>
      <c r="H3364" s="39"/>
      <c r="I3364" s="39"/>
    </row>
    <row r="3365" spans="6:9" x14ac:dyDescent="0.25">
      <c r="F3365" s="39"/>
      <c r="G3365" s="39"/>
      <c r="H3365" s="39"/>
      <c r="I3365" s="39"/>
    </row>
    <row r="3366" spans="6:9" x14ac:dyDescent="0.25">
      <c r="F3366" s="39"/>
      <c r="G3366" s="39"/>
      <c r="H3366" s="39"/>
      <c r="I3366" s="39"/>
    </row>
    <row r="3367" spans="6:9" x14ac:dyDescent="0.25">
      <c r="F3367" s="39"/>
      <c r="G3367" s="39"/>
      <c r="H3367" s="39"/>
      <c r="I3367" s="39"/>
    </row>
    <row r="3368" spans="6:9" x14ac:dyDescent="0.25">
      <c r="F3368" s="39"/>
      <c r="G3368" s="39"/>
      <c r="H3368" s="39"/>
      <c r="I3368" s="39"/>
    </row>
    <row r="3369" spans="6:9" x14ac:dyDescent="0.25">
      <c r="F3369" s="39"/>
      <c r="G3369" s="39"/>
      <c r="H3369" s="39"/>
      <c r="I3369" s="39"/>
    </row>
    <row r="3370" spans="6:9" x14ac:dyDescent="0.25">
      <c r="F3370" s="39"/>
      <c r="G3370" s="39"/>
      <c r="H3370" s="39"/>
      <c r="I3370" s="39"/>
    </row>
    <row r="3371" spans="6:9" x14ac:dyDescent="0.25">
      <c r="F3371" s="39"/>
      <c r="G3371" s="39"/>
      <c r="H3371" s="39"/>
      <c r="I3371" s="39"/>
    </row>
    <row r="3372" spans="6:9" x14ac:dyDescent="0.25">
      <c r="F3372" s="39"/>
      <c r="G3372" s="39"/>
      <c r="H3372" s="39"/>
      <c r="I3372" s="39"/>
    </row>
    <row r="3373" spans="6:9" x14ac:dyDescent="0.25">
      <c r="F3373" s="39"/>
      <c r="G3373" s="39"/>
      <c r="H3373" s="39"/>
      <c r="I3373" s="39"/>
    </row>
    <row r="3374" spans="6:9" x14ac:dyDescent="0.25">
      <c r="F3374" s="39"/>
      <c r="G3374" s="39"/>
      <c r="H3374" s="39"/>
      <c r="I3374" s="39"/>
    </row>
    <row r="3375" spans="6:9" x14ac:dyDescent="0.25">
      <c r="F3375" s="39"/>
      <c r="G3375" s="39"/>
      <c r="H3375" s="39"/>
      <c r="I3375" s="39"/>
    </row>
    <row r="3376" spans="6:9" x14ac:dyDescent="0.25">
      <c r="F3376" s="39"/>
      <c r="G3376" s="39"/>
      <c r="H3376" s="39"/>
      <c r="I3376" s="39"/>
    </row>
    <row r="3377" spans="6:9" x14ac:dyDescent="0.25">
      <c r="F3377" s="39"/>
      <c r="G3377" s="39"/>
      <c r="H3377" s="39"/>
      <c r="I3377" s="39"/>
    </row>
    <row r="3378" spans="6:9" x14ac:dyDescent="0.25">
      <c r="F3378" s="39"/>
      <c r="G3378" s="39"/>
      <c r="H3378" s="39"/>
      <c r="I3378" s="39"/>
    </row>
    <row r="3379" spans="6:9" x14ac:dyDescent="0.25">
      <c r="F3379" s="39"/>
      <c r="G3379" s="39"/>
      <c r="H3379" s="39"/>
      <c r="I3379" s="39"/>
    </row>
    <row r="3380" spans="6:9" x14ac:dyDescent="0.25">
      <c r="F3380" s="39"/>
      <c r="G3380" s="39"/>
      <c r="H3380" s="39"/>
      <c r="I3380" s="39"/>
    </row>
    <row r="3381" spans="6:9" x14ac:dyDescent="0.25">
      <c r="F3381" s="39"/>
      <c r="G3381" s="39"/>
      <c r="H3381" s="39"/>
      <c r="I3381" s="39"/>
    </row>
    <row r="3382" spans="6:9" x14ac:dyDescent="0.25">
      <c r="F3382" s="39"/>
      <c r="G3382" s="39"/>
      <c r="H3382" s="39"/>
      <c r="I3382" s="39"/>
    </row>
    <row r="3383" spans="6:9" x14ac:dyDescent="0.25">
      <c r="F3383" s="39"/>
      <c r="G3383" s="39"/>
      <c r="H3383" s="39"/>
      <c r="I3383" s="39"/>
    </row>
    <row r="3384" spans="6:9" x14ac:dyDescent="0.25">
      <c r="F3384" s="39"/>
      <c r="G3384" s="39"/>
      <c r="H3384" s="39"/>
      <c r="I3384" s="39"/>
    </row>
    <row r="3385" spans="6:9" x14ac:dyDescent="0.25">
      <c r="F3385" s="39"/>
      <c r="G3385" s="39"/>
      <c r="H3385" s="39"/>
      <c r="I3385" s="39"/>
    </row>
    <row r="3386" spans="6:9" x14ac:dyDescent="0.25">
      <c r="F3386" s="39"/>
      <c r="G3386" s="39"/>
      <c r="H3386" s="39"/>
      <c r="I3386" s="39"/>
    </row>
    <row r="3387" spans="6:9" x14ac:dyDescent="0.25">
      <c r="F3387" s="39"/>
      <c r="G3387" s="39"/>
      <c r="H3387" s="39"/>
      <c r="I3387" s="39"/>
    </row>
    <row r="3388" spans="6:9" x14ac:dyDescent="0.25">
      <c r="F3388" s="39"/>
      <c r="G3388" s="39"/>
      <c r="H3388" s="39"/>
      <c r="I3388" s="39"/>
    </row>
    <row r="3389" spans="6:9" x14ac:dyDescent="0.25">
      <c r="F3389" s="39"/>
      <c r="G3389" s="39"/>
      <c r="H3389" s="39"/>
      <c r="I3389" s="39"/>
    </row>
    <row r="3390" spans="6:9" x14ac:dyDescent="0.25">
      <c r="F3390" s="39"/>
      <c r="G3390" s="39"/>
      <c r="H3390" s="39"/>
      <c r="I3390" s="39"/>
    </row>
    <row r="3391" spans="6:9" x14ac:dyDescent="0.25">
      <c r="F3391" s="39"/>
      <c r="G3391" s="39"/>
      <c r="H3391" s="39"/>
      <c r="I3391" s="39"/>
    </row>
    <row r="3392" spans="6:9" x14ac:dyDescent="0.25">
      <c r="F3392" s="39"/>
      <c r="G3392" s="39"/>
      <c r="H3392" s="39"/>
      <c r="I3392" s="39"/>
    </row>
    <row r="3393" spans="6:9" x14ac:dyDescent="0.25">
      <c r="F3393" s="39"/>
      <c r="G3393" s="39"/>
      <c r="H3393" s="39"/>
      <c r="I3393" s="39"/>
    </row>
    <row r="3394" spans="6:9" x14ac:dyDescent="0.25">
      <c r="F3394" s="39"/>
      <c r="G3394" s="39"/>
      <c r="H3394" s="39"/>
      <c r="I3394" s="39"/>
    </row>
    <row r="3395" spans="6:9" x14ac:dyDescent="0.25">
      <c r="F3395" s="39"/>
      <c r="G3395" s="39"/>
      <c r="H3395" s="39"/>
      <c r="I3395" s="39"/>
    </row>
    <row r="3396" spans="6:9" x14ac:dyDescent="0.25">
      <c r="F3396" s="39"/>
      <c r="G3396" s="39"/>
      <c r="H3396" s="39"/>
      <c r="I3396" s="39"/>
    </row>
    <row r="3397" spans="6:9" x14ac:dyDescent="0.25">
      <c r="F3397" s="39"/>
      <c r="G3397" s="39"/>
      <c r="H3397" s="39"/>
      <c r="I3397" s="39"/>
    </row>
    <row r="3398" spans="6:9" x14ac:dyDescent="0.25">
      <c r="F3398" s="39"/>
      <c r="G3398" s="39"/>
      <c r="H3398" s="39"/>
      <c r="I3398" s="39"/>
    </row>
    <row r="3399" spans="6:9" x14ac:dyDescent="0.25">
      <c r="F3399" s="39"/>
      <c r="G3399" s="39"/>
      <c r="H3399" s="39"/>
      <c r="I3399" s="39"/>
    </row>
    <row r="3400" spans="6:9" x14ac:dyDescent="0.25">
      <c r="F3400" s="39"/>
      <c r="G3400" s="39"/>
      <c r="H3400" s="39"/>
      <c r="I3400" s="39"/>
    </row>
    <row r="3401" spans="6:9" x14ac:dyDescent="0.25">
      <c r="F3401" s="39"/>
      <c r="G3401" s="39"/>
      <c r="H3401" s="39"/>
      <c r="I3401" s="39"/>
    </row>
    <row r="3402" spans="6:9" x14ac:dyDescent="0.25">
      <c r="F3402" s="39"/>
      <c r="G3402" s="39"/>
      <c r="H3402" s="39"/>
      <c r="I3402" s="39"/>
    </row>
    <row r="3403" spans="6:9" x14ac:dyDescent="0.25">
      <c r="F3403" s="39"/>
      <c r="G3403" s="39"/>
      <c r="H3403" s="39"/>
      <c r="I3403" s="39"/>
    </row>
    <row r="3404" spans="6:9" x14ac:dyDescent="0.25">
      <c r="F3404" s="39"/>
      <c r="G3404" s="39"/>
      <c r="H3404" s="39"/>
      <c r="I3404" s="39"/>
    </row>
    <row r="3405" spans="6:9" x14ac:dyDescent="0.25">
      <c r="F3405" s="39"/>
      <c r="G3405" s="39"/>
      <c r="H3405" s="39"/>
      <c r="I3405" s="39"/>
    </row>
    <row r="3406" spans="6:9" x14ac:dyDescent="0.25">
      <c r="F3406" s="39"/>
      <c r="G3406" s="39"/>
      <c r="H3406" s="39"/>
      <c r="I3406" s="39"/>
    </row>
    <row r="3407" spans="6:9" x14ac:dyDescent="0.25">
      <c r="F3407" s="39"/>
      <c r="G3407" s="39"/>
      <c r="H3407" s="39"/>
      <c r="I3407" s="39"/>
    </row>
    <row r="3408" spans="6:9" x14ac:dyDescent="0.25">
      <c r="F3408" s="39"/>
      <c r="G3408" s="39"/>
      <c r="H3408" s="39"/>
      <c r="I3408" s="39"/>
    </row>
    <row r="3409" spans="6:9" x14ac:dyDescent="0.25">
      <c r="F3409" s="39"/>
      <c r="G3409" s="39"/>
      <c r="H3409" s="39"/>
      <c r="I3409" s="39"/>
    </row>
    <row r="3410" spans="6:9" x14ac:dyDescent="0.25">
      <c r="F3410" s="39"/>
      <c r="G3410" s="39"/>
      <c r="H3410" s="39"/>
      <c r="I3410" s="39"/>
    </row>
    <row r="3411" spans="6:9" x14ac:dyDescent="0.25">
      <c r="F3411" s="39"/>
      <c r="G3411" s="39"/>
      <c r="H3411" s="39"/>
      <c r="I3411" s="39"/>
    </row>
    <row r="3412" spans="6:9" x14ac:dyDescent="0.25">
      <c r="F3412" s="39"/>
      <c r="G3412" s="39"/>
      <c r="H3412" s="39"/>
      <c r="I3412" s="39"/>
    </row>
    <row r="3413" spans="6:9" x14ac:dyDescent="0.25">
      <c r="F3413" s="39"/>
      <c r="G3413" s="39"/>
      <c r="H3413" s="39"/>
      <c r="I3413" s="39"/>
    </row>
    <row r="3414" spans="6:9" x14ac:dyDescent="0.25">
      <c r="F3414" s="39"/>
      <c r="G3414" s="39"/>
      <c r="H3414" s="39"/>
      <c r="I3414" s="39"/>
    </row>
    <row r="3415" spans="6:9" x14ac:dyDescent="0.25">
      <c r="F3415" s="39"/>
      <c r="G3415" s="39"/>
      <c r="H3415" s="39"/>
      <c r="I3415" s="39"/>
    </row>
    <row r="3416" spans="6:9" x14ac:dyDescent="0.25">
      <c r="F3416" s="39"/>
      <c r="G3416" s="39"/>
      <c r="H3416" s="39"/>
      <c r="I3416" s="39"/>
    </row>
    <row r="3417" spans="6:9" x14ac:dyDescent="0.25">
      <c r="F3417" s="39"/>
      <c r="G3417" s="39"/>
      <c r="H3417" s="39"/>
      <c r="I3417" s="39"/>
    </row>
    <row r="3418" spans="6:9" x14ac:dyDescent="0.25">
      <c r="F3418" s="39"/>
      <c r="G3418" s="39"/>
      <c r="H3418" s="39"/>
      <c r="I3418" s="39"/>
    </row>
    <row r="3419" spans="6:9" x14ac:dyDescent="0.25">
      <c r="F3419" s="39"/>
      <c r="G3419" s="39"/>
      <c r="H3419" s="39"/>
      <c r="I3419" s="39"/>
    </row>
    <row r="3420" spans="6:9" x14ac:dyDescent="0.25">
      <c r="F3420" s="39"/>
      <c r="G3420" s="39"/>
      <c r="H3420" s="39"/>
      <c r="I3420" s="39"/>
    </row>
    <row r="3421" spans="6:9" x14ac:dyDescent="0.25">
      <c r="F3421" s="39"/>
      <c r="G3421" s="39"/>
      <c r="H3421" s="39"/>
      <c r="I3421" s="39"/>
    </row>
    <row r="3422" spans="6:9" x14ac:dyDescent="0.25">
      <c r="F3422" s="39"/>
      <c r="G3422" s="39"/>
      <c r="H3422" s="39"/>
      <c r="I3422" s="39"/>
    </row>
    <row r="3423" spans="6:9" x14ac:dyDescent="0.25">
      <c r="F3423" s="39"/>
      <c r="G3423" s="39"/>
      <c r="H3423" s="39"/>
      <c r="I3423" s="39"/>
    </row>
    <row r="3424" spans="6:9" x14ac:dyDescent="0.25">
      <c r="F3424" s="39"/>
      <c r="G3424" s="39"/>
      <c r="H3424" s="39"/>
      <c r="I3424" s="39"/>
    </row>
    <row r="3425" spans="6:9" x14ac:dyDescent="0.25">
      <c r="F3425" s="39"/>
      <c r="G3425" s="39"/>
      <c r="H3425" s="39"/>
      <c r="I3425" s="39"/>
    </row>
    <row r="3426" spans="6:9" x14ac:dyDescent="0.25">
      <c r="F3426" s="39"/>
      <c r="G3426" s="39"/>
      <c r="H3426" s="39"/>
      <c r="I3426" s="39"/>
    </row>
    <row r="3427" spans="6:9" x14ac:dyDescent="0.25">
      <c r="F3427" s="39"/>
      <c r="G3427" s="39"/>
      <c r="H3427" s="39"/>
      <c r="I3427" s="39"/>
    </row>
    <row r="3428" spans="6:9" x14ac:dyDescent="0.25">
      <c r="F3428" s="39"/>
      <c r="G3428" s="39"/>
      <c r="H3428" s="39"/>
      <c r="I3428" s="39"/>
    </row>
    <row r="3429" spans="6:9" x14ac:dyDescent="0.25">
      <c r="F3429" s="39"/>
      <c r="G3429" s="39"/>
      <c r="H3429" s="39"/>
      <c r="I3429" s="39"/>
    </row>
    <row r="3430" spans="6:9" x14ac:dyDescent="0.25">
      <c r="F3430" s="39"/>
      <c r="G3430" s="39"/>
      <c r="H3430" s="39"/>
      <c r="I3430" s="39"/>
    </row>
    <row r="3431" spans="6:9" x14ac:dyDescent="0.25">
      <c r="F3431" s="39"/>
      <c r="G3431" s="39"/>
      <c r="H3431" s="39"/>
      <c r="I3431" s="39"/>
    </row>
    <row r="3432" spans="6:9" x14ac:dyDescent="0.25">
      <c r="F3432" s="39"/>
      <c r="G3432" s="39"/>
      <c r="H3432" s="39"/>
      <c r="I3432" s="39"/>
    </row>
    <row r="3433" spans="6:9" x14ac:dyDescent="0.25">
      <c r="F3433" s="39"/>
      <c r="G3433" s="39"/>
      <c r="H3433" s="39"/>
      <c r="I3433" s="39"/>
    </row>
    <row r="3434" spans="6:9" x14ac:dyDescent="0.25">
      <c r="F3434" s="39"/>
      <c r="G3434" s="39"/>
      <c r="H3434" s="39"/>
      <c r="I3434" s="39"/>
    </row>
    <row r="3435" spans="6:9" x14ac:dyDescent="0.25">
      <c r="F3435" s="39"/>
      <c r="G3435" s="39"/>
      <c r="H3435" s="39"/>
      <c r="I3435" s="39"/>
    </row>
    <row r="3436" spans="6:9" x14ac:dyDescent="0.25">
      <c r="F3436" s="39"/>
      <c r="G3436" s="39"/>
      <c r="H3436" s="39"/>
      <c r="I3436" s="39"/>
    </row>
    <row r="3437" spans="6:9" x14ac:dyDescent="0.25">
      <c r="F3437" s="39"/>
      <c r="G3437" s="39"/>
      <c r="H3437" s="39"/>
      <c r="I3437" s="39"/>
    </row>
    <row r="3438" spans="6:9" x14ac:dyDescent="0.25">
      <c r="F3438" s="39"/>
      <c r="G3438" s="39"/>
      <c r="H3438" s="39"/>
      <c r="I3438" s="39"/>
    </row>
    <row r="3439" spans="6:9" x14ac:dyDescent="0.25">
      <c r="F3439" s="39"/>
      <c r="G3439" s="39"/>
      <c r="H3439" s="39"/>
      <c r="I3439" s="39"/>
    </row>
    <row r="3440" spans="6:9" x14ac:dyDescent="0.25">
      <c r="F3440" s="39"/>
      <c r="G3440" s="39"/>
      <c r="H3440" s="39"/>
      <c r="I3440" s="39"/>
    </row>
    <row r="3441" spans="6:9" x14ac:dyDescent="0.25">
      <c r="F3441" s="39"/>
      <c r="G3441" s="39"/>
      <c r="H3441" s="39"/>
      <c r="I3441" s="39"/>
    </row>
    <row r="3442" spans="6:9" x14ac:dyDescent="0.25">
      <c r="F3442" s="39"/>
      <c r="G3442" s="39"/>
      <c r="H3442" s="39"/>
      <c r="I3442" s="39"/>
    </row>
    <row r="3443" spans="6:9" x14ac:dyDescent="0.25">
      <c r="F3443" s="39"/>
      <c r="G3443" s="39"/>
      <c r="H3443" s="39"/>
      <c r="I3443" s="39"/>
    </row>
    <row r="3444" spans="6:9" x14ac:dyDescent="0.25">
      <c r="F3444" s="39"/>
      <c r="G3444" s="39"/>
      <c r="H3444" s="39"/>
      <c r="I3444" s="39"/>
    </row>
    <row r="3445" spans="6:9" x14ac:dyDescent="0.25">
      <c r="F3445" s="39"/>
      <c r="G3445" s="39"/>
      <c r="H3445" s="39"/>
      <c r="I3445" s="39"/>
    </row>
    <row r="3446" spans="6:9" x14ac:dyDescent="0.25">
      <c r="F3446" s="39"/>
      <c r="G3446" s="39"/>
      <c r="H3446" s="39"/>
      <c r="I3446" s="39"/>
    </row>
    <row r="3447" spans="6:9" x14ac:dyDescent="0.25">
      <c r="F3447" s="39"/>
      <c r="G3447" s="39"/>
      <c r="H3447" s="39"/>
      <c r="I3447" s="39"/>
    </row>
    <row r="3448" spans="6:9" x14ac:dyDescent="0.25">
      <c r="F3448" s="39"/>
      <c r="G3448" s="39"/>
      <c r="H3448" s="39"/>
      <c r="I3448" s="39"/>
    </row>
    <row r="3449" spans="6:9" x14ac:dyDescent="0.25">
      <c r="F3449" s="39"/>
      <c r="G3449" s="39"/>
      <c r="H3449" s="39"/>
      <c r="I3449" s="39"/>
    </row>
    <row r="3450" spans="6:9" x14ac:dyDescent="0.25">
      <c r="F3450" s="39"/>
      <c r="G3450" s="39"/>
      <c r="H3450" s="39"/>
      <c r="I3450" s="39"/>
    </row>
    <row r="3451" spans="6:9" x14ac:dyDescent="0.25">
      <c r="F3451" s="39"/>
      <c r="G3451" s="39"/>
      <c r="H3451" s="39"/>
      <c r="I3451" s="39"/>
    </row>
    <row r="3452" spans="6:9" x14ac:dyDescent="0.25">
      <c r="F3452" s="39"/>
      <c r="G3452" s="39"/>
      <c r="H3452" s="39"/>
      <c r="I3452" s="39"/>
    </row>
    <row r="3453" spans="6:9" x14ac:dyDescent="0.25">
      <c r="F3453" s="39"/>
      <c r="G3453" s="39"/>
      <c r="H3453" s="39"/>
      <c r="I3453" s="39"/>
    </row>
    <row r="3454" spans="6:9" x14ac:dyDescent="0.25">
      <c r="F3454" s="39"/>
      <c r="G3454" s="39"/>
      <c r="H3454" s="39"/>
      <c r="I3454" s="39"/>
    </row>
    <row r="3455" spans="6:9" x14ac:dyDescent="0.25">
      <c r="F3455" s="39"/>
      <c r="G3455" s="39"/>
      <c r="H3455" s="39"/>
      <c r="I3455" s="39"/>
    </row>
    <row r="3456" spans="6:9" x14ac:dyDescent="0.25">
      <c r="F3456" s="39"/>
      <c r="G3456" s="39"/>
      <c r="H3456" s="39"/>
      <c r="I3456" s="39"/>
    </row>
    <row r="3457" spans="6:9" x14ac:dyDescent="0.25">
      <c r="F3457" s="39"/>
      <c r="G3457" s="39"/>
      <c r="H3457" s="39"/>
      <c r="I3457" s="39"/>
    </row>
    <row r="3458" spans="6:9" x14ac:dyDescent="0.25">
      <c r="F3458" s="39"/>
      <c r="G3458" s="39"/>
      <c r="H3458" s="39"/>
      <c r="I3458" s="39"/>
    </row>
    <row r="3459" spans="6:9" x14ac:dyDescent="0.25">
      <c r="F3459" s="39"/>
      <c r="G3459" s="39"/>
      <c r="H3459" s="39"/>
      <c r="I3459" s="39"/>
    </row>
    <row r="3460" spans="6:9" x14ac:dyDescent="0.25">
      <c r="F3460" s="39"/>
      <c r="G3460" s="39"/>
      <c r="H3460" s="39"/>
      <c r="I3460" s="39"/>
    </row>
    <row r="3461" spans="6:9" x14ac:dyDescent="0.25">
      <c r="F3461" s="39"/>
      <c r="G3461" s="39"/>
      <c r="H3461" s="39"/>
      <c r="I3461" s="39"/>
    </row>
    <row r="3462" spans="6:9" x14ac:dyDescent="0.25">
      <c r="F3462" s="39"/>
      <c r="G3462" s="39"/>
      <c r="H3462" s="39"/>
      <c r="I3462" s="39"/>
    </row>
    <row r="3463" spans="6:9" x14ac:dyDescent="0.25">
      <c r="F3463" s="39"/>
      <c r="G3463" s="39"/>
      <c r="H3463" s="39"/>
      <c r="I3463" s="39"/>
    </row>
    <row r="3464" spans="6:9" x14ac:dyDescent="0.25">
      <c r="F3464" s="39"/>
      <c r="G3464" s="39"/>
      <c r="H3464" s="39"/>
      <c r="I3464" s="39"/>
    </row>
    <row r="3465" spans="6:9" x14ac:dyDescent="0.25">
      <c r="F3465" s="39"/>
      <c r="G3465" s="39"/>
      <c r="H3465" s="39"/>
      <c r="I3465" s="39"/>
    </row>
    <row r="3466" spans="6:9" x14ac:dyDescent="0.25">
      <c r="F3466" s="39"/>
      <c r="G3466" s="39"/>
      <c r="H3466" s="39"/>
      <c r="I3466" s="39"/>
    </row>
    <row r="3467" spans="6:9" x14ac:dyDescent="0.25">
      <c r="F3467" s="39"/>
      <c r="G3467" s="39"/>
      <c r="H3467" s="39"/>
      <c r="I3467" s="39"/>
    </row>
    <row r="3468" spans="6:9" x14ac:dyDescent="0.25">
      <c r="F3468" s="39"/>
      <c r="G3468" s="39"/>
      <c r="H3468" s="39"/>
      <c r="I3468" s="39"/>
    </row>
    <row r="3469" spans="6:9" x14ac:dyDescent="0.25">
      <c r="F3469" s="39"/>
      <c r="G3469" s="39"/>
      <c r="H3469" s="39"/>
      <c r="I3469" s="39"/>
    </row>
    <row r="3470" spans="6:9" x14ac:dyDescent="0.25">
      <c r="F3470" s="39"/>
      <c r="G3470" s="39"/>
      <c r="H3470" s="39"/>
      <c r="I3470" s="39"/>
    </row>
    <row r="3471" spans="6:9" x14ac:dyDescent="0.25">
      <c r="F3471" s="39"/>
      <c r="G3471" s="39"/>
      <c r="H3471" s="39"/>
      <c r="I3471" s="39"/>
    </row>
    <row r="3472" spans="6:9" x14ac:dyDescent="0.25">
      <c r="F3472" s="39"/>
      <c r="G3472" s="39"/>
      <c r="H3472" s="39"/>
      <c r="I3472" s="39"/>
    </row>
    <row r="3473" spans="6:9" x14ac:dyDescent="0.25">
      <c r="F3473" s="39"/>
      <c r="G3473" s="39"/>
      <c r="H3473" s="39"/>
      <c r="I3473" s="39"/>
    </row>
    <row r="3474" spans="6:9" x14ac:dyDescent="0.25">
      <c r="F3474" s="39"/>
      <c r="G3474" s="39"/>
      <c r="H3474" s="39"/>
      <c r="I3474" s="39"/>
    </row>
    <row r="3475" spans="6:9" x14ac:dyDescent="0.25">
      <c r="F3475" s="39"/>
      <c r="G3475" s="39"/>
      <c r="H3475" s="39"/>
      <c r="I3475" s="39"/>
    </row>
    <row r="3476" spans="6:9" x14ac:dyDescent="0.25">
      <c r="F3476" s="39"/>
      <c r="G3476" s="39"/>
      <c r="H3476" s="39"/>
      <c r="I3476" s="39"/>
    </row>
    <row r="3477" spans="6:9" x14ac:dyDescent="0.25">
      <c r="F3477" s="39"/>
      <c r="G3477" s="39"/>
      <c r="H3477" s="39"/>
      <c r="I3477" s="39"/>
    </row>
    <row r="3478" spans="6:9" x14ac:dyDescent="0.25">
      <c r="F3478" s="39"/>
      <c r="G3478" s="39"/>
      <c r="H3478" s="39"/>
      <c r="I3478" s="39"/>
    </row>
    <row r="3479" spans="6:9" x14ac:dyDescent="0.25">
      <c r="F3479" s="39"/>
      <c r="G3479" s="39"/>
      <c r="H3479" s="39"/>
      <c r="I3479" s="39"/>
    </row>
    <row r="3480" spans="6:9" x14ac:dyDescent="0.25">
      <c r="F3480" s="39"/>
      <c r="G3480" s="39"/>
      <c r="H3480" s="39"/>
      <c r="I3480" s="39"/>
    </row>
    <row r="3481" spans="6:9" x14ac:dyDescent="0.25">
      <c r="F3481" s="39"/>
      <c r="G3481" s="39"/>
      <c r="H3481" s="39"/>
      <c r="I3481" s="39"/>
    </row>
    <row r="3482" spans="6:9" x14ac:dyDescent="0.25">
      <c r="F3482" s="39"/>
      <c r="G3482" s="39"/>
      <c r="H3482" s="39"/>
      <c r="I3482" s="39"/>
    </row>
    <row r="3483" spans="6:9" x14ac:dyDescent="0.25">
      <c r="F3483" s="39"/>
      <c r="G3483" s="39"/>
      <c r="H3483" s="39"/>
      <c r="I3483" s="39"/>
    </row>
    <row r="3484" spans="6:9" x14ac:dyDescent="0.25">
      <c r="F3484" s="39"/>
      <c r="G3484" s="39"/>
      <c r="H3484" s="39"/>
      <c r="I3484" s="39"/>
    </row>
    <row r="3485" spans="6:9" x14ac:dyDescent="0.25">
      <c r="F3485" s="39"/>
      <c r="G3485" s="39"/>
      <c r="H3485" s="39"/>
      <c r="I3485" s="39"/>
    </row>
    <row r="3486" spans="6:9" x14ac:dyDescent="0.25">
      <c r="F3486" s="39"/>
      <c r="G3486" s="39"/>
      <c r="H3486" s="39"/>
      <c r="I3486" s="39"/>
    </row>
    <row r="3487" spans="6:9" x14ac:dyDescent="0.25">
      <c r="F3487" s="39"/>
      <c r="G3487" s="39"/>
      <c r="H3487" s="39"/>
      <c r="I3487" s="39"/>
    </row>
    <row r="3488" spans="6:9" x14ac:dyDescent="0.25">
      <c r="F3488" s="39"/>
      <c r="G3488" s="39"/>
      <c r="H3488" s="39"/>
      <c r="I3488" s="39"/>
    </row>
    <row r="3489" spans="6:9" x14ac:dyDescent="0.25">
      <c r="F3489" s="39"/>
      <c r="G3489" s="39"/>
      <c r="H3489" s="39"/>
      <c r="I3489" s="39"/>
    </row>
    <row r="3490" spans="6:9" x14ac:dyDescent="0.25">
      <c r="F3490" s="39"/>
      <c r="G3490" s="39"/>
      <c r="H3490" s="39"/>
      <c r="I3490" s="39"/>
    </row>
    <row r="3491" spans="6:9" x14ac:dyDescent="0.25">
      <c r="F3491" s="39"/>
      <c r="G3491" s="39"/>
      <c r="H3491" s="39"/>
      <c r="I3491" s="39"/>
    </row>
    <row r="3492" spans="6:9" x14ac:dyDescent="0.25">
      <c r="F3492" s="39"/>
      <c r="G3492" s="39"/>
      <c r="H3492" s="39"/>
      <c r="I3492" s="39"/>
    </row>
    <row r="3493" spans="6:9" x14ac:dyDescent="0.25">
      <c r="F3493" s="39"/>
      <c r="G3493" s="39"/>
      <c r="H3493" s="39"/>
      <c r="I3493" s="39"/>
    </row>
    <row r="3494" spans="6:9" x14ac:dyDescent="0.25">
      <c r="F3494" s="39"/>
      <c r="G3494" s="39"/>
      <c r="H3494" s="39"/>
      <c r="I3494" s="39"/>
    </row>
    <row r="3495" spans="6:9" x14ac:dyDescent="0.25">
      <c r="F3495" s="39"/>
      <c r="G3495" s="39"/>
      <c r="H3495" s="39"/>
      <c r="I3495" s="39"/>
    </row>
    <row r="3496" spans="6:9" x14ac:dyDescent="0.25">
      <c r="F3496" s="39"/>
      <c r="G3496" s="39"/>
      <c r="H3496" s="39"/>
      <c r="I3496" s="39"/>
    </row>
    <row r="3497" spans="6:9" x14ac:dyDescent="0.25">
      <c r="F3497" s="39"/>
      <c r="G3497" s="39"/>
      <c r="H3497" s="39"/>
      <c r="I3497" s="39"/>
    </row>
    <row r="3498" spans="6:9" x14ac:dyDescent="0.25">
      <c r="F3498" s="39"/>
      <c r="G3498" s="39"/>
      <c r="H3498" s="39"/>
      <c r="I3498" s="39"/>
    </row>
    <row r="3499" spans="6:9" x14ac:dyDescent="0.25">
      <c r="F3499" s="39"/>
      <c r="G3499" s="39"/>
      <c r="H3499" s="39"/>
      <c r="I3499" s="39"/>
    </row>
    <row r="3500" spans="6:9" x14ac:dyDescent="0.25">
      <c r="F3500" s="39"/>
      <c r="G3500" s="39"/>
      <c r="H3500" s="39"/>
      <c r="I3500" s="39"/>
    </row>
    <row r="3501" spans="6:9" x14ac:dyDescent="0.25">
      <c r="F3501" s="39"/>
      <c r="G3501" s="39"/>
      <c r="H3501" s="39"/>
      <c r="I3501" s="39"/>
    </row>
    <row r="3502" spans="6:9" x14ac:dyDescent="0.25">
      <c r="F3502" s="39"/>
      <c r="G3502" s="39"/>
      <c r="H3502" s="39"/>
      <c r="I3502" s="39"/>
    </row>
    <row r="3503" spans="6:9" x14ac:dyDescent="0.25">
      <c r="F3503" s="39"/>
      <c r="G3503" s="39"/>
      <c r="H3503" s="39"/>
      <c r="I3503" s="39"/>
    </row>
    <row r="3504" spans="6:9" x14ac:dyDescent="0.25">
      <c r="F3504" s="39"/>
      <c r="G3504" s="39"/>
      <c r="H3504" s="39"/>
      <c r="I3504" s="39"/>
    </row>
    <row r="3505" spans="6:9" x14ac:dyDescent="0.25">
      <c r="F3505" s="39"/>
      <c r="G3505" s="39"/>
      <c r="H3505" s="39"/>
      <c r="I3505" s="39"/>
    </row>
    <row r="3506" spans="6:9" x14ac:dyDescent="0.25">
      <c r="F3506" s="39"/>
      <c r="G3506" s="39"/>
      <c r="H3506" s="39"/>
      <c r="I3506" s="39"/>
    </row>
    <row r="3507" spans="6:9" x14ac:dyDescent="0.25">
      <c r="F3507" s="39"/>
      <c r="G3507" s="39"/>
      <c r="H3507" s="39"/>
      <c r="I3507" s="39"/>
    </row>
    <row r="3508" spans="6:9" x14ac:dyDescent="0.25">
      <c r="F3508" s="39"/>
      <c r="G3508" s="39"/>
      <c r="H3508" s="39"/>
      <c r="I3508" s="39"/>
    </row>
    <row r="3509" spans="6:9" x14ac:dyDescent="0.25">
      <c r="F3509" s="39"/>
      <c r="G3509" s="39"/>
      <c r="H3509" s="39"/>
      <c r="I3509" s="39"/>
    </row>
    <row r="3510" spans="6:9" x14ac:dyDescent="0.25">
      <c r="F3510" s="39"/>
      <c r="G3510" s="39"/>
      <c r="H3510" s="39"/>
      <c r="I3510" s="39"/>
    </row>
    <row r="3511" spans="6:9" x14ac:dyDescent="0.25">
      <c r="F3511" s="39"/>
      <c r="G3511" s="39"/>
      <c r="H3511" s="39"/>
      <c r="I3511" s="39"/>
    </row>
    <row r="3512" spans="6:9" x14ac:dyDescent="0.25">
      <c r="F3512" s="39"/>
      <c r="G3512" s="39"/>
      <c r="H3512" s="39"/>
      <c r="I3512" s="39"/>
    </row>
    <row r="3513" spans="6:9" x14ac:dyDescent="0.25">
      <c r="F3513" s="39"/>
      <c r="G3513" s="39"/>
      <c r="H3513" s="39"/>
      <c r="I3513" s="39"/>
    </row>
    <row r="3514" spans="6:9" x14ac:dyDescent="0.25">
      <c r="F3514" s="39"/>
      <c r="G3514" s="39"/>
      <c r="H3514" s="39"/>
      <c r="I3514" s="39"/>
    </row>
    <row r="3515" spans="6:9" x14ac:dyDescent="0.25">
      <c r="F3515" s="39"/>
      <c r="G3515" s="39"/>
      <c r="H3515" s="39"/>
      <c r="I3515" s="39"/>
    </row>
    <row r="3516" spans="6:9" x14ac:dyDescent="0.25">
      <c r="F3516" s="39"/>
      <c r="G3516" s="39"/>
      <c r="H3516" s="39"/>
      <c r="I3516" s="39"/>
    </row>
    <row r="3517" spans="6:9" x14ac:dyDescent="0.25">
      <c r="F3517" s="39"/>
      <c r="G3517" s="39"/>
      <c r="H3517" s="39"/>
      <c r="I3517" s="39"/>
    </row>
    <row r="3518" spans="6:9" x14ac:dyDescent="0.25">
      <c r="F3518" s="39"/>
      <c r="G3518" s="39"/>
      <c r="H3518" s="39"/>
      <c r="I3518" s="39"/>
    </row>
    <row r="3519" spans="6:9" x14ac:dyDescent="0.25">
      <c r="F3519" s="39"/>
      <c r="G3519" s="39"/>
      <c r="H3519" s="39"/>
      <c r="I3519" s="39"/>
    </row>
    <row r="3520" spans="6:9" x14ac:dyDescent="0.25">
      <c r="F3520" s="39"/>
      <c r="G3520" s="39"/>
      <c r="H3520" s="39"/>
      <c r="I3520" s="39"/>
    </row>
    <row r="3521" spans="6:9" x14ac:dyDescent="0.25">
      <c r="F3521" s="39"/>
      <c r="G3521" s="39"/>
      <c r="H3521" s="39"/>
      <c r="I3521" s="39"/>
    </row>
    <row r="3522" spans="6:9" x14ac:dyDescent="0.25">
      <c r="F3522" s="39"/>
      <c r="G3522" s="39"/>
      <c r="H3522" s="39"/>
      <c r="I3522" s="39"/>
    </row>
    <row r="3523" spans="6:9" x14ac:dyDescent="0.25">
      <c r="F3523" s="39"/>
      <c r="G3523" s="39"/>
      <c r="H3523" s="39"/>
      <c r="I3523" s="39"/>
    </row>
    <row r="3524" spans="6:9" x14ac:dyDescent="0.25">
      <c r="F3524" s="39"/>
      <c r="G3524" s="39"/>
      <c r="H3524" s="39"/>
      <c r="I3524" s="39"/>
    </row>
    <row r="3525" spans="6:9" x14ac:dyDescent="0.25">
      <c r="F3525" s="39"/>
      <c r="G3525" s="39"/>
      <c r="H3525" s="39"/>
      <c r="I3525" s="39"/>
    </row>
    <row r="3526" spans="6:9" x14ac:dyDescent="0.25">
      <c r="F3526" s="39"/>
      <c r="G3526" s="39"/>
      <c r="H3526" s="39"/>
      <c r="I3526" s="39"/>
    </row>
    <row r="3527" spans="6:9" x14ac:dyDescent="0.25">
      <c r="F3527" s="39"/>
      <c r="G3527" s="39"/>
      <c r="H3527" s="39"/>
      <c r="I3527" s="39"/>
    </row>
    <row r="3528" spans="6:9" x14ac:dyDescent="0.25">
      <c r="F3528" s="39"/>
      <c r="G3528" s="39"/>
      <c r="H3528" s="39"/>
      <c r="I3528" s="39"/>
    </row>
    <row r="3529" spans="6:9" x14ac:dyDescent="0.25">
      <c r="F3529" s="39"/>
      <c r="G3529" s="39"/>
      <c r="H3529" s="39"/>
      <c r="I3529" s="39"/>
    </row>
    <row r="3530" spans="6:9" x14ac:dyDescent="0.25">
      <c r="F3530" s="39"/>
      <c r="G3530" s="39"/>
      <c r="H3530" s="39"/>
      <c r="I3530" s="39"/>
    </row>
    <row r="3531" spans="6:9" x14ac:dyDescent="0.25">
      <c r="F3531" s="39"/>
      <c r="G3531" s="39"/>
      <c r="H3531" s="39"/>
      <c r="I3531" s="39"/>
    </row>
    <row r="3532" spans="6:9" x14ac:dyDescent="0.25">
      <c r="F3532" s="39"/>
      <c r="G3532" s="39"/>
      <c r="H3532" s="39"/>
      <c r="I3532" s="39"/>
    </row>
    <row r="3533" spans="6:9" x14ac:dyDescent="0.25">
      <c r="F3533" s="39"/>
      <c r="G3533" s="39"/>
      <c r="H3533" s="39"/>
      <c r="I3533" s="39"/>
    </row>
    <row r="3534" spans="6:9" x14ac:dyDescent="0.25">
      <c r="F3534" s="39"/>
      <c r="G3534" s="39"/>
      <c r="H3534" s="39"/>
      <c r="I3534" s="39"/>
    </row>
    <row r="3535" spans="6:9" x14ac:dyDescent="0.25">
      <c r="F3535" s="39"/>
      <c r="G3535" s="39"/>
      <c r="H3535" s="39"/>
      <c r="I3535" s="39"/>
    </row>
    <row r="3536" spans="6:9" x14ac:dyDescent="0.25">
      <c r="F3536" s="39"/>
      <c r="G3536" s="39"/>
      <c r="H3536" s="39"/>
      <c r="I3536" s="39"/>
    </row>
    <row r="3537" spans="6:9" x14ac:dyDescent="0.25">
      <c r="F3537" s="39"/>
      <c r="G3537" s="39"/>
      <c r="H3537" s="39"/>
      <c r="I3537" s="39"/>
    </row>
    <row r="3538" spans="6:9" x14ac:dyDescent="0.25">
      <c r="F3538" s="39"/>
      <c r="G3538" s="39"/>
      <c r="H3538" s="39"/>
      <c r="I3538" s="39"/>
    </row>
    <row r="3539" spans="6:9" x14ac:dyDescent="0.25">
      <c r="F3539" s="39"/>
      <c r="G3539" s="39"/>
      <c r="H3539" s="39"/>
      <c r="I3539" s="39"/>
    </row>
    <row r="3540" spans="6:9" x14ac:dyDescent="0.25">
      <c r="F3540" s="39"/>
      <c r="G3540" s="39"/>
      <c r="H3540" s="39"/>
      <c r="I3540" s="39"/>
    </row>
    <row r="3541" spans="6:9" x14ac:dyDescent="0.25">
      <c r="F3541" s="39"/>
      <c r="G3541" s="39"/>
      <c r="H3541" s="39"/>
      <c r="I3541" s="39"/>
    </row>
    <row r="3542" spans="6:9" x14ac:dyDescent="0.25">
      <c r="F3542" s="39"/>
      <c r="G3542" s="39"/>
      <c r="H3542" s="39"/>
      <c r="I3542" s="39"/>
    </row>
    <row r="3543" spans="6:9" x14ac:dyDescent="0.25">
      <c r="F3543" s="39"/>
      <c r="G3543" s="39"/>
      <c r="H3543" s="39"/>
      <c r="I3543" s="39"/>
    </row>
    <row r="3544" spans="6:9" x14ac:dyDescent="0.25">
      <c r="F3544" s="39"/>
      <c r="G3544" s="39"/>
      <c r="H3544" s="39"/>
      <c r="I3544" s="39"/>
    </row>
    <row r="3545" spans="6:9" x14ac:dyDescent="0.25">
      <c r="F3545" s="39"/>
      <c r="G3545" s="39"/>
      <c r="H3545" s="39"/>
      <c r="I3545" s="39"/>
    </row>
    <row r="3546" spans="6:9" x14ac:dyDescent="0.25">
      <c r="F3546" s="39"/>
      <c r="G3546" s="39"/>
      <c r="H3546" s="39"/>
      <c r="I3546" s="39"/>
    </row>
    <row r="3547" spans="6:9" x14ac:dyDescent="0.25">
      <c r="F3547" s="39"/>
      <c r="G3547" s="39"/>
      <c r="H3547" s="39"/>
      <c r="I3547" s="39"/>
    </row>
    <row r="3548" spans="6:9" x14ac:dyDescent="0.25">
      <c r="F3548" s="39"/>
      <c r="G3548" s="39"/>
      <c r="H3548" s="39"/>
      <c r="I3548" s="39"/>
    </row>
    <row r="3549" spans="6:9" x14ac:dyDescent="0.25">
      <c r="F3549" s="39"/>
      <c r="G3549" s="39"/>
      <c r="H3549" s="39"/>
      <c r="I3549" s="39"/>
    </row>
    <row r="3550" spans="6:9" x14ac:dyDescent="0.25">
      <c r="F3550" s="39"/>
      <c r="G3550" s="39"/>
      <c r="H3550" s="39"/>
      <c r="I3550" s="39"/>
    </row>
    <row r="3551" spans="6:9" x14ac:dyDescent="0.25">
      <c r="F3551" s="39"/>
      <c r="G3551" s="39"/>
      <c r="H3551" s="39"/>
      <c r="I3551" s="39"/>
    </row>
    <row r="3552" spans="6:9" x14ac:dyDescent="0.25">
      <c r="F3552" s="39"/>
      <c r="G3552" s="39"/>
      <c r="H3552" s="39"/>
      <c r="I3552" s="39"/>
    </row>
    <row r="3553" spans="6:9" x14ac:dyDescent="0.25">
      <c r="F3553" s="39"/>
      <c r="G3553" s="39"/>
      <c r="H3553" s="39"/>
      <c r="I3553" s="39"/>
    </row>
    <row r="3554" spans="6:9" x14ac:dyDescent="0.25">
      <c r="F3554" s="39"/>
      <c r="G3554" s="39"/>
      <c r="H3554" s="39"/>
      <c r="I3554" s="39"/>
    </row>
    <row r="3555" spans="6:9" x14ac:dyDescent="0.25">
      <c r="F3555" s="39"/>
      <c r="G3555" s="39"/>
      <c r="H3555" s="39"/>
      <c r="I3555" s="39"/>
    </row>
    <row r="3556" spans="6:9" x14ac:dyDescent="0.25">
      <c r="F3556" s="39"/>
      <c r="G3556" s="39"/>
      <c r="H3556" s="39"/>
      <c r="I3556" s="39"/>
    </row>
    <row r="3557" spans="6:9" x14ac:dyDescent="0.25">
      <c r="F3557" s="39"/>
      <c r="G3557" s="39"/>
      <c r="H3557" s="39"/>
      <c r="I3557" s="39"/>
    </row>
    <row r="3558" spans="6:9" x14ac:dyDescent="0.25">
      <c r="F3558" s="39"/>
      <c r="G3558" s="39"/>
      <c r="H3558" s="39"/>
      <c r="I3558" s="39"/>
    </row>
    <row r="3559" spans="6:9" x14ac:dyDescent="0.25">
      <c r="F3559" s="39"/>
      <c r="G3559" s="39"/>
      <c r="H3559" s="39"/>
      <c r="I3559" s="39"/>
    </row>
    <row r="3560" spans="6:9" x14ac:dyDescent="0.25">
      <c r="F3560" s="39"/>
      <c r="G3560" s="39"/>
      <c r="H3560" s="39"/>
      <c r="I3560" s="39"/>
    </row>
    <row r="3561" spans="6:9" x14ac:dyDescent="0.25">
      <c r="F3561" s="39"/>
      <c r="G3561" s="39"/>
      <c r="H3561" s="39"/>
      <c r="I3561" s="39"/>
    </row>
    <row r="3562" spans="6:9" x14ac:dyDescent="0.25">
      <c r="F3562" s="39"/>
      <c r="G3562" s="39"/>
      <c r="H3562" s="39"/>
      <c r="I3562" s="39"/>
    </row>
    <row r="3563" spans="6:9" x14ac:dyDescent="0.25">
      <c r="F3563" s="39"/>
      <c r="G3563" s="39"/>
      <c r="H3563" s="39"/>
      <c r="I3563" s="39"/>
    </row>
    <row r="3564" spans="6:9" x14ac:dyDescent="0.25">
      <c r="F3564" s="39"/>
      <c r="G3564" s="39"/>
      <c r="H3564" s="39"/>
      <c r="I3564" s="39"/>
    </row>
    <row r="3565" spans="6:9" x14ac:dyDescent="0.25">
      <c r="F3565" s="39"/>
      <c r="G3565" s="39"/>
      <c r="H3565" s="39"/>
      <c r="I3565" s="39"/>
    </row>
    <row r="3566" spans="6:9" x14ac:dyDescent="0.25">
      <c r="F3566" s="39"/>
      <c r="G3566" s="39"/>
      <c r="H3566" s="39"/>
      <c r="I3566" s="39"/>
    </row>
    <row r="3567" spans="6:9" x14ac:dyDescent="0.25">
      <c r="F3567" s="39"/>
      <c r="G3567" s="39"/>
      <c r="H3567" s="39"/>
      <c r="I3567" s="39"/>
    </row>
    <row r="3568" spans="6:9" x14ac:dyDescent="0.25">
      <c r="F3568" s="39"/>
      <c r="G3568" s="39"/>
      <c r="H3568" s="39"/>
      <c r="I3568" s="39"/>
    </row>
    <row r="3569" spans="6:9" x14ac:dyDescent="0.25">
      <c r="F3569" s="39"/>
      <c r="G3569" s="39"/>
      <c r="H3569" s="39"/>
      <c r="I3569" s="39"/>
    </row>
    <row r="3570" spans="6:9" x14ac:dyDescent="0.25">
      <c r="F3570" s="39"/>
      <c r="G3570" s="39"/>
      <c r="H3570" s="39"/>
      <c r="I3570" s="39"/>
    </row>
    <row r="3571" spans="6:9" x14ac:dyDescent="0.25">
      <c r="F3571" s="39"/>
      <c r="G3571" s="39"/>
      <c r="H3571" s="39"/>
      <c r="I3571" s="39"/>
    </row>
    <row r="3572" spans="6:9" x14ac:dyDescent="0.25">
      <c r="F3572" s="39"/>
      <c r="G3572" s="39"/>
      <c r="H3572" s="39"/>
      <c r="I3572" s="39"/>
    </row>
    <row r="3573" spans="6:9" x14ac:dyDescent="0.25">
      <c r="F3573" s="39"/>
      <c r="G3573" s="39"/>
      <c r="H3573" s="39"/>
      <c r="I3573" s="39"/>
    </row>
    <row r="3574" spans="6:9" x14ac:dyDescent="0.25">
      <c r="F3574" s="39"/>
      <c r="G3574" s="39"/>
      <c r="H3574" s="39"/>
      <c r="I3574" s="39"/>
    </row>
    <row r="3575" spans="6:9" x14ac:dyDescent="0.25">
      <c r="F3575" s="39"/>
      <c r="G3575" s="39"/>
      <c r="H3575" s="39"/>
      <c r="I3575" s="39"/>
    </row>
    <row r="3576" spans="6:9" x14ac:dyDescent="0.25">
      <c r="F3576" s="39"/>
      <c r="G3576" s="39"/>
      <c r="H3576" s="39"/>
      <c r="I3576" s="39"/>
    </row>
    <row r="3577" spans="6:9" x14ac:dyDescent="0.25">
      <c r="F3577" s="39"/>
      <c r="G3577" s="39"/>
      <c r="H3577" s="39"/>
      <c r="I3577" s="39"/>
    </row>
    <row r="3578" spans="6:9" x14ac:dyDescent="0.25">
      <c r="F3578" s="39"/>
      <c r="G3578" s="39"/>
      <c r="H3578" s="39"/>
      <c r="I3578" s="39"/>
    </row>
    <row r="3579" spans="6:9" x14ac:dyDescent="0.25">
      <c r="F3579" s="39"/>
      <c r="G3579" s="39"/>
      <c r="H3579" s="39"/>
      <c r="I3579" s="39"/>
    </row>
    <row r="3580" spans="6:9" x14ac:dyDescent="0.25">
      <c r="F3580" s="39"/>
      <c r="G3580" s="39"/>
      <c r="H3580" s="39"/>
      <c r="I3580" s="39"/>
    </row>
    <row r="3581" spans="6:9" x14ac:dyDescent="0.25">
      <c r="F3581" s="39"/>
      <c r="G3581" s="39"/>
      <c r="H3581" s="39"/>
      <c r="I3581" s="39"/>
    </row>
    <row r="3582" spans="6:9" x14ac:dyDescent="0.25">
      <c r="F3582" s="39"/>
      <c r="G3582" s="39"/>
      <c r="H3582" s="39"/>
      <c r="I3582" s="39"/>
    </row>
    <row r="3583" spans="6:9" x14ac:dyDescent="0.25">
      <c r="F3583" s="39"/>
      <c r="G3583" s="39"/>
      <c r="H3583" s="39"/>
      <c r="I3583" s="39"/>
    </row>
    <row r="3584" spans="6:9" x14ac:dyDescent="0.25">
      <c r="F3584" s="39"/>
      <c r="G3584" s="39"/>
      <c r="H3584" s="39"/>
      <c r="I3584" s="39"/>
    </row>
    <row r="3585" spans="6:9" x14ac:dyDescent="0.25">
      <c r="F3585" s="39"/>
      <c r="G3585" s="39"/>
      <c r="H3585" s="39"/>
      <c r="I3585" s="39"/>
    </row>
    <row r="3586" spans="6:9" x14ac:dyDescent="0.25">
      <c r="F3586" s="39"/>
      <c r="G3586" s="39"/>
      <c r="H3586" s="39"/>
      <c r="I3586" s="39"/>
    </row>
    <row r="3587" spans="6:9" x14ac:dyDescent="0.25">
      <c r="F3587" s="39"/>
      <c r="G3587" s="39"/>
      <c r="H3587" s="39"/>
      <c r="I3587" s="39"/>
    </row>
    <row r="3588" spans="6:9" x14ac:dyDescent="0.25">
      <c r="F3588" s="39"/>
      <c r="G3588" s="39"/>
      <c r="H3588" s="39"/>
      <c r="I3588" s="39"/>
    </row>
    <row r="3589" spans="6:9" x14ac:dyDescent="0.25">
      <c r="F3589" s="39"/>
      <c r="G3589" s="39"/>
      <c r="H3589" s="39"/>
      <c r="I3589" s="39"/>
    </row>
    <row r="3590" spans="6:9" x14ac:dyDescent="0.25">
      <c r="F3590" s="39"/>
      <c r="G3590" s="39"/>
      <c r="H3590" s="39"/>
      <c r="I3590" s="39"/>
    </row>
    <row r="3591" spans="6:9" x14ac:dyDescent="0.25">
      <c r="F3591" s="39"/>
      <c r="G3591" s="39"/>
      <c r="H3591" s="39"/>
      <c r="I3591" s="39"/>
    </row>
    <row r="3592" spans="6:9" x14ac:dyDescent="0.25">
      <c r="F3592" s="39"/>
      <c r="G3592" s="39"/>
      <c r="H3592" s="39"/>
      <c r="I3592" s="39"/>
    </row>
    <row r="3593" spans="6:9" x14ac:dyDescent="0.25">
      <c r="F3593" s="39"/>
      <c r="G3593" s="39"/>
      <c r="H3593" s="39"/>
      <c r="I3593" s="39"/>
    </row>
    <row r="3594" spans="6:9" x14ac:dyDescent="0.25">
      <c r="F3594" s="39"/>
      <c r="G3594" s="39"/>
      <c r="H3594" s="39"/>
      <c r="I3594" s="39"/>
    </row>
    <row r="3595" spans="6:9" x14ac:dyDescent="0.25">
      <c r="F3595" s="39"/>
      <c r="G3595" s="39"/>
      <c r="H3595" s="39"/>
      <c r="I3595" s="39"/>
    </row>
    <row r="3596" spans="6:9" x14ac:dyDescent="0.25">
      <c r="F3596" s="39"/>
      <c r="G3596" s="39"/>
      <c r="H3596" s="39"/>
      <c r="I3596" s="39"/>
    </row>
    <row r="3597" spans="6:9" x14ac:dyDescent="0.25">
      <c r="F3597" s="39"/>
      <c r="G3597" s="39"/>
      <c r="H3597" s="39"/>
      <c r="I3597" s="39"/>
    </row>
    <row r="3598" spans="6:9" x14ac:dyDescent="0.25">
      <c r="F3598" s="39"/>
      <c r="G3598" s="39"/>
      <c r="H3598" s="39"/>
      <c r="I3598" s="39"/>
    </row>
    <row r="3599" spans="6:9" x14ac:dyDescent="0.25">
      <c r="F3599" s="39"/>
      <c r="G3599" s="39"/>
      <c r="H3599" s="39"/>
      <c r="I3599" s="39"/>
    </row>
    <row r="3600" spans="6:9" x14ac:dyDescent="0.25">
      <c r="F3600" s="39"/>
      <c r="G3600" s="39"/>
      <c r="H3600" s="39"/>
      <c r="I3600" s="39"/>
    </row>
    <row r="3601" spans="6:9" x14ac:dyDescent="0.25">
      <c r="F3601" s="39"/>
      <c r="G3601" s="39"/>
      <c r="H3601" s="39"/>
      <c r="I3601" s="39"/>
    </row>
    <row r="3602" spans="6:9" x14ac:dyDescent="0.25">
      <c r="F3602" s="39"/>
      <c r="G3602" s="39"/>
      <c r="H3602" s="39"/>
      <c r="I3602" s="39"/>
    </row>
    <row r="3603" spans="6:9" x14ac:dyDescent="0.25">
      <c r="F3603" s="39"/>
      <c r="G3603" s="39"/>
      <c r="H3603" s="39"/>
      <c r="I3603" s="39"/>
    </row>
    <row r="3604" spans="6:9" x14ac:dyDescent="0.25">
      <c r="F3604" s="39"/>
      <c r="G3604" s="39"/>
      <c r="H3604" s="39"/>
      <c r="I3604" s="39"/>
    </row>
    <row r="3605" spans="6:9" x14ac:dyDescent="0.25">
      <c r="F3605" s="39"/>
      <c r="G3605" s="39"/>
      <c r="H3605" s="39"/>
      <c r="I3605" s="39"/>
    </row>
    <row r="3606" spans="6:9" x14ac:dyDescent="0.25">
      <c r="F3606" s="39"/>
      <c r="G3606" s="39"/>
      <c r="H3606" s="39"/>
      <c r="I3606" s="39"/>
    </row>
    <row r="3607" spans="6:9" x14ac:dyDescent="0.25">
      <c r="F3607" s="39"/>
      <c r="G3607" s="39"/>
      <c r="H3607" s="39"/>
      <c r="I3607" s="39"/>
    </row>
    <row r="3608" spans="6:9" x14ac:dyDescent="0.25">
      <c r="F3608" s="39"/>
      <c r="G3608" s="39"/>
      <c r="H3608" s="39"/>
      <c r="I3608" s="39"/>
    </row>
    <row r="3609" spans="6:9" x14ac:dyDescent="0.25">
      <c r="F3609" s="39"/>
      <c r="G3609" s="39"/>
      <c r="H3609" s="39"/>
      <c r="I3609" s="39"/>
    </row>
    <row r="3610" spans="6:9" x14ac:dyDescent="0.25">
      <c r="F3610" s="39"/>
      <c r="G3610" s="39"/>
      <c r="H3610" s="39"/>
      <c r="I3610" s="39"/>
    </row>
    <row r="3611" spans="6:9" x14ac:dyDescent="0.25">
      <c r="F3611" s="39"/>
      <c r="G3611" s="39"/>
      <c r="H3611" s="39"/>
      <c r="I3611" s="39"/>
    </row>
    <row r="3612" spans="6:9" x14ac:dyDescent="0.25">
      <c r="F3612" s="39"/>
      <c r="G3612" s="39"/>
      <c r="H3612" s="39"/>
      <c r="I3612" s="39"/>
    </row>
    <row r="3613" spans="6:9" x14ac:dyDescent="0.25">
      <c r="F3613" s="39"/>
      <c r="G3613" s="39"/>
      <c r="H3613" s="39"/>
      <c r="I3613" s="39"/>
    </row>
    <row r="3614" spans="6:9" x14ac:dyDescent="0.25">
      <c r="F3614" s="39"/>
      <c r="G3614" s="39"/>
      <c r="H3614" s="39"/>
      <c r="I3614" s="39"/>
    </row>
    <row r="3615" spans="6:9" x14ac:dyDescent="0.25">
      <c r="F3615" s="39"/>
      <c r="G3615" s="39"/>
      <c r="H3615" s="39"/>
      <c r="I3615" s="39"/>
    </row>
    <row r="3616" spans="6:9" x14ac:dyDescent="0.25">
      <c r="F3616" s="39"/>
      <c r="G3616" s="39"/>
      <c r="H3616" s="39"/>
      <c r="I3616" s="39"/>
    </row>
    <row r="3617" spans="6:9" x14ac:dyDescent="0.25">
      <c r="F3617" s="39"/>
      <c r="G3617" s="39"/>
      <c r="H3617" s="39"/>
      <c r="I3617" s="39"/>
    </row>
    <row r="3618" spans="6:9" x14ac:dyDescent="0.25">
      <c r="F3618" s="39"/>
      <c r="G3618" s="39"/>
      <c r="H3618" s="39"/>
      <c r="I3618" s="39"/>
    </row>
    <row r="3619" spans="6:9" x14ac:dyDescent="0.25">
      <c r="F3619" s="39"/>
      <c r="G3619" s="39"/>
      <c r="H3619" s="39"/>
      <c r="I3619" s="39"/>
    </row>
    <row r="3620" spans="6:9" x14ac:dyDescent="0.25">
      <c r="F3620" s="39"/>
      <c r="G3620" s="39"/>
      <c r="H3620" s="39"/>
      <c r="I3620" s="39"/>
    </row>
    <row r="3621" spans="6:9" x14ac:dyDescent="0.25">
      <c r="F3621" s="39"/>
      <c r="G3621" s="39"/>
      <c r="H3621" s="39"/>
      <c r="I3621" s="39"/>
    </row>
    <row r="3622" spans="6:9" x14ac:dyDescent="0.25">
      <c r="F3622" s="39"/>
      <c r="G3622" s="39"/>
      <c r="H3622" s="39"/>
      <c r="I3622" s="39"/>
    </row>
    <row r="3623" spans="6:9" x14ac:dyDescent="0.25">
      <c r="F3623" s="39"/>
      <c r="G3623" s="39"/>
      <c r="H3623" s="39"/>
      <c r="I3623" s="39"/>
    </row>
    <row r="3624" spans="6:9" x14ac:dyDescent="0.25">
      <c r="F3624" s="39"/>
      <c r="G3624" s="39"/>
      <c r="H3624" s="39"/>
      <c r="I3624" s="39"/>
    </row>
    <row r="3625" spans="6:9" x14ac:dyDescent="0.25">
      <c r="F3625" s="39"/>
      <c r="G3625" s="39"/>
      <c r="H3625" s="39"/>
      <c r="I3625" s="39"/>
    </row>
    <row r="3626" spans="6:9" x14ac:dyDescent="0.25">
      <c r="F3626" s="39"/>
      <c r="G3626" s="39"/>
      <c r="H3626" s="39"/>
      <c r="I3626" s="39"/>
    </row>
    <row r="3627" spans="6:9" x14ac:dyDescent="0.25">
      <c r="F3627" s="39"/>
      <c r="G3627" s="39"/>
      <c r="H3627" s="39"/>
      <c r="I3627" s="39"/>
    </row>
    <row r="3628" spans="6:9" x14ac:dyDescent="0.25">
      <c r="F3628" s="39"/>
      <c r="G3628" s="39"/>
      <c r="H3628" s="39"/>
      <c r="I3628" s="39"/>
    </row>
    <row r="3629" spans="6:9" x14ac:dyDescent="0.25">
      <c r="F3629" s="39"/>
      <c r="G3629" s="39"/>
      <c r="H3629" s="39"/>
      <c r="I3629" s="39"/>
    </row>
    <row r="3630" spans="6:9" x14ac:dyDescent="0.25">
      <c r="F3630" s="39"/>
      <c r="G3630" s="39"/>
      <c r="H3630" s="39"/>
      <c r="I3630" s="39"/>
    </row>
    <row r="3631" spans="6:9" x14ac:dyDescent="0.25">
      <c r="F3631" s="39"/>
      <c r="G3631" s="39"/>
      <c r="H3631" s="39"/>
      <c r="I3631" s="39"/>
    </row>
    <row r="3632" spans="6:9" x14ac:dyDescent="0.25">
      <c r="F3632" s="39"/>
      <c r="G3632" s="39"/>
      <c r="H3632" s="39"/>
      <c r="I3632" s="39"/>
    </row>
    <row r="3633" spans="6:9" x14ac:dyDescent="0.25">
      <c r="F3633" s="39"/>
      <c r="G3633" s="39"/>
      <c r="H3633" s="39"/>
      <c r="I3633" s="39"/>
    </row>
    <row r="3634" spans="6:9" x14ac:dyDescent="0.25">
      <c r="F3634" s="39"/>
      <c r="G3634" s="39"/>
      <c r="H3634" s="39"/>
      <c r="I3634" s="39"/>
    </row>
    <row r="3635" spans="6:9" x14ac:dyDescent="0.25">
      <c r="F3635" s="39"/>
      <c r="G3635" s="39"/>
      <c r="H3635" s="39"/>
      <c r="I3635" s="39"/>
    </row>
    <row r="3636" spans="6:9" x14ac:dyDescent="0.25">
      <c r="F3636" s="39"/>
      <c r="G3636" s="39"/>
      <c r="H3636" s="39"/>
      <c r="I3636" s="39"/>
    </row>
    <row r="3637" spans="6:9" x14ac:dyDescent="0.25">
      <c r="F3637" s="39"/>
      <c r="G3637" s="39"/>
      <c r="H3637" s="39"/>
      <c r="I3637" s="39"/>
    </row>
    <row r="3638" spans="6:9" x14ac:dyDescent="0.25">
      <c r="F3638" s="39"/>
      <c r="G3638" s="39"/>
      <c r="H3638" s="39"/>
      <c r="I3638" s="39"/>
    </row>
    <row r="3639" spans="6:9" x14ac:dyDescent="0.25">
      <c r="F3639" s="39"/>
      <c r="G3639" s="39"/>
      <c r="H3639" s="39"/>
      <c r="I3639" s="39"/>
    </row>
    <row r="3640" spans="6:9" x14ac:dyDescent="0.25">
      <c r="F3640" s="39"/>
      <c r="G3640" s="39"/>
      <c r="H3640" s="39"/>
      <c r="I3640" s="39"/>
    </row>
    <row r="3641" spans="6:9" x14ac:dyDescent="0.25">
      <c r="F3641" s="39"/>
      <c r="G3641" s="39"/>
      <c r="H3641" s="39"/>
      <c r="I3641" s="39"/>
    </row>
    <row r="3642" spans="6:9" x14ac:dyDescent="0.25">
      <c r="F3642" s="39"/>
      <c r="G3642" s="39"/>
      <c r="H3642" s="39"/>
      <c r="I3642" s="39"/>
    </row>
    <row r="3643" spans="6:9" x14ac:dyDescent="0.25">
      <c r="F3643" s="39"/>
      <c r="G3643" s="39"/>
      <c r="H3643" s="39"/>
      <c r="I3643" s="39"/>
    </row>
    <row r="3644" spans="6:9" x14ac:dyDescent="0.25">
      <c r="F3644" s="39"/>
      <c r="G3644" s="39"/>
      <c r="H3644" s="39"/>
      <c r="I3644" s="39"/>
    </row>
    <row r="3645" spans="6:9" x14ac:dyDescent="0.25">
      <c r="F3645" s="39"/>
      <c r="G3645" s="39"/>
      <c r="H3645" s="39"/>
      <c r="I3645" s="39"/>
    </row>
    <row r="3646" spans="6:9" x14ac:dyDescent="0.25">
      <c r="F3646" s="39"/>
      <c r="G3646" s="39"/>
      <c r="H3646" s="39"/>
      <c r="I3646" s="39"/>
    </row>
    <row r="3647" spans="6:9" x14ac:dyDescent="0.25">
      <c r="F3647" s="39"/>
      <c r="G3647" s="39"/>
      <c r="H3647" s="39"/>
      <c r="I3647" s="39"/>
    </row>
    <row r="3648" spans="6:9" x14ac:dyDescent="0.25">
      <c r="F3648" s="39"/>
      <c r="G3648" s="39"/>
      <c r="H3648" s="39"/>
      <c r="I3648" s="39"/>
    </row>
    <row r="3649" spans="6:9" x14ac:dyDescent="0.25">
      <c r="F3649" s="39"/>
      <c r="G3649" s="39"/>
      <c r="H3649" s="39"/>
      <c r="I3649" s="39"/>
    </row>
    <row r="3650" spans="6:9" x14ac:dyDescent="0.25">
      <c r="F3650" s="39"/>
      <c r="G3650" s="39"/>
      <c r="H3650" s="39"/>
      <c r="I3650" s="39"/>
    </row>
    <row r="3651" spans="6:9" x14ac:dyDescent="0.25">
      <c r="F3651" s="39"/>
      <c r="G3651" s="39"/>
      <c r="H3651" s="39"/>
      <c r="I3651" s="39"/>
    </row>
    <row r="3652" spans="6:9" x14ac:dyDescent="0.25">
      <c r="F3652" s="39"/>
      <c r="G3652" s="39"/>
      <c r="H3652" s="39"/>
      <c r="I3652" s="39"/>
    </row>
    <row r="3653" spans="6:9" x14ac:dyDescent="0.25">
      <c r="F3653" s="39"/>
      <c r="G3653" s="39"/>
      <c r="H3653" s="39"/>
      <c r="I3653" s="39"/>
    </row>
    <row r="3654" spans="6:9" x14ac:dyDescent="0.25">
      <c r="F3654" s="39"/>
      <c r="G3654" s="39"/>
      <c r="H3654" s="39"/>
      <c r="I3654" s="39"/>
    </row>
    <row r="3655" spans="6:9" x14ac:dyDescent="0.25">
      <c r="F3655" s="39"/>
      <c r="G3655" s="39"/>
      <c r="H3655" s="39"/>
      <c r="I3655" s="39"/>
    </row>
    <row r="3656" spans="6:9" x14ac:dyDescent="0.25">
      <c r="F3656" s="39"/>
      <c r="G3656" s="39"/>
      <c r="H3656" s="39"/>
      <c r="I3656" s="39"/>
    </row>
    <row r="3657" spans="6:9" x14ac:dyDescent="0.25">
      <c r="F3657" s="39"/>
      <c r="G3657" s="39"/>
      <c r="H3657" s="39"/>
      <c r="I3657" s="39"/>
    </row>
    <row r="3658" spans="6:9" x14ac:dyDescent="0.25">
      <c r="F3658" s="39"/>
      <c r="G3658" s="39"/>
      <c r="H3658" s="39"/>
      <c r="I3658" s="39"/>
    </row>
    <row r="3659" spans="6:9" x14ac:dyDescent="0.25">
      <c r="F3659" s="39"/>
      <c r="G3659" s="39"/>
      <c r="H3659" s="39"/>
      <c r="I3659" s="39"/>
    </row>
    <row r="3660" spans="6:9" x14ac:dyDescent="0.25">
      <c r="F3660" s="39"/>
      <c r="G3660" s="39"/>
      <c r="H3660" s="39"/>
      <c r="I3660" s="39"/>
    </row>
    <row r="3661" spans="6:9" x14ac:dyDescent="0.25">
      <c r="F3661" s="39"/>
      <c r="G3661" s="39"/>
      <c r="H3661" s="39"/>
      <c r="I3661" s="39"/>
    </row>
    <row r="3662" spans="6:9" x14ac:dyDescent="0.25">
      <c r="F3662" s="39"/>
      <c r="G3662" s="39"/>
      <c r="H3662" s="39"/>
      <c r="I3662" s="39"/>
    </row>
    <row r="3663" spans="6:9" x14ac:dyDescent="0.25">
      <c r="F3663" s="39"/>
      <c r="G3663" s="39"/>
      <c r="H3663" s="39"/>
      <c r="I3663" s="39"/>
    </row>
    <row r="3664" spans="6:9" x14ac:dyDescent="0.25">
      <c r="F3664" s="39"/>
      <c r="G3664" s="39"/>
      <c r="H3664" s="39"/>
      <c r="I3664" s="39"/>
    </row>
    <row r="3665" spans="6:9" x14ac:dyDescent="0.25">
      <c r="F3665" s="39"/>
      <c r="G3665" s="39"/>
      <c r="H3665" s="39"/>
      <c r="I3665" s="39"/>
    </row>
    <row r="3666" spans="6:9" x14ac:dyDescent="0.25">
      <c r="F3666" s="39"/>
      <c r="G3666" s="39"/>
      <c r="H3666" s="39"/>
      <c r="I3666" s="39"/>
    </row>
    <row r="3667" spans="6:9" x14ac:dyDescent="0.25">
      <c r="F3667" s="39"/>
      <c r="G3667" s="39"/>
      <c r="H3667" s="39"/>
      <c r="I3667" s="39"/>
    </row>
    <row r="3668" spans="6:9" x14ac:dyDescent="0.25">
      <c r="F3668" s="39"/>
      <c r="G3668" s="39"/>
      <c r="H3668" s="39"/>
      <c r="I3668" s="39"/>
    </row>
    <row r="3669" spans="6:9" x14ac:dyDescent="0.25">
      <c r="F3669" s="39"/>
      <c r="G3669" s="39"/>
      <c r="H3669" s="39"/>
      <c r="I3669" s="39"/>
    </row>
    <row r="3670" spans="6:9" x14ac:dyDescent="0.25">
      <c r="F3670" s="39"/>
      <c r="G3670" s="39"/>
      <c r="H3670" s="39"/>
      <c r="I3670" s="39"/>
    </row>
    <row r="3671" spans="6:9" x14ac:dyDescent="0.25">
      <c r="F3671" s="39"/>
      <c r="G3671" s="39"/>
      <c r="H3671" s="39"/>
      <c r="I3671" s="39"/>
    </row>
    <row r="3672" spans="6:9" x14ac:dyDescent="0.25">
      <c r="F3672" s="39"/>
      <c r="G3672" s="39"/>
      <c r="H3672" s="39"/>
      <c r="I3672" s="39"/>
    </row>
    <row r="3673" spans="6:9" x14ac:dyDescent="0.25">
      <c r="F3673" s="39"/>
      <c r="G3673" s="39"/>
      <c r="H3673" s="39"/>
      <c r="I3673" s="39"/>
    </row>
    <row r="3674" spans="6:9" x14ac:dyDescent="0.25">
      <c r="F3674" s="39"/>
      <c r="G3674" s="39"/>
      <c r="H3674" s="39"/>
      <c r="I3674" s="39"/>
    </row>
    <row r="3675" spans="6:9" x14ac:dyDescent="0.25">
      <c r="F3675" s="39"/>
      <c r="G3675" s="39"/>
      <c r="H3675" s="39"/>
      <c r="I3675" s="39"/>
    </row>
    <row r="3676" spans="6:9" x14ac:dyDescent="0.25">
      <c r="F3676" s="39"/>
      <c r="G3676" s="39"/>
      <c r="H3676" s="39"/>
      <c r="I3676" s="39"/>
    </row>
    <row r="3677" spans="6:9" x14ac:dyDescent="0.25">
      <c r="F3677" s="39"/>
      <c r="G3677" s="39"/>
      <c r="H3677" s="39"/>
      <c r="I3677" s="39"/>
    </row>
    <row r="3678" spans="6:9" x14ac:dyDescent="0.25">
      <c r="F3678" s="39"/>
      <c r="G3678" s="39"/>
      <c r="H3678" s="39"/>
      <c r="I3678" s="39"/>
    </row>
    <row r="3679" spans="6:9" x14ac:dyDescent="0.25">
      <c r="F3679" s="39"/>
      <c r="G3679" s="39"/>
      <c r="H3679" s="39"/>
      <c r="I3679" s="39"/>
    </row>
    <row r="3680" spans="6:9" x14ac:dyDescent="0.25">
      <c r="F3680" s="39"/>
      <c r="G3680" s="39"/>
      <c r="H3680" s="39"/>
      <c r="I3680" s="39"/>
    </row>
    <row r="3681" spans="6:9" x14ac:dyDescent="0.25">
      <c r="F3681" s="39"/>
      <c r="G3681" s="39"/>
      <c r="H3681" s="39"/>
      <c r="I3681" s="39"/>
    </row>
    <row r="3682" spans="6:9" x14ac:dyDescent="0.25">
      <c r="F3682" s="39"/>
      <c r="G3682" s="39"/>
      <c r="H3682" s="39"/>
      <c r="I3682" s="39"/>
    </row>
    <row r="3683" spans="6:9" x14ac:dyDescent="0.25">
      <c r="F3683" s="39"/>
      <c r="G3683" s="39"/>
      <c r="H3683" s="39"/>
      <c r="I3683" s="39"/>
    </row>
    <row r="3684" spans="6:9" x14ac:dyDescent="0.25">
      <c r="F3684" s="39"/>
      <c r="G3684" s="39"/>
      <c r="H3684" s="39"/>
      <c r="I3684" s="39"/>
    </row>
    <row r="3685" spans="6:9" x14ac:dyDescent="0.25">
      <c r="F3685" s="39"/>
      <c r="G3685" s="39"/>
      <c r="H3685" s="39"/>
      <c r="I3685" s="39"/>
    </row>
    <row r="3686" spans="6:9" x14ac:dyDescent="0.25">
      <c r="F3686" s="39"/>
      <c r="G3686" s="39"/>
      <c r="H3686" s="39"/>
      <c r="I3686" s="39"/>
    </row>
    <row r="3687" spans="6:9" x14ac:dyDescent="0.25">
      <c r="F3687" s="39"/>
      <c r="G3687" s="39"/>
      <c r="H3687" s="39"/>
      <c r="I3687" s="39"/>
    </row>
    <row r="3688" spans="6:9" x14ac:dyDescent="0.25">
      <c r="F3688" s="39"/>
      <c r="G3688" s="39"/>
      <c r="H3688" s="39"/>
      <c r="I3688" s="39"/>
    </row>
    <row r="3689" spans="6:9" x14ac:dyDescent="0.25">
      <c r="F3689" s="39"/>
      <c r="G3689" s="39"/>
      <c r="H3689" s="39"/>
      <c r="I3689" s="39"/>
    </row>
    <row r="3690" spans="6:9" x14ac:dyDescent="0.25">
      <c r="F3690" s="39"/>
      <c r="G3690" s="39"/>
      <c r="H3690" s="39"/>
      <c r="I3690" s="39"/>
    </row>
    <row r="3691" spans="6:9" x14ac:dyDescent="0.25">
      <c r="F3691" s="39"/>
      <c r="G3691" s="39"/>
      <c r="H3691" s="39"/>
      <c r="I3691" s="39"/>
    </row>
    <row r="3692" spans="6:9" x14ac:dyDescent="0.25">
      <c r="F3692" s="39"/>
      <c r="G3692" s="39"/>
      <c r="H3692" s="39"/>
      <c r="I3692" s="39"/>
    </row>
    <row r="3693" spans="6:9" x14ac:dyDescent="0.25">
      <c r="F3693" s="39"/>
      <c r="G3693" s="39"/>
      <c r="H3693" s="39"/>
      <c r="I3693" s="39"/>
    </row>
    <row r="3694" spans="6:9" x14ac:dyDescent="0.25">
      <c r="F3694" s="39"/>
      <c r="G3694" s="39"/>
      <c r="H3694" s="39"/>
      <c r="I3694" s="39"/>
    </row>
    <row r="3695" spans="6:9" x14ac:dyDescent="0.25">
      <c r="F3695" s="39"/>
      <c r="G3695" s="39"/>
      <c r="H3695" s="39"/>
      <c r="I3695" s="39"/>
    </row>
    <row r="3696" spans="6:9" x14ac:dyDescent="0.25">
      <c r="F3696" s="39"/>
      <c r="G3696" s="39"/>
      <c r="H3696" s="39"/>
      <c r="I3696" s="39"/>
    </row>
    <row r="3697" spans="6:9" x14ac:dyDescent="0.25">
      <c r="F3697" s="39"/>
      <c r="G3697" s="39"/>
      <c r="H3697" s="39"/>
      <c r="I3697" s="39"/>
    </row>
    <row r="3698" spans="6:9" x14ac:dyDescent="0.25">
      <c r="F3698" s="39"/>
      <c r="G3698" s="39"/>
      <c r="H3698" s="39"/>
      <c r="I3698" s="39"/>
    </row>
    <row r="3699" spans="6:9" x14ac:dyDescent="0.25">
      <c r="F3699" s="39"/>
      <c r="G3699" s="39"/>
      <c r="H3699" s="39"/>
      <c r="I3699" s="39"/>
    </row>
    <row r="3700" spans="6:9" x14ac:dyDescent="0.25">
      <c r="F3700" s="39"/>
      <c r="G3700" s="39"/>
      <c r="H3700" s="39"/>
      <c r="I3700" s="39"/>
    </row>
    <row r="3701" spans="6:9" x14ac:dyDescent="0.25">
      <c r="F3701" s="39"/>
      <c r="G3701" s="39"/>
      <c r="H3701" s="39"/>
      <c r="I3701" s="39"/>
    </row>
    <row r="3702" spans="6:9" x14ac:dyDescent="0.25">
      <c r="F3702" s="39"/>
      <c r="G3702" s="39"/>
      <c r="H3702" s="39"/>
      <c r="I3702" s="39"/>
    </row>
    <row r="3703" spans="6:9" x14ac:dyDescent="0.25">
      <c r="F3703" s="39"/>
      <c r="G3703" s="39"/>
      <c r="H3703" s="39"/>
      <c r="I3703" s="39"/>
    </row>
    <row r="3704" spans="6:9" x14ac:dyDescent="0.25">
      <c r="F3704" s="39"/>
      <c r="G3704" s="39"/>
      <c r="H3704" s="39"/>
      <c r="I3704" s="39"/>
    </row>
    <row r="3705" spans="6:9" x14ac:dyDescent="0.25">
      <c r="F3705" s="39"/>
      <c r="G3705" s="39"/>
      <c r="H3705" s="39"/>
      <c r="I3705" s="39"/>
    </row>
    <row r="3706" spans="6:9" x14ac:dyDescent="0.25">
      <c r="F3706" s="39"/>
      <c r="G3706" s="39"/>
      <c r="H3706" s="39"/>
      <c r="I3706" s="39"/>
    </row>
    <row r="3707" spans="6:9" x14ac:dyDescent="0.25">
      <c r="F3707" s="39"/>
      <c r="G3707" s="39"/>
      <c r="H3707" s="39"/>
      <c r="I3707" s="39"/>
    </row>
    <row r="3708" spans="6:9" x14ac:dyDescent="0.25">
      <c r="F3708" s="39"/>
      <c r="G3708" s="39"/>
      <c r="H3708" s="39"/>
      <c r="I3708" s="39"/>
    </row>
    <row r="3709" spans="6:9" x14ac:dyDescent="0.25">
      <c r="F3709" s="39"/>
      <c r="G3709" s="39"/>
      <c r="H3709" s="39"/>
      <c r="I3709" s="39"/>
    </row>
    <row r="3710" spans="6:9" x14ac:dyDescent="0.25">
      <c r="F3710" s="39"/>
      <c r="G3710" s="39"/>
      <c r="H3710" s="39"/>
      <c r="I3710" s="39"/>
    </row>
    <row r="3711" spans="6:9" x14ac:dyDescent="0.25">
      <c r="F3711" s="39"/>
      <c r="G3711" s="39"/>
      <c r="H3711" s="39"/>
      <c r="I3711" s="39"/>
    </row>
    <row r="3712" spans="6:9" x14ac:dyDescent="0.25">
      <c r="F3712" s="39"/>
      <c r="G3712" s="39"/>
      <c r="H3712" s="39"/>
      <c r="I3712" s="39"/>
    </row>
    <row r="3713" spans="6:9" x14ac:dyDescent="0.25">
      <c r="F3713" s="39"/>
      <c r="G3713" s="39"/>
      <c r="H3713" s="39"/>
      <c r="I3713" s="39"/>
    </row>
    <row r="3714" spans="6:9" x14ac:dyDescent="0.25">
      <c r="F3714" s="39"/>
      <c r="G3714" s="39"/>
      <c r="H3714" s="39"/>
      <c r="I3714" s="39"/>
    </row>
    <row r="3715" spans="6:9" x14ac:dyDescent="0.25">
      <c r="F3715" s="39"/>
      <c r="G3715" s="39"/>
      <c r="H3715" s="39"/>
      <c r="I3715" s="39"/>
    </row>
    <row r="3716" spans="6:9" x14ac:dyDescent="0.25">
      <c r="F3716" s="39"/>
      <c r="G3716" s="39"/>
      <c r="H3716" s="39"/>
      <c r="I3716" s="39"/>
    </row>
    <row r="3717" spans="6:9" x14ac:dyDescent="0.25">
      <c r="F3717" s="39"/>
      <c r="G3717" s="39"/>
      <c r="H3717" s="39"/>
      <c r="I3717" s="39"/>
    </row>
    <row r="3718" spans="6:9" x14ac:dyDescent="0.25">
      <c r="F3718" s="39"/>
      <c r="G3718" s="39"/>
      <c r="H3718" s="39"/>
      <c r="I3718" s="39"/>
    </row>
    <row r="3719" spans="6:9" x14ac:dyDescent="0.25">
      <c r="F3719" s="39"/>
      <c r="G3719" s="39"/>
      <c r="H3719" s="39"/>
      <c r="I3719" s="39"/>
    </row>
    <row r="3720" spans="6:9" x14ac:dyDescent="0.25">
      <c r="F3720" s="39"/>
      <c r="G3720" s="39"/>
      <c r="H3720" s="39"/>
      <c r="I3720" s="39"/>
    </row>
    <row r="3721" spans="6:9" x14ac:dyDescent="0.25">
      <c r="F3721" s="39"/>
      <c r="G3721" s="39"/>
      <c r="H3721" s="39"/>
      <c r="I3721" s="39"/>
    </row>
    <row r="3722" spans="6:9" x14ac:dyDescent="0.25">
      <c r="F3722" s="39"/>
      <c r="G3722" s="39"/>
      <c r="H3722" s="39"/>
      <c r="I3722" s="39"/>
    </row>
    <row r="3723" spans="6:9" x14ac:dyDescent="0.25">
      <c r="F3723" s="39"/>
      <c r="G3723" s="39"/>
      <c r="H3723" s="39"/>
      <c r="I3723" s="39"/>
    </row>
    <row r="3724" spans="6:9" x14ac:dyDescent="0.25">
      <c r="F3724" s="39"/>
      <c r="G3724" s="39"/>
      <c r="H3724" s="39"/>
      <c r="I3724" s="39"/>
    </row>
    <row r="3725" spans="6:9" x14ac:dyDescent="0.25">
      <c r="F3725" s="39"/>
      <c r="G3725" s="39"/>
      <c r="H3725" s="39"/>
      <c r="I3725" s="39"/>
    </row>
    <row r="3726" spans="6:9" x14ac:dyDescent="0.25">
      <c r="F3726" s="39"/>
      <c r="G3726" s="39"/>
      <c r="H3726" s="39"/>
      <c r="I3726" s="39"/>
    </row>
    <row r="3727" spans="6:9" x14ac:dyDescent="0.25">
      <c r="F3727" s="39"/>
      <c r="G3727" s="39"/>
      <c r="H3727" s="39"/>
      <c r="I3727" s="39"/>
    </row>
    <row r="3728" spans="6:9" x14ac:dyDescent="0.25">
      <c r="F3728" s="39"/>
      <c r="G3728" s="39"/>
      <c r="H3728" s="39"/>
      <c r="I3728" s="39"/>
    </row>
    <row r="3729" spans="6:9" x14ac:dyDescent="0.25">
      <c r="F3729" s="39"/>
      <c r="G3729" s="39"/>
      <c r="H3729" s="39"/>
      <c r="I3729" s="39"/>
    </row>
    <row r="3730" spans="6:9" x14ac:dyDescent="0.25">
      <c r="F3730" s="39"/>
      <c r="G3730" s="39"/>
      <c r="H3730" s="39"/>
      <c r="I3730" s="39"/>
    </row>
    <row r="3731" spans="6:9" x14ac:dyDescent="0.25">
      <c r="F3731" s="39"/>
      <c r="G3731" s="39"/>
      <c r="H3731" s="39"/>
      <c r="I3731" s="39"/>
    </row>
    <row r="3732" spans="6:9" x14ac:dyDescent="0.25">
      <c r="F3732" s="39"/>
      <c r="G3732" s="39"/>
      <c r="H3732" s="39"/>
      <c r="I3732" s="39"/>
    </row>
    <row r="3733" spans="6:9" x14ac:dyDescent="0.25">
      <c r="F3733" s="39"/>
      <c r="G3733" s="39"/>
      <c r="H3733" s="39"/>
      <c r="I3733" s="39"/>
    </row>
    <row r="3734" spans="6:9" x14ac:dyDescent="0.25">
      <c r="F3734" s="39"/>
      <c r="G3734" s="39"/>
      <c r="H3734" s="39"/>
      <c r="I3734" s="39"/>
    </row>
    <row r="3735" spans="6:9" x14ac:dyDescent="0.25">
      <c r="F3735" s="39"/>
      <c r="G3735" s="39"/>
      <c r="H3735" s="39"/>
      <c r="I3735" s="39"/>
    </row>
    <row r="3736" spans="6:9" x14ac:dyDescent="0.25">
      <c r="F3736" s="39"/>
      <c r="G3736" s="39"/>
      <c r="H3736" s="39"/>
      <c r="I3736" s="39"/>
    </row>
    <row r="3737" spans="6:9" x14ac:dyDescent="0.25">
      <c r="F3737" s="39"/>
      <c r="G3737" s="39"/>
      <c r="H3737" s="39"/>
      <c r="I3737" s="39"/>
    </row>
    <row r="3738" spans="6:9" x14ac:dyDescent="0.25">
      <c r="F3738" s="39"/>
      <c r="G3738" s="39"/>
      <c r="H3738" s="39"/>
      <c r="I3738" s="39"/>
    </row>
    <row r="3739" spans="6:9" x14ac:dyDescent="0.25">
      <c r="F3739" s="39"/>
      <c r="G3739" s="39"/>
      <c r="H3739" s="39"/>
      <c r="I3739" s="39"/>
    </row>
    <row r="3740" spans="6:9" x14ac:dyDescent="0.25">
      <c r="F3740" s="39"/>
      <c r="G3740" s="39"/>
      <c r="H3740" s="39"/>
      <c r="I3740" s="39"/>
    </row>
    <row r="3741" spans="6:9" x14ac:dyDescent="0.25">
      <c r="F3741" s="39"/>
      <c r="G3741" s="39"/>
      <c r="H3741" s="39"/>
      <c r="I3741" s="39"/>
    </row>
    <row r="3742" spans="6:9" x14ac:dyDescent="0.25">
      <c r="F3742" s="39"/>
      <c r="G3742" s="39"/>
      <c r="H3742" s="39"/>
      <c r="I3742" s="39"/>
    </row>
    <row r="3743" spans="6:9" x14ac:dyDescent="0.25">
      <c r="F3743" s="39"/>
      <c r="G3743" s="39"/>
      <c r="H3743" s="39"/>
      <c r="I3743" s="39"/>
    </row>
    <row r="3744" spans="6:9" x14ac:dyDescent="0.25">
      <c r="F3744" s="39"/>
      <c r="G3744" s="39"/>
      <c r="H3744" s="39"/>
      <c r="I3744" s="39"/>
    </row>
    <row r="3745" spans="6:9" x14ac:dyDescent="0.25">
      <c r="F3745" s="39"/>
      <c r="G3745" s="39"/>
      <c r="H3745" s="39"/>
      <c r="I3745" s="39"/>
    </row>
    <row r="3746" spans="6:9" x14ac:dyDescent="0.25">
      <c r="F3746" s="39"/>
      <c r="G3746" s="39"/>
      <c r="H3746" s="39"/>
      <c r="I3746" s="39"/>
    </row>
    <row r="3747" spans="6:9" x14ac:dyDescent="0.25">
      <c r="F3747" s="39"/>
      <c r="G3747" s="39"/>
      <c r="H3747" s="39"/>
      <c r="I3747" s="39"/>
    </row>
    <row r="3748" spans="6:9" x14ac:dyDescent="0.25">
      <c r="F3748" s="39"/>
      <c r="G3748" s="39"/>
      <c r="H3748" s="39"/>
      <c r="I3748" s="39"/>
    </row>
    <row r="3749" spans="6:9" x14ac:dyDescent="0.25">
      <c r="F3749" s="39"/>
      <c r="G3749" s="39"/>
      <c r="H3749" s="39"/>
      <c r="I3749" s="39"/>
    </row>
    <row r="3750" spans="6:9" x14ac:dyDescent="0.25">
      <c r="F3750" s="39"/>
      <c r="G3750" s="39"/>
      <c r="H3750" s="39"/>
      <c r="I3750" s="39"/>
    </row>
    <row r="3751" spans="6:9" x14ac:dyDescent="0.25">
      <c r="F3751" s="39"/>
      <c r="G3751" s="39"/>
      <c r="H3751" s="39"/>
      <c r="I3751" s="39"/>
    </row>
    <row r="3752" spans="6:9" x14ac:dyDescent="0.25">
      <c r="F3752" s="39"/>
      <c r="G3752" s="39"/>
      <c r="H3752" s="39"/>
      <c r="I3752" s="39"/>
    </row>
    <row r="3753" spans="6:9" x14ac:dyDescent="0.25">
      <c r="F3753" s="39"/>
      <c r="G3753" s="39"/>
      <c r="H3753" s="39"/>
      <c r="I3753" s="39"/>
    </row>
    <row r="3754" spans="6:9" x14ac:dyDescent="0.25">
      <c r="F3754" s="39"/>
      <c r="G3754" s="39"/>
      <c r="H3754" s="39"/>
      <c r="I3754" s="39"/>
    </row>
    <row r="3755" spans="6:9" x14ac:dyDescent="0.25">
      <c r="F3755" s="39"/>
      <c r="G3755" s="39"/>
      <c r="H3755" s="39"/>
      <c r="I3755" s="39"/>
    </row>
    <row r="3756" spans="6:9" x14ac:dyDescent="0.25">
      <c r="F3756" s="39"/>
      <c r="G3756" s="39"/>
      <c r="H3756" s="39"/>
      <c r="I3756" s="39"/>
    </row>
    <row r="3757" spans="6:9" x14ac:dyDescent="0.25">
      <c r="F3757" s="39"/>
      <c r="G3757" s="39"/>
      <c r="H3757" s="39"/>
      <c r="I3757" s="39"/>
    </row>
    <row r="3758" spans="6:9" x14ac:dyDescent="0.25">
      <c r="F3758" s="39"/>
      <c r="G3758" s="39"/>
      <c r="H3758" s="39"/>
      <c r="I3758" s="39"/>
    </row>
    <row r="3759" spans="6:9" x14ac:dyDescent="0.25">
      <c r="F3759" s="39"/>
      <c r="G3759" s="39"/>
      <c r="H3759" s="39"/>
      <c r="I3759" s="39"/>
    </row>
    <row r="3760" spans="6:9" x14ac:dyDescent="0.25">
      <c r="F3760" s="39"/>
      <c r="G3760" s="39"/>
      <c r="H3760" s="39"/>
      <c r="I3760" s="39"/>
    </row>
    <row r="3761" spans="6:9" x14ac:dyDescent="0.25">
      <c r="F3761" s="39"/>
      <c r="G3761" s="39"/>
      <c r="H3761" s="39"/>
      <c r="I3761" s="39"/>
    </row>
    <row r="3762" spans="6:9" x14ac:dyDescent="0.25">
      <c r="F3762" s="39"/>
      <c r="G3762" s="39"/>
      <c r="H3762" s="39"/>
      <c r="I3762" s="39"/>
    </row>
    <row r="3763" spans="6:9" x14ac:dyDescent="0.25">
      <c r="F3763" s="39"/>
      <c r="G3763" s="39"/>
      <c r="H3763" s="39"/>
      <c r="I3763" s="39"/>
    </row>
    <row r="3764" spans="6:9" x14ac:dyDescent="0.25">
      <c r="F3764" s="39"/>
      <c r="G3764" s="39"/>
      <c r="H3764" s="39"/>
      <c r="I3764" s="39"/>
    </row>
    <row r="3765" spans="6:9" x14ac:dyDescent="0.25">
      <c r="F3765" s="39"/>
      <c r="G3765" s="39"/>
      <c r="H3765" s="39"/>
      <c r="I3765" s="39"/>
    </row>
    <row r="3766" spans="6:9" x14ac:dyDescent="0.25">
      <c r="F3766" s="39"/>
      <c r="G3766" s="39"/>
      <c r="H3766" s="39"/>
      <c r="I3766" s="39"/>
    </row>
    <row r="3767" spans="6:9" x14ac:dyDescent="0.25">
      <c r="F3767" s="39"/>
      <c r="G3767" s="39"/>
      <c r="H3767" s="39"/>
      <c r="I3767" s="39"/>
    </row>
    <row r="3768" spans="6:9" x14ac:dyDescent="0.25">
      <c r="F3768" s="39"/>
      <c r="G3768" s="39"/>
      <c r="H3768" s="39"/>
      <c r="I3768" s="39"/>
    </row>
    <row r="3769" spans="6:9" x14ac:dyDescent="0.25">
      <c r="F3769" s="39"/>
      <c r="G3769" s="39"/>
      <c r="H3769" s="39"/>
      <c r="I3769" s="39"/>
    </row>
    <row r="3770" spans="6:9" x14ac:dyDescent="0.25">
      <c r="F3770" s="39"/>
      <c r="G3770" s="39"/>
      <c r="H3770" s="39"/>
      <c r="I3770" s="39"/>
    </row>
    <row r="3771" spans="6:9" x14ac:dyDescent="0.25">
      <c r="F3771" s="39"/>
      <c r="G3771" s="39"/>
      <c r="H3771" s="39"/>
      <c r="I3771" s="39"/>
    </row>
    <row r="3772" spans="6:9" x14ac:dyDescent="0.25">
      <c r="F3772" s="39"/>
      <c r="G3772" s="39"/>
      <c r="H3772" s="39"/>
      <c r="I3772" s="39"/>
    </row>
    <row r="3773" spans="6:9" x14ac:dyDescent="0.25">
      <c r="F3773" s="39"/>
      <c r="G3773" s="39"/>
      <c r="H3773" s="39"/>
      <c r="I3773" s="39"/>
    </row>
    <row r="3774" spans="6:9" x14ac:dyDescent="0.25">
      <c r="F3774" s="39"/>
      <c r="G3774" s="39"/>
      <c r="H3774" s="39"/>
      <c r="I3774" s="39"/>
    </row>
    <row r="3775" spans="6:9" x14ac:dyDescent="0.25">
      <c r="F3775" s="39"/>
      <c r="G3775" s="39"/>
      <c r="H3775" s="39"/>
      <c r="I3775" s="39"/>
    </row>
    <row r="3776" spans="6:9" x14ac:dyDescent="0.25">
      <c r="F3776" s="39"/>
      <c r="G3776" s="39"/>
      <c r="H3776" s="39"/>
      <c r="I3776" s="39"/>
    </row>
    <row r="3777" spans="6:9" x14ac:dyDescent="0.25">
      <c r="F3777" s="39"/>
      <c r="G3777" s="39"/>
      <c r="H3777" s="39"/>
      <c r="I3777" s="39"/>
    </row>
    <row r="3778" spans="6:9" x14ac:dyDescent="0.25">
      <c r="F3778" s="39"/>
      <c r="G3778" s="39"/>
      <c r="H3778" s="39"/>
      <c r="I3778" s="39"/>
    </row>
    <row r="3779" spans="6:9" x14ac:dyDescent="0.25">
      <c r="F3779" s="39"/>
      <c r="G3779" s="39"/>
      <c r="H3779" s="39"/>
      <c r="I3779" s="39"/>
    </row>
    <row r="3780" spans="6:9" x14ac:dyDescent="0.25">
      <c r="F3780" s="39"/>
      <c r="G3780" s="39"/>
      <c r="H3780" s="39"/>
      <c r="I3780" s="39"/>
    </row>
    <row r="3781" spans="6:9" x14ac:dyDescent="0.25">
      <c r="F3781" s="39"/>
      <c r="G3781" s="39"/>
      <c r="H3781" s="39"/>
      <c r="I3781" s="39"/>
    </row>
    <row r="3782" spans="6:9" x14ac:dyDescent="0.25">
      <c r="F3782" s="39"/>
      <c r="G3782" s="39"/>
      <c r="H3782" s="39"/>
      <c r="I3782" s="39"/>
    </row>
    <row r="3783" spans="6:9" x14ac:dyDescent="0.25">
      <c r="F3783" s="39"/>
      <c r="G3783" s="39"/>
      <c r="H3783" s="39"/>
      <c r="I3783" s="39"/>
    </row>
    <row r="3784" spans="6:9" x14ac:dyDescent="0.25">
      <c r="F3784" s="39"/>
      <c r="G3784" s="39"/>
      <c r="H3784" s="39"/>
      <c r="I3784" s="39"/>
    </row>
    <row r="3785" spans="6:9" x14ac:dyDescent="0.25">
      <c r="F3785" s="39"/>
      <c r="G3785" s="39"/>
      <c r="H3785" s="39"/>
      <c r="I3785" s="39"/>
    </row>
    <row r="3786" spans="6:9" x14ac:dyDescent="0.25">
      <c r="F3786" s="39"/>
      <c r="G3786" s="39"/>
      <c r="H3786" s="39"/>
      <c r="I3786" s="39"/>
    </row>
    <row r="3787" spans="6:9" x14ac:dyDescent="0.25">
      <c r="F3787" s="39"/>
      <c r="G3787" s="39"/>
      <c r="H3787" s="39"/>
      <c r="I3787" s="39"/>
    </row>
    <row r="3788" spans="6:9" x14ac:dyDescent="0.25">
      <c r="F3788" s="39"/>
      <c r="G3788" s="39"/>
      <c r="H3788" s="39"/>
      <c r="I3788" s="39"/>
    </row>
    <row r="3789" spans="6:9" x14ac:dyDescent="0.25">
      <c r="F3789" s="39"/>
      <c r="G3789" s="39"/>
      <c r="H3789" s="39"/>
      <c r="I3789" s="39"/>
    </row>
    <row r="3790" spans="6:9" x14ac:dyDescent="0.25">
      <c r="F3790" s="39"/>
      <c r="G3790" s="39"/>
      <c r="H3790" s="39"/>
      <c r="I3790" s="39"/>
    </row>
    <row r="3791" spans="6:9" x14ac:dyDescent="0.25">
      <c r="F3791" s="39"/>
      <c r="G3791" s="39"/>
      <c r="H3791" s="39"/>
      <c r="I3791" s="39"/>
    </row>
    <row r="3792" spans="6:9" x14ac:dyDescent="0.25">
      <c r="F3792" s="39"/>
      <c r="G3792" s="39"/>
      <c r="H3792" s="39"/>
      <c r="I3792" s="39"/>
    </row>
    <row r="3793" spans="6:9" x14ac:dyDescent="0.25">
      <c r="F3793" s="39"/>
      <c r="G3793" s="39"/>
      <c r="H3793" s="39"/>
      <c r="I3793" s="39"/>
    </row>
    <row r="3794" spans="6:9" x14ac:dyDescent="0.25">
      <c r="F3794" s="39"/>
      <c r="G3794" s="39"/>
      <c r="H3794" s="39"/>
      <c r="I3794" s="39"/>
    </row>
    <row r="3795" spans="6:9" x14ac:dyDescent="0.25">
      <c r="F3795" s="39"/>
      <c r="G3795" s="39"/>
      <c r="H3795" s="39"/>
      <c r="I3795" s="39"/>
    </row>
    <row r="3796" spans="6:9" x14ac:dyDescent="0.25">
      <c r="F3796" s="39"/>
      <c r="G3796" s="39"/>
      <c r="H3796" s="39"/>
      <c r="I3796" s="39"/>
    </row>
    <row r="3797" spans="6:9" x14ac:dyDescent="0.25">
      <c r="F3797" s="39"/>
      <c r="G3797" s="39"/>
      <c r="H3797" s="39"/>
      <c r="I3797" s="39"/>
    </row>
    <row r="3798" spans="6:9" x14ac:dyDescent="0.25">
      <c r="F3798" s="39"/>
      <c r="G3798" s="39"/>
      <c r="H3798" s="39"/>
      <c r="I3798" s="39"/>
    </row>
    <row r="3799" spans="6:9" x14ac:dyDescent="0.25">
      <c r="F3799" s="39"/>
      <c r="G3799" s="39"/>
      <c r="H3799" s="39"/>
      <c r="I3799" s="39"/>
    </row>
    <row r="3800" spans="6:9" x14ac:dyDescent="0.25">
      <c r="F3800" s="39"/>
      <c r="G3800" s="39"/>
      <c r="H3800" s="39"/>
      <c r="I3800" s="39"/>
    </row>
    <row r="3801" spans="6:9" x14ac:dyDescent="0.25">
      <c r="F3801" s="39"/>
      <c r="G3801" s="39"/>
      <c r="H3801" s="39"/>
      <c r="I3801" s="39"/>
    </row>
    <row r="3802" spans="6:9" x14ac:dyDescent="0.25">
      <c r="F3802" s="39"/>
      <c r="G3802" s="39"/>
      <c r="H3802" s="39"/>
      <c r="I3802" s="39"/>
    </row>
    <row r="3803" spans="6:9" x14ac:dyDescent="0.25">
      <c r="F3803" s="39"/>
      <c r="G3803" s="39"/>
      <c r="H3803" s="39"/>
      <c r="I3803" s="39"/>
    </row>
    <row r="3804" spans="6:9" x14ac:dyDescent="0.25">
      <c r="F3804" s="39"/>
      <c r="G3804" s="39"/>
      <c r="H3804" s="39"/>
      <c r="I3804" s="39"/>
    </row>
    <row r="3805" spans="6:9" x14ac:dyDescent="0.25">
      <c r="F3805" s="39"/>
      <c r="G3805" s="39"/>
      <c r="H3805" s="39"/>
      <c r="I3805" s="39"/>
    </row>
    <row r="3806" spans="6:9" x14ac:dyDescent="0.25">
      <c r="F3806" s="39"/>
      <c r="G3806" s="39"/>
      <c r="H3806" s="39"/>
      <c r="I3806" s="39"/>
    </row>
    <row r="3807" spans="6:9" x14ac:dyDescent="0.25">
      <c r="F3807" s="39"/>
      <c r="G3807" s="39"/>
      <c r="H3807" s="39"/>
      <c r="I3807" s="39"/>
    </row>
    <row r="3808" spans="6:9" x14ac:dyDescent="0.25">
      <c r="F3808" s="39"/>
      <c r="G3808" s="39"/>
      <c r="H3808" s="39"/>
      <c r="I3808" s="39"/>
    </row>
    <row r="3809" spans="6:9" x14ac:dyDescent="0.25">
      <c r="F3809" s="39"/>
      <c r="G3809" s="39"/>
      <c r="H3809" s="39"/>
      <c r="I3809" s="39"/>
    </row>
    <row r="3810" spans="6:9" x14ac:dyDescent="0.25">
      <c r="F3810" s="39"/>
      <c r="G3810" s="39"/>
      <c r="H3810" s="39"/>
      <c r="I3810" s="39"/>
    </row>
    <row r="3811" spans="6:9" x14ac:dyDescent="0.25">
      <c r="F3811" s="39"/>
      <c r="G3811" s="39"/>
      <c r="H3811" s="39"/>
      <c r="I3811" s="39"/>
    </row>
    <row r="3812" spans="6:9" x14ac:dyDescent="0.25">
      <c r="F3812" s="39"/>
      <c r="G3812" s="39"/>
      <c r="H3812" s="39"/>
      <c r="I3812" s="39"/>
    </row>
    <row r="3813" spans="6:9" x14ac:dyDescent="0.25">
      <c r="F3813" s="39"/>
      <c r="G3813" s="39"/>
      <c r="H3813" s="39"/>
      <c r="I3813" s="39"/>
    </row>
    <row r="3814" spans="6:9" x14ac:dyDescent="0.25">
      <c r="F3814" s="39"/>
      <c r="G3814" s="39"/>
      <c r="H3814" s="39"/>
      <c r="I3814" s="39"/>
    </row>
    <row r="3815" spans="6:9" x14ac:dyDescent="0.25">
      <c r="F3815" s="39"/>
      <c r="G3815" s="39"/>
      <c r="H3815" s="39"/>
      <c r="I3815" s="39"/>
    </row>
    <row r="3816" spans="6:9" x14ac:dyDescent="0.25">
      <c r="F3816" s="39"/>
      <c r="G3816" s="39"/>
      <c r="H3816" s="39"/>
      <c r="I3816" s="39"/>
    </row>
    <row r="3817" spans="6:9" x14ac:dyDescent="0.25">
      <c r="F3817" s="39"/>
      <c r="G3817" s="39"/>
      <c r="H3817" s="39"/>
      <c r="I3817" s="39"/>
    </row>
    <row r="3818" spans="6:9" x14ac:dyDescent="0.25">
      <c r="F3818" s="39"/>
      <c r="G3818" s="39"/>
      <c r="H3818" s="39"/>
      <c r="I3818" s="39"/>
    </row>
    <row r="3819" spans="6:9" x14ac:dyDescent="0.25">
      <c r="F3819" s="39"/>
      <c r="G3819" s="39"/>
      <c r="H3819" s="39"/>
      <c r="I3819" s="39"/>
    </row>
    <row r="3820" spans="6:9" x14ac:dyDescent="0.25">
      <c r="F3820" s="39"/>
      <c r="G3820" s="39"/>
      <c r="H3820" s="39"/>
      <c r="I3820" s="39"/>
    </row>
    <row r="3821" spans="6:9" x14ac:dyDescent="0.25">
      <c r="F3821" s="39"/>
      <c r="G3821" s="39"/>
      <c r="H3821" s="39"/>
      <c r="I3821" s="39"/>
    </row>
    <row r="3822" spans="6:9" x14ac:dyDescent="0.25">
      <c r="F3822" s="39"/>
      <c r="G3822" s="39"/>
      <c r="H3822" s="39"/>
      <c r="I3822" s="39"/>
    </row>
    <row r="3823" spans="6:9" x14ac:dyDescent="0.25">
      <c r="F3823" s="39"/>
      <c r="G3823" s="39"/>
      <c r="H3823" s="39"/>
      <c r="I3823" s="39"/>
    </row>
    <row r="3824" spans="6:9" x14ac:dyDescent="0.25">
      <c r="F3824" s="39"/>
      <c r="G3824" s="39"/>
      <c r="H3824" s="39"/>
      <c r="I3824" s="39"/>
    </row>
    <row r="3825" spans="6:9" x14ac:dyDescent="0.25">
      <c r="F3825" s="39"/>
      <c r="G3825" s="39"/>
      <c r="H3825" s="39"/>
      <c r="I3825" s="39"/>
    </row>
    <row r="3826" spans="6:9" x14ac:dyDescent="0.25">
      <c r="F3826" s="39"/>
      <c r="G3826" s="39"/>
      <c r="H3826" s="39"/>
      <c r="I3826" s="39"/>
    </row>
    <row r="3827" spans="6:9" x14ac:dyDescent="0.25">
      <c r="F3827" s="39"/>
      <c r="G3827" s="39"/>
      <c r="H3827" s="39"/>
      <c r="I3827" s="39"/>
    </row>
    <row r="3828" spans="6:9" x14ac:dyDescent="0.25">
      <c r="F3828" s="39"/>
      <c r="G3828" s="39"/>
      <c r="H3828" s="39"/>
      <c r="I3828" s="39"/>
    </row>
    <row r="3829" spans="6:9" x14ac:dyDescent="0.25">
      <c r="F3829" s="39"/>
      <c r="G3829" s="39"/>
      <c r="H3829" s="39"/>
      <c r="I3829" s="39"/>
    </row>
    <row r="3830" spans="6:9" x14ac:dyDescent="0.25">
      <c r="F3830" s="39"/>
      <c r="G3830" s="39"/>
      <c r="H3830" s="39"/>
      <c r="I3830" s="39"/>
    </row>
    <row r="3831" spans="6:9" x14ac:dyDescent="0.25">
      <c r="F3831" s="39"/>
      <c r="G3831" s="39"/>
      <c r="H3831" s="39"/>
      <c r="I3831" s="39"/>
    </row>
    <row r="3832" spans="6:9" x14ac:dyDescent="0.25">
      <c r="F3832" s="39"/>
      <c r="G3832" s="39"/>
      <c r="H3832" s="39"/>
      <c r="I3832" s="39"/>
    </row>
    <row r="3833" spans="6:9" x14ac:dyDescent="0.25">
      <c r="F3833" s="39"/>
      <c r="G3833" s="39"/>
      <c r="H3833" s="39"/>
      <c r="I3833" s="39"/>
    </row>
    <row r="3834" spans="6:9" x14ac:dyDescent="0.25">
      <c r="F3834" s="39"/>
      <c r="G3834" s="39"/>
      <c r="H3834" s="39"/>
      <c r="I3834" s="39"/>
    </row>
    <row r="3835" spans="6:9" x14ac:dyDescent="0.25">
      <c r="F3835" s="39"/>
      <c r="G3835" s="39"/>
      <c r="H3835" s="39"/>
      <c r="I3835" s="39"/>
    </row>
    <row r="3836" spans="6:9" x14ac:dyDescent="0.25">
      <c r="F3836" s="39"/>
      <c r="G3836" s="39"/>
      <c r="H3836" s="39"/>
      <c r="I3836" s="39"/>
    </row>
    <row r="3837" spans="6:9" x14ac:dyDescent="0.25">
      <c r="F3837" s="39"/>
      <c r="G3837" s="39"/>
      <c r="H3837" s="39"/>
      <c r="I3837" s="39"/>
    </row>
    <row r="3838" spans="6:9" x14ac:dyDescent="0.25">
      <c r="F3838" s="39"/>
      <c r="G3838" s="39"/>
      <c r="H3838" s="39"/>
      <c r="I3838" s="39"/>
    </row>
    <row r="3839" spans="6:9" x14ac:dyDescent="0.25">
      <c r="F3839" s="39"/>
      <c r="G3839" s="39"/>
      <c r="H3839" s="39"/>
      <c r="I3839" s="39"/>
    </row>
    <row r="3840" spans="6:9" x14ac:dyDescent="0.25">
      <c r="F3840" s="39"/>
      <c r="G3840" s="39"/>
      <c r="H3840" s="39"/>
      <c r="I3840" s="39"/>
    </row>
    <row r="3841" spans="6:9" x14ac:dyDescent="0.25">
      <c r="F3841" s="39"/>
      <c r="G3841" s="39"/>
      <c r="H3841" s="39"/>
      <c r="I3841" s="39"/>
    </row>
    <row r="3842" spans="6:9" x14ac:dyDescent="0.25">
      <c r="F3842" s="39"/>
      <c r="G3842" s="39"/>
      <c r="H3842" s="39"/>
      <c r="I3842" s="39"/>
    </row>
    <row r="3843" spans="6:9" x14ac:dyDescent="0.25">
      <c r="F3843" s="39"/>
      <c r="G3843" s="39"/>
      <c r="H3843" s="39"/>
      <c r="I3843" s="39"/>
    </row>
    <row r="3844" spans="6:9" x14ac:dyDescent="0.25">
      <c r="F3844" s="39"/>
      <c r="G3844" s="39"/>
      <c r="H3844" s="39"/>
      <c r="I3844" s="39"/>
    </row>
    <row r="3845" spans="6:9" x14ac:dyDescent="0.25">
      <c r="F3845" s="39"/>
      <c r="G3845" s="39"/>
      <c r="H3845" s="39"/>
      <c r="I3845" s="39"/>
    </row>
    <row r="3846" spans="6:9" x14ac:dyDescent="0.25">
      <c r="F3846" s="39"/>
      <c r="G3846" s="39"/>
      <c r="H3846" s="39"/>
      <c r="I3846" s="39"/>
    </row>
    <row r="3847" spans="6:9" x14ac:dyDescent="0.25">
      <c r="F3847" s="39"/>
      <c r="G3847" s="39"/>
      <c r="H3847" s="39"/>
      <c r="I3847" s="39"/>
    </row>
    <row r="3848" spans="6:9" x14ac:dyDescent="0.25">
      <c r="F3848" s="39"/>
      <c r="G3848" s="39"/>
      <c r="H3848" s="39"/>
      <c r="I3848" s="39"/>
    </row>
    <row r="3849" spans="6:9" x14ac:dyDescent="0.25">
      <c r="F3849" s="39"/>
      <c r="G3849" s="39"/>
      <c r="H3849" s="39"/>
      <c r="I3849" s="39"/>
    </row>
    <row r="3850" spans="6:9" x14ac:dyDescent="0.25">
      <c r="F3850" s="39"/>
      <c r="G3850" s="39"/>
      <c r="H3850" s="39"/>
      <c r="I3850" s="39"/>
    </row>
    <row r="3851" spans="6:9" x14ac:dyDescent="0.25">
      <c r="F3851" s="39"/>
      <c r="G3851" s="39"/>
      <c r="H3851" s="39"/>
      <c r="I3851" s="39"/>
    </row>
    <row r="3852" spans="6:9" x14ac:dyDescent="0.25">
      <c r="F3852" s="39"/>
      <c r="G3852" s="39"/>
      <c r="H3852" s="39"/>
      <c r="I3852" s="39"/>
    </row>
    <row r="3853" spans="6:9" x14ac:dyDescent="0.25">
      <c r="F3853" s="39"/>
      <c r="G3853" s="39"/>
      <c r="H3853" s="39"/>
      <c r="I3853" s="39"/>
    </row>
    <row r="3854" spans="6:9" x14ac:dyDescent="0.25">
      <c r="F3854" s="39"/>
      <c r="G3854" s="39"/>
      <c r="H3854" s="39"/>
      <c r="I3854" s="39"/>
    </row>
    <row r="3855" spans="6:9" x14ac:dyDescent="0.25">
      <c r="F3855" s="39"/>
      <c r="G3855" s="39"/>
      <c r="H3855" s="39"/>
      <c r="I3855" s="39"/>
    </row>
    <row r="3856" spans="6:9" x14ac:dyDescent="0.25">
      <c r="F3856" s="39"/>
      <c r="G3856" s="39"/>
      <c r="H3856" s="39"/>
      <c r="I3856" s="39"/>
    </row>
    <row r="3857" spans="6:9" x14ac:dyDescent="0.25">
      <c r="F3857" s="39"/>
      <c r="G3857" s="39"/>
      <c r="H3857" s="39"/>
      <c r="I3857" s="39"/>
    </row>
    <row r="3858" spans="6:9" x14ac:dyDescent="0.25">
      <c r="F3858" s="39"/>
      <c r="G3858" s="39"/>
      <c r="H3858" s="39"/>
      <c r="I3858" s="39"/>
    </row>
    <row r="3859" spans="6:9" x14ac:dyDescent="0.25">
      <c r="F3859" s="39"/>
      <c r="G3859" s="39"/>
      <c r="H3859" s="39"/>
      <c r="I3859" s="39"/>
    </row>
    <row r="3860" spans="6:9" x14ac:dyDescent="0.25">
      <c r="F3860" s="39"/>
      <c r="G3860" s="39"/>
      <c r="H3860" s="39"/>
      <c r="I3860" s="39"/>
    </row>
    <row r="3861" spans="6:9" x14ac:dyDescent="0.25">
      <c r="F3861" s="39"/>
      <c r="G3861" s="39"/>
      <c r="H3861" s="39"/>
      <c r="I3861" s="39"/>
    </row>
    <row r="3862" spans="6:9" x14ac:dyDescent="0.25">
      <c r="F3862" s="39"/>
      <c r="G3862" s="39"/>
      <c r="H3862" s="39"/>
      <c r="I3862" s="39"/>
    </row>
    <row r="3863" spans="6:9" x14ac:dyDescent="0.25">
      <c r="F3863" s="39"/>
      <c r="G3863" s="39"/>
      <c r="H3863" s="39"/>
      <c r="I3863" s="39"/>
    </row>
    <row r="3864" spans="6:9" x14ac:dyDescent="0.25">
      <c r="F3864" s="39"/>
      <c r="G3864" s="39"/>
      <c r="H3864" s="39"/>
      <c r="I3864" s="39"/>
    </row>
    <row r="3865" spans="6:9" x14ac:dyDescent="0.25">
      <c r="F3865" s="39"/>
      <c r="G3865" s="39"/>
      <c r="H3865" s="39"/>
      <c r="I3865" s="39"/>
    </row>
    <row r="3866" spans="6:9" x14ac:dyDescent="0.25">
      <c r="F3866" s="39"/>
      <c r="G3866" s="39"/>
      <c r="H3866" s="39"/>
      <c r="I3866" s="39"/>
    </row>
    <row r="3867" spans="6:9" x14ac:dyDescent="0.25">
      <c r="F3867" s="39"/>
      <c r="G3867" s="39"/>
      <c r="H3867" s="39"/>
      <c r="I3867" s="39"/>
    </row>
    <row r="3868" spans="6:9" x14ac:dyDescent="0.25">
      <c r="F3868" s="39"/>
      <c r="G3868" s="39"/>
      <c r="H3868" s="39"/>
      <c r="I3868" s="39"/>
    </row>
    <row r="3869" spans="6:9" x14ac:dyDescent="0.25">
      <c r="F3869" s="39"/>
      <c r="G3869" s="39"/>
      <c r="H3869" s="39"/>
      <c r="I3869" s="39"/>
    </row>
    <row r="3870" spans="6:9" x14ac:dyDescent="0.25">
      <c r="F3870" s="39"/>
      <c r="G3870" s="39"/>
      <c r="H3870" s="39"/>
      <c r="I3870" s="39"/>
    </row>
    <row r="3871" spans="6:9" x14ac:dyDescent="0.25">
      <c r="F3871" s="39"/>
      <c r="G3871" s="39"/>
      <c r="H3871" s="39"/>
      <c r="I3871" s="39"/>
    </row>
    <row r="3872" spans="6:9" x14ac:dyDescent="0.25">
      <c r="F3872" s="39"/>
      <c r="G3872" s="39"/>
      <c r="H3872" s="39"/>
      <c r="I3872" s="39"/>
    </row>
    <row r="3873" spans="6:9" x14ac:dyDescent="0.25">
      <c r="F3873" s="39"/>
      <c r="G3873" s="39"/>
      <c r="H3873" s="39"/>
      <c r="I3873" s="39"/>
    </row>
    <row r="3874" spans="6:9" x14ac:dyDescent="0.25">
      <c r="F3874" s="39"/>
      <c r="G3874" s="39"/>
      <c r="H3874" s="39"/>
      <c r="I3874" s="39"/>
    </row>
    <row r="3875" spans="6:9" x14ac:dyDescent="0.25">
      <c r="F3875" s="39"/>
      <c r="G3875" s="39"/>
      <c r="H3875" s="39"/>
      <c r="I3875" s="39"/>
    </row>
    <row r="3876" spans="6:9" x14ac:dyDescent="0.25">
      <c r="F3876" s="39"/>
      <c r="G3876" s="39"/>
      <c r="H3876" s="39"/>
      <c r="I3876" s="39"/>
    </row>
    <row r="3877" spans="6:9" x14ac:dyDescent="0.25">
      <c r="F3877" s="39"/>
      <c r="G3877" s="39"/>
      <c r="H3877" s="39"/>
      <c r="I3877" s="39"/>
    </row>
    <row r="3878" spans="6:9" x14ac:dyDescent="0.25">
      <c r="F3878" s="39"/>
      <c r="G3878" s="39"/>
      <c r="H3878" s="39"/>
      <c r="I3878" s="39"/>
    </row>
    <row r="3879" spans="6:9" x14ac:dyDescent="0.25">
      <c r="F3879" s="39"/>
      <c r="G3879" s="39"/>
      <c r="H3879" s="39"/>
      <c r="I3879" s="39"/>
    </row>
    <row r="3880" spans="6:9" x14ac:dyDescent="0.25">
      <c r="F3880" s="39"/>
      <c r="G3880" s="39"/>
      <c r="H3880" s="39"/>
      <c r="I3880" s="39"/>
    </row>
    <row r="3881" spans="6:9" x14ac:dyDescent="0.25">
      <c r="F3881" s="39"/>
      <c r="G3881" s="39"/>
      <c r="H3881" s="39"/>
      <c r="I3881" s="39"/>
    </row>
    <row r="3882" spans="6:9" x14ac:dyDescent="0.25">
      <c r="F3882" s="39"/>
      <c r="G3882" s="39"/>
      <c r="H3882" s="39"/>
      <c r="I3882" s="39"/>
    </row>
    <row r="3883" spans="6:9" x14ac:dyDescent="0.25">
      <c r="F3883" s="39"/>
      <c r="G3883" s="39"/>
      <c r="H3883" s="39"/>
      <c r="I3883" s="39"/>
    </row>
    <row r="3884" spans="6:9" x14ac:dyDescent="0.25">
      <c r="F3884" s="39"/>
      <c r="G3884" s="39"/>
      <c r="H3884" s="39"/>
      <c r="I3884" s="39"/>
    </row>
    <row r="3885" spans="6:9" x14ac:dyDescent="0.25">
      <c r="F3885" s="39"/>
      <c r="G3885" s="39"/>
      <c r="H3885" s="39"/>
      <c r="I3885" s="39"/>
    </row>
    <row r="3886" spans="6:9" x14ac:dyDescent="0.25">
      <c r="F3886" s="39"/>
      <c r="G3886" s="39"/>
      <c r="H3886" s="39"/>
      <c r="I3886" s="39"/>
    </row>
    <row r="3887" spans="6:9" x14ac:dyDescent="0.25">
      <c r="F3887" s="39"/>
      <c r="G3887" s="39"/>
      <c r="H3887" s="39"/>
      <c r="I3887" s="39"/>
    </row>
    <row r="3888" spans="6:9" x14ac:dyDescent="0.25">
      <c r="F3888" s="39"/>
      <c r="G3888" s="39"/>
      <c r="H3888" s="39"/>
      <c r="I3888" s="39"/>
    </row>
    <row r="3889" spans="6:9" x14ac:dyDescent="0.25">
      <c r="F3889" s="39"/>
      <c r="G3889" s="39"/>
      <c r="H3889" s="39"/>
      <c r="I3889" s="39"/>
    </row>
    <row r="3890" spans="6:9" x14ac:dyDescent="0.25">
      <c r="F3890" s="39"/>
      <c r="G3890" s="39"/>
      <c r="H3890" s="39"/>
      <c r="I3890" s="39"/>
    </row>
    <row r="3891" spans="6:9" x14ac:dyDescent="0.25">
      <c r="F3891" s="39"/>
      <c r="G3891" s="39"/>
      <c r="H3891" s="39"/>
      <c r="I3891" s="39"/>
    </row>
    <row r="3892" spans="6:9" x14ac:dyDescent="0.25">
      <c r="F3892" s="39"/>
      <c r="G3892" s="39"/>
      <c r="H3892" s="39"/>
      <c r="I3892" s="39"/>
    </row>
    <row r="3893" spans="6:9" x14ac:dyDescent="0.25">
      <c r="F3893" s="39"/>
      <c r="G3893" s="39"/>
      <c r="H3893" s="39"/>
      <c r="I3893" s="39"/>
    </row>
    <row r="3894" spans="6:9" x14ac:dyDescent="0.25">
      <c r="F3894" s="39"/>
      <c r="G3894" s="39"/>
      <c r="H3894" s="39"/>
      <c r="I3894" s="39"/>
    </row>
    <row r="3895" spans="6:9" x14ac:dyDescent="0.25">
      <c r="F3895" s="39"/>
      <c r="G3895" s="39"/>
      <c r="H3895" s="39"/>
      <c r="I3895" s="39"/>
    </row>
    <row r="3896" spans="6:9" x14ac:dyDescent="0.25">
      <c r="F3896" s="39"/>
      <c r="G3896" s="39"/>
      <c r="H3896" s="39"/>
      <c r="I3896" s="39"/>
    </row>
    <row r="3897" spans="6:9" x14ac:dyDescent="0.25">
      <c r="F3897" s="39"/>
      <c r="G3897" s="39"/>
      <c r="H3897" s="39"/>
      <c r="I3897" s="39"/>
    </row>
    <row r="3898" spans="6:9" x14ac:dyDescent="0.25">
      <c r="F3898" s="39"/>
      <c r="G3898" s="39"/>
      <c r="H3898" s="39"/>
      <c r="I3898" s="39"/>
    </row>
    <row r="3899" spans="6:9" x14ac:dyDescent="0.25">
      <c r="F3899" s="39"/>
      <c r="G3899" s="39"/>
      <c r="H3899" s="39"/>
      <c r="I3899" s="39"/>
    </row>
    <row r="3900" spans="6:9" x14ac:dyDescent="0.25">
      <c r="F3900" s="39"/>
      <c r="G3900" s="39"/>
      <c r="H3900" s="39"/>
      <c r="I3900" s="39"/>
    </row>
    <row r="3901" spans="6:9" x14ac:dyDescent="0.25">
      <c r="F3901" s="39"/>
      <c r="G3901" s="39"/>
      <c r="H3901" s="39"/>
      <c r="I3901" s="39"/>
    </row>
    <row r="3902" spans="6:9" x14ac:dyDescent="0.25">
      <c r="F3902" s="39"/>
      <c r="G3902" s="39"/>
      <c r="H3902" s="39"/>
      <c r="I3902" s="39"/>
    </row>
    <row r="3903" spans="6:9" x14ac:dyDescent="0.25">
      <c r="F3903" s="39"/>
      <c r="G3903" s="39"/>
      <c r="H3903" s="39"/>
      <c r="I3903" s="39"/>
    </row>
    <row r="3904" spans="6:9" x14ac:dyDescent="0.25">
      <c r="F3904" s="39"/>
      <c r="G3904" s="39"/>
      <c r="H3904" s="39"/>
      <c r="I3904" s="39"/>
    </row>
    <row r="3905" spans="6:9" x14ac:dyDescent="0.25">
      <c r="F3905" s="39"/>
      <c r="G3905" s="39"/>
      <c r="H3905" s="39"/>
      <c r="I3905" s="39"/>
    </row>
    <row r="3906" spans="6:9" x14ac:dyDescent="0.25">
      <c r="F3906" s="39"/>
      <c r="G3906" s="39"/>
      <c r="H3906" s="39"/>
      <c r="I3906" s="39"/>
    </row>
    <row r="3907" spans="6:9" x14ac:dyDescent="0.25">
      <c r="F3907" s="39"/>
      <c r="G3907" s="39"/>
      <c r="H3907" s="39"/>
      <c r="I3907" s="39"/>
    </row>
    <row r="3908" spans="6:9" x14ac:dyDescent="0.25">
      <c r="F3908" s="39"/>
      <c r="G3908" s="39"/>
      <c r="H3908" s="39"/>
      <c r="I3908" s="39"/>
    </row>
    <row r="3909" spans="6:9" x14ac:dyDescent="0.25">
      <c r="F3909" s="39"/>
      <c r="G3909" s="39"/>
      <c r="H3909" s="39"/>
      <c r="I3909" s="39"/>
    </row>
    <row r="3910" spans="6:9" x14ac:dyDescent="0.25">
      <c r="F3910" s="39"/>
      <c r="G3910" s="39"/>
      <c r="H3910" s="39"/>
      <c r="I3910" s="39"/>
    </row>
    <row r="3911" spans="6:9" x14ac:dyDescent="0.25">
      <c r="F3911" s="39"/>
      <c r="G3911" s="39"/>
      <c r="H3911" s="39"/>
      <c r="I3911" s="39"/>
    </row>
    <row r="3912" spans="6:9" x14ac:dyDescent="0.25">
      <c r="F3912" s="39"/>
      <c r="G3912" s="39"/>
      <c r="H3912" s="39"/>
      <c r="I3912" s="39"/>
    </row>
    <row r="3913" spans="6:9" x14ac:dyDescent="0.25">
      <c r="F3913" s="39"/>
      <c r="G3913" s="39"/>
      <c r="H3913" s="39"/>
      <c r="I3913" s="39"/>
    </row>
    <row r="3914" spans="6:9" x14ac:dyDescent="0.25">
      <c r="F3914" s="39"/>
      <c r="G3914" s="39"/>
      <c r="H3914" s="39"/>
      <c r="I3914" s="39"/>
    </row>
    <row r="3915" spans="6:9" x14ac:dyDescent="0.25">
      <c r="F3915" s="39"/>
      <c r="G3915" s="39"/>
      <c r="H3915" s="39"/>
      <c r="I3915" s="39"/>
    </row>
    <row r="3916" spans="6:9" x14ac:dyDescent="0.25">
      <c r="F3916" s="39"/>
      <c r="G3916" s="39"/>
      <c r="H3916" s="39"/>
      <c r="I3916" s="39"/>
    </row>
    <row r="3917" spans="6:9" x14ac:dyDescent="0.25">
      <c r="F3917" s="39"/>
      <c r="G3917" s="39"/>
      <c r="H3917" s="39"/>
      <c r="I3917" s="39"/>
    </row>
    <row r="3918" spans="6:9" x14ac:dyDescent="0.25">
      <c r="F3918" s="39"/>
      <c r="G3918" s="39"/>
      <c r="H3918" s="39"/>
      <c r="I3918" s="39"/>
    </row>
    <row r="3919" spans="6:9" x14ac:dyDescent="0.25">
      <c r="F3919" s="39"/>
      <c r="G3919" s="39"/>
      <c r="H3919" s="39"/>
      <c r="I3919" s="39"/>
    </row>
    <row r="3920" spans="6:9" x14ac:dyDescent="0.25">
      <c r="F3920" s="39"/>
      <c r="G3920" s="39"/>
      <c r="H3920" s="39"/>
      <c r="I3920" s="39"/>
    </row>
    <row r="3921" spans="6:9" x14ac:dyDescent="0.25">
      <c r="F3921" s="39"/>
      <c r="G3921" s="39"/>
      <c r="H3921" s="39"/>
      <c r="I3921" s="39"/>
    </row>
    <row r="3922" spans="6:9" x14ac:dyDescent="0.25">
      <c r="F3922" s="39"/>
      <c r="G3922" s="39"/>
      <c r="H3922" s="39"/>
      <c r="I3922" s="39"/>
    </row>
    <row r="3923" spans="6:9" x14ac:dyDescent="0.25">
      <c r="F3923" s="39"/>
      <c r="G3923" s="39"/>
      <c r="H3923" s="39"/>
      <c r="I3923" s="39"/>
    </row>
    <row r="3924" spans="6:9" x14ac:dyDescent="0.25">
      <c r="F3924" s="39"/>
      <c r="G3924" s="39"/>
      <c r="H3924" s="39"/>
      <c r="I3924" s="39"/>
    </row>
    <row r="3925" spans="6:9" x14ac:dyDescent="0.25">
      <c r="F3925" s="39"/>
      <c r="G3925" s="39"/>
      <c r="H3925" s="39"/>
      <c r="I3925" s="39"/>
    </row>
    <row r="3926" spans="6:9" x14ac:dyDescent="0.25">
      <c r="F3926" s="39"/>
      <c r="G3926" s="39"/>
      <c r="H3926" s="39"/>
      <c r="I3926" s="39"/>
    </row>
    <row r="3927" spans="6:9" x14ac:dyDescent="0.25">
      <c r="F3927" s="39"/>
      <c r="G3927" s="39"/>
      <c r="H3927" s="39"/>
      <c r="I3927" s="39"/>
    </row>
    <row r="3928" spans="6:9" x14ac:dyDescent="0.25">
      <c r="F3928" s="39"/>
      <c r="G3928" s="39"/>
      <c r="H3928" s="39"/>
      <c r="I3928" s="39"/>
    </row>
    <row r="3929" spans="6:9" x14ac:dyDescent="0.25">
      <c r="F3929" s="39"/>
      <c r="G3929" s="39"/>
      <c r="H3929" s="39"/>
      <c r="I3929" s="39"/>
    </row>
    <row r="3930" spans="6:9" x14ac:dyDescent="0.25">
      <c r="F3930" s="39"/>
      <c r="G3930" s="39"/>
      <c r="H3930" s="39"/>
      <c r="I3930" s="39"/>
    </row>
    <row r="3931" spans="6:9" x14ac:dyDescent="0.25">
      <c r="F3931" s="39"/>
      <c r="G3931" s="39"/>
      <c r="H3931" s="39"/>
      <c r="I3931" s="39"/>
    </row>
    <row r="3932" spans="6:9" x14ac:dyDescent="0.25">
      <c r="F3932" s="39"/>
      <c r="G3932" s="39"/>
      <c r="H3932" s="39"/>
      <c r="I3932" s="39"/>
    </row>
    <row r="3933" spans="6:9" x14ac:dyDescent="0.25">
      <c r="F3933" s="39"/>
      <c r="G3933" s="39"/>
      <c r="H3933" s="39"/>
      <c r="I3933" s="39"/>
    </row>
    <row r="3934" spans="6:9" x14ac:dyDescent="0.25">
      <c r="F3934" s="39"/>
      <c r="G3934" s="39"/>
      <c r="H3934" s="39"/>
      <c r="I3934" s="39"/>
    </row>
    <row r="3935" spans="6:9" x14ac:dyDescent="0.25">
      <c r="F3935" s="39"/>
      <c r="G3935" s="39"/>
      <c r="H3935" s="39"/>
      <c r="I3935" s="39"/>
    </row>
    <row r="3936" spans="6:9" x14ac:dyDescent="0.25">
      <c r="F3936" s="39"/>
      <c r="G3936" s="39"/>
      <c r="H3936" s="39"/>
      <c r="I3936" s="39"/>
    </row>
    <row r="3937" spans="6:9" x14ac:dyDescent="0.25">
      <c r="F3937" s="39"/>
      <c r="G3937" s="39"/>
      <c r="H3937" s="39"/>
      <c r="I3937" s="39"/>
    </row>
    <row r="3938" spans="6:9" x14ac:dyDescent="0.25">
      <c r="F3938" s="39"/>
      <c r="G3938" s="39"/>
      <c r="H3938" s="39"/>
      <c r="I3938" s="39"/>
    </row>
    <row r="3939" spans="6:9" x14ac:dyDescent="0.25">
      <c r="F3939" s="39"/>
      <c r="G3939" s="39"/>
      <c r="H3939" s="39"/>
      <c r="I3939" s="39"/>
    </row>
    <row r="3940" spans="6:9" x14ac:dyDescent="0.25">
      <c r="F3940" s="39"/>
      <c r="G3940" s="39"/>
      <c r="H3940" s="39"/>
      <c r="I3940" s="39"/>
    </row>
    <row r="3941" spans="6:9" x14ac:dyDescent="0.25">
      <c r="F3941" s="39"/>
      <c r="G3941" s="39"/>
      <c r="H3941" s="39"/>
      <c r="I3941" s="39"/>
    </row>
    <row r="3942" spans="6:9" x14ac:dyDescent="0.25">
      <c r="F3942" s="39"/>
      <c r="G3942" s="39"/>
      <c r="H3942" s="39"/>
      <c r="I3942" s="39"/>
    </row>
    <row r="3943" spans="6:9" x14ac:dyDescent="0.25">
      <c r="F3943" s="39"/>
      <c r="G3943" s="39"/>
      <c r="H3943" s="39"/>
      <c r="I3943" s="39"/>
    </row>
    <row r="3944" spans="6:9" x14ac:dyDescent="0.25">
      <c r="F3944" s="39"/>
      <c r="G3944" s="39"/>
      <c r="H3944" s="39"/>
      <c r="I3944" s="39"/>
    </row>
    <row r="3945" spans="6:9" x14ac:dyDescent="0.25">
      <c r="F3945" s="39"/>
      <c r="G3945" s="39"/>
      <c r="H3945" s="39"/>
      <c r="I3945" s="39"/>
    </row>
    <row r="3946" spans="6:9" x14ac:dyDescent="0.25">
      <c r="F3946" s="39"/>
      <c r="G3946" s="39"/>
      <c r="H3946" s="39"/>
      <c r="I3946" s="39"/>
    </row>
    <row r="3947" spans="6:9" x14ac:dyDescent="0.25">
      <c r="F3947" s="39"/>
      <c r="G3947" s="39"/>
      <c r="H3947" s="39"/>
      <c r="I3947" s="39"/>
    </row>
    <row r="3948" spans="6:9" x14ac:dyDescent="0.25">
      <c r="F3948" s="39"/>
      <c r="G3948" s="39"/>
      <c r="H3948" s="39"/>
      <c r="I3948" s="39"/>
    </row>
    <row r="3949" spans="6:9" x14ac:dyDescent="0.25">
      <c r="F3949" s="39"/>
      <c r="G3949" s="39"/>
      <c r="H3949" s="39"/>
      <c r="I3949" s="39"/>
    </row>
    <row r="3950" spans="6:9" x14ac:dyDescent="0.25">
      <c r="F3950" s="39"/>
      <c r="G3950" s="39"/>
      <c r="H3950" s="39"/>
      <c r="I3950" s="39"/>
    </row>
    <row r="3951" spans="6:9" x14ac:dyDescent="0.25">
      <c r="F3951" s="39"/>
      <c r="G3951" s="39"/>
      <c r="H3951" s="39"/>
      <c r="I3951" s="39"/>
    </row>
    <row r="3952" spans="6:9" x14ac:dyDescent="0.25">
      <c r="F3952" s="39"/>
      <c r="G3952" s="39"/>
      <c r="H3952" s="39"/>
      <c r="I3952" s="39"/>
    </row>
    <row r="3953" spans="6:9" x14ac:dyDescent="0.25">
      <c r="F3953" s="39"/>
      <c r="G3953" s="39"/>
      <c r="H3953" s="39"/>
      <c r="I3953" s="39"/>
    </row>
    <row r="3954" spans="6:9" x14ac:dyDescent="0.25">
      <c r="F3954" s="39"/>
      <c r="G3954" s="39"/>
      <c r="H3954" s="39"/>
      <c r="I3954" s="39"/>
    </row>
    <row r="3955" spans="6:9" x14ac:dyDescent="0.25">
      <c r="F3955" s="39"/>
      <c r="G3955" s="39"/>
      <c r="H3955" s="39"/>
      <c r="I3955" s="39"/>
    </row>
    <row r="3956" spans="6:9" x14ac:dyDescent="0.25">
      <c r="F3956" s="39"/>
      <c r="G3956" s="39"/>
      <c r="H3956" s="39"/>
      <c r="I3956" s="39"/>
    </row>
    <row r="3957" spans="6:9" x14ac:dyDescent="0.25">
      <c r="F3957" s="39"/>
      <c r="G3957" s="39"/>
      <c r="H3957" s="39"/>
      <c r="I3957" s="39"/>
    </row>
    <row r="3958" spans="6:9" x14ac:dyDescent="0.25">
      <c r="F3958" s="39"/>
      <c r="G3958" s="39"/>
      <c r="H3958" s="39"/>
      <c r="I3958" s="39"/>
    </row>
    <row r="3959" spans="6:9" x14ac:dyDescent="0.25">
      <c r="F3959" s="39"/>
      <c r="G3959" s="39"/>
      <c r="H3959" s="39"/>
      <c r="I3959" s="39"/>
    </row>
    <row r="3960" spans="6:9" x14ac:dyDescent="0.25">
      <c r="F3960" s="39"/>
      <c r="G3960" s="39"/>
      <c r="H3960" s="39"/>
      <c r="I3960" s="39"/>
    </row>
    <row r="3961" spans="6:9" x14ac:dyDescent="0.25">
      <c r="F3961" s="39"/>
      <c r="G3961" s="39"/>
      <c r="H3961" s="39"/>
      <c r="I3961" s="39"/>
    </row>
    <row r="3962" spans="6:9" x14ac:dyDescent="0.25">
      <c r="F3962" s="39"/>
      <c r="G3962" s="39"/>
      <c r="H3962" s="39"/>
      <c r="I3962" s="39"/>
    </row>
    <row r="3963" spans="6:9" x14ac:dyDescent="0.25">
      <c r="F3963" s="39"/>
      <c r="G3963" s="39"/>
      <c r="H3963" s="39"/>
      <c r="I3963" s="39"/>
    </row>
    <row r="3964" spans="6:9" x14ac:dyDescent="0.25">
      <c r="F3964" s="39"/>
      <c r="G3964" s="39"/>
      <c r="H3964" s="39"/>
      <c r="I3964" s="39"/>
    </row>
    <row r="3965" spans="6:9" x14ac:dyDescent="0.25">
      <c r="F3965" s="39"/>
      <c r="G3965" s="39"/>
      <c r="H3965" s="39"/>
      <c r="I3965" s="39"/>
    </row>
    <row r="3966" spans="6:9" x14ac:dyDescent="0.25">
      <c r="F3966" s="39"/>
      <c r="G3966" s="39"/>
      <c r="H3966" s="39"/>
      <c r="I3966" s="39"/>
    </row>
    <row r="3967" spans="6:9" x14ac:dyDescent="0.25">
      <c r="F3967" s="39"/>
      <c r="G3967" s="39"/>
      <c r="H3967" s="39"/>
      <c r="I3967" s="39"/>
    </row>
    <row r="3968" spans="6:9" x14ac:dyDescent="0.25">
      <c r="F3968" s="39"/>
      <c r="G3968" s="39"/>
      <c r="H3968" s="39"/>
      <c r="I3968" s="39"/>
    </row>
    <row r="3969" spans="6:9" x14ac:dyDescent="0.25">
      <c r="F3969" s="39"/>
      <c r="G3969" s="39"/>
      <c r="H3969" s="39"/>
      <c r="I3969" s="39"/>
    </row>
    <row r="3970" spans="6:9" x14ac:dyDescent="0.25">
      <c r="F3970" s="39"/>
      <c r="G3970" s="39"/>
      <c r="H3970" s="39"/>
      <c r="I3970" s="39"/>
    </row>
    <row r="3971" spans="6:9" x14ac:dyDescent="0.25">
      <c r="F3971" s="39"/>
      <c r="G3971" s="39"/>
      <c r="H3971" s="39"/>
      <c r="I3971" s="39"/>
    </row>
    <row r="3972" spans="6:9" x14ac:dyDescent="0.25">
      <c r="F3972" s="39"/>
      <c r="G3972" s="39"/>
      <c r="H3972" s="39"/>
      <c r="I3972" s="39"/>
    </row>
    <row r="3973" spans="6:9" x14ac:dyDescent="0.25">
      <c r="F3973" s="39"/>
      <c r="G3973" s="39"/>
      <c r="H3973" s="39"/>
      <c r="I3973" s="39"/>
    </row>
    <row r="3974" spans="6:9" x14ac:dyDescent="0.25">
      <c r="F3974" s="39"/>
      <c r="G3974" s="39"/>
      <c r="H3974" s="39"/>
      <c r="I3974" s="39"/>
    </row>
    <row r="3975" spans="6:9" x14ac:dyDescent="0.25">
      <c r="F3975" s="39"/>
      <c r="G3975" s="39"/>
      <c r="H3975" s="39"/>
      <c r="I3975" s="39"/>
    </row>
    <row r="3976" spans="6:9" x14ac:dyDescent="0.25">
      <c r="F3976" s="39"/>
      <c r="G3976" s="39"/>
      <c r="H3976" s="39"/>
      <c r="I3976" s="39"/>
    </row>
    <row r="3977" spans="6:9" x14ac:dyDescent="0.25">
      <c r="F3977" s="39"/>
      <c r="G3977" s="39"/>
      <c r="H3977" s="39"/>
      <c r="I3977" s="39"/>
    </row>
    <row r="3978" spans="6:9" x14ac:dyDescent="0.25">
      <c r="F3978" s="39"/>
      <c r="G3978" s="39"/>
      <c r="H3978" s="39"/>
      <c r="I3978" s="39"/>
    </row>
    <row r="3979" spans="6:9" x14ac:dyDescent="0.25">
      <c r="F3979" s="39"/>
      <c r="G3979" s="39"/>
      <c r="H3979" s="39"/>
      <c r="I3979" s="39"/>
    </row>
    <row r="3980" spans="6:9" x14ac:dyDescent="0.25">
      <c r="F3980" s="39"/>
      <c r="G3980" s="39"/>
      <c r="H3980" s="39"/>
      <c r="I3980" s="39"/>
    </row>
    <row r="3981" spans="6:9" x14ac:dyDescent="0.25">
      <c r="F3981" s="39"/>
      <c r="G3981" s="39"/>
      <c r="H3981" s="39"/>
      <c r="I3981" s="39"/>
    </row>
    <row r="3982" spans="6:9" x14ac:dyDescent="0.25">
      <c r="F3982" s="39"/>
      <c r="G3982" s="39"/>
      <c r="H3982" s="39"/>
      <c r="I3982" s="39"/>
    </row>
    <row r="3983" spans="6:9" x14ac:dyDescent="0.25">
      <c r="F3983" s="39"/>
      <c r="G3983" s="39"/>
      <c r="H3983" s="39"/>
      <c r="I3983" s="39"/>
    </row>
    <row r="3984" spans="6:9" x14ac:dyDescent="0.25">
      <c r="F3984" s="39"/>
      <c r="G3984" s="39"/>
      <c r="H3984" s="39"/>
      <c r="I3984" s="39"/>
    </row>
    <row r="3985" spans="6:9" x14ac:dyDescent="0.25">
      <c r="F3985" s="39"/>
      <c r="G3985" s="39"/>
      <c r="H3985" s="39"/>
      <c r="I3985" s="39"/>
    </row>
    <row r="3986" spans="6:9" x14ac:dyDescent="0.25">
      <c r="F3986" s="39"/>
      <c r="G3986" s="39"/>
      <c r="H3986" s="39"/>
      <c r="I3986" s="39"/>
    </row>
    <row r="3987" spans="6:9" x14ac:dyDescent="0.25">
      <c r="F3987" s="39"/>
      <c r="G3987" s="39"/>
      <c r="H3987" s="39"/>
      <c r="I3987" s="39"/>
    </row>
    <row r="3988" spans="6:9" x14ac:dyDescent="0.25">
      <c r="F3988" s="39"/>
      <c r="G3988" s="39"/>
      <c r="H3988" s="39"/>
      <c r="I3988" s="39"/>
    </row>
    <row r="3989" spans="6:9" x14ac:dyDescent="0.25">
      <c r="F3989" s="39"/>
      <c r="G3989" s="39"/>
      <c r="H3989" s="39"/>
      <c r="I3989" s="39"/>
    </row>
    <row r="3990" spans="6:9" x14ac:dyDescent="0.25">
      <c r="F3990" s="39"/>
      <c r="G3990" s="39"/>
      <c r="H3990" s="39"/>
      <c r="I3990" s="39"/>
    </row>
    <row r="3991" spans="6:9" x14ac:dyDescent="0.25">
      <c r="F3991" s="39"/>
      <c r="G3991" s="39"/>
      <c r="H3991" s="39"/>
      <c r="I3991" s="39"/>
    </row>
    <row r="3992" spans="6:9" x14ac:dyDescent="0.25">
      <c r="F3992" s="39"/>
      <c r="G3992" s="39"/>
      <c r="H3992" s="39"/>
      <c r="I3992" s="39"/>
    </row>
    <row r="3993" spans="6:9" x14ac:dyDescent="0.25">
      <c r="F3993" s="39"/>
      <c r="G3993" s="39"/>
      <c r="H3993" s="39"/>
      <c r="I3993" s="39"/>
    </row>
    <row r="3994" spans="6:9" x14ac:dyDescent="0.25">
      <c r="F3994" s="39"/>
      <c r="G3994" s="39"/>
      <c r="H3994" s="39"/>
      <c r="I3994" s="39"/>
    </row>
    <row r="3995" spans="6:9" x14ac:dyDescent="0.25">
      <c r="F3995" s="39"/>
      <c r="G3995" s="39"/>
      <c r="H3995" s="39"/>
      <c r="I3995" s="39"/>
    </row>
    <row r="3996" spans="6:9" x14ac:dyDescent="0.25">
      <c r="F3996" s="39"/>
      <c r="G3996" s="39"/>
      <c r="H3996" s="39"/>
      <c r="I3996" s="39"/>
    </row>
    <row r="3997" spans="6:9" x14ac:dyDescent="0.25">
      <c r="F3997" s="39"/>
      <c r="G3997" s="39"/>
      <c r="H3997" s="39"/>
      <c r="I3997" s="39"/>
    </row>
    <row r="3998" spans="6:9" x14ac:dyDescent="0.25">
      <c r="F3998" s="39"/>
      <c r="G3998" s="39"/>
      <c r="H3998" s="39"/>
      <c r="I3998" s="39"/>
    </row>
    <row r="3999" spans="6:9" x14ac:dyDescent="0.25">
      <c r="F3999" s="39"/>
      <c r="G3999" s="39"/>
      <c r="H3999" s="39"/>
      <c r="I3999" s="39"/>
    </row>
    <row r="4000" spans="6:9" x14ac:dyDescent="0.25">
      <c r="F4000" s="39"/>
      <c r="G4000" s="39"/>
      <c r="H4000" s="39"/>
      <c r="I4000" s="39"/>
    </row>
    <row r="4001" spans="6:9" x14ac:dyDescent="0.25">
      <c r="F4001" s="39"/>
      <c r="G4001" s="39"/>
      <c r="H4001" s="39"/>
      <c r="I4001" s="39"/>
    </row>
    <row r="4002" spans="6:9" x14ac:dyDescent="0.25">
      <c r="F4002" s="39"/>
      <c r="G4002" s="39"/>
      <c r="H4002" s="39"/>
      <c r="I4002" s="39"/>
    </row>
    <row r="4003" spans="6:9" x14ac:dyDescent="0.25">
      <c r="F4003" s="39"/>
      <c r="G4003" s="39"/>
      <c r="H4003" s="39"/>
      <c r="I4003" s="39"/>
    </row>
    <row r="4004" spans="6:9" x14ac:dyDescent="0.25">
      <c r="F4004" s="39"/>
      <c r="G4004" s="39"/>
      <c r="H4004" s="39"/>
      <c r="I4004" s="39"/>
    </row>
    <row r="4005" spans="6:9" x14ac:dyDescent="0.25">
      <c r="F4005" s="39"/>
      <c r="G4005" s="39"/>
      <c r="H4005" s="39"/>
      <c r="I4005" s="39"/>
    </row>
    <row r="4006" spans="6:9" x14ac:dyDescent="0.25">
      <c r="F4006" s="39"/>
      <c r="G4006" s="39"/>
      <c r="H4006" s="39"/>
      <c r="I4006" s="39"/>
    </row>
    <row r="4007" spans="6:9" x14ac:dyDescent="0.25">
      <c r="F4007" s="39"/>
      <c r="G4007" s="39"/>
      <c r="H4007" s="39"/>
      <c r="I4007" s="39"/>
    </row>
    <row r="4008" spans="6:9" x14ac:dyDescent="0.25">
      <c r="F4008" s="39"/>
      <c r="G4008" s="39"/>
      <c r="H4008" s="39"/>
      <c r="I4008" s="39"/>
    </row>
    <row r="4009" spans="6:9" x14ac:dyDescent="0.25">
      <c r="F4009" s="39"/>
      <c r="G4009" s="39"/>
      <c r="H4009" s="39"/>
      <c r="I4009" s="39"/>
    </row>
    <row r="4010" spans="6:9" x14ac:dyDescent="0.25">
      <c r="F4010" s="39"/>
      <c r="G4010" s="39"/>
      <c r="H4010" s="39"/>
      <c r="I4010" s="39"/>
    </row>
    <row r="4011" spans="6:9" x14ac:dyDescent="0.25">
      <c r="F4011" s="39"/>
      <c r="G4011" s="39"/>
      <c r="H4011" s="39"/>
      <c r="I4011" s="39"/>
    </row>
    <row r="4012" spans="6:9" x14ac:dyDescent="0.25">
      <c r="F4012" s="39"/>
      <c r="G4012" s="39"/>
      <c r="H4012" s="39"/>
      <c r="I4012" s="39"/>
    </row>
    <row r="4013" spans="6:9" x14ac:dyDescent="0.25">
      <c r="F4013" s="39"/>
      <c r="G4013" s="39"/>
      <c r="H4013" s="39"/>
      <c r="I4013" s="39"/>
    </row>
    <row r="4014" spans="6:9" x14ac:dyDescent="0.25">
      <c r="F4014" s="39"/>
      <c r="G4014" s="39"/>
      <c r="H4014" s="39"/>
      <c r="I4014" s="39"/>
    </row>
    <row r="4015" spans="6:9" x14ac:dyDescent="0.25">
      <c r="F4015" s="39"/>
      <c r="G4015" s="39"/>
      <c r="H4015" s="39"/>
      <c r="I4015" s="39"/>
    </row>
    <row r="4016" spans="6:9" x14ac:dyDescent="0.25">
      <c r="F4016" s="39"/>
      <c r="G4016" s="39"/>
      <c r="H4016" s="39"/>
      <c r="I4016" s="39"/>
    </row>
    <row r="4017" spans="6:9" x14ac:dyDescent="0.25">
      <c r="F4017" s="39"/>
      <c r="G4017" s="39"/>
      <c r="H4017" s="39"/>
      <c r="I4017" s="39"/>
    </row>
    <row r="4018" spans="6:9" x14ac:dyDescent="0.25">
      <c r="F4018" s="39"/>
      <c r="G4018" s="39"/>
      <c r="H4018" s="39"/>
      <c r="I4018" s="39"/>
    </row>
    <row r="4019" spans="6:9" x14ac:dyDescent="0.25">
      <c r="F4019" s="39"/>
      <c r="G4019" s="39"/>
      <c r="H4019" s="39"/>
      <c r="I4019" s="39"/>
    </row>
    <row r="4020" spans="6:9" x14ac:dyDescent="0.25">
      <c r="F4020" s="39"/>
      <c r="G4020" s="39"/>
      <c r="H4020" s="39"/>
      <c r="I4020" s="39"/>
    </row>
    <row r="4021" spans="6:9" x14ac:dyDescent="0.25">
      <c r="F4021" s="39"/>
      <c r="G4021" s="39"/>
      <c r="H4021" s="39"/>
      <c r="I4021" s="39"/>
    </row>
    <row r="4022" spans="6:9" x14ac:dyDescent="0.25">
      <c r="F4022" s="39"/>
      <c r="G4022" s="39"/>
      <c r="H4022" s="39"/>
      <c r="I4022" s="39"/>
    </row>
    <row r="4023" spans="6:9" x14ac:dyDescent="0.25">
      <c r="F4023" s="39"/>
      <c r="G4023" s="39"/>
      <c r="H4023" s="39"/>
      <c r="I4023" s="39"/>
    </row>
    <row r="4024" spans="6:9" x14ac:dyDescent="0.25">
      <c r="F4024" s="39"/>
      <c r="G4024" s="39"/>
      <c r="H4024" s="39"/>
      <c r="I4024" s="39"/>
    </row>
    <row r="4025" spans="6:9" x14ac:dyDescent="0.25">
      <c r="F4025" s="39"/>
      <c r="G4025" s="39"/>
      <c r="H4025" s="39"/>
      <c r="I4025" s="39"/>
    </row>
    <row r="4026" spans="6:9" x14ac:dyDescent="0.25">
      <c r="F4026" s="39"/>
      <c r="G4026" s="39"/>
      <c r="H4026" s="39"/>
      <c r="I4026" s="39"/>
    </row>
    <row r="4027" spans="6:9" x14ac:dyDescent="0.25">
      <c r="F4027" s="39"/>
      <c r="G4027" s="39"/>
      <c r="H4027" s="39"/>
      <c r="I4027" s="39"/>
    </row>
    <row r="4028" spans="6:9" x14ac:dyDescent="0.25">
      <c r="F4028" s="39"/>
      <c r="G4028" s="39"/>
      <c r="H4028" s="39"/>
      <c r="I4028" s="39"/>
    </row>
    <row r="4029" spans="6:9" x14ac:dyDescent="0.25">
      <c r="F4029" s="39"/>
      <c r="G4029" s="39"/>
      <c r="H4029" s="39"/>
      <c r="I4029" s="39"/>
    </row>
    <row r="4030" spans="6:9" x14ac:dyDescent="0.25">
      <c r="F4030" s="39"/>
      <c r="G4030" s="39"/>
      <c r="H4030" s="39"/>
      <c r="I4030" s="39"/>
    </row>
    <row r="4031" spans="6:9" x14ac:dyDescent="0.25">
      <c r="F4031" s="39"/>
      <c r="G4031" s="39"/>
      <c r="H4031" s="39"/>
      <c r="I4031" s="39"/>
    </row>
    <row r="4032" spans="6:9" x14ac:dyDescent="0.25">
      <c r="F4032" s="39"/>
      <c r="G4032" s="39"/>
      <c r="H4032" s="39"/>
      <c r="I4032" s="39"/>
    </row>
    <row r="4033" spans="6:9" x14ac:dyDescent="0.25">
      <c r="F4033" s="39"/>
      <c r="G4033" s="39"/>
      <c r="H4033" s="39"/>
      <c r="I4033" s="39"/>
    </row>
    <row r="4034" spans="6:9" x14ac:dyDescent="0.25">
      <c r="F4034" s="39"/>
      <c r="G4034" s="39"/>
      <c r="H4034" s="39"/>
      <c r="I4034" s="39"/>
    </row>
    <row r="4035" spans="6:9" x14ac:dyDescent="0.25">
      <c r="F4035" s="39"/>
      <c r="G4035" s="39"/>
      <c r="H4035" s="39"/>
      <c r="I4035" s="39"/>
    </row>
    <row r="4036" spans="6:9" x14ac:dyDescent="0.25">
      <c r="F4036" s="39"/>
      <c r="G4036" s="39"/>
      <c r="H4036" s="39"/>
      <c r="I4036" s="39"/>
    </row>
    <row r="4037" spans="6:9" x14ac:dyDescent="0.25">
      <c r="F4037" s="39"/>
      <c r="G4037" s="39"/>
      <c r="H4037" s="39"/>
      <c r="I4037" s="39"/>
    </row>
    <row r="4038" spans="6:9" x14ac:dyDescent="0.25">
      <c r="F4038" s="39"/>
      <c r="G4038" s="39"/>
      <c r="H4038" s="39"/>
      <c r="I4038" s="39"/>
    </row>
    <row r="4039" spans="6:9" x14ac:dyDescent="0.25">
      <c r="F4039" s="39"/>
      <c r="G4039" s="39"/>
      <c r="H4039" s="39"/>
      <c r="I4039" s="39"/>
    </row>
    <row r="4040" spans="6:9" x14ac:dyDescent="0.25">
      <c r="F4040" s="39"/>
      <c r="G4040" s="39"/>
      <c r="H4040" s="39"/>
      <c r="I4040" s="39"/>
    </row>
    <row r="4041" spans="6:9" x14ac:dyDescent="0.25">
      <c r="F4041" s="39"/>
      <c r="G4041" s="39"/>
      <c r="H4041" s="39"/>
      <c r="I4041" s="39"/>
    </row>
    <row r="4042" spans="6:9" x14ac:dyDescent="0.25">
      <c r="F4042" s="39"/>
      <c r="G4042" s="39"/>
      <c r="H4042" s="39"/>
      <c r="I4042" s="39"/>
    </row>
    <row r="4043" spans="6:9" x14ac:dyDescent="0.25">
      <c r="F4043" s="39"/>
      <c r="G4043" s="39"/>
      <c r="H4043" s="39"/>
      <c r="I4043" s="39"/>
    </row>
    <row r="4044" spans="6:9" x14ac:dyDescent="0.25">
      <c r="F4044" s="39"/>
      <c r="G4044" s="39"/>
      <c r="H4044" s="39"/>
      <c r="I4044" s="39"/>
    </row>
    <row r="4045" spans="6:9" x14ac:dyDescent="0.25">
      <c r="F4045" s="39"/>
      <c r="G4045" s="39"/>
      <c r="H4045" s="39"/>
      <c r="I4045" s="39"/>
    </row>
    <row r="4046" spans="6:9" x14ac:dyDescent="0.25">
      <c r="F4046" s="39"/>
      <c r="G4046" s="39"/>
      <c r="H4046" s="39"/>
      <c r="I4046" s="39"/>
    </row>
    <row r="4047" spans="6:9" x14ac:dyDescent="0.25">
      <c r="F4047" s="39"/>
      <c r="G4047" s="39"/>
      <c r="H4047" s="39"/>
      <c r="I4047" s="39"/>
    </row>
    <row r="4048" spans="6:9" x14ac:dyDescent="0.25">
      <c r="F4048" s="39"/>
      <c r="G4048" s="39"/>
      <c r="H4048" s="39"/>
      <c r="I4048" s="39"/>
    </row>
    <row r="4049" spans="6:9" x14ac:dyDescent="0.25">
      <c r="F4049" s="39"/>
      <c r="G4049" s="39"/>
      <c r="H4049" s="39"/>
      <c r="I4049" s="39"/>
    </row>
    <row r="4050" spans="6:9" x14ac:dyDescent="0.25">
      <c r="F4050" s="39"/>
      <c r="G4050" s="39"/>
      <c r="H4050" s="39"/>
      <c r="I4050" s="39"/>
    </row>
    <row r="4051" spans="6:9" x14ac:dyDescent="0.25">
      <c r="F4051" s="39"/>
      <c r="G4051" s="39"/>
      <c r="H4051" s="39"/>
      <c r="I4051" s="39"/>
    </row>
    <row r="4052" spans="6:9" x14ac:dyDescent="0.25">
      <c r="F4052" s="39"/>
      <c r="G4052" s="39"/>
      <c r="H4052" s="39"/>
      <c r="I4052" s="39"/>
    </row>
    <row r="4053" spans="6:9" x14ac:dyDescent="0.25">
      <c r="F4053" s="39"/>
      <c r="G4053" s="39"/>
      <c r="H4053" s="39"/>
      <c r="I4053" s="39"/>
    </row>
    <row r="4054" spans="6:9" x14ac:dyDescent="0.25">
      <c r="F4054" s="39"/>
      <c r="G4054" s="39"/>
      <c r="H4054" s="39"/>
      <c r="I4054" s="39"/>
    </row>
    <row r="4055" spans="6:9" x14ac:dyDescent="0.25">
      <c r="F4055" s="39"/>
      <c r="G4055" s="39"/>
      <c r="H4055" s="39"/>
      <c r="I4055" s="39"/>
    </row>
    <row r="4056" spans="6:9" x14ac:dyDescent="0.25">
      <c r="F4056" s="39"/>
      <c r="G4056" s="39"/>
      <c r="H4056" s="39"/>
      <c r="I4056" s="39"/>
    </row>
    <row r="4057" spans="6:9" x14ac:dyDescent="0.25">
      <c r="F4057" s="39"/>
      <c r="G4057" s="39"/>
      <c r="H4057" s="39"/>
      <c r="I4057" s="39"/>
    </row>
    <row r="4058" spans="6:9" x14ac:dyDescent="0.25">
      <c r="F4058" s="39"/>
      <c r="G4058" s="39"/>
      <c r="H4058" s="39"/>
      <c r="I4058" s="39"/>
    </row>
    <row r="4059" spans="6:9" x14ac:dyDescent="0.25">
      <c r="F4059" s="39"/>
      <c r="G4059" s="39"/>
      <c r="H4059" s="39"/>
      <c r="I4059" s="39"/>
    </row>
    <row r="4060" spans="6:9" x14ac:dyDescent="0.25">
      <c r="F4060" s="39"/>
      <c r="G4060" s="39"/>
      <c r="H4060" s="39"/>
      <c r="I4060" s="39"/>
    </row>
    <row r="4061" spans="6:9" x14ac:dyDescent="0.25">
      <c r="F4061" s="39"/>
      <c r="G4061" s="39"/>
      <c r="H4061" s="39"/>
      <c r="I4061" s="39"/>
    </row>
    <row r="4062" spans="6:9" x14ac:dyDescent="0.25">
      <c r="F4062" s="39"/>
      <c r="G4062" s="39"/>
      <c r="H4062" s="39"/>
      <c r="I4062" s="39"/>
    </row>
    <row r="4063" spans="6:9" x14ac:dyDescent="0.25">
      <c r="F4063" s="39"/>
      <c r="G4063" s="39"/>
      <c r="H4063" s="39"/>
      <c r="I4063" s="39"/>
    </row>
    <row r="4064" spans="6:9" x14ac:dyDescent="0.25">
      <c r="F4064" s="39"/>
      <c r="G4064" s="39"/>
      <c r="H4064" s="39"/>
      <c r="I4064" s="39"/>
    </row>
    <row r="4065" spans="6:9" x14ac:dyDescent="0.25">
      <c r="F4065" s="39"/>
      <c r="G4065" s="39"/>
      <c r="H4065" s="39"/>
      <c r="I4065" s="39"/>
    </row>
    <row r="4066" spans="6:9" x14ac:dyDescent="0.25">
      <c r="F4066" s="39"/>
      <c r="G4066" s="39"/>
      <c r="H4066" s="39"/>
      <c r="I4066" s="39"/>
    </row>
    <row r="4067" spans="6:9" x14ac:dyDescent="0.25">
      <c r="F4067" s="39"/>
      <c r="G4067" s="39"/>
      <c r="H4067" s="39"/>
      <c r="I4067" s="39"/>
    </row>
    <row r="4068" spans="6:9" x14ac:dyDescent="0.25">
      <c r="F4068" s="39"/>
      <c r="G4068" s="39"/>
      <c r="H4068" s="39"/>
      <c r="I4068" s="39"/>
    </row>
    <row r="4069" spans="6:9" x14ac:dyDescent="0.25">
      <c r="F4069" s="39"/>
      <c r="G4069" s="39"/>
      <c r="H4069" s="39"/>
      <c r="I4069" s="39"/>
    </row>
    <row r="4070" spans="6:9" x14ac:dyDescent="0.25">
      <c r="F4070" s="39"/>
      <c r="G4070" s="39"/>
      <c r="H4070" s="39"/>
      <c r="I4070" s="39"/>
    </row>
    <row r="4071" spans="6:9" x14ac:dyDescent="0.25">
      <c r="F4071" s="39"/>
      <c r="G4071" s="39"/>
      <c r="H4071" s="39"/>
      <c r="I4071" s="39"/>
    </row>
    <row r="4072" spans="6:9" x14ac:dyDescent="0.25">
      <c r="F4072" s="39"/>
      <c r="G4072" s="39"/>
      <c r="H4072" s="39"/>
      <c r="I4072" s="39"/>
    </row>
    <row r="4073" spans="6:9" x14ac:dyDescent="0.25">
      <c r="F4073" s="39"/>
      <c r="G4073" s="39"/>
      <c r="H4073" s="39"/>
      <c r="I4073" s="39"/>
    </row>
    <row r="4074" spans="6:9" x14ac:dyDescent="0.25">
      <c r="F4074" s="39"/>
      <c r="G4074" s="39"/>
      <c r="H4074" s="39"/>
      <c r="I4074" s="39"/>
    </row>
    <row r="4075" spans="6:9" x14ac:dyDescent="0.25">
      <c r="F4075" s="39"/>
      <c r="G4075" s="39"/>
      <c r="H4075" s="39"/>
      <c r="I4075" s="39"/>
    </row>
    <row r="4076" spans="6:9" x14ac:dyDescent="0.25">
      <c r="F4076" s="39"/>
      <c r="G4076" s="39"/>
      <c r="H4076" s="39"/>
      <c r="I4076" s="39"/>
    </row>
    <row r="4077" spans="6:9" x14ac:dyDescent="0.25">
      <c r="F4077" s="39"/>
      <c r="G4077" s="39"/>
      <c r="H4077" s="39"/>
      <c r="I4077" s="39"/>
    </row>
    <row r="4078" spans="6:9" x14ac:dyDescent="0.25">
      <c r="F4078" s="39"/>
      <c r="G4078" s="39"/>
      <c r="H4078" s="39"/>
      <c r="I4078" s="39"/>
    </row>
    <row r="4079" spans="6:9" x14ac:dyDescent="0.25">
      <c r="F4079" s="39"/>
      <c r="G4079" s="39"/>
      <c r="H4079" s="39"/>
      <c r="I4079" s="39"/>
    </row>
    <row r="4080" spans="6:9" x14ac:dyDescent="0.25">
      <c r="F4080" s="39"/>
      <c r="G4080" s="39"/>
      <c r="H4080" s="39"/>
      <c r="I4080" s="39"/>
    </row>
    <row r="4081" spans="6:9" x14ac:dyDescent="0.25">
      <c r="F4081" s="39"/>
      <c r="G4081" s="39"/>
      <c r="H4081" s="39"/>
      <c r="I4081" s="39"/>
    </row>
    <row r="4082" spans="6:9" x14ac:dyDescent="0.25">
      <c r="F4082" s="39"/>
      <c r="G4082" s="39"/>
      <c r="H4082" s="39"/>
      <c r="I4082" s="39"/>
    </row>
    <row r="4083" spans="6:9" x14ac:dyDescent="0.25">
      <c r="F4083" s="39"/>
      <c r="G4083" s="39"/>
      <c r="H4083" s="39"/>
      <c r="I4083" s="39"/>
    </row>
    <row r="4084" spans="6:9" x14ac:dyDescent="0.25">
      <c r="F4084" s="39"/>
      <c r="G4084" s="39"/>
      <c r="H4084" s="39"/>
      <c r="I4084" s="39"/>
    </row>
    <row r="4085" spans="6:9" x14ac:dyDescent="0.25">
      <c r="F4085" s="39"/>
      <c r="G4085" s="39"/>
      <c r="H4085" s="39"/>
      <c r="I4085" s="39"/>
    </row>
    <row r="4086" spans="6:9" x14ac:dyDescent="0.25">
      <c r="F4086" s="39"/>
      <c r="G4086" s="39"/>
      <c r="H4086" s="39"/>
      <c r="I4086" s="39"/>
    </row>
    <row r="4087" spans="6:9" x14ac:dyDescent="0.25">
      <c r="F4087" s="39"/>
      <c r="G4087" s="39"/>
      <c r="H4087" s="39"/>
      <c r="I4087" s="39"/>
    </row>
    <row r="4088" spans="6:9" x14ac:dyDescent="0.25">
      <c r="F4088" s="39"/>
      <c r="G4088" s="39"/>
      <c r="H4088" s="39"/>
      <c r="I4088" s="39"/>
    </row>
    <row r="4089" spans="6:9" x14ac:dyDescent="0.25">
      <c r="F4089" s="39"/>
      <c r="G4089" s="39"/>
      <c r="H4089" s="39"/>
      <c r="I4089" s="39"/>
    </row>
    <row r="4090" spans="6:9" x14ac:dyDescent="0.25">
      <c r="F4090" s="39"/>
      <c r="G4090" s="39"/>
      <c r="H4090" s="39"/>
      <c r="I4090" s="39"/>
    </row>
    <row r="4091" spans="6:9" x14ac:dyDescent="0.25">
      <c r="F4091" s="39"/>
      <c r="G4091" s="39"/>
      <c r="H4091" s="39"/>
      <c r="I4091" s="39"/>
    </row>
    <row r="4092" spans="6:9" x14ac:dyDescent="0.25">
      <c r="F4092" s="39"/>
      <c r="G4092" s="39"/>
      <c r="H4092" s="39"/>
      <c r="I4092" s="39"/>
    </row>
    <row r="4093" spans="6:9" x14ac:dyDescent="0.25">
      <c r="F4093" s="39"/>
      <c r="G4093" s="39"/>
      <c r="H4093" s="39"/>
      <c r="I4093" s="39"/>
    </row>
    <row r="4094" spans="6:9" x14ac:dyDescent="0.25">
      <c r="F4094" s="39"/>
      <c r="G4094" s="39"/>
      <c r="H4094" s="39"/>
      <c r="I4094" s="39"/>
    </row>
    <row r="4095" spans="6:9" x14ac:dyDescent="0.25">
      <c r="F4095" s="39"/>
      <c r="G4095" s="39"/>
      <c r="H4095" s="39"/>
      <c r="I4095" s="39"/>
    </row>
    <row r="4096" spans="6:9" x14ac:dyDescent="0.25">
      <c r="F4096" s="39"/>
      <c r="G4096" s="39"/>
      <c r="H4096" s="39"/>
      <c r="I4096" s="39"/>
    </row>
    <row r="4097" spans="6:9" x14ac:dyDescent="0.25">
      <c r="F4097" s="39"/>
      <c r="G4097" s="39"/>
      <c r="H4097" s="39"/>
      <c r="I4097" s="39"/>
    </row>
    <row r="4098" spans="6:9" x14ac:dyDescent="0.25">
      <c r="F4098" s="39"/>
      <c r="G4098" s="39"/>
      <c r="H4098" s="39"/>
      <c r="I4098" s="39"/>
    </row>
    <row r="4099" spans="6:9" x14ac:dyDescent="0.25">
      <c r="F4099" s="39"/>
      <c r="G4099" s="39"/>
      <c r="H4099" s="39"/>
      <c r="I4099" s="39"/>
    </row>
    <row r="4100" spans="6:9" x14ac:dyDescent="0.25">
      <c r="F4100" s="39"/>
      <c r="G4100" s="39"/>
      <c r="H4100" s="39"/>
      <c r="I4100" s="39"/>
    </row>
    <row r="4101" spans="6:9" x14ac:dyDescent="0.25">
      <c r="F4101" s="39"/>
      <c r="G4101" s="39"/>
      <c r="H4101" s="39"/>
      <c r="I4101" s="39"/>
    </row>
    <row r="4102" spans="6:9" x14ac:dyDescent="0.25">
      <c r="F4102" s="39"/>
      <c r="G4102" s="39"/>
      <c r="H4102" s="39"/>
      <c r="I4102" s="39"/>
    </row>
    <row r="4103" spans="6:9" x14ac:dyDescent="0.25">
      <c r="F4103" s="39"/>
      <c r="G4103" s="39"/>
      <c r="H4103" s="39"/>
      <c r="I4103" s="39"/>
    </row>
    <row r="4104" spans="6:9" x14ac:dyDescent="0.25">
      <c r="F4104" s="39"/>
      <c r="G4104" s="39"/>
      <c r="H4104" s="39"/>
      <c r="I4104" s="39"/>
    </row>
    <row r="4105" spans="6:9" x14ac:dyDescent="0.25">
      <c r="F4105" s="39"/>
      <c r="G4105" s="39"/>
      <c r="H4105" s="39"/>
      <c r="I4105" s="39"/>
    </row>
    <row r="4106" spans="6:9" x14ac:dyDescent="0.25">
      <c r="F4106" s="39"/>
      <c r="G4106" s="39"/>
      <c r="H4106" s="39"/>
      <c r="I4106" s="39"/>
    </row>
    <row r="4107" spans="6:9" x14ac:dyDescent="0.25">
      <c r="F4107" s="39"/>
      <c r="G4107" s="39"/>
      <c r="H4107" s="39"/>
      <c r="I4107" s="39"/>
    </row>
    <row r="4108" spans="6:9" x14ac:dyDescent="0.25">
      <c r="F4108" s="39"/>
      <c r="G4108" s="39"/>
      <c r="H4108" s="39"/>
      <c r="I4108" s="39"/>
    </row>
    <row r="4109" spans="6:9" x14ac:dyDescent="0.25">
      <c r="F4109" s="39"/>
      <c r="G4109" s="39"/>
      <c r="H4109" s="39"/>
      <c r="I4109" s="39"/>
    </row>
    <row r="4110" spans="6:9" x14ac:dyDescent="0.25">
      <c r="F4110" s="39"/>
      <c r="G4110" s="39"/>
      <c r="H4110" s="39"/>
      <c r="I4110" s="39"/>
    </row>
    <row r="4111" spans="6:9" x14ac:dyDescent="0.25">
      <c r="F4111" s="39"/>
      <c r="G4111" s="39"/>
      <c r="H4111" s="39"/>
      <c r="I4111" s="39"/>
    </row>
    <row r="4112" spans="6:9" x14ac:dyDescent="0.25">
      <c r="F4112" s="39"/>
      <c r="G4112" s="39"/>
      <c r="H4112" s="39"/>
      <c r="I4112" s="39"/>
    </row>
    <row r="4113" spans="6:9" x14ac:dyDescent="0.25">
      <c r="F4113" s="39"/>
      <c r="G4113" s="39"/>
      <c r="H4113" s="39"/>
      <c r="I4113" s="39"/>
    </row>
    <row r="4114" spans="6:9" x14ac:dyDescent="0.25">
      <c r="F4114" s="39"/>
      <c r="G4114" s="39"/>
      <c r="H4114" s="39"/>
      <c r="I4114" s="39"/>
    </row>
    <row r="4115" spans="6:9" x14ac:dyDescent="0.25">
      <c r="F4115" s="39"/>
      <c r="G4115" s="39"/>
      <c r="H4115" s="39"/>
      <c r="I4115" s="39"/>
    </row>
    <row r="4116" spans="6:9" x14ac:dyDescent="0.25">
      <c r="F4116" s="39"/>
      <c r="G4116" s="39"/>
      <c r="H4116" s="39"/>
      <c r="I4116" s="39"/>
    </row>
    <row r="4117" spans="6:9" x14ac:dyDescent="0.25">
      <c r="F4117" s="39"/>
      <c r="G4117" s="39"/>
      <c r="H4117" s="39"/>
      <c r="I4117" s="39"/>
    </row>
    <row r="4118" spans="6:9" x14ac:dyDescent="0.25">
      <c r="F4118" s="39"/>
      <c r="G4118" s="39"/>
      <c r="H4118" s="39"/>
      <c r="I4118" s="39"/>
    </row>
    <row r="4119" spans="6:9" x14ac:dyDescent="0.25">
      <c r="F4119" s="39"/>
      <c r="G4119" s="39"/>
      <c r="H4119" s="39"/>
      <c r="I4119" s="39"/>
    </row>
    <row r="4120" spans="6:9" x14ac:dyDescent="0.25">
      <c r="F4120" s="39"/>
      <c r="G4120" s="39"/>
      <c r="H4120" s="39"/>
      <c r="I4120" s="39"/>
    </row>
    <row r="4121" spans="6:9" x14ac:dyDescent="0.25">
      <c r="F4121" s="39"/>
      <c r="G4121" s="39"/>
      <c r="H4121" s="39"/>
      <c r="I4121" s="39"/>
    </row>
    <row r="4122" spans="6:9" x14ac:dyDescent="0.25">
      <c r="F4122" s="39"/>
      <c r="G4122" s="39"/>
      <c r="H4122" s="39"/>
      <c r="I4122" s="39"/>
    </row>
    <row r="4123" spans="6:9" x14ac:dyDescent="0.25">
      <c r="F4123" s="39"/>
      <c r="G4123" s="39"/>
      <c r="H4123" s="39"/>
      <c r="I4123" s="39"/>
    </row>
    <row r="4124" spans="6:9" x14ac:dyDescent="0.25">
      <c r="F4124" s="39"/>
      <c r="G4124" s="39"/>
      <c r="H4124" s="39"/>
      <c r="I4124" s="39"/>
    </row>
    <row r="4125" spans="6:9" x14ac:dyDescent="0.25">
      <c r="F4125" s="39"/>
      <c r="G4125" s="39"/>
      <c r="H4125" s="39"/>
      <c r="I4125" s="39"/>
    </row>
    <row r="4126" spans="6:9" x14ac:dyDescent="0.25">
      <c r="F4126" s="39"/>
      <c r="G4126" s="39"/>
      <c r="H4126" s="39"/>
      <c r="I4126" s="39"/>
    </row>
    <row r="4127" spans="6:9" x14ac:dyDescent="0.25">
      <c r="F4127" s="39"/>
      <c r="G4127" s="39"/>
      <c r="H4127" s="39"/>
      <c r="I4127" s="39"/>
    </row>
    <row r="4128" spans="6:9" x14ac:dyDescent="0.25">
      <c r="F4128" s="39"/>
      <c r="G4128" s="39"/>
      <c r="H4128" s="39"/>
      <c r="I4128" s="39"/>
    </row>
    <row r="4129" spans="6:9" x14ac:dyDescent="0.25">
      <c r="F4129" s="39"/>
      <c r="G4129" s="39"/>
      <c r="H4129" s="39"/>
      <c r="I4129" s="39"/>
    </row>
    <row r="4130" spans="6:9" x14ac:dyDescent="0.25">
      <c r="F4130" s="39"/>
      <c r="G4130" s="39"/>
      <c r="H4130" s="39"/>
      <c r="I4130" s="39"/>
    </row>
    <row r="4131" spans="6:9" x14ac:dyDescent="0.25">
      <c r="F4131" s="39"/>
      <c r="G4131" s="39"/>
      <c r="H4131" s="39"/>
      <c r="I4131" s="39"/>
    </row>
    <row r="4132" spans="6:9" x14ac:dyDescent="0.25">
      <c r="F4132" s="39"/>
      <c r="G4132" s="39"/>
      <c r="H4132" s="39"/>
      <c r="I4132" s="39"/>
    </row>
    <row r="4133" spans="6:9" x14ac:dyDescent="0.25">
      <c r="F4133" s="39"/>
      <c r="G4133" s="39"/>
      <c r="H4133" s="39"/>
      <c r="I4133" s="39"/>
    </row>
    <row r="4134" spans="6:9" x14ac:dyDescent="0.25">
      <c r="F4134" s="39"/>
      <c r="G4134" s="39"/>
      <c r="H4134" s="39"/>
      <c r="I4134" s="39"/>
    </row>
    <row r="4135" spans="6:9" x14ac:dyDescent="0.25">
      <c r="F4135" s="39"/>
      <c r="G4135" s="39"/>
      <c r="H4135" s="39"/>
      <c r="I4135" s="39"/>
    </row>
    <row r="4136" spans="6:9" x14ac:dyDescent="0.25">
      <c r="F4136" s="39"/>
      <c r="G4136" s="39"/>
      <c r="H4136" s="39"/>
      <c r="I4136" s="39"/>
    </row>
    <row r="4137" spans="6:9" x14ac:dyDescent="0.25">
      <c r="F4137" s="39"/>
      <c r="G4137" s="39"/>
      <c r="H4137" s="39"/>
      <c r="I4137" s="39"/>
    </row>
    <row r="4138" spans="6:9" x14ac:dyDescent="0.25">
      <c r="F4138" s="39"/>
      <c r="G4138" s="39"/>
      <c r="H4138" s="39"/>
      <c r="I4138" s="39"/>
    </row>
    <row r="4139" spans="6:9" x14ac:dyDescent="0.25">
      <c r="F4139" s="39"/>
      <c r="G4139" s="39"/>
      <c r="H4139" s="39"/>
      <c r="I4139" s="39"/>
    </row>
    <row r="4140" spans="6:9" x14ac:dyDescent="0.25">
      <c r="F4140" s="39"/>
      <c r="G4140" s="39"/>
      <c r="H4140" s="39"/>
      <c r="I4140" s="39"/>
    </row>
    <row r="4141" spans="6:9" x14ac:dyDescent="0.25">
      <c r="F4141" s="39"/>
      <c r="G4141" s="39"/>
      <c r="H4141" s="39"/>
      <c r="I4141" s="39"/>
    </row>
    <row r="4142" spans="6:9" x14ac:dyDescent="0.25">
      <c r="F4142" s="39"/>
      <c r="G4142" s="39"/>
      <c r="H4142" s="39"/>
      <c r="I4142" s="39"/>
    </row>
    <row r="4143" spans="6:9" x14ac:dyDescent="0.25">
      <c r="F4143" s="39"/>
      <c r="G4143" s="39"/>
      <c r="H4143" s="39"/>
      <c r="I4143" s="39"/>
    </row>
    <row r="4144" spans="6:9" x14ac:dyDescent="0.25">
      <c r="F4144" s="39"/>
      <c r="G4144" s="39"/>
      <c r="H4144" s="39"/>
      <c r="I4144" s="39"/>
    </row>
    <row r="4145" spans="6:9" x14ac:dyDescent="0.25">
      <c r="F4145" s="39"/>
      <c r="G4145" s="39"/>
      <c r="H4145" s="39"/>
      <c r="I4145" s="39"/>
    </row>
    <row r="4146" spans="6:9" x14ac:dyDescent="0.25">
      <c r="F4146" s="39"/>
      <c r="G4146" s="39"/>
      <c r="H4146" s="39"/>
      <c r="I4146" s="39"/>
    </row>
    <row r="4147" spans="6:9" x14ac:dyDescent="0.25">
      <c r="F4147" s="39"/>
      <c r="G4147" s="39"/>
      <c r="H4147" s="39"/>
      <c r="I4147" s="39"/>
    </row>
    <row r="4148" spans="6:9" x14ac:dyDescent="0.25">
      <c r="F4148" s="39"/>
      <c r="G4148" s="39"/>
      <c r="H4148" s="39"/>
      <c r="I4148" s="39"/>
    </row>
    <row r="4149" spans="6:9" x14ac:dyDescent="0.25">
      <c r="F4149" s="39"/>
      <c r="G4149" s="39"/>
      <c r="H4149" s="39"/>
      <c r="I4149" s="39"/>
    </row>
    <row r="4150" spans="6:9" x14ac:dyDescent="0.25">
      <c r="F4150" s="39"/>
      <c r="G4150" s="39"/>
      <c r="H4150" s="39"/>
      <c r="I4150" s="39"/>
    </row>
    <row r="4151" spans="6:9" x14ac:dyDescent="0.25">
      <c r="F4151" s="39"/>
      <c r="G4151" s="39"/>
      <c r="H4151" s="39"/>
      <c r="I4151" s="39"/>
    </row>
    <row r="4152" spans="6:9" x14ac:dyDescent="0.25">
      <c r="F4152" s="39"/>
      <c r="G4152" s="39"/>
      <c r="H4152" s="39"/>
      <c r="I4152" s="39"/>
    </row>
    <row r="4153" spans="6:9" x14ac:dyDescent="0.25">
      <c r="F4153" s="39"/>
      <c r="G4153" s="39"/>
      <c r="H4153" s="39"/>
      <c r="I4153" s="39"/>
    </row>
    <row r="4154" spans="6:9" x14ac:dyDescent="0.25">
      <c r="F4154" s="39"/>
      <c r="G4154" s="39"/>
      <c r="H4154" s="39"/>
      <c r="I4154" s="39"/>
    </row>
    <row r="4155" spans="6:9" x14ac:dyDescent="0.25">
      <c r="F4155" s="39"/>
      <c r="G4155" s="39"/>
      <c r="H4155" s="39"/>
      <c r="I4155" s="39"/>
    </row>
    <row r="4156" spans="6:9" x14ac:dyDescent="0.25">
      <c r="F4156" s="39"/>
      <c r="G4156" s="39"/>
      <c r="H4156" s="39"/>
      <c r="I4156" s="39"/>
    </row>
    <row r="4157" spans="6:9" x14ac:dyDescent="0.25">
      <c r="F4157" s="39"/>
      <c r="G4157" s="39"/>
      <c r="H4157" s="39"/>
      <c r="I4157" s="39"/>
    </row>
    <row r="4158" spans="6:9" x14ac:dyDescent="0.25">
      <c r="F4158" s="39"/>
      <c r="G4158" s="39"/>
      <c r="H4158" s="39"/>
      <c r="I4158" s="39"/>
    </row>
    <row r="4159" spans="6:9" x14ac:dyDescent="0.25">
      <c r="F4159" s="39"/>
      <c r="G4159" s="39"/>
      <c r="H4159" s="39"/>
      <c r="I4159" s="39"/>
    </row>
    <row r="4160" spans="6:9" x14ac:dyDescent="0.25">
      <c r="F4160" s="39"/>
      <c r="G4160" s="39"/>
      <c r="H4160" s="39"/>
      <c r="I4160" s="39"/>
    </row>
    <row r="4161" spans="6:9" x14ac:dyDescent="0.25">
      <c r="F4161" s="39"/>
      <c r="G4161" s="39"/>
      <c r="H4161" s="39"/>
      <c r="I4161" s="39"/>
    </row>
    <row r="4162" spans="6:9" x14ac:dyDescent="0.25">
      <c r="F4162" s="39"/>
      <c r="G4162" s="39"/>
      <c r="H4162" s="39"/>
      <c r="I4162" s="39"/>
    </row>
    <row r="4163" spans="6:9" x14ac:dyDescent="0.25">
      <c r="F4163" s="39"/>
      <c r="G4163" s="39"/>
      <c r="H4163" s="39"/>
      <c r="I4163" s="39"/>
    </row>
    <row r="4164" spans="6:9" x14ac:dyDescent="0.25">
      <c r="F4164" s="39"/>
      <c r="G4164" s="39"/>
      <c r="H4164" s="39"/>
      <c r="I4164" s="39"/>
    </row>
    <row r="4165" spans="6:9" x14ac:dyDescent="0.25">
      <c r="F4165" s="39"/>
      <c r="G4165" s="39"/>
      <c r="H4165" s="39"/>
      <c r="I4165" s="39"/>
    </row>
    <row r="4166" spans="6:9" x14ac:dyDescent="0.25">
      <c r="F4166" s="39"/>
      <c r="G4166" s="39"/>
      <c r="H4166" s="39"/>
      <c r="I4166" s="39"/>
    </row>
    <row r="4167" spans="6:9" x14ac:dyDescent="0.25">
      <c r="F4167" s="39"/>
      <c r="G4167" s="39"/>
      <c r="H4167" s="39"/>
      <c r="I4167" s="39"/>
    </row>
    <row r="4168" spans="6:9" x14ac:dyDescent="0.25">
      <c r="F4168" s="39"/>
      <c r="G4168" s="39"/>
      <c r="H4168" s="39"/>
      <c r="I4168" s="39"/>
    </row>
    <row r="4169" spans="6:9" x14ac:dyDescent="0.25">
      <c r="F4169" s="39"/>
      <c r="G4169" s="39"/>
      <c r="H4169" s="39"/>
      <c r="I4169" s="39"/>
    </row>
    <row r="4170" spans="6:9" x14ac:dyDescent="0.25">
      <c r="F4170" s="39"/>
      <c r="G4170" s="39"/>
      <c r="H4170" s="39"/>
      <c r="I4170" s="39"/>
    </row>
    <row r="4171" spans="6:9" x14ac:dyDescent="0.25">
      <c r="F4171" s="39"/>
      <c r="G4171" s="39"/>
      <c r="H4171" s="39"/>
      <c r="I4171" s="39"/>
    </row>
    <row r="4172" spans="6:9" x14ac:dyDescent="0.25">
      <c r="F4172" s="39"/>
      <c r="G4172" s="39"/>
      <c r="H4172" s="39"/>
      <c r="I4172" s="39"/>
    </row>
    <row r="4173" spans="6:9" x14ac:dyDescent="0.25">
      <c r="F4173" s="39"/>
      <c r="G4173" s="39"/>
      <c r="H4173" s="39"/>
      <c r="I4173" s="39"/>
    </row>
    <row r="4174" spans="6:9" x14ac:dyDescent="0.25">
      <c r="F4174" s="39"/>
      <c r="G4174" s="39"/>
      <c r="H4174" s="39"/>
      <c r="I4174" s="39"/>
    </row>
    <row r="4175" spans="6:9" x14ac:dyDescent="0.25">
      <c r="F4175" s="39"/>
      <c r="G4175" s="39"/>
      <c r="H4175" s="39"/>
      <c r="I4175" s="39"/>
    </row>
    <row r="4176" spans="6:9" x14ac:dyDescent="0.25">
      <c r="F4176" s="39"/>
      <c r="G4176" s="39"/>
      <c r="H4176" s="39"/>
      <c r="I4176" s="39"/>
    </row>
    <row r="4177" spans="6:9" x14ac:dyDescent="0.25">
      <c r="F4177" s="39"/>
      <c r="G4177" s="39"/>
      <c r="H4177" s="39"/>
      <c r="I4177" s="39"/>
    </row>
    <row r="4178" spans="6:9" x14ac:dyDescent="0.25">
      <c r="F4178" s="39"/>
      <c r="G4178" s="39"/>
      <c r="H4178" s="39"/>
      <c r="I4178" s="39"/>
    </row>
    <row r="4179" spans="6:9" x14ac:dyDescent="0.25">
      <c r="F4179" s="39"/>
      <c r="G4179" s="39"/>
      <c r="H4179" s="39"/>
      <c r="I4179" s="39"/>
    </row>
    <row r="4180" spans="6:9" x14ac:dyDescent="0.25">
      <c r="F4180" s="39"/>
      <c r="G4180" s="39"/>
      <c r="H4180" s="39"/>
      <c r="I4180" s="39"/>
    </row>
    <row r="4181" spans="6:9" x14ac:dyDescent="0.25">
      <c r="F4181" s="39"/>
      <c r="G4181" s="39"/>
      <c r="H4181" s="39"/>
      <c r="I4181" s="39"/>
    </row>
    <row r="4182" spans="6:9" x14ac:dyDescent="0.25">
      <c r="F4182" s="39"/>
      <c r="G4182" s="39"/>
      <c r="H4182" s="39"/>
      <c r="I4182" s="39"/>
    </row>
    <row r="4183" spans="6:9" x14ac:dyDescent="0.25">
      <c r="F4183" s="39"/>
      <c r="G4183" s="39"/>
      <c r="H4183" s="39"/>
      <c r="I4183" s="39"/>
    </row>
    <row r="4184" spans="6:9" x14ac:dyDescent="0.25">
      <c r="F4184" s="39"/>
      <c r="G4184" s="39"/>
      <c r="H4184" s="39"/>
      <c r="I4184" s="39"/>
    </row>
    <row r="4185" spans="6:9" x14ac:dyDescent="0.25">
      <c r="F4185" s="39"/>
      <c r="G4185" s="39"/>
      <c r="H4185" s="39"/>
      <c r="I4185" s="39"/>
    </row>
    <row r="4186" spans="6:9" x14ac:dyDescent="0.25">
      <c r="F4186" s="39"/>
      <c r="G4186" s="39"/>
      <c r="H4186" s="39"/>
      <c r="I4186" s="39"/>
    </row>
    <row r="4187" spans="6:9" x14ac:dyDescent="0.25">
      <c r="F4187" s="39"/>
      <c r="G4187" s="39"/>
      <c r="H4187" s="39"/>
      <c r="I4187" s="39"/>
    </row>
    <row r="4188" spans="6:9" x14ac:dyDescent="0.25">
      <c r="F4188" s="39"/>
      <c r="G4188" s="39"/>
      <c r="H4188" s="39"/>
      <c r="I4188" s="39"/>
    </row>
    <row r="4189" spans="6:9" x14ac:dyDescent="0.25">
      <c r="F4189" s="39"/>
      <c r="G4189" s="39"/>
      <c r="H4189" s="39"/>
      <c r="I4189" s="39"/>
    </row>
    <row r="4190" spans="6:9" x14ac:dyDescent="0.25">
      <c r="F4190" s="39"/>
      <c r="G4190" s="39"/>
      <c r="H4190" s="39"/>
      <c r="I4190" s="39"/>
    </row>
    <row r="4191" spans="6:9" x14ac:dyDescent="0.25">
      <c r="F4191" s="39"/>
      <c r="G4191" s="39"/>
      <c r="H4191" s="39"/>
      <c r="I4191" s="39"/>
    </row>
    <row r="4192" spans="6:9" x14ac:dyDescent="0.25">
      <c r="F4192" s="39"/>
      <c r="G4192" s="39"/>
      <c r="H4192" s="39"/>
      <c r="I4192" s="39"/>
    </row>
    <row r="4193" spans="6:9" x14ac:dyDescent="0.25">
      <c r="F4193" s="39"/>
      <c r="G4193" s="39"/>
      <c r="H4193" s="39"/>
      <c r="I4193" s="39"/>
    </row>
    <row r="4194" spans="6:9" x14ac:dyDescent="0.25">
      <c r="F4194" s="39"/>
      <c r="G4194" s="39"/>
      <c r="H4194" s="39"/>
      <c r="I4194" s="39"/>
    </row>
    <row r="4195" spans="6:9" x14ac:dyDescent="0.25">
      <c r="F4195" s="39"/>
      <c r="G4195" s="39"/>
      <c r="H4195" s="39"/>
      <c r="I4195" s="39"/>
    </row>
    <row r="4196" spans="6:9" x14ac:dyDescent="0.25">
      <c r="F4196" s="39"/>
      <c r="G4196" s="39"/>
      <c r="H4196" s="39"/>
      <c r="I4196" s="39"/>
    </row>
    <row r="4197" spans="6:9" x14ac:dyDescent="0.25">
      <c r="F4197" s="39"/>
      <c r="G4197" s="39"/>
      <c r="H4197" s="39"/>
      <c r="I4197" s="39"/>
    </row>
    <row r="4198" spans="6:9" x14ac:dyDescent="0.25">
      <c r="F4198" s="39"/>
      <c r="G4198" s="39"/>
      <c r="H4198" s="39"/>
      <c r="I4198" s="39"/>
    </row>
    <row r="4199" spans="6:9" x14ac:dyDescent="0.25">
      <c r="F4199" s="39"/>
      <c r="G4199" s="39"/>
      <c r="H4199" s="39"/>
      <c r="I4199" s="39"/>
    </row>
    <row r="4200" spans="6:9" x14ac:dyDescent="0.25">
      <c r="F4200" s="39"/>
      <c r="G4200" s="39"/>
      <c r="H4200" s="39"/>
      <c r="I4200" s="39"/>
    </row>
    <row r="4201" spans="6:9" x14ac:dyDescent="0.25">
      <c r="F4201" s="39"/>
      <c r="G4201" s="39"/>
      <c r="H4201" s="39"/>
      <c r="I4201" s="39"/>
    </row>
    <row r="4202" spans="6:9" x14ac:dyDescent="0.25">
      <c r="F4202" s="39"/>
      <c r="G4202" s="39"/>
      <c r="H4202" s="39"/>
      <c r="I4202" s="39"/>
    </row>
    <row r="4203" spans="6:9" x14ac:dyDescent="0.25">
      <c r="F4203" s="39"/>
      <c r="G4203" s="39"/>
      <c r="H4203" s="39"/>
      <c r="I4203" s="39"/>
    </row>
    <row r="4204" spans="6:9" x14ac:dyDescent="0.25">
      <c r="F4204" s="39"/>
      <c r="G4204" s="39"/>
      <c r="H4204" s="39"/>
      <c r="I4204" s="39"/>
    </row>
    <row r="4205" spans="6:9" x14ac:dyDescent="0.25">
      <c r="F4205" s="39"/>
      <c r="G4205" s="39"/>
      <c r="H4205" s="39"/>
      <c r="I4205" s="39"/>
    </row>
    <row r="4206" spans="6:9" x14ac:dyDescent="0.25">
      <c r="F4206" s="39"/>
      <c r="G4206" s="39"/>
      <c r="H4206" s="39"/>
      <c r="I4206" s="39"/>
    </row>
    <row r="4207" spans="6:9" x14ac:dyDescent="0.25">
      <c r="F4207" s="39"/>
      <c r="G4207" s="39"/>
      <c r="H4207" s="39"/>
      <c r="I4207" s="39"/>
    </row>
    <row r="4208" spans="6:9" x14ac:dyDescent="0.25">
      <c r="F4208" s="39"/>
      <c r="G4208" s="39"/>
      <c r="H4208" s="39"/>
      <c r="I4208" s="39"/>
    </row>
    <row r="4209" spans="6:9" x14ac:dyDescent="0.25">
      <c r="F4209" s="39"/>
      <c r="G4209" s="39"/>
      <c r="H4209" s="39"/>
      <c r="I4209" s="39"/>
    </row>
    <row r="4210" spans="6:9" x14ac:dyDescent="0.25">
      <c r="F4210" s="39"/>
      <c r="G4210" s="39"/>
      <c r="H4210" s="39"/>
      <c r="I4210" s="39"/>
    </row>
    <row r="4211" spans="6:9" x14ac:dyDescent="0.25">
      <c r="F4211" s="39"/>
      <c r="G4211" s="39"/>
      <c r="H4211" s="39"/>
      <c r="I4211" s="39"/>
    </row>
    <row r="4212" spans="6:9" x14ac:dyDescent="0.25">
      <c r="F4212" s="39"/>
      <c r="G4212" s="39"/>
      <c r="H4212" s="39"/>
      <c r="I4212" s="39"/>
    </row>
    <row r="4213" spans="6:9" x14ac:dyDescent="0.25">
      <c r="F4213" s="39"/>
      <c r="G4213" s="39"/>
      <c r="H4213" s="39"/>
      <c r="I4213" s="39"/>
    </row>
    <row r="4214" spans="6:9" x14ac:dyDescent="0.25">
      <c r="F4214" s="39"/>
      <c r="G4214" s="39"/>
      <c r="H4214" s="39"/>
      <c r="I4214" s="39"/>
    </row>
    <row r="4215" spans="6:9" x14ac:dyDescent="0.25">
      <c r="F4215" s="39"/>
      <c r="G4215" s="39"/>
      <c r="H4215" s="39"/>
      <c r="I4215" s="39"/>
    </row>
    <row r="4216" spans="6:9" x14ac:dyDescent="0.25">
      <c r="F4216" s="39"/>
      <c r="G4216" s="39"/>
      <c r="H4216" s="39"/>
      <c r="I4216" s="39"/>
    </row>
    <row r="4217" spans="6:9" x14ac:dyDescent="0.25">
      <c r="F4217" s="39"/>
      <c r="G4217" s="39"/>
      <c r="H4217" s="39"/>
      <c r="I4217" s="39"/>
    </row>
    <row r="4218" spans="6:9" x14ac:dyDescent="0.25">
      <c r="F4218" s="39"/>
      <c r="G4218" s="39"/>
      <c r="H4218" s="39"/>
      <c r="I4218" s="39"/>
    </row>
    <row r="4219" spans="6:9" x14ac:dyDescent="0.25">
      <c r="F4219" s="39"/>
      <c r="G4219" s="39"/>
      <c r="H4219" s="39"/>
      <c r="I4219" s="39"/>
    </row>
    <row r="4220" spans="6:9" x14ac:dyDescent="0.25">
      <c r="F4220" s="39"/>
      <c r="G4220" s="39"/>
      <c r="H4220" s="39"/>
      <c r="I4220" s="39"/>
    </row>
    <row r="4221" spans="6:9" x14ac:dyDescent="0.25">
      <c r="F4221" s="39"/>
      <c r="G4221" s="39"/>
      <c r="H4221" s="39"/>
      <c r="I4221" s="39"/>
    </row>
    <row r="4222" spans="6:9" x14ac:dyDescent="0.25">
      <c r="F4222" s="39"/>
      <c r="G4222" s="39"/>
      <c r="H4222" s="39"/>
      <c r="I4222" s="39"/>
    </row>
    <row r="4223" spans="6:9" x14ac:dyDescent="0.25">
      <c r="F4223" s="39"/>
      <c r="G4223" s="39"/>
      <c r="H4223" s="39"/>
      <c r="I4223" s="39"/>
    </row>
    <row r="4224" spans="6:9" x14ac:dyDescent="0.25">
      <c r="F4224" s="39"/>
      <c r="G4224" s="39"/>
      <c r="H4224" s="39"/>
      <c r="I4224" s="39"/>
    </row>
    <row r="4225" spans="6:9" x14ac:dyDescent="0.25">
      <c r="F4225" s="39"/>
      <c r="G4225" s="39"/>
      <c r="H4225" s="39"/>
      <c r="I4225" s="39"/>
    </row>
    <row r="4226" spans="6:9" x14ac:dyDescent="0.25">
      <c r="F4226" s="39"/>
      <c r="G4226" s="39"/>
      <c r="H4226" s="39"/>
      <c r="I4226" s="39"/>
    </row>
    <row r="4227" spans="6:9" x14ac:dyDescent="0.25">
      <c r="F4227" s="39"/>
      <c r="G4227" s="39"/>
      <c r="H4227" s="39"/>
      <c r="I4227" s="39"/>
    </row>
    <row r="4228" spans="6:9" x14ac:dyDescent="0.25">
      <c r="F4228" s="39"/>
      <c r="G4228" s="39"/>
      <c r="H4228" s="39"/>
      <c r="I4228" s="39"/>
    </row>
    <row r="4229" spans="6:9" x14ac:dyDescent="0.25">
      <c r="F4229" s="39"/>
      <c r="G4229" s="39"/>
      <c r="H4229" s="39"/>
      <c r="I4229" s="39"/>
    </row>
    <row r="4230" spans="6:9" x14ac:dyDescent="0.25">
      <c r="F4230" s="39"/>
      <c r="G4230" s="39"/>
      <c r="H4230" s="39"/>
      <c r="I4230" s="39"/>
    </row>
    <row r="4231" spans="6:9" x14ac:dyDescent="0.25">
      <c r="F4231" s="39"/>
      <c r="G4231" s="39"/>
      <c r="H4231" s="39"/>
      <c r="I4231" s="39"/>
    </row>
    <row r="4232" spans="6:9" x14ac:dyDescent="0.25">
      <c r="F4232" s="39"/>
      <c r="G4232" s="39"/>
      <c r="H4232" s="39"/>
      <c r="I4232" s="39"/>
    </row>
    <row r="4233" spans="6:9" x14ac:dyDescent="0.25">
      <c r="F4233" s="39"/>
      <c r="G4233" s="39"/>
      <c r="H4233" s="39"/>
      <c r="I4233" s="39"/>
    </row>
    <row r="4234" spans="6:9" x14ac:dyDescent="0.25">
      <c r="F4234" s="39"/>
      <c r="G4234" s="39"/>
      <c r="H4234" s="39"/>
      <c r="I4234" s="39"/>
    </row>
    <row r="4235" spans="6:9" x14ac:dyDescent="0.25">
      <c r="F4235" s="39"/>
      <c r="G4235" s="39"/>
      <c r="H4235" s="39"/>
      <c r="I4235" s="39"/>
    </row>
    <row r="4236" spans="6:9" x14ac:dyDescent="0.25">
      <c r="F4236" s="39"/>
      <c r="G4236" s="39"/>
      <c r="H4236" s="39"/>
      <c r="I4236" s="39"/>
    </row>
    <row r="4237" spans="6:9" x14ac:dyDescent="0.25">
      <c r="F4237" s="39"/>
      <c r="G4237" s="39"/>
      <c r="H4237" s="39"/>
      <c r="I4237" s="39"/>
    </row>
    <row r="4238" spans="6:9" x14ac:dyDescent="0.25">
      <c r="F4238" s="39"/>
      <c r="G4238" s="39"/>
      <c r="H4238" s="39"/>
      <c r="I4238" s="39"/>
    </row>
    <row r="4239" spans="6:9" x14ac:dyDescent="0.25">
      <c r="F4239" s="39"/>
      <c r="G4239" s="39"/>
      <c r="H4239" s="39"/>
      <c r="I4239" s="39"/>
    </row>
    <row r="4240" spans="6:9" x14ac:dyDescent="0.25">
      <c r="F4240" s="39"/>
      <c r="G4240" s="39"/>
      <c r="H4240" s="39"/>
      <c r="I4240" s="39"/>
    </row>
    <row r="4241" spans="6:9" x14ac:dyDescent="0.25">
      <c r="F4241" s="39"/>
      <c r="G4241" s="39"/>
      <c r="H4241" s="39"/>
      <c r="I4241" s="39"/>
    </row>
    <row r="4242" spans="6:9" x14ac:dyDescent="0.25">
      <c r="F4242" s="39"/>
      <c r="G4242" s="39"/>
      <c r="H4242" s="39"/>
      <c r="I4242" s="39"/>
    </row>
    <row r="4243" spans="6:9" x14ac:dyDescent="0.25">
      <c r="F4243" s="39"/>
      <c r="G4243" s="39"/>
      <c r="H4243" s="39"/>
      <c r="I4243" s="39"/>
    </row>
    <row r="4244" spans="6:9" x14ac:dyDescent="0.25">
      <c r="F4244" s="39"/>
      <c r="G4244" s="39"/>
      <c r="H4244" s="39"/>
      <c r="I4244" s="39"/>
    </row>
    <row r="4245" spans="6:9" x14ac:dyDescent="0.25">
      <c r="F4245" s="39"/>
      <c r="G4245" s="39"/>
      <c r="H4245" s="39"/>
      <c r="I4245" s="39"/>
    </row>
    <row r="4246" spans="6:9" x14ac:dyDescent="0.25">
      <c r="F4246" s="39"/>
      <c r="G4246" s="39"/>
      <c r="H4246" s="39"/>
      <c r="I4246" s="39"/>
    </row>
    <row r="4247" spans="6:9" x14ac:dyDescent="0.25">
      <c r="F4247" s="39"/>
      <c r="G4247" s="39"/>
      <c r="H4247" s="39"/>
      <c r="I4247" s="39"/>
    </row>
    <row r="4248" spans="6:9" x14ac:dyDescent="0.25">
      <c r="F4248" s="39"/>
      <c r="G4248" s="39"/>
      <c r="H4248" s="39"/>
      <c r="I4248" s="39"/>
    </row>
    <row r="4249" spans="6:9" x14ac:dyDescent="0.25">
      <c r="F4249" s="39"/>
      <c r="G4249" s="39"/>
      <c r="H4249" s="39"/>
      <c r="I4249" s="39"/>
    </row>
    <row r="4250" spans="6:9" x14ac:dyDescent="0.25">
      <c r="F4250" s="39"/>
      <c r="G4250" s="39"/>
      <c r="H4250" s="39"/>
      <c r="I4250" s="39"/>
    </row>
    <row r="4251" spans="6:9" x14ac:dyDescent="0.25">
      <c r="F4251" s="39"/>
      <c r="G4251" s="39"/>
      <c r="H4251" s="39"/>
      <c r="I4251" s="39"/>
    </row>
    <row r="4252" spans="6:9" x14ac:dyDescent="0.25">
      <c r="F4252" s="39"/>
      <c r="G4252" s="39"/>
      <c r="H4252" s="39"/>
      <c r="I4252" s="39"/>
    </row>
    <row r="4253" spans="6:9" x14ac:dyDescent="0.25">
      <c r="F4253" s="39"/>
      <c r="G4253" s="39"/>
      <c r="H4253" s="39"/>
      <c r="I4253" s="39"/>
    </row>
    <row r="4254" spans="6:9" x14ac:dyDescent="0.25">
      <c r="F4254" s="39"/>
      <c r="G4254" s="39"/>
      <c r="H4254" s="39"/>
      <c r="I4254" s="39"/>
    </row>
    <row r="4255" spans="6:9" x14ac:dyDescent="0.25">
      <c r="F4255" s="39"/>
      <c r="G4255" s="39"/>
      <c r="H4255" s="39"/>
      <c r="I4255" s="39"/>
    </row>
    <row r="4256" spans="6:9" x14ac:dyDescent="0.25">
      <c r="F4256" s="39"/>
      <c r="G4256" s="39"/>
      <c r="H4256" s="39"/>
      <c r="I4256" s="39"/>
    </row>
    <row r="4257" spans="6:9" x14ac:dyDescent="0.25">
      <c r="F4257" s="39"/>
      <c r="G4257" s="39"/>
      <c r="H4257" s="39"/>
      <c r="I4257" s="39"/>
    </row>
    <row r="4258" spans="6:9" x14ac:dyDescent="0.25">
      <c r="F4258" s="39"/>
      <c r="G4258" s="39"/>
      <c r="H4258" s="39"/>
      <c r="I4258" s="39"/>
    </row>
    <row r="4259" spans="6:9" x14ac:dyDescent="0.25">
      <c r="F4259" s="39"/>
      <c r="G4259" s="39"/>
      <c r="H4259" s="39"/>
      <c r="I4259" s="39"/>
    </row>
    <row r="4260" spans="6:9" x14ac:dyDescent="0.25">
      <c r="F4260" s="39"/>
      <c r="G4260" s="39"/>
      <c r="H4260" s="39"/>
      <c r="I4260" s="39"/>
    </row>
    <row r="4261" spans="6:9" x14ac:dyDescent="0.25">
      <c r="F4261" s="39"/>
      <c r="G4261" s="39"/>
      <c r="H4261" s="39"/>
      <c r="I4261" s="39"/>
    </row>
    <row r="4262" spans="6:9" x14ac:dyDescent="0.25">
      <c r="F4262" s="39"/>
      <c r="G4262" s="39"/>
      <c r="H4262" s="39"/>
      <c r="I4262" s="39"/>
    </row>
    <row r="4263" spans="6:9" x14ac:dyDescent="0.25">
      <c r="F4263" s="39"/>
      <c r="G4263" s="39"/>
      <c r="H4263" s="39"/>
      <c r="I4263" s="39"/>
    </row>
    <row r="4264" spans="6:9" x14ac:dyDescent="0.25">
      <c r="F4264" s="39"/>
      <c r="G4264" s="39"/>
      <c r="H4264" s="39"/>
      <c r="I4264" s="39"/>
    </row>
    <row r="4265" spans="6:9" x14ac:dyDescent="0.25">
      <c r="F4265" s="39"/>
      <c r="G4265" s="39"/>
      <c r="H4265" s="39"/>
      <c r="I4265" s="39"/>
    </row>
    <row r="4266" spans="6:9" x14ac:dyDescent="0.25">
      <c r="F4266" s="39"/>
      <c r="G4266" s="39"/>
      <c r="H4266" s="39"/>
      <c r="I4266" s="39"/>
    </row>
    <row r="4267" spans="6:9" x14ac:dyDescent="0.25">
      <c r="F4267" s="39"/>
      <c r="G4267" s="39"/>
      <c r="H4267" s="39"/>
      <c r="I4267" s="39"/>
    </row>
    <row r="4268" spans="6:9" x14ac:dyDescent="0.25">
      <c r="F4268" s="39"/>
      <c r="G4268" s="39"/>
      <c r="H4268" s="39"/>
      <c r="I4268" s="39"/>
    </row>
    <row r="4269" spans="6:9" x14ac:dyDescent="0.25">
      <c r="F4269" s="39"/>
      <c r="G4269" s="39"/>
      <c r="H4269" s="39"/>
      <c r="I4269" s="39"/>
    </row>
    <row r="4270" spans="6:9" x14ac:dyDescent="0.25">
      <c r="F4270" s="39"/>
      <c r="G4270" s="39"/>
      <c r="H4270" s="39"/>
      <c r="I4270" s="39"/>
    </row>
    <row r="4271" spans="6:9" x14ac:dyDescent="0.25">
      <c r="F4271" s="39"/>
      <c r="G4271" s="39"/>
      <c r="H4271" s="39"/>
      <c r="I4271" s="39"/>
    </row>
    <row r="4272" spans="6:9" x14ac:dyDescent="0.25">
      <c r="F4272" s="39"/>
      <c r="G4272" s="39"/>
      <c r="H4272" s="39"/>
      <c r="I4272" s="39"/>
    </row>
    <row r="4273" spans="6:9" x14ac:dyDescent="0.25">
      <c r="F4273" s="39"/>
      <c r="G4273" s="39"/>
      <c r="H4273" s="39"/>
      <c r="I4273" s="39"/>
    </row>
    <row r="4274" spans="6:9" x14ac:dyDescent="0.25">
      <c r="F4274" s="39"/>
      <c r="G4274" s="39"/>
      <c r="H4274" s="39"/>
      <c r="I4274" s="39"/>
    </row>
    <row r="4275" spans="6:9" x14ac:dyDescent="0.25">
      <c r="F4275" s="39"/>
      <c r="G4275" s="39"/>
      <c r="H4275" s="39"/>
      <c r="I4275" s="39"/>
    </row>
    <row r="4276" spans="6:9" x14ac:dyDescent="0.25">
      <c r="F4276" s="39"/>
      <c r="G4276" s="39"/>
      <c r="H4276" s="39"/>
      <c r="I4276" s="39"/>
    </row>
    <row r="4277" spans="6:9" x14ac:dyDescent="0.25">
      <c r="F4277" s="39"/>
      <c r="G4277" s="39"/>
      <c r="H4277" s="39"/>
      <c r="I4277" s="39"/>
    </row>
    <row r="4278" spans="6:9" x14ac:dyDescent="0.25">
      <c r="F4278" s="39"/>
      <c r="G4278" s="39"/>
      <c r="H4278" s="39"/>
      <c r="I4278" s="39"/>
    </row>
    <row r="4279" spans="6:9" x14ac:dyDescent="0.25">
      <c r="F4279" s="39"/>
      <c r="G4279" s="39"/>
      <c r="H4279" s="39"/>
      <c r="I4279" s="39"/>
    </row>
    <row r="4280" spans="6:9" x14ac:dyDescent="0.25">
      <c r="F4280" s="39"/>
      <c r="G4280" s="39"/>
      <c r="H4280" s="39"/>
      <c r="I4280" s="39"/>
    </row>
    <row r="4281" spans="6:9" x14ac:dyDescent="0.25">
      <c r="F4281" s="39"/>
      <c r="G4281" s="39"/>
      <c r="H4281" s="39"/>
      <c r="I4281" s="39"/>
    </row>
    <row r="4282" spans="6:9" x14ac:dyDescent="0.25">
      <c r="F4282" s="39"/>
      <c r="G4282" s="39"/>
      <c r="H4282" s="39"/>
      <c r="I4282" s="39"/>
    </row>
    <row r="4283" spans="6:9" x14ac:dyDescent="0.25">
      <c r="F4283" s="39"/>
      <c r="G4283" s="39"/>
      <c r="H4283" s="39"/>
      <c r="I4283" s="39"/>
    </row>
    <row r="4284" spans="6:9" x14ac:dyDescent="0.25">
      <c r="F4284" s="39"/>
      <c r="G4284" s="39"/>
      <c r="H4284" s="39"/>
      <c r="I4284" s="39"/>
    </row>
    <row r="4285" spans="6:9" x14ac:dyDescent="0.25">
      <c r="F4285" s="39"/>
      <c r="G4285" s="39"/>
      <c r="H4285" s="39"/>
      <c r="I4285" s="39"/>
    </row>
    <row r="4286" spans="6:9" x14ac:dyDescent="0.25">
      <c r="F4286" s="39"/>
      <c r="G4286" s="39"/>
      <c r="H4286" s="39"/>
      <c r="I4286" s="39"/>
    </row>
    <row r="4287" spans="6:9" x14ac:dyDescent="0.25">
      <c r="F4287" s="39"/>
      <c r="G4287" s="39"/>
      <c r="H4287" s="39"/>
      <c r="I4287" s="39"/>
    </row>
    <row r="4288" spans="6:9" x14ac:dyDescent="0.25">
      <c r="F4288" s="39"/>
      <c r="G4288" s="39"/>
      <c r="H4288" s="39"/>
      <c r="I4288" s="39"/>
    </row>
    <row r="4289" spans="6:9" x14ac:dyDescent="0.25">
      <c r="F4289" s="39"/>
      <c r="G4289" s="39"/>
      <c r="H4289" s="39"/>
      <c r="I4289" s="39"/>
    </row>
    <row r="4290" spans="6:9" x14ac:dyDescent="0.25">
      <c r="F4290" s="39"/>
      <c r="G4290" s="39"/>
      <c r="H4290" s="39"/>
      <c r="I4290" s="39"/>
    </row>
    <row r="4291" spans="6:9" x14ac:dyDescent="0.25">
      <c r="F4291" s="39"/>
      <c r="G4291" s="39"/>
      <c r="H4291" s="39"/>
      <c r="I4291" s="39"/>
    </row>
    <row r="4292" spans="6:9" x14ac:dyDescent="0.25">
      <c r="F4292" s="39"/>
      <c r="G4292" s="39"/>
      <c r="H4292" s="39"/>
      <c r="I4292" s="39"/>
    </row>
    <row r="4293" spans="6:9" x14ac:dyDescent="0.25">
      <c r="F4293" s="39"/>
      <c r="G4293" s="39"/>
      <c r="H4293" s="39"/>
      <c r="I4293" s="39"/>
    </row>
    <row r="4294" spans="6:9" x14ac:dyDescent="0.25">
      <c r="F4294" s="39"/>
      <c r="G4294" s="39"/>
      <c r="H4294" s="39"/>
      <c r="I4294" s="39"/>
    </row>
    <row r="4295" spans="6:9" x14ac:dyDescent="0.25">
      <c r="F4295" s="39"/>
      <c r="G4295" s="39"/>
      <c r="H4295" s="39"/>
      <c r="I4295" s="39"/>
    </row>
    <row r="4296" spans="6:9" x14ac:dyDescent="0.25">
      <c r="F4296" s="39"/>
      <c r="G4296" s="39"/>
      <c r="H4296" s="39"/>
      <c r="I4296" s="39"/>
    </row>
    <row r="4297" spans="6:9" x14ac:dyDescent="0.25">
      <c r="F4297" s="39"/>
      <c r="G4297" s="39"/>
      <c r="H4297" s="39"/>
      <c r="I4297" s="39"/>
    </row>
    <row r="4298" spans="6:9" x14ac:dyDescent="0.25">
      <c r="F4298" s="39"/>
      <c r="G4298" s="39"/>
      <c r="H4298" s="39"/>
      <c r="I4298" s="39"/>
    </row>
    <row r="4299" spans="6:9" x14ac:dyDescent="0.25">
      <c r="F4299" s="39"/>
      <c r="G4299" s="39"/>
      <c r="H4299" s="39"/>
      <c r="I4299" s="39"/>
    </row>
    <row r="4300" spans="6:9" x14ac:dyDescent="0.25">
      <c r="F4300" s="39"/>
      <c r="G4300" s="39"/>
      <c r="H4300" s="39"/>
      <c r="I4300" s="39"/>
    </row>
    <row r="4301" spans="6:9" x14ac:dyDescent="0.25">
      <c r="F4301" s="39"/>
      <c r="G4301" s="39"/>
      <c r="H4301" s="39"/>
      <c r="I4301" s="39"/>
    </row>
    <row r="4302" spans="6:9" x14ac:dyDescent="0.25">
      <c r="F4302" s="39"/>
      <c r="G4302" s="39"/>
      <c r="H4302" s="39"/>
      <c r="I4302" s="39"/>
    </row>
    <row r="4303" spans="6:9" x14ac:dyDescent="0.25">
      <c r="F4303" s="39"/>
      <c r="G4303" s="39"/>
      <c r="H4303" s="39"/>
      <c r="I4303" s="39"/>
    </row>
    <row r="4304" spans="6:9" x14ac:dyDescent="0.25">
      <c r="F4304" s="39"/>
      <c r="G4304" s="39"/>
      <c r="H4304" s="39"/>
      <c r="I4304" s="39"/>
    </row>
    <row r="4305" spans="6:9" x14ac:dyDescent="0.25">
      <c r="F4305" s="39"/>
      <c r="G4305" s="39"/>
      <c r="H4305" s="39"/>
      <c r="I4305" s="39"/>
    </row>
    <row r="4306" spans="6:9" x14ac:dyDescent="0.25">
      <c r="F4306" s="39"/>
      <c r="G4306" s="39"/>
      <c r="H4306" s="39"/>
      <c r="I4306" s="39"/>
    </row>
    <row r="4307" spans="6:9" x14ac:dyDescent="0.25">
      <c r="F4307" s="39"/>
      <c r="G4307" s="39"/>
      <c r="H4307" s="39"/>
      <c r="I4307" s="39"/>
    </row>
    <row r="4308" spans="6:9" x14ac:dyDescent="0.25">
      <c r="F4308" s="39"/>
      <c r="G4308" s="39"/>
      <c r="H4308" s="39"/>
      <c r="I4308" s="39"/>
    </row>
    <row r="4309" spans="6:9" x14ac:dyDescent="0.25">
      <c r="F4309" s="39"/>
      <c r="G4309" s="39"/>
      <c r="H4309" s="39"/>
      <c r="I4309" s="39"/>
    </row>
    <row r="4310" spans="6:9" x14ac:dyDescent="0.25">
      <c r="F4310" s="39"/>
      <c r="G4310" s="39"/>
      <c r="H4310" s="39"/>
      <c r="I4310" s="39"/>
    </row>
    <row r="4311" spans="6:9" x14ac:dyDescent="0.25">
      <c r="F4311" s="39"/>
      <c r="G4311" s="39"/>
      <c r="H4311" s="39"/>
      <c r="I4311" s="39"/>
    </row>
    <row r="4312" spans="6:9" x14ac:dyDescent="0.25">
      <c r="F4312" s="39"/>
      <c r="G4312" s="39"/>
      <c r="H4312" s="39"/>
      <c r="I4312" s="39"/>
    </row>
    <row r="4313" spans="6:9" x14ac:dyDescent="0.25">
      <c r="F4313" s="39"/>
      <c r="G4313" s="39"/>
      <c r="H4313" s="39"/>
      <c r="I4313" s="39"/>
    </row>
    <row r="4314" spans="6:9" x14ac:dyDescent="0.25">
      <c r="F4314" s="39"/>
      <c r="G4314" s="39"/>
      <c r="H4314" s="39"/>
      <c r="I4314" s="39"/>
    </row>
    <row r="4315" spans="6:9" x14ac:dyDescent="0.25">
      <c r="F4315" s="39"/>
      <c r="G4315" s="39"/>
      <c r="H4315" s="39"/>
      <c r="I4315" s="39"/>
    </row>
    <row r="4316" spans="6:9" x14ac:dyDescent="0.25">
      <c r="F4316" s="39"/>
      <c r="G4316" s="39"/>
      <c r="H4316" s="39"/>
      <c r="I4316" s="39"/>
    </row>
    <row r="4317" spans="6:9" x14ac:dyDescent="0.25">
      <c r="F4317" s="39"/>
      <c r="G4317" s="39"/>
      <c r="H4317" s="39"/>
      <c r="I4317" s="39"/>
    </row>
    <row r="4318" spans="6:9" x14ac:dyDescent="0.25">
      <c r="F4318" s="39"/>
      <c r="G4318" s="39"/>
      <c r="H4318" s="39"/>
      <c r="I4318" s="39"/>
    </row>
    <row r="4319" spans="6:9" x14ac:dyDescent="0.25">
      <c r="F4319" s="39"/>
      <c r="G4319" s="39"/>
      <c r="H4319" s="39"/>
      <c r="I4319" s="39"/>
    </row>
    <row r="4320" spans="6:9" x14ac:dyDescent="0.25">
      <c r="F4320" s="39"/>
      <c r="G4320" s="39"/>
      <c r="H4320" s="39"/>
      <c r="I4320" s="39"/>
    </row>
    <row r="4321" spans="6:9" x14ac:dyDescent="0.25">
      <c r="F4321" s="39"/>
      <c r="G4321" s="39"/>
      <c r="H4321" s="39"/>
      <c r="I4321" s="39"/>
    </row>
    <row r="4322" spans="6:9" x14ac:dyDescent="0.25">
      <c r="F4322" s="39"/>
      <c r="G4322" s="39"/>
      <c r="H4322" s="39"/>
      <c r="I4322" s="39"/>
    </row>
    <row r="4323" spans="6:9" x14ac:dyDescent="0.25">
      <c r="F4323" s="39"/>
      <c r="G4323" s="39"/>
      <c r="H4323" s="39"/>
      <c r="I4323" s="39"/>
    </row>
    <row r="4324" spans="6:9" x14ac:dyDescent="0.25">
      <c r="F4324" s="39"/>
      <c r="G4324" s="39"/>
      <c r="H4324" s="39"/>
      <c r="I4324" s="39"/>
    </row>
    <row r="4325" spans="6:9" x14ac:dyDescent="0.25">
      <c r="F4325" s="39"/>
      <c r="G4325" s="39"/>
      <c r="H4325" s="39"/>
      <c r="I4325" s="39"/>
    </row>
    <row r="4326" spans="6:9" x14ac:dyDescent="0.25">
      <c r="F4326" s="39"/>
      <c r="G4326" s="39"/>
      <c r="H4326" s="39"/>
      <c r="I4326" s="39"/>
    </row>
    <row r="4327" spans="6:9" x14ac:dyDescent="0.25">
      <c r="F4327" s="39"/>
      <c r="G4327" s="39"/>
      <c r="H4327" s="39"/>
      <c r="I4327" s="39"/>
    </row>
    <row r="4328" spans="6:9" x14ac:dyDescent="0.25">
      <c r="F4328" s="39"/>
      <c r="G4328" s="39"/>
      <c r="H4328" s="39"/>
      <c r="I4328" s="39"/>
    </row>
    <row r="4329" spans="6:9" x14ac:dyDescent="0.25">
      <c r="F4329" s="39"/>
      <c r="G4329" s="39"/>
      <c r="H4329" s="39"/>
      <c r="I4329" s="39"/>
    </row>
    <row r="4330" spans="6:9" x14ac:dyDescent="0.25">
      <c r="F4330" s="39"/>
      <c r="G4330" s="39"/>
      <c r="H4330" s="39"/>
      <c r="I4330" s="39"/>
    </row>
    <row r="4331" spans="6:9" x14ac:dyDescent="0.25">
      <c r="F4331" s="39"/>
      <c r="G4331" s="39"/>
      <c r="H4331" s="39"/>
      <c r="I4331" s="39"/>
    </row>
    <row r="4332" spans="6:9" x14ac:dyDescent="0.25">
      <c r="F4332" s="39"/>
      <c r="G4332" s="39"/>
      <c r="H4332" s="39"/>
      <c r="I4332" s="39"/>
    </row>
    <row r="4333" spans="6:9" x14ac:dyDescent="0.25">
      <c r="F4333" s="39"/>
      <c r="G4333" s="39"/>
      <c r="H4333" s="39"/>
      <c r="I4333" s="39"/>
    </row>
    <row r="4334" spans="6:9" x14ac:dyDescent="0.25">
      <c r="F4334" s="39"/>
      <c r="G4334" s="39"/>
      <c r="H4334" s="39"/>
      <c r="I4334" s="39"/>
    </row>
    <row r="4335" spans="6:9" x14ac:dyDescent="0.25">
      <c r="F4335" s="39"/>
      <c r="G4335" s="39"/>
      <c r="H4335" s="39"/>
      <c r="I4335" s="39"/>
    </row>
    <row r="4336" spans="6:9" x14ac:dyDescent="0.25">
      <c r="F4336" s="39"/>
      <c r="G4336" s="39"/>
      <c r="H4336" s="39"/>
      <c r="I4336" s="39"/>
    </row>
    <row r="4337" spans="6:9" x14ac:dyDescent="0.25">
      <c r="F4337" s="39"/>
      <c r="G4337" s="39"/>
      <c r="H4337" s="39"/>
      <c r="I4337" s="39"/>
    </row>
    <row r="4338" spans="6:9" x14ac:dyDescent="0.25">
      <c r="F4338" s="39"/>
      <c r="G4338" s="39"/>
      <c r="H4338" s="39"/>
      <c r="I4338" s="39"/>
    </row>
    <row r="4339" spans="6:9" x14ac:dyDescent="0.25">
      <c r="F4339" s="39"/>
      <c r="G4339" s="39"/>
      <c r="H4339" s="39"/>
      <c r="I4339" s="39"/>
    </row>
    <row r="4340" spans="6:9" x14ac:dyDescent="0.25">
      <c r="F4340" s="39"/>
      <c r="G4340" s="39"/>
      <c r="H4340" s="39"/>
      <c r="I4340" s="39"/>
    </row>
    <row r="4341" spans="6:9" x14ac:dyDescent="0.25">
      <c r="F4341" s="39"/>
      <c r="G4341" s="39"/>
      <c r="H4341" s="39"/>
      <c r="I4341" s="39"/>
    </row>
    <row r="4342" spans="6:9" x14ac:dyDescent="0.25">
      <c r="F4342" s="39"/>
      <c r="G4342" s="39"/>
      <c r="H4342" s="39"/>
      <c r="I4342" s="39"/>
    </row>
    <row r="4343" spans="6:9" x14ac:dyDescent="0.25">
      <c r="F4343" s="39"/>
      <c r="G4343" s="39"/>
      <c r="H4343" s="39"/>
      <c r="I4343" s="39"/>
    </row>
    <row r="4344" spans="6:9" x14ac:dyDescent="0.25">
      <c r="F4344" s="39"/>
      <c r="G4344" s="39"/>
      <c r="H4344" s="39"/>
      <c r="I4344" s="39"/>
    </row>
    <row r="4345" spans="6:9" x14ac:dyDescent="0.25">
      <c r="F4345" s="39"/>
      <c r="G4345" s="39"/>
      <c r="H4345" s="39"/>
      <c r="I4345" s="39"/>
    </row>
    <row r="4346" spans="6:9" x14ac:dyDescent="0.25">
      <c r="F4346" s="39"/>
      <c r="G4346" s="39"/>
      <c r="H4346" s="39"/>
      <c r="I4346" s="39"/>
    </row>
    <row r="4347" spans="6:9" x14ac:dyDescent="0.25">
      <c r="F4347" s="39"/>
      <c r="G4347" s="39"/>
      <c r="H4347" s="39"/>
      <c r="I4347" s="39"/>
    </row>
    <row r="4348" spans="6:9" x14ac:dyDescent="0.25">
      <c r="F4348" s="39"/>
      <c r="G4348" s="39"/>
      <c r="H4348" s="39"/>
      <c r="I4348" s="39"/>
    </row>
    <row r="4349" spans="6:9" x14ac:dyDescent="0.25">
      <c r="F4349" s="39"/>
      <c r="G4349" s="39"/>
      <c r="H4349" s="39"/>
      <c r="I4349" s="39"/>
    </row>
    <row r="4350" spans="6:9" x14ac:dyDescent="0.25">
      <c r="F4350" s="39"/>
      <c r="G4350" s="39"/>
      <c r="H4350" s="39"/>
      <c r="I4350" s="39"/>
    </row>
    <row r="4351" spans="6:9" x14ac:dyDescent="0.25">
      <c r="F4351" s="39"/>
      <c r="G4351" s="39"/>
      <c r="H4351" s="39"/>
      <c r="I4351" s="39"/>
    </row>
    <row r="4352" spans="6:9" x14ac:dyDescent="0.25">
      <c r="F4352" s="39"/>
      <c r="G4352" s="39"/>
      <c r="H4352" s="39"/>
      <c r="I4352" s="39"/>
    </row>
    <row r="4353" spans="6:9" x14ac:dyDescent="0.25">
      <c r="F4353" s="39"/>
      <c r="G4353" s="39"/>
      <c r="H4353" s="39"/>
      <c r="I4353" s="39"/>
    </row>
    <row r="4354" spans="6:9" x14ac:dyDescent="0.25">
      <c r="F4354" s="39"/>
      <c r="G4354" s="39"/>
      <c r="H4354" s="39"/>
      <c r="I4354" s="39"/>
    </row>
    <row r="4355" spans="6:9" x14ac:dyDescent="0.25">
      <c r="F4355" s="39"/>
      <c r="G4355" s="39"/>
      <c r="H4355" s="39"/>
      <c r="I4355" s="39"/>
    </row>
    <row r="4356" spans="6:9" x14ac:dyDescent="0.25">
      <c r="F4356" s="39"/>
      <c r="G4356" s="39"/>
      <c r="H4356" s="39"/>
      <c r="I4356" s="39"/>
    </row>
    <row r="4357" spans="6:9" x14ac:dyDescent="0.25">
      <c r="F4357" s="39"/>
      <c r="G4357" s="39"/>
      <c r="H4357" s="39"/>
      <c r="I4357" s="39"/>
    </row>
    <row r="4358" spans="6:9" x14ac:dyDescent="0.25">
      <c r="F4358" s="39"/>
      <c r="G4358" s="39"/>
      <c r="H4358" s="39"/>
      <c r="I4358" s="39"/>
    </row>
    <row r="4359" spans="6:9" x14ac:dyDescent="0.25">
      <c r="F4359" s="39"/>
      <c r="G4359" s="39"/>
      <c r="H4359" s="39"/>
      <c r="I4359" s="39"/>
    </row>
    <row r="4360" spans="6:9" x14ac:dyDescent="0.25">
      <c r="F4360" s="39"/>
      <c r="G4360" s="39"/>
      <c r="H4360" s="39"/>
      <c r="I4360" s="39"/>
    </row>
    <row r="4361" spans="6:9" x14ac:dyDescent="0.25">
      <c r="F4361" s="39"/>
      <c r="G4361" s="39"/>
      <c r="H4361" s="39"/>
      <c r="I4361" s="39"/>
    </row>
    <row r="4362" spans="6:9" x14ac:dyDescent="0.25">
      <c r="F4362" s="39"/>
      <c r="G4362" s="39"/>
      <c r="H4362" s="39"/>
      <c r="I4362" s="39"/>
    </row>
    <row r="4363" spans="6:9" x14ac:dyDescent="0.25">
      <c r="F4363" s="39"/>
      <c r="G4363" s="39"/>
      <c r="H4363" s="39"/>
      <c r="I4363" s="39"/>
    </row>
    <row r="4364" spans="6:9" x14ac:dyDescent="0.25">
      <c r="F4364" s="39"/>
      <c r="G4364" s="39"/>
      <c r="H4364" s="39"/>
      <c r="I4364" s="39"/>
    </row>
    <row r="4365" spans="6:9" x14ac:dyDescent="0.25">
      <c r="F4365" s="39"/>
      <c r="G4365" s="39"/>
      <c r="H4365" s="39"/>
      <c r="I4365" s="39"/>
    </row>
    <row r="4366" spans="6:9" x14ac:dyDescent="0.25">
      <c r="F4366" s="39"/>
      <c r="G4366" s="39"/>
      <c r="H4366" s="39"/>
      <c r="I4366" s="39"/>
    </row>
    <row r="4367" spans="6:9" x14ac:dyDescent="0.25">
      <c r="F4367" s="39"/>
      <c r="G4367" s="39"/>
      <c r="H4367" s="39"/>
      <c r="I4367" s="39"/>
    </row>
    <row r="4368" spans="6:9" x14ac:dyDescent="0.25">
      <c r="F4368" s="39"/>
      <c r="G4368" s="39"/>
      <c r="H4368" s="39"/>
      <c r="I4368" s="39"/>
    </row>
    <row r="4369" spans="6:9" x14ac:dyDescent="0.25">
      <c r="F4369" s="39"/>
      <c r="G4369" s="39"/>
      <c r="H4369" s="39"/>
      <c r="I4369" s="39"/>
    </row>
    <row r="4370" spans="6:9" x14ac:dyDescent="0.25">
      <c r="F4370" s="39"/>
      <c r="G4370" s="39"/>
      <c r="H4370" s="39"/>
      <c r="I4370" s="39"/>
    </row>
    <row r="4371" spans="6:9" x14ac:dyDescent="0.25">
      <c r="F4371" s="39"/>
      <c r="G4371" s="39"/>
      <c r="H4371" s="39"/>
      <c r="I4371" s="39"/>
    </row>
    <row r="4372" spans="6:9" x14ac:dyDescent="0.25">
      <c r="F4372" s="39"/>
      <c r="G4372" s="39"/>
      <c r="H4372" s="39"/>
      <c r="I4372" s="39"/>
    </row>
    <row r="4373" spans="6:9" x14ac:dyDescent="0.25">
      <c r="F4373" s="39"/>
      <c r="G4373" s="39"/>
      <c r="H4373" s="39"/>
      <c r="I4373" s="39"/>
    </row>
    <row r="4374" spans="6:9" x14ac:dyDescent="0.25">
      <c r="F4374" s="39"/>
      <c r="G4374" s="39"/>
      <c r="H4374" s="39"/>
      <c r="I4374" s="39"/>
    </row>
    <row r="4375" spans="6:9" x14ac:dyDescent="0.25">
      <c r="F4375" s="39"/>
      <c r="G4375" s="39"/>
      <c r="H4375" s="39"/>
      <c r="I4375" s="39"/>
    </row>
    <row r="4376" spans="6:9" x14ac:dyDescent="0.25">
      <c r="F4376" s="39"/>
      <c r="G4376" s="39"/>
      <c r="H4376" s="39"/>
      <c r="I4376" s="39"/>
    </row>
    <row r="4377" spans="6:9" x14ac:dyDescent="0.25">
      <c r="F4377" s="39"/>
      <c r="G4377" s="39"/>
      <c r="H4377" s="39"/>
      <c r="I4377" s="39"/>
    </row>
    <row r="4378" spans="6:9" x14ac:dyDescent="0.25">
      <c r="F4378" s="39"/>
      <c r="G4378" s="39"/>
      <c r="H4378" s="39"/>
      <c r="I4378" s="39"/>
    </row>
    <row r="4379" spans="6:9" x14ac:dyDescent="0.25">
      <c r="F4379" s="39"/>
      <c r="G4379" s="39"/>
      <c r="H4379" s="39"/>
      <c r="I4379" s="39"/>
    </row>
    <row r="4380" spans="6:9" x14ac:dyDescent="0.25">
      <c r="F4380" s="39"/>
      <c r="G4380" s="39"/>
      <c r="H4380" s="39"/>
      <c r="I4380" s="39"/>
    </row>
    <row r="4381" spans="6:9" x14ac:dyDescent="0.25">
      <c r="F4381" s="39"/>
      <c r="G4381" s="39"/>
      <c r="H4381" s="39"/>
      <c r="I4381" s="39"/>
    </row>
    <row r="4382" spans="6:9" x14ac:dyDescent="0.25">
      <c r="F4382" s="39"/>
      <c r="G4382" s="39"/>
      <c r="H4382" s="39"/>
      <c r="I4382" s="39"/>
    </row>
    <row r="4383" spans="6:9" x14ac:dyDescent="0.25">
      <c r="F4383" s="39"/>
      <c r="G4383" s="39"/>
      <c r="H4383" s="39"/>
      <c r="I4383" s="39"/>
    </row>
    <row r="4384" spans="6:9" x14ac:dyDescent="0.25">
      <c r="F4384" s="39"/>
      <c r="G4384" s="39"/>
      <c r="H4384" s="39"/>
      <c r="I4384" s="39"/>
    </row>
    <row r="4385" spans="6:9" x14ac:dyDescent="0.25">
      <c r="F4385" s="39"/>
      <c r="G4385" s="39"/>
      <c r="H4385" s="39"/>
      <c r="I4385" s="39"/>
    </row>
    <row r="4386" spans="6:9" x14ac:dyDescent="0.25">
      <c r="F4386" s="39"/>
      <c r="G4386" s="39"/>
      <c r="H4386" s="39"/>
      <c r="I4386" s="39"/>
    </row>
    <row r="4387" spans="6:9" x14ac:dyDescent="0.25">
      <c r="F4387" s="39"/>
      <c r="G4387" s="39"/>
      <c r="H4387" s="39"/>
      <c r="I4387" s="39"/>
    </row>
    <row r="4388" spans="6:9" x14ac:dyDescent="0.25">
      <c r="F4388" s="39"/>
      <c r="G4388" s="39"/>
      <c r="H4388" s="39"/>
      <c r="I4388" s="39"/>
    </row>
    <row r="4389" spans="6:9" x14ac:dyDescent="0.25">
      <c r="F4389" s="39"/>
      <c r="G4389" s="39"/>
      <c r="H4389" s="39"/>
      <c r="I4389" s="39"/>
    </row>
    <row r="4390" spans="6:9" x14ac:dyDescent="0.25">
      <c r="F4390" s="39"/>
      <c r="G4390" s="39"/>
      <c r="H4390" s="39"/>
      <c r="I4390" s="39"/>
    </row>
    <row r="4391" spans="6:9" x14ac:dyDescent="0.25">
      <c r="F4391" s="39"/>
      <c r="G4391" s="39"/>
      <c r="H4391" s="39"/>
      <c r="I4391" s="39"/>
    </row>
    <row r="4392" spans="6:9" x14ac:dyDescent="0.25">
      <c r="F4392" s="39"/>
      <c r="G4392" s="39"/>
      <c r="H4392" s="39"/>
      <c r="I4392" s="39"/>
    </row>
    <row r="4393" spans="6:9" x14ac:dyDescent="0.25">
      <c r="F4393" s="39"/>
      <c r="G4393" s="39"/>
      <c r="H4393" s="39"/>
      <c r="I4393" s="39"/>
    </row>
    <row r="4394" spans="6:9" x14ac:dyDescent="0.25">
      <c r="F4394" s="39"/>
      <c r="G4394" s="39"/>
      <c r="H4394" s="39"/>
      <c r="I4394" s="39"/>
    </row>
    <row r="4395" spans="6:9" x14ac:dyDescent="0.25">
      <c r="F4395" s="39"/>
      <c r="G4395" s="39"/>
      <c r="H4395" s="39"/>
      <c r="I4395" s="39"/>
    </row>
    <row r="4396" spans="6:9" x14ac:dyDescent="0.25">
      <c r="F4396" s="39"/>
      <c r="G4396" s="39"/>
      <c r="H4396" s="39"/>
      <c r="I4396" s="39"/>
    </row>
    <row r="4397" spans="6:9" x14ac:dyDescent="0.25">
      <c r="F4397" s="39"/>
      <c r="G4397" s="39"/>
      <c r="H4397" s="39"/>
      <c r="I4397" s="39"/>
    </row>
    <row r="4398" spans="6:9" x14ac:dyDescent="0.25">
      <c r="F4398" s="39"/>
      <c r="G4398" s="39"/>
      <c r="H4398" s="39"/>
      <c r="I4398" s="39"/>
    </row>
    <row r="4399" spans="6:9" x14ac:dyDescent="0.25">
      <c r="F4399" s="39"/>
      <c r="G4399" s="39"/>
      <c r="H4399" s="39"/>
      <c r="I4399" s="39"/>
    </row>
    <row r="4400" spans="6:9" x14ac:dyDescent="0.25">
      <c r="F4400" s="39"/>
      <c r="G4400" s="39"/>
      <c r="H4400" s="39"/>
      <c r="I4400" s="39"/>
    </row>
    <row r="4401" spans="6:9" x14ac:dyDescent="0.25">
      <c r="F4401" s="39"/>
      <c r="G4401" s="39"/>
      <c r="H4401" s="39"/>
      <c r="I4401" s="39"/>
    </row>
    <row r="4402" spans="6:9" x14ac:dyDescent="0.25">
      <c r="F4402" s="39"/>
      <c r="G4402" s="39"/>
      <c r="H4402" s="39"/>
      <c r="I4402" s="39"/>
    </row>
    <row r="4403" spans="6:9" x14ac:dyDescent="0.25">
      <c r="F4403" s="39"/>
      <c r="G4403" s="39"/>
      <c r="H4403" s="39"/>
      <c r="I4403" s="39"/>
    </row>
    <row r="4404" spans="6:9" x14ac:dyDescent="0.25">
      <c r="F4404" s="39"/>
      <c r="G4404" s="39"/>
      <c r="H4404" s="39"/>
      <c r="I4404" s="39"/>
    </row>
    <row r="4405" spans="6:9" x14ac:dyDescent="0.25">
      <c r="F4405" s="39"/>
      <c r="G4405" s="39"/>
      <c r="H4405" s="39"/>
      <c r="I4405" s="39"/>
    </row>
    <row r="4406" spans="6:9" x14ac:dyDescent="0.25">
      <c r="F4406" s="39"/>
      <c r="G4406" s="39"/>
      <c r="H4406" s="39"/>
      <c r="I4406" s="39"/>
    </row>
    <row r="4407" spans="6:9" x14ac:dyDescent="0.25">
      <c r="F4407" s="39"/>
      <c r="G4407" s="39"/>
      <c r="H4407" s="39"/>
      <c r="I4407" s="39"/>
    </row>
    <row r="4408" spans="6:9" x14ac:dyDescent="0.25">
      <c r="F4408" s="39"/>
      <c r="G4408" s="39"/>
      <c r="H4408" s="39"/>
      <c r="I4408" s="39"/>
    </row>
    <row r="4409" spans="6:9" x14ac:dyDescent="0.25">
      <c r="F4409" s="39"/>
      <c r="G4409" s="39"/>
      <c r="H4409" s="39"/>
      <c r="I4409" s="39"/>
    </row>
    <row r="4410" spans="6:9" x14ac:dyDescent="0.25">
      <c r="F4410" s="39"/>
      <c r="G4410" s="39"/>
      <c r="H4410" s="39"/>
      <c r="I4410" s="39"/>
    </row>
    <row r="4411" spans="6:9" x14ac:dyDescent="0.25">
      <c r="F4411" s="39"/>
      <c r="G4411" s="39"/>
      <c r="H4411" s="39"/>
      <c r="I4411" s="39"/>
    </row>
    <row r="4412" spans="6:9" x14ac:dyDescent="0.25">
      <c r="F4412" s="39"/>
      <c r="G4412" s="39"/>
      <c r="H4412" s="39"/>
      <c r="I4412" s="39"/>
    </row>
    <row r="4413" spans="6:9" x14ac:dyDescent="0.25">
      <c r="F4413" s="39"/>
      <c r="G4413" s="39"/>
      <c r="H4413" s="39"/>
      <c r="I4413" s="39"/>
    </row>
    <row r="4414" spans="6:9" x14ac:dyDescent="0.25">
      <c r="F4414" s="39"/>
      <c r="G4414" s="39"/>
      <c r="H4414" s="39"/>
      <c r="I4414" s="39"/>
    </row>
    <row r="4415" spans="6:9" x14ac:dyDescent="0.25">
      <c r="F4415" s="39"/>
      <c r="G4415" s="39"/>
      <c r="H4415" s="39"/>
      <c r="I4415" s="39"/>
    </row>
    <row r="4416" spans="6:9" x14ac:dyDescent="0.25">
      <c r="F4416" s="39"/>
      <c r="G4416" s="39"/>
      <c r="H4416" s="39"/>
      <c r="I4416" s="39"/>
    </row>
    <row r="4417" spans="6:9" x14ac:dyDescent="0.25">
      <c r="F4417" s="39"/>
      <c r="G4417" s="39"/>
      <c r="H4417" s="39"/>
      <c r="I4417" s="39"/>
    </row>
    <row r="4418" spans="6:9" x14ac:dyDescent="0.25">
      <c r="F4418" s="39"/>
      <c r="G4418" s="39"/>
      <c r="H4418" s="39"/>
      <c r="I4418" s="39"/>
    </row>
    <row r="4419" spans="6:9" x14ac:dyDescent="0.25">
      <c r="F4419" s="39"/>
      <c r="G4419" s="39"/>
      <c r="H4419" s="39"/>
      <c r="I4419" s="39"/>
    </row>
    <row r="4420" spans="6:9" x14ac:dyDescent="0.25">
      <c r="F4420" s="39"/>
      <c r="G4420" s="39"/>
      <c r="H4420" s="39"/>
      <c r="I4420" s="39"/>
    </row>
    <row r="4421" spans="6:9" x14ac:dyDescent="0.25">
      <c r="F4421" s="39"/>
      <c r="G4421" s="39"/>
      <c r="H4421" s="39"/>
      <c r="I4421" s="39"/>
    </row>
    <row r="4422" spans="6:9" x14ac:dyDescent="0.25">
      <c r="F4422" s="39"/>
      <c r="G4422" s="39"/>
      <c r="H4422" s="39"/>
      <c r="I4422" s="39"/>
    </row>
    <row r="4423" spans="6:9" x14ac:dyDescent="0.25">
      <c r="F4423" s="39"/>
      <c r="G4423" s="39"/>
      <c r="H4423" s="39"/>
      <c r="I4423" s="39"/>
    </row>
    <row r="4424" spans="6:9" x14ac:dyDescent="0.25">
      <c r="F4424" s="39"/>
      <c r="G4424" s="39"/>
      <c r="H4424" s="39"/>
      <c r="I4424" s="39"/>
    </row>
    <row r="4425" spans="6:9" x14ac:dyDescent="0.25">
      <c r="F4425" s="39"/>
      <c r="G4425" s="39"/>
      <c r="H4425" s="39"/>
      <c r="I4425" s="39"/>
    </row>
    <row r="4426" spans="6:9" x14ac:dyDescent="0.25">
      <c r="F4426" s="39"/>
      <c r="G4426" s="39"/>
      <c r="H4426" s="39"/>
      <c r="I4426" s="39"/>
    </row>
    <row r="4427" spans="6:9" x14ac:dyDescent="0.25">
      <c r="F4427" s="39"/>
      <c r="G4427" s="39"/>
      <c r="H4427" s="39"/>
      <c r="I4427" s="39"/>
    </row>
    <row r="4428" spans="6:9" x14ac:dyDescent="0.25">
      <c r="F4428" s="39"/>
      <c r="G4428" s="39"/>
      <c r="H4428" s="39"/>
      <c r="I4428" s="39"/>
    </row>
    <row r="4429" spans="6:9" x14ac:dyDescent="0.25">
      <c r="F4429" s="39"/>
      <c r="G4429" s="39"/>
      <c r="H4429" s="39"/>
      <c r="I4429" s="39"/>
    </row>
    <row r="4430" spans="6:9" x14ac:dyDescent="0.25">
      <c r="F4430" s="39"/>
      <c r="G4430" s="39"/>
      <c r="H4430" s="39"/>
      <c r="I4430" s="39"/>
    </row>
    <row r="4431" spans="6:9" x14ac:dyDescent="0.25">
      <c r="F4431" s="39"/>
      <c r="G4431" s="39"/>
      <c r="H4431" s="39"/>
      <c r="I4431" s="39"/>
    </row>
    <row r="4432" spans="6:9" x14ac:dyDescent="0.25">
      <c r="F4432" s="39"/>
      <c r="G4432" s="39"/>
      <c r="H4432" s="39"/>
      <c r="I4432" s="39"/>
    </row>
    <row r="4433" spans="6:9" x14ac:dyDescent="0.25">
      <c r="F4433" s="39"/>
      <c r="G4433" s="39"/>
      <c r="H4433" s="39"/>
      <c r="I4433" s="39"/>
    </row>
    <row r="4434" spans="6:9" x14ac:dyDescent="0.25">
      <c r="F4434" s="39"/>
      <c r="G4434" s="39"/>
      <c r="H4434" s="39"/>
      <c r="I4434" s="39"/>
    </row>
    <row r="4435" spans="6:9" x14ac:dyDescent="0.25">
      <c r="F4435" s="39"/>
      <c r="G4435" s="39"/>
      <c r="H4435" s="39"/>
      <c r="I4435" s="39"/>
    </row>
    <row r="4436" spans="6:9" x14ac:dyDescent="0.25">
      <c r="F4436" s="39"/>
      <c r="G4436" s="39"/>
      <c r="H4436" s="39"/>
      <c r="I4436" s="39"/>
    </row>
    <row r="4437" spans="6:9" x14ac:dyDescent="0.25">
      <c r="F4437" s="39"/>
      <c r="G4437" s="39"/>
      <c r="H4437" s="39"/>
      <c r="I4437" s="39"/>
    </row>
    <row r="4438" spans="6:9" x14ac:dyDescent="0.25">
      <c r="F4438" s="39"/>
      <c r="G4438" s="39"/>
      <c r="H4438" s="39"/>
      <c r="I4438" s="39"/>
    </row>
    <row r="4439" spans="6:9" x14ac:dyDescent="0.25">
      <c r="F4439" s="39"/>
      <c r="G4439" s="39"/>
      <c r="H4439" s="39"/>
      <c r="I4439" s="39"/>
    </row>
    <row r="4440" spans="6:9" x14ac:dyDescent="0.25">
      <c r="F4440" s="39"/>
      <c r="G4440" s="39"/>
      <c r="H4440" s="39"/>
      <c r="I4440" s="39"/>
    </row>
    <row r="4441" spans="6:9" x14ac:dyDescent="0.25">
      <c r="F4441" s="39"/>
      <c r="G4441" s="39"/>
      <c r="H4441" s="39"/>
      <c r="I4441" s="39"/>
    </row>
    <row r="4442" spans="6:9" x14ac:dyDescent="0.25">
      <c r="F4442" s="39"/>
      <c r="G4442" s="39"/>
      <c r="H4442" s="39"/>
      <c r="I4442" s="39"/>
    </row>
    <row r="4443" spans="6:9" x14ac:dyDescent="0.25">
      <c r="F4443" s="39"/>
      <c r="G4443" s="39"/>
      <c r="H4443" s="39"/>
      <c r="I4443" s="39"/>
    </row>
    <row r="4444" spans="6:9" x14ac:dyDescent="0.25">
      <c r="F4444" s="39"/>
      <c r="G4444" s="39"/>
      <c r="H4444" s="39"/>
      <c r="I4444" s="39"/>
    </row>
    <row r="4445" spans="6:9" x14ac:dyDescent="0.25">
      <c r="F4445" s="39"/>
      <c r="G4445" s="39"/>
      <c r="H4445" s="39"/>
      <c r="I4445" s="39"/>
    </row>
    <row r="4446" spans="6:9" x14ac:dyDescent="0.25">
      <c r="F4446" s="39"/>
      <c r="G4446" s="39"/>
      <c r="H4446" s="39"/>
      <c r="I4446" s="39"/>
    </row>
    <row r="4447" spans="6:9" x14ac:dyDescent="0.25">
      <c r="F4447" s="39"/>
      <c r="G4447" s="39"/>
      <c r="H4447" s="39"/>
      <c r="I4447" s="39"/>
    </row>
    <row r="4448" spans="6:9" x14ac:dyDescent="0.25">
      <c r="F4448" s="39"/>
      <c r="G4448" s="39"/>
      <c r="H4448" s="39"/>
      <c r="I4448" s="39"/>
    </row>
    <row r="4449" spans="6:9" x14ac:dyDescent="0.25">
      <c r="F4449" s="39"/>
      <c r="G4449" s="39"/>
      <c r="H4449" s="39"/>
      <c r="I4449" s="39"/>
    </row>
    <row r="4450" spans="6:9" x14ac:dyDescent="0.25">
      <c r="F4450" s="39"/>
      <c r="G4450" s="39"/>
      <c r="H4450" s="39"/>
      <c r="I4450" s="39"/>
    </row>
    <row r="4451" spans="6:9" x14ac:dyDescent="0.25">
      <c r="F4451" s="39"/>
      <c r="G4451" s="39"/>
      <c r="H4451" s="39"/>
      <c r="I4451" s="39"/>
    </row>
    <row r="4452" spans="6:9" x14ac:dyDescent="0.25">
      <c r="F4452" s="39"/>
      <c r="G4452" s="39"/>
      <c r="H4452" s="39"/>
      <c r="I4452" s="39"/>
    </row>
    <row r="4453" spans="6:9" x14ac:dyDescent="0.25">
      <c r="F4453" s="39"/>
      <c r="G4453" s="39"/>
      <c r="H4453" s="39"/>
      <c r="I4453" s="39"/>
    </row>
    <row r="4454" spans="6:9" x14ac:dyDescent="0.25">
      <c r="F4454" s="39"/>
      <c r="G4454" s="39"/>
      <c r="H4454" s="39"/>
      <c r="I4454" s="39"/>
    </row>
    <row r="4455" spans="6:9" x14ac:dyDescent="0.25">
      <c r="F4455" s="39"/>
      <c r="G4455" s="39"/>
      <c r="H4455" s="39"/>
      <c r="I4455" s="39"/>
    </row>
    <row r="4456" spans="6:9" x14ac:dyDescent="0.25">
      <c r="F4456" s="39"/>
      <c r="G4456" s="39"/>
      <c r="H4456" s="39"/>
      <c r="I4456" s="39"/>
    </row>
    <row r="4457" spans="6:9" x14ac:dyDescent="0.25">
      <c r="F4457" s="39"/>
      <c r="G4457" s="39"/>
      <c r="H4457" s="39"/>
      <c r="I4457" s="39"/>
    </row>
    <row r="4458" spans="6:9" x14ac:dyDescent="0.25">
      <c r="F4458" s="39"/>
      <c r="G4458" s="39"/>
      <c r="H4458" s="39"/>
      <c r="I4458" s="39"/>
    </row>
    <row r="4459" spans="6:9" x14ac:dyDescent="0.25">
      <c r="F4459" s="39"/>
      <c r="G4459" s="39"/>
      <c r="H4459" s="39"/>
      <c r="I4459" s="39"/>
    </row>
    <row r="4460" spans="6:9" x14ac:dyDescent="0.25">
      <c r="F4460" s="39"/>
      <c r="G4460" s="39"/>
      <c r="H4460" s="39"/>
      <c r="I4460" s="39"/>
    </row>
    <row r="4461" spans="6:9" x14ac:dyDescent="0.25">
      <c r="F4461" s="39"/>
      <c r="G4461" s="39"/>
      <c r="H4461" s="39"/>
      <c r="I4461" s="39"/>
    </row>
    <row r="4462" spans="6:9" x14ac:dyDescent="0.25">
      <c r="F4462" s="39"/>
      <c r="G4462" s="39"/>
      <c r="H4462" s="39"/>
      <c r="I4462" s="39"/>
    </row>
    <row r="4463" spans="6:9" x14ac:dyDescent="0.25">
      <c r="F4463" s="39"/>
      <c r="G4463" s="39"/>
      <c r="H4463" s="39"/>
      <c r="I4463" s="39"/>
    </row>
    <row r="4464" spans="6:9" x14ac:dyDescent="0.25">
      <c r="F4464" s="39"/>
      <c r="G4464" s="39"/>
      <c r="H4464" s="39"/>
      <c r="I4464" s="39"/>
    </row>
    <row r="4465" spans="6:9" x14ac:dyDescent="0.25">
      <c r="F4465" s="39"/>
      <c r="G4465" s="39"/>
      <c r="H4465" s="39"/>
      <c r="I4465" s="39"/>
    </row>
    <row r="4466" spans="6:9" x14ac:dyDescent="0.25">
      <c r="F4466" s="39"/>
      <c r="G4466" s="39"/>
      <c r="H4466" s="39"/>
      <c r="I4466" s="39"/>
    </row>
    <row r="4467" spans="6:9" x14ac:dyDescent="0.25">
      <c r="F4467" s="39"/>
      <c r="G4467" s="39"/>
      <c r="H4467" s="39"/>
      <c r="I4467" s="39"/>
    </row>
    <row r="4468" spans="6:9" x14ac:dyDescent="0.25">
      <c r="F4468" s="39"/>
      <c r="G4468" s="39"/>
      <c r="H4468" s="39"/>
      <c r="I4468" s="39"/>
    </row>
    <row r="4469" spans="6:9" x14ac:dyDescent="0.25">
      <c r="F4469" s="39"/>
      <c r="G4469" s="39"/>
      <c r="H4469" s="39"/>
      <c r="I4469" s="39"/>
    </row>
    <row r="4470" spans="6:9" x14ac:dyDescent="0.25">
      <c r="F4470" s="39"/>
      <c r="G4470" s="39"/>
      <c r="H4470" s="39"/>
      <c r="I4470" s="39"/>
    </row>
    <row r="4471" spans="6:9" x14ac:dyDescent="0.25">
      <c r="F4471" s="39"/>
      <c r="G4471" s="39"/>
      <c r="H4471" s="39"/>
      <c r="I4471" s="39"/>
    </row>
    <row r="4472" spans="6:9" x14ac:dyDescent="0.25">
      <c r="F4472" s="39"/>
      <c r="G4472" s="39"/>
      <c r="H4472" s="39"/>
      <c r="I4472" s="39"/>
    </row>
    <row r="4473" spans="6:9" x14ac:dyDescent="0.25">
      <c r="F4473" s="39"/>
      <c r="G4473" s="39"/>
      <c r="H4473" s="39"/>
      <c r="I4473" s="39"/>
    </row>
    <row r="4474" spans="6:9" x14ac:dyDescent="0.25">
      <c r="F4474" s="39"/>
      <c r="G4474" s="39"/>
      <c r="H4474" s="39"/>
      <c r="I4474" s="39"/>
    </row>
    <row r="4475" spans="6:9" x14ac:dyDescent="0.25">
      <c r="F4475" s="39"/>
      <c r="G4475" s="39"/>
      <c r="H4475" s="39"/>
      <c r="I4475" s="39"/>
    </row>
    <row r="4476" spans="6:9" x14ac:dyDescent="0.25">
      <c r="F4476" s="39"/>
      <c r="G4476" s="39"/>
      <c r="H4476" s="39"/>
      <c r="I4476" s="39"/>
    </row>
    <row r="4477" spans="6:9" x14ac:dyDescent="0.25">
      <c r="F4477" s="39"/>
      <c r="G4477" s="39"/>
      <c r="H4477" s="39"/>
      <c r="I4477" s="39"/>
    </row>
    <row r="4478" spans="6:9" x14ac:dyDescent="0.25">
      <c r="F4478" s="39"/>
      <c r="G4478" s="39"/>
      <c r="H4478" s="39"/>
      <c r="I4478" s="39"/>
    </row>
    <row r="4479" spans="6:9" x14ac:dyDescent="0.25">
      <c r="F4479" s="39"/>
      <c r="G4479" s="39"/>
      <c r="H4479" s="39"/>
      <c r="I4479" s="39"/>
    </row>
    <row r="4480" spans="6:9" x14ac:dyDescent="0.25">
      <c r="F4480" s="39"/>
      <c r="G4480" s="39"/>
      <c r="H4480" s="39"/>
      <c r="I4480" s="39"/>
    </row>
    <row r="4481" spans="6:9" x14ac:dyDescent="0.25">
      <c r="F4481" s="39"/>
      <c r="G4481" s="39"/>
      <c r="H4481" s="39"/>
      <c r="I4481" s="39"/>
    </row>
    <row r="4482" spans="6:9" x14ac:dyDescent="0.25">
      <c r="F4482" s="39"/>
      <c r="G4482" s="39"/>
      <c r="H4482" s="39"/>
      <c r="I4482" s="39"/>
    </row>
    <row r="4483" spans="6:9" x14ac:dyDescent="0.25">
      <c r="F4483" s="39"/>
      <c r="G4483" s="39"/>
      <c r="H4483" s="39"/>
      <c r="I4483" s="39"/>
    </row>
    <row r="4484" spans="6:9" x14ac:dyDescent="0.25">
      <c r="F4484" s="39"/>
      <c r="G4484" s="39"/>
      <c r="H4484" s="39"/>
      <c r="I4484" s="39"/>
    </row>
    <row r="4485" spans="6:9" x14ac:dyDescent="0.25">
      <c r="F4485" s="39"/>
      <c r="G4485" s="39"/>
      <c r="H4485" s="39"/>
      <c r="I4485" s="39"/>
    </row>
    <row r="4486" spans="6:9" x14ac:dyDescent="0.25">
      <c r="F4486" s="39"/>
      <c r="G4486" s="39"/>
      <c r="H4486" s="39"/>
      <c r="I4486" s="39"/>
    </row>
    <row r="4487" spans="6:9" x14ac:dyDescent="0.25">
      <c r="F4487" s="39"/>
      <c r="G4487" s="39"/>
      <c r="H4487" s="39"/>
      <c r="I4487" s="39"/>
    </row>
    <row r="4488" spans="6:9" x14ac:dyDescent="0.25">
      <c r="F4488" s="39"/>
      <c r="G4488" s="39"/>
      <c r="H4488" s="39"/>
      <c r="I4488" s="39"/>
    </row>
    <row r="4489" spans="6:9" x14ac:dyDescent="0.25">
      <c r="F4489" s="39"/>
      <c r="G4489" s="39"/>
      <c r="H4489" s="39"/>
      <c r="I4489" s="39"/>
    </row>
    <row r="4490" spans="6:9" x14ac:dyDescent="0.25">
      <c r="F4490" s="39"/>
      <c r="G4490" s="39"/>
      <c r="H4490" s="39"/>
      <c r="I4490" s="39"/>
    </row>
    <row r="4491" spans="6:9" x14ac:dyDescent="0.25">
      <c r="F4491" s="39"/>
      <c r="G4491" s="39"/>
      <c r="H4491" s="39"/>
      <c r="I4491" s="39"/>
    </row>
    <row r="4492" spans="6:9" x14ac:dyDescent="0.25">
      <c r="F4492" s="39"/>
      <c r="G4492" s="39"/>
      <c r="H4492" s="39"/>
      <c r="I4492" s="39"/>
    </row>
    <row r="4493" spans="6:9" x14ac:dyDescent="0.25">
      <c r="F4493" s="39"/>
      <c r="G4493" s="39"/>
      <c r="H4493" s="39"/>
      <c r="I4493" s="39"/>
    </row>
    <row r="4494" spans="6:9" x14ac:dyDescent="0.25">
      <c r="F4494" s="39"/>
      <c r="G4494" s="39"/>
      <c r="H4494" s="39"/>
      <c r="I4494" s="39"/>
    </row>
    <row r="4495" spans="6:9" x14ac:dyDescent="0.25">
      <c r="F4495" s="39"/>
      <c r="G4495" s="39"/>
      <c r="H4495" s="39"/>
      <c r="I4495" s="39"/>
    </row>
    <row r="4496" spans="6:9" x14ac:dyDescent="0.25">
      <c r="F4496" s="39"/>
      <c r="G4496" s="39"/>
      <c r="H4496" s="39"/>
      <c r="I4496" s="39"/>
    </row>
    <row r="4497" spans="6:9" x14ac:dyDescent="0.25">
      <c r="F4497" s="39"/>
      <c r="G4497" s="39"/>
      <c r="H4497" s="39"/>
      <c r="I4497" s="39"/>
    </row>
    <row r="4498" spans="6:9" x14ac:dyDescent="0.25">
      <c r="F4498" s="39"/>
      <c r="G4498" s="39"/>
      <c r="H4498" s="39"/>
      <c r="I4498" s="39"/>
    </row>
    <row r="4499" spans="6:9" x14ac:dyDescent="0.25">
      <c r="F4499" s="39"/>
      <c r="G4499" s="39"/>
      <c r="H4499" s="39"/>
      <c r="I4499" s="39"/>
    </row>
    <row r="4500" spans="6:9" x14ac:dyDescent="0.25">
      <c r="F4500" s="39"/>
      <c r="G4500" s="39"/>
      <c r="H4500" s="39"/>
      <c r="I4500" s="39"/>
    </row>
    <row r="4501" spans="6:9" x14ac:dyDescent="0.25">
      <c r="F4501" s="39"/>
      <c r="G4501" s="39"/>
      <c r="H4501" s="39"/>
      <c r="I4501" s="39"/>
    </row>
    <row r="4502" spans="6:9" x14ac:dyDescent="0.25">
      <c r="F4502" s="39"/>
      <c r="G4502" s="39"/>
      <c r="H4502" s="39"/>
      <c r="I4502" s="39"/>
    </row>
    <row r="4503" spans="6:9" x14ac:dyDescent="0.25">
      <c r="F4503" s="39"/>
      <c r="G4503" s="39"/>
      <c r="H4503" s="39"/>
      <c r="I4503" s="39"/>
    </row>
    <row r="4504" spans="6:9" x14ac:dyDescent="0.25">
      <c r="F4504" s="39"/>
      <c r="G4504" s="39"/>
      <c r="H4504" s="39"/>
      <c r="I4504" s="39"/>
    </row>
    <row r="4505" spans="6:9" x14ac:dyDescent="0.25">
      <c r="F4505" s="39"/>
      <c r="G4505" s="39"/>
      <c r="H4505" s="39"/>
      <c r="I4505" s="39"/>
    </row>
    <row r="4506" spans="6:9" x14ac:dyDescent="0.25">
      <c r="F4506" s="39"/>
      <c r="G4506" s="39"/>
      <c r="H4506" s="39"/>
      <c r="I4506" s="39"/>
    </row>
    <row r="4507" spans="6:9" x14ac:dyDescent="0.25">
      <c r="F4507" s="39"/>
      <c r="G4507" s="39"/>
      <c r="H4507" s="39"/>
      <c r="I4507" s="39"/>
    </row>
    <row r="4508" spans="6:9" x14ac:dyDescent="0.25">
      <c r="F4508" s="39"/>
      <c r="G4508" s="39"/>
      <c r="H4508" s="39"/>
      <c r="I4508" s="39"/>
    </row>
    <row r="4509" spans="6:9" x14ac:dyDescent="0.25">
      <c r="F4509" s="39"/>
      <c r="G4509" s="39"/>
      <c r="H4509" s="39"/>
      <c r="I4509" s="39"/>
    </row>
    <row r="4510" spans="6:9" x14ac:dyDescent="0.25">
      <c r="F4510" s="39"/>
      <c r="G4510" s="39"/>
      <c r="H4510" s="39"/>
      <c r="I4510" s="39"/>
    </row>
    <row r="4511" spans="6:9" x14ac:dyDescent="0.25">
      <c r="F4511" s="39"/>
      <c r="G4511" s="39"/>
      <c r="H4511" s="39"/>
      <c r="I4511" s="39"/>
    </row>
    <row r="4512" spans="6:9" x14ac:dyDescent="0.25">
      <c r="F4512" s="39"/>
      <c r="G4512" s="39"/>
      <c r="H4512" s="39"/>
      <c r="I4512" s="39"/>
    </row>
    <row r="4513" spans="6:9" x14ac:dyDescent="0.25">
      <c r="F4513" s="39"/>
      <c r="G4513" s="39"/>
      <c r="H4513" s="39"/>
      <c r="I4513" s="39"/>
    </row>
    <row r="4514" spans="6:9" x14ac:dyDescent="0.25">
      <c r="F4514" s="39"/>
      <c r="G4514" s="39"/>
      <c r="H4514" s="39"/>
      <c r="I4514" s="39"/>
    </row>
    <row r="4515" spans="6:9" x14ac:dyDescent="0.25">
      <c r="F4515" s="39"/>
      <c r="G4515" s="39"/>
      <c r="H4515" s="39"/>
      <c r="I4515" s="39"/>
    </row>
    <row r="4516" spans="6:9" x14ac:dyDescent="0.25">
      <c r="F4516" s="39"/>
      <c r="G4516" s="39"/>
      <c r="H4516" s="39"/>
      <c r="I4516" s="39"/>
    </row>
    <row r="4517" spans="6:9" x14ac:dyDescent="0.25">
      <c r="F4517" s="39"/>
      <c r="G4517" s="39"/>
      <c r="H4517" s="39"/>
      <c r="I4517" s="39"/>
    </row>
    <row r="4518" spans="6:9" x14ac:dyDescent="0.25">
      <c r="F4518" s="39"/>
      <c r="G4518" s="39"/>
      <c r="H4518" s="39"/>
      <c r="I4518" s="39"/>
    </row>
    <row r="4519" spans="6:9" x14ac:dyDescent="0.25">
      <c r="F4519" s="39"/>
      <c r="G4519" s="39"/>
      <c r="H4519" s="39"/>
      <c r="I4519" s="39"/>
    </row>
    <row r="4520" spans="6:9" x14ac:dyDescent="0.25">
      <c r="F4520" s="39"/>
      <c r="G4520" s="39"/>
      <c r="H4520" s="39"/>
      <c r="I4520" s="39"/>
    </row>
    <row r="4521" spans="6:9" x14ac:dyDescent="0.25">
      <c r="F4521" s="39"/>
      <c r="G4521" s="39"/>
      <c r="H4521" s="39"/>
      <c r="I4521" s="39"/>
    </row>
    <row r="4522" spans="6:9" x14ac:dyDescent="0.25">
      <c r="F4522" s="39"/>
      <c r="G4522" s="39"/>
      <c r="H4522" s="39"/>
      <c r="I4522" s="39"/>
    </row>
    <row r="4523" spans="6:9" x14ac:dyDescent="0.25">
      <c r="F4523" s="39"/>
      <c r="G4523" s="39"/>
      <c r="H4523" s="39"/>
      <c r="I4523" s="39"/>
    </row>
    <row r="4524" spans="6:9" x14ac:dyDescent="0.25">
      <c r="F4524" s="39"/>
      <c r="G4524" s="39"/>
      <c r="H4524" s="39"/>
      <c r="I4524" s="39"/>
    </row>
    <row r="4525" spans="6:9" x14ac:dyDescent="0.25">
      <c r="F4525" s="39"/>
      <c r="G4525" s="39"/>
      <c r="H4525" s="39"/>
      <c r="I4525" s="39"/>
    </row>
    <row r="4526" spans="6:9" x14ac:dyDescent="0.25">
      <c r="F4526" s="39"/>
      <c r="G4526" s="39"/>
      <c r="H4526" s="39"/>
      <c r="I4526" s="39"/>
    </row>
    <row r="4527" spans="6:9" x14ac:dyDescent="0.25">
      <c r="F4527" s="39"/>
      <c r="G4527" s="39"/>
      <c r="H4527" s="39"/>
      <c r="I4527" s="39"/>
    </row>
    <row r="4528" spans="6:9" x14ac:dyDescent="0.25">
      <c r="F4528" s="39"/>
      <c r="G4528" s="39"/>
      <c r="H4528" s="39"/>
      <c r="I4528" s="39"/>
    </row>
    <row r="4529" spans="6:9" x14ac:dyDescent="0.25">
      <c r="F4529" s="39"/>
      <c r="G4529" s="39"/>
      <c r="H4529" s="39"/>
      <c r="I4529" s="39"/>
    </row>
    <row r="4530" spans="6:9" x14ac:dyDescent="0.25">
      <c r="F4530" s="39"/>
      <c r="G4530" s="39"/>
      <c r="H4530" s="39"/>
      <c r="I4530" s="39"/>
    </row>
    <row r="4531" spans="6:9" x14ac:dyDescent="0.25">
      <c r="F4531" s="39"/>
      <c r="G4531" s="39"/>
      <c r="H4531" s="39"/>
      <c r="I4531" s="39"/>
    </row>
    <row r="4532" spans="6:9" x14ac:dyDescent="0.25">
      <c r="F4532" s="39"/>
      <c r="G4532" s="39"/>
      <c r="H4532" s="39"/>
      <c r="I4532" s="39"/>
    </row>
    <row r="4533" spans="6:9" x14ac:dyDescent="0.25">
      <c r="F4533" s="39"/>
      <c r="G4533" s="39"/>
      <c r="H4533" s="39"/>
      <c r="I4533" s="39"/>
    </row>
    <row r="4534" spans="6:9" x14ac:dyDescent="0.25">
      <c r="F4534" s="39"/>
      <c r="G4534" s="39"/>
      <c r="H4534" s="39"/>
      <c r="I4534" s="39"/>
    </row>
    <row r="4535" spans="6:9" x14ac:dyDescent="0.25">
      <c r="F4535" s="39"/>
      <c r="G4535" s="39"/>
      <c r="H4535" s="39"/>
      <c r="I4535" s="39"/>
    </row>
    <row r="4536" spans="6:9" x14ac:dyDescent="0.25">
      <c r="F4536" s="39"/>
      <c r="G4536" s="39"/>
      <c r="H4536" s="39"/>
      <c r="I4536" s="39"/>
    </row>
    <row r="4537" spans="6:9" x14ac:dyDescent="0.25">
      <c r="F4537" s="39"/>
      <c r="G4537" s="39"/>
      <c r="H4537" s="39"/>
      <c r="I4537" s="39"/>
    </row>
    <row r="4538" spans="6:9" x14ac:dyDescent="0.25">
      <c r="F4538" s="39"/>
      <c r="G4538" s="39"/>
      <c r="H4538" s="39"/>
      <c r="I4538" s="39"/>
    </row>
    <row r="4539" spans="6:9" x14ac:dyDescent="0.25">
      <c r="F4539" s="39"/>
      <c r="G4539" s="39"/>
      <c r="H4539" s="39"/>
      <c r="I4539" s="39"/>
    </row>
    <row r="4540" spans="6:9" x14ac:dyDescent="0.25">
      <c r="F4540" s="39"/>
      <c r="G4540" s="39"/>
      <c r="H4540" s="39"/>
      <c r="I4540" s="39"/>
    </row>
    <row r="4541" spans="6:9" x14ac:dyDescent="0.25">
      <c r="F4541" s="39"/>
      <c r="G4541" s="39"/>
      <c r="H4541" s="39"/>
      <c r="I4541" s="39"/>
    </row>
    <row r="4542" spans="6:9" x14ac:dyDescent="0.25">
      <c r="F4542" s="39"/>
      <c r="G4542" s="39"/>
      <c r="H4542" s="39"/>
      <c r="I4542" s="39"/>
    </row>
    <row r="4543" spans="6:9" x14ac:dyDescent="0.25">
      <c r="F4543" s="39"/>
      <c r="G4543" s="39"/>
      <c r="H4543" s="39"/>
      <c r="I4543" s="39"/>
    </row>
    <row r="4544" spans="6:9" x14ac:dyDescent="0.25">
      <c r="F4544" s="39"/>
      <c r="G4544" s="39"/>
      <c r="H4544" s="39"/>
      <c r="I4544" s="39"/>
    </row>
    <row r="4545" spans="6:9" x14ac:dyDescent="0.25">
      <c r="F4545" s="39"/>
      <c r="G4545" s="39"/>
      <c r="H4545" s="39"/>
      <c r="I4545" s="39"/>
    </row>
    <row r="4546" spans="6:9" x14ac:dyDescent="0.25">
      <c r="F4546" s="39"/>
      <c r="G4546" s="39"/>
      <c r="H4546" s="39"/>
      <c r="I4546" s="39"/>
    </row>
    <row r="4547" spans="6:9" x14ac:dyDescent="0.25">
      <c r="F4547" s="39"/>
      <c r="G4547" s="39"/>
      <c r="H4547" s="39"/>
      <c r="I4547" s="39"/>
    </row>
    <row r="4548" spans="6:9" x14ac:dyDescent="0.25">
      <c r="F4548" s="39"/>
      <c r="G4548" s="39"/>
      <c r="H4548" s="39"/>
      <c r="I4548" s="39"/>
    </row>
    <row r="4549" spans="6:9" x14ac:dyDescent="0.25">
      <c r="F4549" s="39"/>
      <c r="G4549" s="39"/>
      <c r="H4549" s="39"/>
      <c r="I4549" s="39"/>
    </row>
    <row r="4550" spans="6:9" x14ac:dyDescent="0.25">
      <c r="F4550" s="39"/>
      <c r="G4550" s="39"/>
      <c r="H4550" s="39"/>
      <c r="I4550" s="39"/>
    </row>
    <row r="4551" spans="6:9" x14ac:dyDescent="0.25">
      <c r="F4551" s="39"/>
      <c r="G4551" s="39"/>
      <c r="H4551" s="39"/>
      <c r="I4551" s="39"/>
    </row>
    <row r="4552" spans="6:9" x14ac:dyDescent="0.25">
      <c r="F4552" s="39"/>
      <c r="G4552" s="39"/>
      <c r="H4552" s="39"/>
      <c r="I4552" s="39"/>
    </row>
    <row r="4553" spans="6:9" x14ac:dyDescent="0.25">
      <c r="F4553" s="39"/>
      <c r="G4553" s="39"/>
      <c r="H4553" s="39"/>
      <c r="I4553" s="39"/>
    </row>
    <row r="4554" spans="6:9" x14ac:dyDescent="0.25">
      <c r="F4554" s="39"/>
      <c r="G4554" s="39"/>
      <c r="H4554" s="39"/>
      <c r="I4554" s="39"/>
    </row>
    <row r="4555" spans="6:9" x14ac:dyDescent="0.25">
      <c r="F4555" s="39"/>
      <c r="G4555" s="39"/>
      <c r="H4555" s="39"/>
      <c r="I4555" s="39"/>
    </row>
    <row r="4556" spans="6:9" x14ac:dyDescent="0.25">
      <c r="F4556" s="39"/>
      <c r="G4556" s="39"/>
      <c r="H4556" s="39"/>
      <c r="I4556" s="39"/>
    </row>
    <row r="4557" spans="6:9" x14ac:dyDescent="0.25">
      <c r="F4557" s="39"/>
      <c r="G4557" s="39"/>
      <c r="H4557" s="39"/>
      <c r="I4557" s="39"/>
    </row>
    <row r="4558" spans="6:9" x14ac:dyDescent="0.25">
      <c r="F4558" s="39"/>
      <c r="G4558" s="39"/>
      <c r="H4558" s="39"/>
      <c r="I4558" s="39"/>
    </row>
    <row r="4559" spans="6:9" x14ac:dyDescent="0.25">
      <c r="F4559" s="39"/>
      <c r="G4559" s="39"/>
      <c r="H4559" s="39"/>
      <c r="I4559" s="39"/>
    </row>
    <row r="4560" spans="6:9" x14ac:dyDescent="0.25">
      <c r="F4560" s="39"/>
      <c r="G4560" s="39"/>
      <c r="H4560" s="39"/>
      <c r="I4560" s="39"/>
    </row>
    <row r="4561" spans="6:9" x14ac:dyDescent="0.25">
      <c r="F4561" s="39"/>
      <c r="G4561" s="39"/>
      <c r="H4561" s="39"/>
      <c r="I4561" s="39"/>
    </row>
    <row r="4562" spans="6:9" x14ac:dyDescent="0.25">
      <c r="F4562" s="39"/>
      <c r="G4562" s="39"/>
      <c r="H4562" s="39"/>
      <c r="I4562" s="39"/>
    </row>
    <row r="4563" spans="6:9" x14ac:dyDescent="0.25">
      <c r="F4563" s="39"/>
      <c r="G4563" s="39"/>
      <c r="H4563" s="39"/>
      <c r="I4563" s="39"/>
    </row>
    <row r="4564" spans="6:9" x14ac:dyDescent="0.25">
      <c r="F4564" s="39"/>
      <c r="G4564" s="39"/>
      <c r="H4564" s="39"/>
      <c r="I4564" s="39"/>
    </row>
    <row r="4565" spans="6:9" x14ac:dyDescent="0.25">
      <c r="F4565" s="39"/>
      <c r="G4565" s="39"/>
      <c r="H4565" s="39"/>
      <c r="I4565" s="39"/>
    </row>
    <row r="4566" spans="6:9" x14ac:dyDescent="0.25">
      <c r="F4566" s="39"/>
      <c r="G4566" s="39"/>
      <c r="H4566" s="39"/>
      <c r="I4566" s="39"/>
    </row>
    <row r="4567" spans="6:9" x14ac:dyDescent="0.25">
      <c r="F4567" s="39"/>
      <c r="G4567" s="39"/>
      <c r="H4567" s="39"/>
      <c r="I4567" s="39"/>
    </row>
    <row r="4568" spans="6:9" x14ac:dyDescent="0.25">
      <c r="F4568" s="39"/>
      <c r="G4568" s="39"/>
      <c r="H4568" s="39"/>
      <c r="I4568" s="39"/>
    </row>
    <row r="4569" spans="6:9" x14ac:dyDescent="0.25">
      <c r="F4569" s="39"/>
      <c r="G4569" s="39"/>
      <c r="H4569" s="39"/>
      <c r="I4569" s="39"/>
    </row>
    <row r="4570" spans="6:9" x14ac:dyDescent="0.25">
      <c r="F4570" s="39"/>
      <c r="G4570" s="39"/>
      <c r="H4570" s="39"/>
      <c r="I4570" s="39"/>
    </row>
    <row r="4571" spans="6:9" x14ac:dyDescent="0.25">
      <c r="F4571" s="39"/>
      <c r="G4571" s="39"/>
      <c r="H4571" s="39"/>
      <c r="I4571" s="39"/>
    </row>
    <row r="4572" spans="6:9" x14ac:dyDescent="0.25">
      <c r="F4572" s="39"/>
      <c r="G4572" s="39"/>
      <c r="H4572" s="39"/>
      <c r="I4572" s="39"/>
    </row>
    <row r="4573" spans="6:9" x14ac:dyDescent="0.25">
      <c r="F4573" s="39"/>
      <c r="G4573" s="39"/>
      <c r="H4573" s="39"/>
      <c r="I4573" s="39"/>
    </row>
    <row r="4574" spans="6:9" x14ac:dyDescent="0.25">
      <c r="F4574" s="39"/>
      <c r="G4574" s="39"/>
      <c r="H4574" s="39"/>
      <c r="I4574" s="39"/>
    </row>
    <row r="4575" spans="6:9" x14ac:dyDescent="0.25">
      <c r="F4575" s="39"/>
      <c r="G4575" s="39"/>
      <c r="H4575" s="39"/>
      <c r="I4575" s="39"/>
    </row>
    <row r="4576" spans="6:9" x14ac:dyDescent="0.25">
      <c r="F4576" s="39"/>
      <c r="G4576" s="39"/>
      <c r="H4576" s="39"/>
      <c r="I4576" s="39"/>
    </row>
    <row r="4577" spans="6:9" x14ac:dyDescent="0.25">
      <c r="F4577" s="39"/>
      <c r="G4577" s="39"/>
      <c r="H4577" s="39"/>
      <c r="I4577" s="39"/>
    </row>
    <row r="4578" spans="6:9" x14ac:dyDescent="0.25">
      <c r="F4578" s="39"/>
      <c r="G4578" s="39"/>
      <c r="H4578" s="39"/>
      <c r="I4578" s="39"/>
    </row>
    <row r="4579" spans="6:9" x14ac:dyDescent="0.25">
      <c r="F4579" s="39"/>
      <c r="G4579" s="39"/>
      <c r="H4579" s="39"/>
      <c r="I4579" s="39"/>
    </row>
    <row r="4580" spans="6:9" x14ac:dyDescent="0.25">
      <c r="F4580" s="39"/>
      <c r="G4580" s="39"/>
      <c r="H4580" s="39"/>
      <c r="I4580" s="39"/>
    </row>
    <row r="4581" spans="6:9" x14ac:dyDescent="0.25">
      <c r="F4581" s="39"/>
      <c r="G4581" s="39"/>
      <c r="H4581" s="39"/>
      <c r="I4581" s="39"/>
    </row>
    <row r="4582" spans="6:9" x14ac:dyDescent="0.25">
      <c r="F4582" s="39"/>
      <c r="G4582" s="39"/>
      <c r="H4582" s="39"/>
      <c r="I4582" s="39"/>
    </row>
    <row r="4583" spans="6:9" x14ac:dyDescent="0.25">
      <c r="F4583" s="39"/>
      <c r="G4583" s="39"/>
      <c r="H4583" s="39"/>
      <c r="I4583" s="39"/>
    </row>
    <row r="4584" spans="6:9" x14ac:dyDescent="0.25">
      <c r="F4584" s="39"/>
      <c r="G4584" s="39"/>
      <c r="H4584" s="39"/>
      <c r="I4584" s="39"/>
    </row>
    <row r="4585" spans="6:9" x14ac:dyDescent="0.25">
      <c r="F4585" s="39"/>
      <c r="G4585" s="39"/>
      <c r="H4585" s="39"/>
      <c r="I4585" s="39"/>
    </row>
    <row r="4586" spans="6:9" x14ac:dyDescent="0.25">
      <c r="F4586" s="39"/>
      <c r="G4586" s="39"/>
      <c r="H4586" s="39"/>
      <c r="I4586" s="39"/>
    </row>
    <row r="4587" spans="6:9" x14ac:dyDescent="0.25">
      <c r="F4587" s="39"/>
      <c r="G4587" s="39"/>
      <c r="H4587" s="39"/>
      <c r="I4587" s="39"/>
    </row>
    <row r="4588" spans="6:9" x14ac:dyDescent="0.25">
      <c r="F4588" s="39"/>
      <c r="G4588" s="39"/>
      <c r="H4588" s="39"/>
      <c r="I4588" s="39"/>
    </row>
    <row r="4589" spans="6:9" x14ac:dyDescent="0.25">
      <c r="F4589" s="39"/>
      <c r="G4589" s="39"/>
      <c r="H4589" s="39"/>
      <c r="I4589" s="39"/>
    </row>
    <row r="4590" spans="6:9" x14ac:dyDescent="0.25">
      <c r="F4590" s="39"/>
      <c r="G4590" s="39"/>
      <c r="H4590" s="39"/>
      <c r="I4590" s="39"/>
    </row>
    <row r="4591" spans="6:9" x14ac:dyDescent="0.25">
      <c r="F4591" s="39"/>
      <c r="G4591" s="39"/>
      <c r="H4591" s="39"/>
      <c r="I4591" s="39"/>
    </row>
    <row r="4592" spans="6:9" x14ac:dyDescent="0.25">
      <c r="F4592" s="39"/>
      <c r="G4592" s="39"/>
      <c r="H4592" s="39"/>
      <c r="I4592" s="39"/>
    </row>
    <row r="4593" spans="6:9" x14ac:dyDescent="0.25">
      <c r="F4593" s="39"/>
      <c r="G4593" s="39"/>
      <c r="H4593" s="39"/>
      <c r="I4593" s="39"/>
    </row>
    <row r="4594" spans="6:9" x14ac:dyDescent="0.25">
      <c r="F4594" s="39"/>
      <c r="G4594" s="39"/>
      <c r="H4594" s="39"/>
      <c r="I4594" s="39"/>
    </row>
    <row r="4595" spans="6:9" x14ac:dyDescent="0.25">
      <c r="F4595" s="39"/>
      <c r="G4595" s="39"/>
      <c r="H4595" s="39"/>
      <c r="I4595" s="39"/>
    </row>
    <row r="4596" spans="6:9" x14ac:dyDescent="0.25">
      <c r="F4596" s="39"/>
      <c r="G4596" s="39"/>
      <c r="H4596" s="39"/>
      <c r="I4596" s="39"/>
    </row>
    <row r="4597" spans="6:9" x14ac:dyDescent="0.25">
      <c r="F4597" s="39"/>
      <c r="G4597" s="39"/>
      <c r="H4597" s="39"/>
      <c r="I4597" s="39"/>
    </row>
    <row r="4598" spans="6:9" x14ac:dyDescent="0.25">
      <c r="F4598" s="39"/>
      <c r="G4598" s="39"/>
      <c r="H4598" s="39"/>
      <c r="I4598" s="39"/>
    </row>
    <row r="4599" spans="6:9" x14ac:dyDescent="0.25">
      <c r="F4599" s="39"/>
      <c r="G4599" s="39"/>
      <c r="H4599" s="39"/>
      <c r="I4599" s="39"/>
    </row>
    <row r="4600" spans="6:9" x14ac:dyDescent="0.25">
      <c r="F4600" s="39"/>
      <c r="G4600" s="39"/>
      <c r="H4600" s="39"/>
      <c r="I4600" s="39"/>
    </row>
    <row r="4601" spans="6:9" x14ac:dyDescent="0.25">
      <c r="F4601" s="39"/>
      <c r="G4601" s="39"/>
      <c r="H4601" s="39"/>
      <c r="I4601" s="39"/>
    </row>
    <row r="4602" spans="6:9" x14ac:dyDescent="0.25">
      <c r="F4602" s="39"/>
      <c r="G4602" s="39"/>
      <c r="H4602" s="39"/>
      <c r="I4602" s="39"/>
    </row>
    <row r="4603" spans="6:9" x14ac:dyDescent="0.25">
      <c r="F4603" s="39"/>
      <c r="G4603" s="39"/>
      <c r="H4603" s="39"/>
      <c r="I4603" s="39"/>
    </row>
    <row r="4604" spans="6:9" x14ac:dyDescent="0.25">
      <c r="F4604" s="39"/>
      <c r="G4604" s="39"/>
      <c r="H4604" s="39"/>
      <c r="I4604" s="39"/>
    </row>
    <row r="4605" spans="6:9" x14ac:dyDescent="0.25">
      <c r="F4605" s="39"/>
      <c r="G4605" s="39"/>
      <c r="H4605" s="39"/>
      <c r="I4605" s="39"/>
    </row>
    <row r="4606" spans="6:9" x14ac:dyDescent="0.25">
      <c r="F4606" s="39"/>
      <c r="G4606" s="39"/>
      <c r="H4606" s="39"/>
      <c r="I4606" s="39"/>
    </row>
    <row r="4607" spans="6:9" x14ac:dyDescent="0.25">
      <c r="F4607" s="39"/>
      <c r="G4607" s="39"/>
      <c r="H4607" s="39"/>
      <c r="I4607" s="39"/>
    </row>
    <row r="4608" spans="6:9" x14ac:dyDescent="0.25">
      <c r="F4608" s="39"/>
      <c r="G4608" s="39"/>
      <c r="H4608" s="39"/>
      <c r="I4608" s="39"/>
    </row>
    <row r="4609" spans="6:9" x14ac:dyDescent="0.25">
      <c r="F4609" s="39"/>
      <c r="G4609" s="39"/>
      <c r="H4609" s="39"/>
      <c r="I4609" s="39"/>
    </row>
    <row r="4610" spans="6:9" x14ac:dyDescent="0.25">
      <c r="F4610" s="39"/>
      <c r="G4610" s="39"/>
      <c r="H4610" s="39"/>
      <c r="I4610" s="39"/>
    </row>
    <row r="4611" spans="6:9" x14ac:dyDescent="0.25">
      <c r="F4611" s="39"/>
      <c r="G4611" s="39"/>
      <c r="H4611" s="39"/>
      <c r="I4611" s="39"/>
    </row>
    <row r="4612" spans="6:9" x14ac:dyDescent="0.25">
      <c r="F4612" s="39"/>
      <c r="G4612" s="39"/>
      <c r="H4612" s="39"/>
      <c r="I4612" s="39"/>
    </row>
    <row r="4613" spans="6:9" x14ac:dyDescent="0.25">
      <c r="F4613" s="39"/>
      <c r="G4613" s="39"/>
      <c r="H4613" s="39"/>
      <c r="I4613" s="39"/>
    </row>
    <row r="4614" spans="6:9" x14ac:dyDescent="0.25">
      <c r="F4614" s="39"/>
      <c r="G4614" s="39"/>
      <c r="H4614" s="39"/>
      <c r="I4614" s="39"/>
    </row>
    <row r="4615" spans="6:9" x14ac:dyDescent="0.25">
      <c r="F4615" s="39"/>
      <c r="G4615" s="39"/>
      <c r="H4615" s="39"/>
      <c r="I4615" s="39"/>
    </row>
    <row r="4616" spans="6:9" x14ac:dyDescent="0.25">
      <c r="F4616" s="39"/>
      <c r="G4616" s="39"/>
      <c r="H4616" s="39"/>
      <c r="I4616" s="39"/>
    </row>
    <row r="4617" spans="6:9" x14ac:dyDescent="0.25">
      <c r="F4617" s="39"/>
      <c r="G4617" s="39"/>
      <c r="H4617" s="39"/>
      <c r="I4617" s="39"/>
    </row>
    <row r="4618" spans="6:9" x14ac:dyDescent="0.25">
      <c r="F4618" s="39"/>
      <c r="G4618" s="39"/>
      <c r="H4618" s="39"/>
      <c r="I4618" s="39"/>
    </row>
    <row r="4619" spans="6:9" x14ac:dyDescent="0.25">
      <c r="F4619" s="39"/>
      <c r="G4619" s="39"/>
      <c r="H4619" s="39"/>
      <c r="I4619" s="39"/>
    </row>
    <row r="4620" spans="6:9" x14ac:dyDescent="0.25">
      <c r="F4620" s="39"/>
      <c r="G4620" s="39"/>
      <c r="H4620" s="39"/>
      <c r="I4620" s="39"/>
    </row>
    <row r="4621" spans="6:9" x14ac:dyDescent="0.25">
      <c r="F4621" s="39"/>
      <c r="G4621" s="39"/>
      <c r="H4621" s="39"/>
      <c r="I4621" s="39"/>
    </row>
    <row r="4622" spans="6:9" x14ac:dyDescent="0.25">
      <c r="F4622" s="39"/>
      <c r="G4622" s="39"/>
      <c r="H4622" s="39"/>
      <c r="I4622" s="39"/>
    </row>
    <row r="4623" spans="6:9" x14ac:dyDescent="0.25">
      <c r="F4623" s="39"/>
      <c r="G4623" s="39"/>
      <c r="H4623" s="39"/>
      <c r="I4623" s="39"/>
    </row>
    <row r="4624" spans="6:9" x14ac:dyDescent="0.25">
      <c r="F4624" s="39"/>
      <c r="G4624" s="39"/>
      <c r="H4624" s="39"/>
      <c r="I4624" s="39"/>
    </row>
    <row r="4625" spans="6:9" x14ac:dyDescent="0.25">
      <c r="F4625" s="39"/>
      <c r="G4625" s="39"/>
      <c r="H4625" s="39"/>
      <c r="I4625" s="39"/>
    </row>
    <row r="4626" spans="6:9" x14ac:dyDescent="0.25">
      <c r="F4626" s="39"/>
      <c r="G4626" s="39"/>
      <c r="H4626" s="39"/>
      <c r="I4626" s="39"/>
    </row>
    <row r="4627" spans="6:9" x14ac:dyDescent="0.25">
      <c r="F4627" s="39"/>
      <c r="G4627" s="39"/>
      <c r="H4627" s="39"/>
      <c r="I4627" s="39"/>
    </row>
    <row r="4628" spans="6:9" x14ac:dyDescent="0.25">
      <c r="F4628" s="39"/>
      <c r="G4628" s="39"/>
      <c r="H4628" s="39"/>
      <c r="I4628" s="39"/>
    </row>
    <row r="4629" spans="6:9" x14ac:dyDescent="0.25">
      <c r="F4629" s="39"/>
      <c r="G4629" s="39"/>
      <c r="H4629" s="39"/>
      <c r="I4629" s="39"/>
    </row>
    <row r="4630" spans="6:9" x14ac:dyDescent="0.25">
      <c r="F4630" s="39"/>
      <c r="G4630" s="39"/>
      <c r="H4630" s="39"/>
      <c r="I4630" s="39"/>
    </row>
    <row r="4631" spans="6:9" x14ac:dyDescent="0.25">
      <c r="F4631" s="39"/>
      <c r="G4631" s="39"/>
      <c r="H4631" s="39"/>
      <c r="I4631" s="39"/>
    </row>
    <row r="4632" spans="6:9" x14ac:dyDescent="0.25">
      <c r="F4632" s="39"/>
      <c r="G4632" s="39"/>
      <c r="H4632" s="39"/>
      <c r="I4632" s="39"/>
    </row>
    <row r="4633" spans="6:9" x14ac:dyDescent="0.25">
      <c r="F4633" s="39"/>
      <c r="G4633" s="39"/>
      <c r="H4633" s="39"/>
      <c r="I4633" s="39"/>
    </row>
    <row r="4634" spans="6:9" x14ac:dyDescent="0.25">
      <c r="F4634" s="39"/>
      <c r="G4634" s="39"/>
      <c r="H4634" s="39"/>
      <c r="I4634" s="39"/>
    </row>
    <row r="4635" spans="6:9" x14ac:dyDescent="0.25">
      <c r="F4635" s="39"/>
      <c r="G4635" s="39"/>
      <c r="H4635" s="39"/>
      <c r="I4635" s="39"/>
    </row>
    <row r="4636" spans="6:9" x14ac:dyDescent="0.25">
      <c r="F4636" s="39"/>
      <c r="G4636" s="39"/>
      <c r="H4636" s="39"/>
      <c r="I4636" s="39"/>
    </row>
    <row r="4637" spans="6:9" x14ac:dyDescent="0.25">
      <c r="F4637" s="39"/>
      <c r="G4637" s="39"/>
      <c r="H4637" s="39"/>
      <c r="I4637" s="39"/>
    </row>
    <row r="4638" spans="6:9" x14ac:dyDescent="0.25">
      <c r="F4638" s="39"/>
      <c r="G4638" s="39"/>
      <c r="H4638" s="39"/>
      <c r="I4638" s="39"/>
    </row>
    <row r="4639" spans="6:9" x14ac:dyDescent="0.25">
      <c r="F4639" s="39"/>
      <c r="G4639" s="39"/>
      <c r="H4639" s="39"/>
      <c r="I4639" s="39"/>
    </row>
    <row r="4640" spans="6:9" x14ac:dyDescent="0.25">
      <c r="F4640" s="39"/>
      <c r="G4640" s="39"/>
      <c r="H4640" s="39"/>
      <c r="I4640" s="39"/>
    </row>
    <row r="4641" spans="6:9" x14ac:dyDescent="0.25">
      <c r="F4641" s="39"/>
      <c r="G4641" s="39"/>
      <c r="H4641" s="39"/>
      <c r="I4641" s="39"/>
    </row>
    <row r="4642" spans="6:9" x14ac:dyDescent="0.25">
      <c r="F4642" s="39"/>
      <c r="G4642" s="39"/>
      <c r="H4642" s="39"/>
      <c r="I4642" s="39"/>
    </row>
    <row r="4643" spans="6:9" x14ac:dyDescent="0.25">
      <c r="F4643" s="39"/>
      <c r="G4643" s="39"/>
      <c r="H4643" s="39"/>
      <c r="I4643" s="39"/>
    </row>
    <row r="4644" spans="6:9" x14ac:dyDescent="0.25">
      <c r="F4644" s="39"/>
      <c r="G4644" s="39"/>
      <c r="H4644" s="39"/>
      <c r="I4644" s="39"/>
    </row>
    <row r="4645" spans="6:9" x14ac:dyDescent="0.25">
      <c r="F4645" s="39"/>
      <c r="G4645" s="39"/>
      <c r="H4645" s="39"/>
      <c r="I4645" s="39"/>
    </row>
    <row r="4646" spans="6:9" x14ac:dyDescent="0.25">
      <c r="F4646" s="39"/>
      <c r="G4646" s="39"/>
      <c r="H4646" s="39"/>
      <c r="I4646" s="39"/>
    </row>
    <row r="4647" spans="6:9" x14ac:dyDescent="0.25">
      <c r="F4647" s="39"/>
      <c r="G4647" s="39"/>
      <c r="H4647" s="39"/>
      <c r="I4647" s="39"/>
    </row>
    <row r="4648" spans="6:9" x14ac:dyDescent="0.25">
      <c r="F4648" s="39"/>
      <c r="G4648" s="39"/>
      <c r="H4648" s="39"/>
      <c r="I4648" s="39"/>
    </row>
    <row r="4649" spans="6:9" x14ac:dyDescent="0.25">
      <c r="F4649" s="39"/>
      <c r="G4649" s="39"/>
      <c r="H4649" s="39"/>
      <c r="I4649" s="39"/>
    </row>
    <row r="4650" spans="6:9" x14ac:dyDescent="0.25">
      <c r="F4650" s="39"/>
      <c r="G4650" s="39"/>
      <c r="H4650" s="39"/>
      <c r="I4650" s="39"/>
    </row>
    <row r="4651" spans="6:9" x14ac:dyDescent="0.25">
      <c r="F4651" s="39"/>
      <c r="G4651" s="39"/>
      <c r="H4651" s="39"/>
      <c r="I4651" s="39"/>
    </row>
    <row r="4652" spans="6:9" x14ac:dyDescent="0.25">
      <c r="F4652" s="39"/>
      <c r="G4652" s="39"/>
      <c r="H4652" s="39"/>
      <c r="I4652" s="39"/>
    </row>
    <row r="4653" spans="6:9" x14ac:dyDescent="0.25">
      <c r="F4653" s="39"/>
      <c r="G4653" s="39"/>
      <c r="H4653" s="39"/>
      <c r="I4653" s="39"/>
    </row>
    <row r="4654" spans="6:9" x14ac:dyDescent="0.25">
      <c r="F4654" s="39"/>
      <c r="G4654" s="39"/>
      <c r="H4654" s="39"/>
      <c r="I4654" s="39"/>
    </row>
    <row r="4655" spans="6:9" x14ac:dyDescent="0.25">
      <c r="F4655" s="39"/>
      <c r="G4655" s="39"/>
      <c r="H4655" s="39"/>
      <c r="I4655" s="39"/>
    </row>
    <row r="4656" spans="6:9" x14ac:dyDescent="0.25">
      <c r="F4656" s="39"/>
      <c r="G4656" s="39"/>
      <c r="H4656" s="39"/>
      <c r="I4656" s="39"/>
    </row>
    <row r="4657" spans="6:9" x14ac:dyDescent="0.25">
      <c r="F4657" s="39"/>
      <c r="G4657" s="39"/>
      <c r="H4657" s="39"/>
      <c r="I4657" s="39"/>
    </row>
    <row r="4658" spans="6:9" x14ac:dyDescent="0.25">
      <c r="F4658" s="39"/>
      <c r="G4658" s="39"/>
      <c r="H4658" s="39"/>
      <c r="I4658" s="39"/>
    </row>
    <row r="4659" spans="6:9" x14ac:dyDescent="0.25">
      <c r="F4659" s="39"/>
      <c r="G4659" s="39"/>
      <c r="H4659" s="39"/>
      <c r="I4659" s="39"/>
    </row>
    <row r="4660" spans="6:9" x14ac:dyDescent="0.25">
      <c r="F4660" s="39"/>
      <c r="G4660" s="39"/>
      <c r="H4660" s="39"/>
      <c r="I4660" s="39"/>
    </row>
    <row r="4661" spans="6:9" x14ac:dyDescent="0.25">
      <c r="F4661" s="39"/>
      <c r="G4661" s="39"/>
      <c r="H4661" s="39"/>
      <c r="I4661" s="39"/>
    </row>
    <row r="4662" spans="6:9" x14ac:dyDescent="0.25">
      <c r="F4662" s="39"/>
      <c r="G4662" s="39"/>
      <c r="H4662" s="39"/>
      <c r="I4662" s="39"/>
    </row>
    <row r="4663" spans="6:9" x14ac:dyDescent="0.25">
      <c r="F4663" s="39"/>
      <c r="G4663" s="39"/>
      <c r="H4663" s="39"/>
      <c r="I4663" s="39"/>
    </row>
    <row r="4664" spans="6:9" x14ac:dyDescent="0.25">
      <c r="F4664" s="39"/>
      <c r="G4664" s="39"/>
      <c r="H4664" s="39"/>
      <c r="I4664" s="39"/>
    </row>
    <row r="4665" spans="6:9" x14ac:dyDescent="0.25">
      <c r="F4665" s="39"/>
      <c r="G4665" s="39"/>
      <c r="H4665" s="39"/>
      <c r="I4665" s="39"/>
    </row>
    <row r="4666" spans="6:9" x14ac:dyDescent="0.25">
      <c r="F4666" s="39"/>
      <c r="G4666" s="39"/>
      <c r="H4666" s="39"/>
      <c r="I4666" s="39"/>
    </row>
    <row r="4667" spans="6:9" x14ac:dyDescent="0.25">
      <c r="F4667" s="39"/>
      <c r="G4667" s="39"/>
      <c r="H4667" s="39"/>
      <c r="I4667" s="39"/>
    </row>
    <row r="4668" spans="6:9" x14ac:dyDescent="0.25">
      <c r="F4668" s="39"/>
      <c r="G4668" s="39"/>
      <c r="H4668" s="39"/>
      <c r="I4668" s="39"/>
    </row>
    <row r="4669" spans="6:9" x14ac:dyDescent="0.25">
      <c r="F4669" s="39"/>
      <c r="G4669" s="39"/>
      <c r="H4669" s="39"/>
      <c r="I4669" s="39"/>
    </row>
    <row r="4670" spans="6:9" x14ac:dyDescent="0.25">
      <c r="F4670" s="39"/>
      <c r="G4670" s="39"/>
      <c r="H4670" s="39"/>
      <c r="I4670" s="39"/>
    </row>
    <row r="4671" spans="6:9" x14ac:dyDescent="0.25">
      <c r="F4671" s="39"/>
      <c r="G4671" s="39"/>
      <c r="H4671" s="39"/>
      <c r="I4671" s="39"/>
    </row>
    <row r="4672" spans="6:9" x14ac:dyDescent="0.25">
      <c r="F4672" s="39"/>
      <c r="G4672" s="39"/>
      <c r="H4672" s="39"/>
      <c r="I4672" s="39"/>
    </row>
    <row r="4673" spans="6:9" x14ac:dyDescent="0.25">
      <c r="F4673" s="39"/>
      <c r="G4673" s="39"/>
      <c r="H4673" s="39"/>
      <c r="I4673" s="39"/>
    </row>
    <row r="4674" spans="6:9" x14ac:dyDescent="0.25">
      <c r="F4674" s="39"/>
      <c r="G4674" s="39"/>
      <c r="H4674" s="39"/>
      <c r="I4674" s="39"/>
    </row>
    <row r="4675" spans="6:9" x14ac:dyDescent="0.25">
      <c r="F4675" s="39"/>
      <c r="G4675" s="39"/>
      <c r="H4675" s="39"/>
      <c r="I4675" s="39"/>
    </row>
    <row r="4676" spans="6:9" x14ac:dyDescent="0.25">
      <c r="F4676" s="39"/>
      <c r="G4676" s="39"/>
      <c r="H4676" s="39"/>
      <c r="I4676" s="39"/>
    </row>
    <row r="4677" spans="6:9" x14ac:dyDescent="0.25">
      <c r="F4677" s="39"/>
      <c r="G4677" s="39"/>
      <c r="H4677" s="39"/>
      <c r="I4677" s="39"/>
    </row>
    <row r="4678" spans="6:9" x14ac:dyDescent="0.25">
      <c r="F4678" s="39"/>
      <c r="G4678" s="39"/>
      <c r="H4678" s="39"/>
      <c r="I4678" s="39"/>
    </row>
    <row r="4679" spans="6:9" x14ac:dyDescent="0.25">
      <c r="F4679" s="39"/>
      <c r="G4679" s="39"/>
      <c r="H4679" s="39"/>
      <c r="I4679" s="39"/>
    </row>
    <row r="4680" spans="6:9" x14ac:dyDescent="0.25">
      <c r="F4680" s="39"/>
      <c r="G4680" s="39"/>
      <c r="H4680" s="39"/>
      <c r="I4680" s="39"/>
    </row>
    <row r="4681" spans="6:9" x14ac:dyDescent="0.25">
      <c r="F4681" s="39"/>
      <c r="G4681" s="39"/>
      <c r="H4681" s="39"/>
      <c r="I4681" s="39"/>
    </row>
    <row r="4682" spans="6:9" x14ac:dyDescent="0.25">
      <c r="F4682" s="39"/>
      <c r="G4682" s="39"/>
      <c r="H4682" s="39"/>
      <c r="I4682" s="39"/>
    </row>
    <row r="4683" spans="6:9" x14ac:dyDescent="0.25">
      <c r="F4683" s="39"/>
      <c r="G4683" s="39"/>
      <c r="H4683" s="39"/>
      <c r="I4683" s="39"/>
    </row>
    <row r="4684" spans="6:9" x14ac:dyDescent="0.25">
      <c r="F4684" s="39"/>
      <c r="G4684" s="39"/>
      <c r="H4684" s="39"/>
      <c r="I4684" s="39"/>
    </row>
    <row r="4685" spans="6:9" x14ac:dyDescent="0.25">
      <c r="F4685" s="39"/>
      <c r="G4685" s="39"/>
      <c r="H4685" s="39"/>
      <c r="I4685" s="39"/>
    </row>
    <row r="4686" spans="6:9" x14ac:dyDescent="0.25">
      <c r="F4686" s="39"/>
      <c r="G4686" s="39"/>
      <c r="H4686" s="39"/>
      <c r="I4686" s="39"/>
    </row>
    <row r="4687" spans="6:9" x14ac:dyDescent="0.25">
      <c r="F4687" s="39"/>
      <c r="G4687" s="39"/>
      <c r="H4687" s="39"/>
      <c r="I4687" s="39"/>
    </row>
    <row r="4688" spans="6:9" x14ac:dyDescent="0.25">
      <c r="F4688" s="39"/>
      <c r="G4688" s="39"/>
      <c r="H4688" s="39"/>
      <c r="I4688" s="39"/>
    </row>
    <row r="4689" spans="6:9" x14ac:dyDescent="0.25">
      <c r="F4689" s="39"/>
      <c r="G4689" s="39"/>
      <c r="H4689" s="39"/>
      <c r="I4689" s="39"/>
    </row>
    <row r="4690" spans="6:9" x14ac:dyDescent="0.25">
      <c r="F4690" s="39"/>
      <c r="G4690" s="39"/>
      <c r="H4690" s="39"/>
      <c r="I4690" s="39"/>
    </row>
    <row r="4691" spans="6:9" x14ac:dyDescent="0.25">
      <c r="F4691" s="39"/>
      <c r="G4691" s="39"/>
      <c r="H4691" s="39"/>
      <c r="I4691" s="39"/>
    </row>
    <row r="4692" spans="6:9" x14ac:dyDescent="0.25">
      <c r="F4692" s="39"/>
      <c r="G4692" s="39"/>
      <c r="H4692" s="39"/>
      <c r="I4692" s="39"/>
    </row>
    <row r="4693" spans="6:9" x14ac:dyDescent="0.25">
      <c r="F4693" s="39"/>
      <c r="G4693" s="39"/>
      <c r="H4693" s="39"/>
      <c r="I4693" s="39"/>
    </row>
    <row r="4694" spans="6:9" x14ac:dyDescent="0.25">
      <c r="F4694" s="39"/>
      <c r="G4694" s="39"/>
      <c r="H4694" s="39"/>
      <c r="I4694" s="39"/>
    </row>
    <row r="4695" spans="6:9" x14ac:dyDescent="0.25">
      <c r="F4695" s="39"/>
      <c r="G4695" s="39"/>
      <c r="H4695" s="39"/>
      <c r="I4695" s="39"/>
    </row>
    <row r="4696" spans="6:9" x14ac:dyDescent="0.25">
      <c r="F4696" s="39"/>
      <c r="G4696" s="39"/>
      <c r="H4696" s="39"/>
      <c r="I4696" s="39"/>
    </row>
    <row r="4697" spans="6:9" x14ac:dyDescent="0.25">
      <c r="F4697" s="39"/>
      <c r="G4697" s="39"/>
      <c r="H4697" s="39"/>
      <c r="I4697" s="39"/>
    </row>
    <row r="4698" spans="6:9" x14ac:dyDescent="0.25">
      <c r="F4698" s="39"/>
      <c r="G4698" s="39"/>
      <c r="H4698" s="39"/>
      <c r="I4698" s="39"/>
    </row>
    <row r="4699" spans="6:9" x14ac:dyDescent="0.25">
      <c r="F4699" s="39"/>
      <c r="G4699" s="39"/>
      <c r="H4699" s="39"/>
      <c r="I4699" s="39"/>
    </row>
    <row r="4700" spans="6:9" x14ac:dyDescent="0.25">
      <c r="F4700" s="39"/>
      <c r="G4700" s="39"/>
      <c r="H4700" s="39"/>
      <c r="I4700" s="39"/>
    </row>
    <row r="4701" spans="6:9" x14ac:dyDescent="0.25">
      <c r="F4701" s="39"/>
      <c r="G4701" s="39"/>
      <c r="H4701" s="39"/>
      <c r="I4701" s="39"/>
    </row>
    <row r="4702" spans="6:9" x14ac:dyDescent="0.25">
      <c r="F4702" s="39"/>
      <c r="G4702" s="39"/>
      <c r="H4702" s="39"/>
      <c r="I4702" s="39"/>
    </row>
    <row r="4703" spans="6:9" x14ac:dyDescent="0.25">
      <c r="F4703" s="39"/>
      <c r="G4703" s="39"/>
      <c r="H4703" s="39"/>
      <c r="I4703" s="39"/>
    </row>
    <row r="4704" spans="6:9" x14ac:dyDescent="0.25">
      <c r="F4704" s="39"/>
      <c r="G4704" s="39"/>
      <c r="H4704" s="39"/>
      <c r="I4704" s="39"/>
    </row>
    <row r="4705" spans="6:9" x14ac:dyDescent="0.25">
      <c r="F4705" s="39"/>
      <c r="G4705" s="39"/>
      <c r="H4705" s="39"/>
      <c r="I4705" s="39"/>
    </row>
    <row r="4706" spans="6:9" x14ac:dyDescent="0.25">
      <c r="F4706" s="39"/>
      <c r="G4706" s="39"/>
      <c r="H4706" s="39"/>
      <c r="I4706" s="39"/>
    </row>
    <row r="4707" spans="6:9" x14ac:dyDescent="0.25">
      <c r="F4707" s="39"/>
      <c r="G4707" s="39"/>
      <c r="H4707" s="39"/>
      <c r="I4707" s="39"/>
    </row>
    <row r="4708" spans="6:9" x14ac:dyDescent="0.25">
      <c r="F4708" s="39"/>
      <c r="G4708" s="39"/>
      <c r="H4708" s="39"/>
      <c r="I4708" s="39"/>
    </row>
    <row r="4709" spans="6:9" x14ac:dyDescent="0.25">
      <c r="F4709" s="39"/>
      <c r="G4709" s="39"/>
      <c r="H4709" s="39"/>
      <c r="I4709" s="39"/>
    </row>
    <row r="4710" spans="6:9" x14ac:dyDescent="0.25">
      <c r="F4710" s="39"/>
      <c r="G4710" s="39"/>
      <c r="H4710" s="39"/>
      <c r="I4710" s="39"/>
    </row>
    <row r="4711" spans="6:9" x14ac:dyDescent="0.25">
      <c r="F4711" s="39"/>
      <c r="G4711" s="39"/>
      <c r="H4711" s="39"/>
      <c r="I4711" s="39"/>
    </row>
    <row r="4712" spans="6:9" x14ac:dyDescent="0.25">
      <c r="F4712" s="39"/>
      <c r="G4712" s="39"/>
      <c r="H4712" s="39"/>
      <c r="I4712" s="39"/>
    </row>
    <row r="4713" spans="6:9" x14ac:dyDescent="0.25">
      <c r="F4713" s="39"/>
      <c r="G4713" s="39"/>
      <c r="H4713" s="39"/>
      <c r="I4713" s="39"/>
    </row>
    <row r="4714" spans="6:9" x14ac:dyDescent="0.25">
      <c r="F4714" s="39"/>
      <c r="G4714" s="39"/>
      <c r="H4714" s="39"/>
      <c r="I4714" s="39"/>
    </row>
    <row r="4715" spans="6:9" x14ac:dyDescent="0.25">
      <c r="F4715" s="39"/>
      <c r="G4715" s="39"/>
      <c r="H4715" s="39"/>
      <c r="I4715" s="39"/>
    </row>
    <row r="4716" spans="6:9" x14ac:dyDescent="0.25">
      <c r="F4716" s="39"/>
      <c r="G4716" s="39"/>
      <c r="H4716" s="39"/>
      <c r="I4716" s="39"/>
    </row>
    <row r="4717" spans="6:9" x14ac:dyDescent="0.25">
      <c r="F4717" s="39"/>
      <c r="G4717" s="39"/>
      <c r="H4717" s="39"/>
      <c r="I4717" s="39"/>
    </row>
    <row r="4718" spans="6:9" x14ac:dyDescent="0.25">
      <c r="F4718" s="39"/>
      <c r="G4718" s="39"/>
      <c r="H4718" s="39"/>
      <c r="I4718" s="39"/>
    </row>
    <row r="4719" spans="6:9" x14ac:dyDescent="0.25">
      <c r="F4719" s="39"/>
      <c r="G4719" s="39"/>
      <c r="H4719" s="39"/>
      <c r="I4719" s="39"/>
    </row>
    <row r="4720" spans="6:9" x14ac:dyDescent="0.25">
      <c r="F4720" s="39"/>
      <c r="G4720" s="39"/>
      <c r="H4720" s="39"/>
      <c r="I4720" s="39"/>
    </row>
    <row r="4721" spans="6:9" x14ac:dyDescent="0.25">
      <c r="F4721" s="39"/>
      <c r="G4721" s="39"/>
      <c r="H4721" s="39"/>
      <c r="I4721" s="39"/>
    </row>
    <row r="4722" spans="6:9" x14ac:dyDescent="0.25">
      <c r="F4722" s="39"/>
      <c r="G4722" s="39"/>
      <c r="H4722" s="39"/>
      <c r="I4722" s="39"/>
    </row>
    <row r="4723" spans="6:9" x14ac:dyDescent="0.25">
      <c r="F4723" s="39"/>
      <c r="G4723" s="39"/>
      <c r="H4723" s="39"/>
      <c r="I4723" s="39"/>
    </row>
    <row r="4724" spans="6:9" x14ac:dyDescent="0.25">
      <c r="F4724" s="39"/>
      <c r="G4724" s="39"/>
      <c r="H4724" s="39"/>
      <c r="I4724" s="39"/>
    </row>
    <row r="4725" spans="6:9" x14ac:dyDescent="0.25">
      <c r="F4725" s="39"/>
      <c r="G4725" s="39"/>
      <c r="H4725" s="39"/>
      <c r="I4725" s="39"/>
    </row>
    <row r="4726" spans="6:9" x14ac:dyDescent="0.25">
      <c r="F4726" s="39"/>
      <c r="G4726" s="39"/>
      <c r="H4726" s="39"/>
      <c r="I4726" s="39"/>
    </row>
    <row r="4727" spans="6:9" x14ac:dyDescent="0.25">
      <c r="F4727" s="39"/>
      <c r="G4727" s="39"/>
      <c r="H4727" s="39"/>
      <c r="I4727" s="39"/>
    </row>
    <row r="4728" spans="6:9" x14ac:dyDescent="0.25">
      <c r="F4728" s="39"/>
      <c r="G4728" s="39"/>
      <c r="H4728" s="39"/>
      <c r="I4728" s="39"/>
    </row>
    <row r="4729" spans="6:9" x14ac:dyDescent="0.25">
      <c r="F4729" s="39"/>
      <c r="G4729" s="39"/>
      <c r="H4729" s="39"/>
      <c r="I4729" s="39"/>
    </row>
    <row r="4730" spans="6:9" x14ac:dyDescent="0.25">
      <c r="F4730" s="39"/>
      <c r="G4730" s="39"/>
      <c r="H4730" s="39"/>
      <c r="I4730" s="39"/>
    </row>
    <row r="4731" spans="6:9" x14ac:dyDescent="0.25">
      <c r="F4731" s="39"/>
      <c r="G4731" s="39"/>
      <c r="H4731" s="39"/>
      <c r="I4731" s="39"/>
    </row>
    <row r="4732" spans="6:9" x14ac:dyDescent="0.25">
      <c r="F4732" s="39"/>
      <c r="G4732" s="39"/>
      <c r="H4732" s="39"/>
      <c r="I4732" s="39"/>
    </row>
    <row r="4733" spans="6:9" x14ac:dyDescent="0.25">
      <c r="F4733" s="39"/>
      <c r="G4733" s="39"/>
      <c r="H4733" s="39"/>
      <c r="I4733" s="39"/>
    </row>
    <row r="4734" spans="6:9" x14ac:dyDescent="0.25">
      <c r="F4734" s="39"/>
      <c r="G4734" s="39"/>
      <c r="H4734" s="39"/>
      <c r="I4734" s="39"/>
    </row>
    <row r="4735" spans="6:9" x14ac:dyDescent="0.25">
      <c r="F4735" s="39"/>
      <c r="G4735" s="39"/>
      <c r="H4735" s="39"/>
      <c r="I4735" s="39"/>
    </row>
    <row r="4736" spans="6:9" x14ac:dyDescent="0.25">
      <c r="F4736" s="39"/>
      <c r="G4736" s="39"/>
      <c r="H4736" s="39"/>
      <c r="I4736" s="39"/>
    </row>
    <row r="4737" spans="6:9" x14ac:dyDescent="0.25">
      <c r="F4737" s="39"/>
      <c r="G4737" s="39"/>
      <c r="H4737" s="39"/>
      <c r="I4737" s="39"/>
    </row>
    <row r="4738" spans="6:9" x14ac:dyDescent="0.25">
      <c r="F4738" s="39"/>
      <c r="G4738" s="39"/>
      <c r="H4738" s="39"/>
      <c r="I4738" s="39"/>
    </row>
    <row r="4739" spans="6:9" x14ac:dyDescent="0.25">
      <c r="F4739" s="39"/>
      <c r="G4739" s="39"/>
      <c r="H4739" s="39"/>
      <c r="I4739" s="39"/>
    </row>
    <row r="4740" spans="6:9" x14ac:dyDescent="0.25">
      <c r="F4740" s="39"/>
      <c r="G4740" s="39"/>
      <c r="H4740" s="39"/>
      <c r="I4740" s="39"/>
    </row>
    <row r="4741" spans="6:9" x14ac:dyDescent="0.25">
      <c r="F4741" s="39"/>
      <c r="G4741" s="39"/>
      <c r="H4741" s="39"/>
      <c r="I4741" s="39"/>
    </row>
    <row r="4742" spans="6:9" x14ac:dyDescent="0.25">
      <c r="F4742" s="39"/>
      <c r="G4742" s="39"/>
      <c r="H4742" s="39"/>
      <c r="I4742" s="39"/>
    </row>
    <row r="4743" spans="6:9" x14ac:dyDescent="0.25">
      <c r="F4743" s="39"/>
      <c r="G4743" s="39"/>
      <c r="H4743" s="39"/>
      <c r="I4743" s="39"/>
    </row>
    <row r="4744" spans="6:9" x14ac:dyDescent="0.25">
      <c r="F4744" s="39"/>
      <c r="G4744" s="39"/>
      <c r="H4744" s="39"/>
      <c r="I4744" s="39"/>
    </row>
    <row r="4745" spans="6:9" x14ac:dyDescent="0.25">
      <c r="F4745" s="39"/>
      <c r="G4745" s="39"/>
      <c r="H4745" s="39"/>
      <c r="I4745" s="39"/>
    </row>
    <row r="4746" spans="6:9" x14ac:dyDescent="0.25">
      <c r="F4746" s="39"/>
      <c r="G4746" s="39"/>
      <c r="H4746" s="39"/>
      <c r="I4746" s="39"/>
    </row>
    <row r="4747" spans="6:9" x14ac:dyDescent="0.25">
      <c r="F4747" s="39"/>
      <c r="G4747" s="39"/>
      <c r="H4747" s="39"/>
      <c r="I4747" s="39"/>
    </row>
    <row r="4748" spans="6:9" x14ac:dyDescent="0.25">
      <c r="F4748" s="39"/>
      <c r="G4748" s="39"/>
      <c r="H4748" s="39"/>
      <c r="I4748" s="39"/>
    </row>
    <row r="4749" spans="6:9" x14ac:dyDescent="0.25">
      <c r="F4749" s="39"/>
      <c r="G4749" s="39"/>
      <c r="H4749" s="39"/>
      <c r="I4749" s="39"/>
    </row>
    <row r="4750" spans="6:9" x14ac:dyDescent="0.25">
      <c r="F4750" s="39"/>
      <c r="G4750" s="39"/>
      <c r="H4750" s="39"/>
      <c r="I4750" s="39"/>
    </row>
    <row r="4751" spans="6:9" x14ac:dyDescent="0.25">
      <c r="F4751" s="39"/>
      <c r="G4751" s="39"/>
      <c r="H4751" s="39"/>
      <c r="I4751" s="39"/>
    </row>
    <row r="4752" spans="6:9" x14ac:dyDescent="0.25">
      <c r="F4752" s="39"/>
      <c r="G4752" s="39"/>
      <c r="H4752" s="39"/>
      <c r="I4752" s="39"/>
    </row>
    <row r="4753" spans="6:9" x14ac:dyDescent="0.25">
      <c r="F4753" s="39"/>
      <c r="G4753" s="39"/>
      <c r="H4753" s="39"/>
      <c r="I4753" s="39"/>
    </row>
    <row r="4754" spans="6:9" x14ac:dyDescent="0.25">
      <c r="F4754" s="39"/>
      <c r="G4754" s="39"/>
      <c r="H4754" s="39"/>
      <c r="I4754" s="39"/>
    </row>
    <row r="4755" spans="6:9" x14ac:dyDescent="0.25">
      <c r="F4755" s="39"/>
      <c r="G4755" s="39"/>
      <c r="H4755" s="39"/>
      <c r="I4755" s="39"/>
    </row>
    <row r="4756" spans="6:9" x14ac:dyDescent="0.25">
      <c r="F4756" s="39"/>
      <c r="G4756" s="39"/>
      <c r="H4756" s="39"/>
      <c r="I4756" s="39"/>
    </row>
    <row r="4757" spans="6:9" x14ac:dyDescent="0.25">
      <c r="F4757" s="39"/>
      <c r="G4757" s="39"/>
      <c r="H4757" s="39"/>
      <c r="I4757" s="39"/>
    </row>
    <row r="4758" spans="6:9" x14ac:dyDescent="0.25">
      <c r="F4758" s="39"/>
      <c r="G4758" s="39"/>
      <c r="H4758" s="39"/>
      <c r="I4758" s="39"/>
    </row>
    <row r="4759" spans="6:9" x14ac:dyDescent="0.25">
      <c r="F4759" s="39"/>
      <c r="G4759" s="39"/>
      <c r="H4759" s="39"/>
      <c r="I4759" s="39"/>
    </row>
    <row r="4760" spans="6:9" x14ac:dyDescent="0.25">
      <c r="F4760" s="39"/>
      <c r="G4760" s="39"/>
      <c r="H4760" s="39"/>
      <c r="I4760" s="39"/>
    </row>
    <row r="4761" spans="6:9" x14ac:dyDescent="0.25">
      <c r="F4761" s="39"/>
      <c r="G4761" s="39"/>
      <c r="H4761" s="39"/>
      <c r="I4761" s="39"/>
    </row>
    <row r="4762" spans="6:9" x14ac:dyDescent="0.25">
      <c r="F4762" s="39"/>
      <c r="G4762" s="39"/>
      <c r="H4762" s="39"/>
      <c r="I4762" s="39"/>
    </row>
    <row r="4763" spans="6:9" x14ac:dyDescent="0.25">
      <c r="F4763" s="39"/>
      <c r="G4763" s="39"/>
      <c r="H4763" s="39"/>
      <c r="I4763" s="39"/>
    </row>
    <row r="4764" spans="6:9" x14ac:dyDescent="0.25">
      <c r="F4764" s="39"/>
      <c r="G4764" s="39"/>
      <c r="H4764" s="39"/>
      <c r="I4764" s="39"/>
    </row>
    <row r="4765" spans="6:9" x14ac:dyDescent="0.25">
      <c r="F4765" s="39"/>
      <c r="G4765" s="39"/>
      <c r="H4765" s="39"/>
      <c r="I4765" s="39"/>
    </row>
    <row r="4766" spans="6:9" x14ac:dyDescent="0.25">
      <c r="F4766" s="39"/>
      <c r="G4766" s="39"/>
      <c r="H4766" s="39"/>
      <c r="I4766" s="39"/>
    </row>
    <row r="4767" spans="6:9" x14ac:dyDescent="0.25">
      <c r="F4767" s="39"/>
      <c r="G4767" s="39"/>
      <c r="H4767" s="39"/>
      <c r="I4767" s="39"/>
    </row>
    <row r="4768" spans="6:9" x14ac:dyDescent="0.25">
      <c r="F4768" s="39"/>
      <c r="G4768" s="39"/>
      <c r="H4768" s="39"/>
      <c r="I4768" s="39"/>
    </row>
    <row r="4769" spans="6:9" x14ac:dyDescent="0.25">
      <c r="F4769" s="39"/>
      <c r="G4769" s="39"/>
      <c r="H4769" s="39"/>
      <c r="I4769" s="39"/>
    </row>
    <row r="4770" spans="6:9" x14ac:dyDescent="0.25">
      <c r="F4770" s="39"/>
      <c r="G4770" s="39"/>
      <c r="H4770" s="39"/>
      <c r="I4770" s="39"/>
    </row>
    <row r="4771" spans="6:9" x14ac:dyDescent="0.25">
      <c r="F4771" s="39"/>
      <c r="G4771" s="39"/>
      <c r="H4771" s="39"/>
      <c r="I4771" s="39"/>
    </row>
    <row r="4772" spans="6:9" x14ac:dyDescent="0.25">
      <c r="F4772" s="39"/>
      <c r="G4772" s="39"/>
      <c r="H4772" s="39"/>
      <c r="I4772" s="39"/>
    </row>
    <row r="4773" spans="6:9" x14ac:dyDescent="0.25">
      <c r="F4773" s="39"/>
      <c r="G4773" s="39"/>
      <c r="H4773" s="39"/>
      <c r="I4773" s="39"/>
    </row>
    <row r="4774" spans="6:9" x14ac:dyDescent="0.25">
      <c r="F4774" s="39"/>
      <c r="G4774" s="39"/>
      <c r="H4774" s="39"/>
      <c r="I4774" s="39"/>
    </row>
    <row r="4775" spans="6:9" x14ac:dyDescent="0.25">
      <c r="F4775" s="39"/>
      <c r="G4775" s="39"/>
      <c r="H4775" s="39"/>
      <c r="I4775" s="39"/>
    </row>
    <row r="4776" spans="6:9" x14ac:dyDescent="0.25">
      <c r="F4776" s="39"/>
      <c r="G4776" s="39"/>
      <c r="H4776" s="39"/>
      <c r="I4776" s="39"/>
    </row>
    <row r="4777" spans="6:9" x14ac:dyDescent="0.25">
      <c r="F4777" s="39"/>
      <c r="G4777" s="39"/>
      <c r="H4777" s="39"/>
      <c r="I4777" s="39"/>
    </row>
    <row r="4778" spans="6:9" x14ac:dyDescent="0.25">
      <c r="F4778" s="39"/>
      <c r="G4778" s="39"/>
      <c r="H4778" s="39"/>
      <c r="I4778" s="39"/>
    </row>
    <row r="4779" spans="6:9" x14ac:dyDescent="0.25">
      <c r="F4779" s="39"/>
      <c r="G4779" s="39"/>
      <c r="H4779" s="39"/>
      <c r="I4779" s="39"/>
    </row>
    <row r="4780" spans="6:9" x14ac:dyDescent="0.25">
      <c r="F4780" s="39"/>
      <c r="G4780" s="39"/>
      <c r="H4780" s="39"/>
      <c r="I4780" s="39"/>
    </row>
    <row r="4781" spans="6:9" x14ac:dyDescent="0.25">
      <c r="F4781" s="39"/>
      <c r="G4781" s="39"/>
      <c r="H4781" s="39"/>
      <c r="I4781" s="39"/>
    </row>
    <row r="4782" spans="6:9" x14ac:dyDescent="0.25">
      <c r="F4782" s="39"/>
      <c r="G4782" s="39"/>
      <c r="H4782" s="39"/>
      <c r="I4782" s="39"/>
    </row>
    <row r="4783" spans="6:9" x14ac:dyDescent="0.25">
      <c r="F4783" s="39"/>
      <c r="G4783" s="39"/>
      <c r="H4783" s="39"/>
      <c r="I4783" s="39"/>
    </row>
    <row r="4784" spans="6:9" x14ac:dyDescent="0.25">
      <c r="F4784" s="39"/>
      <c r="G4784" s="39"/>
      <c r="H4784" s="39"/>
      <c r="I4784" s="39"/>
    </row>
    <row r="4785" spans="6:9" x14ac:dyDescent="0.25">
      <c r="F4785" s="39"/>
      <c r="G4785" s="39"/>
      <c r="H4785" s="39"/>
      <c r="I4785" s="39"/>
    </row>
    <row r="4786" spans="6:9" x14ac:dyDescent="0.25">
      <c r="F4786" s="39"/>
      <c r="G4786" s="39"/>
      <c r="H4786" s="39"/>
      <c r="I4786" s="39"/>
    </row>
    <row r="4787" spans="6:9" x14ac:dyDescent="0.25">
      <c r="F4787" s="39"/>
      <c r="G4787" s="39"/>
      <c r="H4787" s="39"/>
      <c r="I4787" s="39"/>
    </row>
    <row r="4788" spans="6:9" x14ac:dyDescent="0.25">
      <c r="F4788" s="39"/>
      <c r="G4788" s="39"/>
      <c r="H4788" s="39"/>
      <c r="I4788" s="39"/>
    </row>
    <row r="4789" spans="6:9" x14ac:dyDescent="0.25">
      <c r="F4789" s="39"/>
      <c r="G4789" s="39"/>
      <c r="H4789" s="39"/>
      <c r="I4789" s="39"/>
    </row>
    <row r="4790" spans="6:9" x14ac:dyDescent="0.25">
      <c r="F4790" s="39"/>
      <c r="G4790" s="39"/>
      <c r="H4790" s="39"/>
      <c r="I4790" s="39"/>
    </row>
    <row r="4791" spans="6:9" x14ac:dyDescent="0.25">
      <c r="F4791" s="39"/>
      <c r="G4791" s="39"/>
      <c r="H4791" s="39"/>
      <c r="I4791" s="39"/>
    </row>
    <row r="4792" spans="6:9" x14ac:dyDescent="0.25">
      <c r="F4792" s="39"/>
      <c r="G4792" s="39"/>
      <c r="H4792" s="39"/>
      <c r="I4792" s="39"/>
    </row>
    <row r="4793" spans="6:9" x14ac:dyDescent="0.25">
      <c r="F4793" s="39"/>
      <c r="G4793" s="39"/>
      <c r="H4793" s="39"/>
      <c r="I4793" s="39"/>
    </row>
    <row r="4794" spans="6:9" x14ac:dyDescent="0.25">
      <c r="F4794" s="39"/>
      <c r="G4794" s="39"/>
      <c r="H4794" s="39"/>
      <c r="I4794" s="39"/>
    </row>
    <row r="4795" spans="6:9" x14ac:dyDescent="0.25">
      <c r="F4795" s="39"/>
      <c r="G4795" s="39"/>
      <c r="H4795" s="39"/>
      <c r="I4795" s="39"/>
    </row>
    <row r="4796" spans="6:9" x14ac:dyDescent="0.25">
      <c r="F4796" s="39"/>
      <c r="G4796" s="39"/>
      <c r="H4796" s="39"/>
      <c r="I4796" s="39"/>
    </row>
    <row r="4797" spans="6:9" x14ac:dyDescent="0.25">
      <c r="F4797" s="39"/>
      <c r="G4797" s="39"/>
      <c r="H4797" s="39"/>
      <c r="I4797" s="39"/>
    </row>
    <row r="4798" spans="6:9" x14ac:dyDescent="0.25">
      <c r="F4798" s="39"/>
      <c r="G4798" s="39"/>
      <c r="H4798" s="39"/>
      <c r="I4798" s="39"/>
    </row>
    <row r="4799" spans="6:9" x14ac:dyDescent="0.25">
      <c r="F4799" s="39"/>
      <c r="G4799" s="39"/>
      <c r="H4799" s="39"/>
      <c r="I4799" s="39"/>
    </row>
    <row r="4800" spans="6:9" x14ac:dyDescent="0.25">
      <c r="F4800" s="39"/>
      <c r="G4800" s="39"/>
      <c r="H4800" s="39"/>
      <c r="I4800" s="39"/>
    </row>
    <row r="4801" spans="6:9" x14ac:dyDescent="0.25">
      <c r="F4801" s="39"/>
      <c r="G4801" s="39"/>
      <c r="H4801" s="39"/>
      <c r="I4801" s="39"/>
    </row>
    <row r="4802" spans="6:9" x14ac:dyDescent="0.25">
      <c r="F4802" s="39"/>
      <c r="G4802" s="39"/>
      <c r="H4802" s="39"/>
      <c r="I4802" s="39"/>
    </row>
    <row r="4803" spans="6:9" x14ac:dyDescent="0.25">
      <c r="F4803" s="39"/>
      <c r="G4803" s="39"/>
      <c r="H4803" s="39"/>
      <c r="I4803" s="39"/>
    </row>
    <row r="4804" spans="6:9" x14ac:dyDescent="0.25">
      <c r="F4804" s="39"/>
      <c r="G4804" s="39"/>
      <c r="H4804" s="39"/>
      <c r="I4804" s="39"/>
    </row>
    <row r="4805" spans="6:9" x14ac:dyDescent="0.25">
      <c r="F4805" s="39"/>
      <c r="G4805" s="39"/>
      <c r="H4805" s="39"/>
      <c r="I4805" s="39"/>
    </row>
    <row r="4806" spans="6:9" x14ac:dyDescent="0.25">
      <c r="F4806" s="39"/>
      <c r="G4806" s="39"/>
      <c r="H4806" s="39"/>
      <c r="I4806" s="39"/>
    </row>
    <row r="4807" spans="6:9" x14ac:dyDescent="0.25">
      <c r="F4807" s="39"/>
      <c r="G4807" s="39"/>
      <c r="H4807" s="39"/>
      <c r="I4807" s="39"/>
    </row>
    <row r="4808" spans="6:9" x14ac:dyDescent="0.25">
      <c r="F4808" s="39"/>
      <c r="G4808" s="39"/>
      <c r="H4808" s="39"/>
      <c r="I4808" s="39"/>
    </row>
    <row r="4809" spans="6:9" x14ac:dyDescent="0.25">
      <c r="F4809" s="39"/>
      <c r="G4809" s="39"/>
      <c r="H4809" s="39"/>
      <c r="I4809" s="39"/>
    </row>
    <row r="4810" spans="6:9" x14ac:dyDescent="0.25">
      <c r="F4810" s="39"/>
      <c r="G4810" s="39"/>
      <c r="H4810" s="39"/>
      <c r="I4810" s="39"/>
    </row>
    <row r="4811" spans="6:9" x14ac:dyDescent="0.25">
      <c r="F4811" s="39"/>
      <c r="G4811" s="39"/>
      <c r="H4811" s="39"/>
      <c r="I4811" s="39"/>
    </row>
    <row r="4812" spans="6:9" x14ac:dyDescent="0.25">
      <c r="F4812" s="39"/>
      <c r="G4812" s="39"/>
      <c r="H4812" s="39"/>
      <c r="I4812" s="39"/>
    </row>
    <row r="4813" spans="6:9" x14ac:dyDescent="0.25">
      <c r="F4813" s="39"/>
      <c r="G4813" s="39"/>
      <c r="H4813" s="39"/>
      <c r="I4813" s="39"/>
    </row>
    <row r="4814" spans="6:9" x14ac:dyDescent="0.25">
      <c r="F4814" s="39"/>
      <c r="G4814" s="39"/>
      <c r="H4814" s="39"/>
      <c r="I4814" s="39"/>
    </row>
    <row r="4815" spans="6:9" x14ac:dyDescent="0.25">
      <c r="F4815" s="39"/>
      <c r="G4815" s="39"/>
      <c r="H4815" s="39"/>
      <c r="I4815" s="39"/>
    </row>
    <row r="4816" spans="6:9" x14ac:dyDescent="0.25">
      <c r="F4816" s="39"/>
      <c r="G4816" s="39"/>
      <c r="H4816" s="39"/>
      <c r="I4816" s="39"/>
    </row>
    <row r="4817" spans="6:9" x14ac:dyDescent="0.25">
      <c r="F4817" s="39"/>
      <c r="G4817" s="39"/>
      <c r="H4817" s="39"/>
      <c r="I4817" s="39"/>
    </row>
    <row r="4818" spans="6:9" x14ac:dyDescent="0.25">
      <c r="F4818" s="39"/>
      <c r="G4818" s="39"/>
      <c r="H4818" s="39"/>
      <c r="I4818" s="39"/>
    </row>
    <row r="4819" spans="6:9" x14ac:dyDescent="0.25">
      <c r="F4819" s="39"/>
      <c r="G4819" s="39"/>
      <c r="H4819" s="39"/>
      <c r="I4819" s="39"/>
    </row>
    <row r="4820" spans="6:9" x14ac:dyDescent="0.25">
      <c r="F4820" s="39"/>
      <c r="G4820" s="39"/>
      <c r="H4820" s="39"/>
      <c r="I4820" s="39"/>
    </row>
    <row r="4821" spans="6:9" x14ac:dyDescent="0.25">
      <c r="F4821" s="39"/>
      <c r="G4821" s="39"/>
      <c r="H4821" s="39"/>
      <c r="I4821" s="39"/>
    </row>
    <row r="4822" spans="6:9" x14ac:dyDescent="0.25">
      <c r="F4822" s="39"/>
      <c r="G4822" s="39"/>
      <c r="H4822" s="39"/>
      <c r="I4822" s="39"/>
    </row>
    <row r="4823" spans="6:9" x14ac:dyDescent="0.25">
      <c r="F4823" s="39"/>
      <c r="G4823" s="39"/>
      <c r="H4823" s="39"/>
      <c r="I4823" s="39"/>
    </row>
    <row r="4824" spans="6:9" x14ac:dyDescent="0.25">
      <c r="F4824" s="39"/>
      <c r="G4824" s="39"/>
      <c r="H4824" s="39"/>
      <c r="I4824" s="39"/>
    </row>
    <row r="4825" spans="6:9" x14ac:dyDescent="0.25">
      <c r="F4825" s="39"/>
      <c r="G4825" s="39"/>
      <c r="H4825" s="39"/>
      <c r="I4825" s="39"/>
    </row>
    <row r="4826" spans="6:9" x14ac:dyDescent="0.25">
      <c r="F4826" s="39"/>
      <c r="G4826" s="39"/>
      <c r="H4826" s="39"/>
      <c r="I4826" s="39"/>
    </row>
    <row r="4827" spans="6:9" x14ac:dyDescent="0.25">
      <c r="F4827" s="39"/>
      <c r="G4827" s="39"/>
      <c r="H4827" s="39"/>
      <c r="I4827" s="39"/>
    </row>
    <row r="4828" spans="6:9" x14ac:dyDescent="0.25">
      <c r="F4828" s="39"/>
      <c r="G4828" s="39"/>
      <c r="H4828" s="39"/>
      <c r="I4828" s="39"/>
    </row>
    <row r="4829" spans="6:9" x14ac:dyDescent="0.25">
      <c r="F4829" s="39"/>
      <c r="G4829" s="39"/>
      <c r="H4829" s="39"/>
      <c r="I4829" s="39"/>
    </row>
    <row r="4830" spans="6:9" x14ac:dyDescent="0.25">
      <c r="F4830" s="39"/>
      <c r="G4830" s="39"/>
      <c r="H4830" s="39"/>
      <c r="I4830" s="39"/>
    </row>
    <row r="4831" spans="6:9" x14ac:dyDescent="0.25">
      <c r="F4831" s="39"/>
      <c r="G4831" s="39"/>
      <c r="H4831" s="39"/>
      <c r="I4831" s="39"/>
    </row>
    <row r="4832" spans="6:9" x14ac:dyDescent="0.25">
      <c r="F4832" s="39"/>
      <c r="G4832" s="39"/>
      <c r="H4832" s="39"/>
      <c r="I4832" s="39"/>
    </row>
    <row r="4833" spans="6:9" x14ac:dyDescent="0.25">
      <c r="F4833" s="39"/>
      <c r="G4833" s="39"/>
      <c r="H4833" s="39"/>
      <c r="I4833" s="39"/>
    </row>
    <row r="4834" spans="6:9" x14ac:dyDescent="0.25">
      <c r="F4834" s="39"/>
      <c r="G4834" s="39"/>
      <c r="H4834" s="39"/>
      <c r="I4834" s="39"/>
    </row>
    <row r="4835" spans="6:9" x14ac:dyDescent="0.25">
      <c r="F4835" s="39"/>
      <c r="G4835" s="39"/>
      <c r="H4835" s="39"/>
      <c r="I4835" s="39"/>
    </row>
    <row r="4836" spans="6:9" x14ac:dyDescent="0.25">
      <c r="F4836" s="39"/>
      <c r="G4836" s="39"/>
      <c r="H4836" s="39"/>
      <c r="I4836" s="39"/>
    </row>
    <row r="4837" spans="6:9" x14ac:dyDescent="0.25">
      <c r="F4837" s="39"/>
      <c r="G4837" s="39"/>
      <c r="H4837" s="39"/>
      <c r="I4837" s="39"/>
    </row>
    <row r="4838" spans="6:9" x14ac:dyDescent="0.25">
      <c r="F4838" s="39"/>
      <c r="G4838" s="39"/>
      <c r="H4838" s="39"/>
      <c r="I4838" s="39"/>
    </row>
    <row r="4839" spans="6:9" x14ac:dyDescent="0.25">
      <c r="F4839" s="39"/>
      <c r="G4839" s="39"/>
      <c r="H4839" s="39"/>
      <c r="I4839" s="39"/>
    </row>
    <row r="4840" spans="6:9" x14ac:dyDescent="0.25">
      <c r="F4840" s="39"/>
      <c r="G4840" s="39"/>
      <c r="H4840" s="39"/>
      <c r="I4840" s="39"/>
    </row>
    <row r="4841" spans="6:9" x14ac:dyDescent="0.25">
      <c r="F4841" s="39"/>
      <c r="G4841" s="39"/>
      <c r="H4841" s="39"/>
      <c r="I4841" s="39"/>
    </row>
    <row r="4842" spans="6:9" x14ac:dyDescent="0.25">
      <c r="F4842" s="39"/>
      <c r="G4842" s="39"/>
      <c r="H4842" s="39"/>
      <c r="I4842" s="39"/>
    </row>
    <row r="4843" spans="6:9" x14ac:dyDescent="0.25">
      <c r="F4843" s="39"/>
      <c r="G4843" s="39"/>
      <c r="H4843" s="39"/>
      <c r="I4843" s="39"/>
    </row>
    <row r="4844" spans="6:9" x14ac:dyDescent="0.25">
      <c r="F4844" s="39"/>
      <c r="G4844" s="39"/>
      <c r="H4844" s="39"/>
      <c r="I4844" s="39"/>
    </row>
    <row r="4845" spans="6:9" x14ac:dyDescent="0.25">
      <c r="F4845" s="39"/>
      <c r="G4845" s="39"/>
      <c r="H4845" s="39"/>
      <c r="I4845" s="39"/>
    </row>
    <row r="4846" spans="6:9" x14ac:dyDescent="0.25">
      <c r="F4846" s="39"/>
      <c r="G4846" s="39"/>
      <c r="H4846" s="39"/>
      <c r="I4846" s="39"/>
    </row>
    <row r="4847" spans="6:9" x14ac:dyDescent="0.25">
      <c r="F4847" s="39"/>
      <c r="G4847" s="39"/>
      <c r="H4847" s="39"/>
      <c r="I4847" s="39"/>
    </row>
    <row r="4848" spans="6:9" x14ac:dyDescent="0.25">
      <c r="F4848" s="39"/>
      <c r="G4848" s="39"/>
      <c r="H4848" s="39"/>
      <c r="I4848" s="39"/>
    </row>
    <row r="4849" spans="6:9" x14ac:dyDescent="0.25">
      <c r="F4849" s="39"/>
      <c r="G4849" s="39"/>
      <c r="H4849" s="39"/>
      <c r="I4849" s="39"/>
    </row>
    <row r="4850" spans="6:9" x14ac:dyDescent="0.25">
      <c r="F4850" s="39"/>
      <c r="G4850" s="39"/>
      <c r="H4850" s="39"/>
      <c r="I4850" s="39"/>
    </row>
    <row r="4851" spans="6:9" x14ac:dyDescent="0.25">
      <c r="F4851" s="39"/>
      <c r="G4851" s="39"/>
      <c r="H4851" s="39"/>
      <c r="I4851" s="39"/>
    </row>
    <row r="4852" spans="6:9" x14ac:dyDescent="0.25">
      <c r="F4852" s="39"/>
      <c r="G4852" s="39"/>
      <c r="H4852" s="39"/>
      <c r="I4852" s="39"/>
    </row>
    <row r="4853" spans="6:9" x14ac:dyDescent="0.25">
      <c r="F4853" s="39"/>
      <c r="G4853" s="39"/>
      <c r="H4853" s="39"/>
      <c r="I4853" s="39"/>
    </row>
    <row r="4854" spans="6:9" x14ac:dyDescent="0.25">
      <c r="F4854" s="39"/>
      <c r="G4854" s="39"/>
      <c r="H4854" s="39"/>
      <c r="I4854" s="39"/>
    </row>
    <row r="4855" spans="6:9" x14ac:dyDescent="0.25">
      <c r="F4855" s="39"/>
      <c r="G4855" s="39"/>
      <c r="H4855" s="39"/>
      <c r="I4855" s="39"/>
    </row>
    <row r="4856" spans="6:9" x14ac:dyDescent="0.25">
      <c r="F4856" s="39"/>
      <c r="G4856" s="39"/>
      <c r="H4856" s="39"/>
      <c r="I4856" s="39"/>
    </row>
    <row r="4857" spans="6:9" x14ac:dyDescent="0.25">
      <c r="F4857" s="39"/>
      <c r="G4857" s="39"/>
      <c r="H4857" s="39"/>
      <c r="I4857" s="39"/>
    </row>
    <row r="4858" spans="6:9" x14ac:dyDescent="0.25">
      <c r="F4858" s="39"/>
      <c r="G4858" s="39"/>
      <c r="H4858" s="39"/>
      <c r="I4858" s="39"/>
    </row>
    <row r="4859" spans="6:9" x14ac:dyDescent="0.25">
      <c r="F4859" s="39"/>
      <c r="G4859" s="39"/>
      <c r="H4859" s="39"/>
      <c r="I4859" s="39"/>
    </row>
    <row r="4860" spans="6:9" x14ac:dyDescent="0.25">
      <c r="F4860" s="39"/>
      <c r="G4860" s="39"/>
      <c r="H4860" s="39"/>
      <c r="I4860" s="39"/>
    </row>
    <row r="4861" spans="6:9" x14ac:dyDescent="0.25">
      <c r="F4861" s="39"/>
      <c r="G4861" s="39"/>
      <c r="H4861" s="39"/>
      <c r="I4861" s="39"/>
    </row>
    <row r="4862" spans="6:9" x14ac:dyDescent="0.25">
      <c r="F4862" s="39"/>
      <c r="G4862" s="39"/>
      <c r="H4862" s="39"/>
      <c r="I4862" s="39"/>
    </row>
    <row r="4863" spans="6:9" x14ac:dyDescent="0.25">
      <c r="F4863" s="39"/>
      <c r="G4863" s="39"/>
      <c r="H4863" s="39"/>
      <c r="I4863" s="39"/>
    </row>
    <row r="4864" spans="6:9" x14ac:dyDescent="0.25">
      <c r="F4864" s="39"/>
      <c r="G4864" s="39"/>
      <c r="H4864" s="39"/>
      <c r="I4864" s="39"/>
    </row>
    <row r="4865" spans="6:9" x14ac:dyDescent="0.25">
      <c r="F4865" s="39"/>
      <c r="G4865" s="39"/>
      <c r="H4865" s="39"/>
      <c r="I4865" s="39"/>
    </row>
    <row r="4866" spans="6:9" x14ac:dyDescent="0.25">
      <c r="F4866" s="39"/>
      <c r="G4866" s="39"/>
      <c r="H4866" s="39"/>
      <c r="I4866" s="39"/>
    </row>
    <row r="4867" spans="6:9" x14ac:dyDescent="0.25">
      <c r="F4867" s="39"/>
      <c r="G4867" s="39"/>
      <c r="H4867" s="39"/>
      <c r="I4867" s="39"/>
    </row>
    <row r="4868" spans="6:9" x14ac:dyDescent="0.25">
      <c r="F4868" s="39"/>
      <c r="G4868" s="39"/>
      <c r="H4868" s="39"/>
      <c r="I4868" s="39"/>
    </row>
    <row r="4869" spans="6:9" x14ac:dyDescent="0.25">
      <c r="F4869" s="39"/>
      <c r="G4869" s="39"/>
      <c r="H4869" s="39"/>
      <c r="I4869" s="39"/>
    </row>
    <row r="4870" spans="6:9" x14ac:dyDescent="0.25">
      <c r="F4870" s="39"/>
      <c r="G4870" s="39"/>
      <c r="H4870" s="39"/>
      <c r="I4870" s="39"/>
    </row>
    <row r="4871" spans="6:9" x14ac:dyDescent="0.25">
      <c r="F4871" s="39"/>
      <c r="G4871" s="39"/>
      <c r="H4871" s="39"/>
      <c r="I4871" s="39"/>
    </row>
    <row r="4872" spans="6:9" x14ac:dyDescent="0.25">
      <c r="F4872" s="39"/>
      <c r="G4872" s="39"/>
      <c r="H4872" s="39"/>
      <c r="I4872" s="39"/>
    </row>
    <row r="4873" spans="6:9" x14ac:dyDescent="0.25">
      <c r="F4873" s="39"/>
      <c r="G4873" s="39"/>
      <c r="H4873" s="39"/>
      <c r="I4873" s="39"/>
    </row>
    <row r="4874" spans="6:9" x14ac:dyDescent="0.25">
      <c r="F4874" s="39"/>
      <c r="G4874" s="39"/>
      <c r="H4874" s="39"/>
      <c r="I4874" s="39"/>
    </row>
    <row r="4875" spans="6:9" x14ac:dyDescent="0.25">
      <c r="F4875" s="39"/>
      <c r="G4875" s="39"/>
      <c r="H4875" s="39"/>
      <c r="I4875" s="39"/>
    </row>
    <row r="4876" spans="6:9" x14ac:dyDescent="0.25">
      <c r="F4876" s="39"/>
      <c r="G4876" s="39"/>
      <c r="H4876" s="39"/>
      <c r="I4876" s="39"/>
    </row>
    <row r="4877" spans="6:9" x14ac:dyDescent="0.25">
      <c r="F4877" s="39"/>
      <c r="G4877" s="39"/>
      <c r="H4877" s="39"/>
      <c r="I4877" s="39"/>
    </row>
    <row r="4878" spans="6:9" x14ac:dyDescent="0.25">
      <c r="F4878" s="39"/>
      <c r="G4878" s="39"/>
      <c r="H4878" s="39"/>
      <c r="I4878" s="39"/>
    </row>
    <row r="4879" spans="6:9" x14ac:dyDescent="0.25">
      <c r="F4879" s="39"/>
      <c r="G4879" s="39"/>
      <c r="H4879" s="39"/>
      <c r="I4879" s="39"/>
    </row>
    <row r="4880" spans="6:9" x14ac:dyDescent="0.25">
      <c r="F4880" s="39"/>
      <c r="G4880" s="39"/>
      <c r="H4880" s="39"/>
      <c r="I4880" s="39"/>
    </row>
    <row r="4881" spans="6:9" x14ac:dyDescent="0.25">
      <c r="F4881" s="39"/>
      <c r="G4881" s="39"/>
      <c r="H4881" s="39"/>
      <c r="I4881" s="39"/>
    </row>
    <row r="4882" spans="6:9" x14ac:dyDescent="0.25">
      <c r="F4882" s="39"/>
      <c r="G4882" s="39"/>
      <c r="H4882" s="39"/>
      <c r="I4882" s="39"/>
    </row>
    <row r="4883" spans="6:9" x14ac:dyDescent="0.25">
      <c r="F4883" s="39"/>
      <c r="G4883" s="39"/>
      <c r="H4883" s="39"/>
      <c r="I4883" s="39"/>
    </row>
    <row r="4884" spans="6:9" x14ac:dyDescent="0.25">
      <c r="F4884" s="39"/>
      <c r="G4884" s="39"/>
      <c r="H4884" s="39"/>
      <c r="I4884" s="39"/>
    </row>
    <row r="4885" spans="6:9" x14ac:dyDescent="0.25">
      <c r="F4885" s="39"/>
      <c r="G4885" s="39"/>
      <c r="H4885" s="39"/>
      <c r="I4885" s="39"/>
    </row>
    <row r="4886" spans="6:9" x14ac:dyDescent="0.25">
      <c r="F4886" s="39"/>
      <c r="G4886" s="39"/>
      <c r="H4886" s="39"/>
      <c r="I4886" s="39"/>
    </row>
    <row r="4887" spans="6:9" x14ac:dyDescent="0.25">
      <c r="F4887" s="39"/>
      <c r="G4887" s="39"/>
      <c r="H4887" s="39"/>
      <c r="I4887" s="39"/>
    </row>
    <row r="4888" spans="6:9" x14ac:dyDescent="0.25">
      <c r="F4888" s="39"/>
      <c r="G4888" s="39"/>
      <c r="H4888" s="39"/>
      <c r="I4888" s="39"/>
    </row>
    <row r="4889" spans="6:9" x14ac:dyDescent="0.25">
      <c r="F4889" s="39"/>
      <c r="G4889" s="39"/>
      <c r="H4889" s="39"/>
      <c r="I4889" s="39"/>
    </row>
    <row r="4890" spans="6:9" x14ac:dyDescent="0.25">
      <c r="F4890" s="39"/>
      <c r="G4890" s="39"/>
      <c r="H4890" s="39"/>
      <c r="I4890" s="39"/>
    </row>
    <row r="4891" spans="6:9" x14ac:dyDescent="0.25">
      <c r="F4891" s="39"/>
      <c r="G4891" s="39"/>
      <c r="H4891" s="39"/>
      <c r="I4891" s="39"/>
    </row>
    <row r="4892" spans="6:9" x14ac:dyDescent="0.25">
      <c r="F4892" s="39"/>
      <c r="G4892" s="39"/>
      <c r="H4892" s="39"/>
      <c r="I4892" s="39"/>
    </row>
    <row r="4893" spans="6:9" x14ac:dyDescent="0.25">
      <c r="F4893" s="39"/>
      <c r="G4893" s="39"/>
      <c r="H4893" s="39"/>
      <c r="I4893" s="39"/>
    </row>
    <row r="4894" spans="6:9" x14ac:dyDescent="0.25">
      <c r="F4894" s="39"/>
      <c r="G4894" s="39"/>
      <c r="H4894" s="39"/>
      <c r="I4894" s="39"/>
    </row>
    <row r="4895" spans="6:9" x14ac:dyDescent="0.25">
      <c r="F4895" s="39"/>
      <c r="G4895" s="39"/>
      <c r="H4895" s="39"/>
      <c r="I4895" s="39"/>
    </row>
    <row r="4896" spans="6:9" x14ac:dyDescent="0.25">
      <c r="F4896" s="39"/>
      <c r="G4896" s="39"/>
      <c r="H4896" s="39"/>
      <c r="I4896" s="39"/>
    </row>
    <row r="4897" spans="6:9" x14ac:dyDescent="0.25">
      <c r="F4897" s="39"/>
      <c r="G4897" s="39"/>
      <c r="H4897" s="39"/>
      <c r="I4897" s="39"/>
    </row>
    <row r="4898" spans="6:9" x14ac:dyDescent="0.25">
      <c r="F4898" s="39"/>
      <c r="G4898" s="39"/>
      <c r="H4898" s="39"/>
      <c r="I4898" s="39"/>
    </row>
    <row r="4899" spans="6:9" x14ac:dyDescent="0.25">
      <c r="F4899" s="39"/>
      <c r="G4899" s="39"/>
      <c r="H4899" s="39"/>
      <c r="I4899" s="39"/>
    </row>
    <row r="4900" spans="6:9" x14ac:dyDescent="0.25">
      <c r="F4900" s="39"/>
      <c r="G4900" s="39"/>
      <c r="H4900" s="39"/>
      <c r="I4900" s="39"/>
    </row>
    <row r="4901" spans="6:9" x14ac:dyDescent="0.25">
      <c r="F4901" s="39"/>
      <c r="G4901" s="39"/>
      <c r="H4901" s="39"/>
      <c r="I4901" s="39"/>
    </row>
    <row r="4902" spans="6:9" x14ac:dyDescent="0.25">
      <c r="F4902" s="39"/>
      <c r="G4902" s="39"/>
      <c r="H4902" s="39"/>
      <c r="I4902" s="39"/>
    </row>
    <row r="4903" spans="6:9" x14ac:dyDescent="0.25">
      <c r="F4903" s="39"/>
      <c r="G4903" s="39"/>
      <c r="H4903" s="39"/>
      <c r="I4903" s="39"/>
    </row>
    <row r="4904" spans="6:9" x14ac:dyDescent="0.25">
      <c r="F4904" s="39"/>
      <c r="G4904" s="39"/>
      <c r="H4904" s="39"/>
      <c r="I4904" s="39"/>
    </row>
    <row r="4905" spans="6:9" x14ac:dyDescent="0.25">
      <c r="F4905" s="39"/>
      <c r="G4905" s="39"/>
      <c r="H4905" s="39"/>
      <c r="I4905" s="39"/>
    </row>
    <row r="4906" spans="6:9" x14ac:dyDescent="0.25">
      <c r="F4906" s="39"/>
      <c r="G4906" s="39"/>
      <c r="H4906" s="39"/>
      <c r="I4906" s="39"/>
    </row>
    <row r="4907" spans="6:9" x14ac:dyDescent="0.25">
      <c r="F4907" s="39"/>
      <c r="G4907" s="39"/>
      <c r="H4907" s="39"/>
      <c r="I4907" s="39"/>
    </row>
    <row r="4908" spans="6:9" x14ac:dyDescent="0.25">
      <c r="F4908" s="39"/>
      <c r="G4908" s="39"/>
      <c r="H4908" s="39"/>
      <c r="I4908" s="39"/>
    </row>
    <row r="4909" spans="6:9" x14ac:dyDescent="0.25">
      <c r="F4909" s="39"/>
      <c r="G4909" s="39"/>
      <c r="H4909" s="39"/>
      <c r="I4909" s="39"/>
    </row>
    <row r="4910" spans="6:9" x14ac:dyDescent="0.25">
      <c r="F4910" s="39"/>
      <c r="G4910" s="39"/>
      <c r="H4910" s="39"/>
      <c r="I4910" s="39"/>
    </row>
    <row r="4911" spans="6:9" x14ac:dyDescent="0.25">
      <c r="F4911" s="39"/>
      <c r="G4911" s="39"/>
      <c r="H4911" s="39"/>
      <c r="I4911" s="39"/>
    </row>
    <row r="4912" spans="6:9" x14ac:dyDescent="0.25">
      <c r="F4912" s="39"/>
      <c r="G4912" s="39"/>
      <c r="H4912" s="39"/>
      <c r="I4912" s="39"/>
    </row>
    <row r="4913" spans="6:9" x14ac:dyDescent="0.25">
      <c r="F4913" s="39"/>
      <c r="G4913" s="39"/>
      <c r="H4913" s="39"/>
      <c r="I4913" s="39"/>
    </row>
    <row r="4914" spans="6:9" x14ac:dyDescent="0.25">
      <c r="F4914" s="39"/>
      <c r="G4914" s="39"/>
      <c r="H4914" s="39"/>
      <c r="I4914" s="39"/>
    </row>
    <row r="4915" spans="6:9" x14ac:dyDescent="0.25">
      <c r="F4915" s="39"/>
      <c r="G4915" s="39"/>
      <c r="H4915" s="39"/>
      <c r="I4915" s="39"/>
    </row>
    <row r="4916" spans="6:9" x14ac:dyDescent="0.25">
      <c r="F4916" s="39"/>
      <c r="G4916" s="39"/>
      <c r="H4916" s="39"/>
      <c r="I4916" s="39"/>
    </row>
    <row r="4917" spans="6:9" x14ac:dyDescent="0.25">
      <c r="F4917" s="39"/>
      <c r="G4917" s="39"/>
      <c r="H4917" s="39"/>
      <c r="I4917" s="39"/>
    </row>
    <row r="4918" spans="6:9" x14ac:dyDescent="0.25">
      <c r="F4918" s="39"/>
      <c r="G4918" s="39"/>
      <c r="H4918" s="39"/>
      <c r="I4918" s="39"/>
    </row>
    <row r="4919" spans="6:9" x14ac:dyDescent="0.25">
      <c r="F4919" s="39"/>
      <c r="G4919" s="39"/>
      <c r="H4919" s="39"/>
      <c r="I4919" s="39"/>
    </row>
    <row r="4920" spans="6:9" x14ac:dyDescent="0.25">
      <c r="F4920" s="39"/>
      <c r="G4920" s="39"/>
      <c r="H4920" s="39"/>
      <c r="I4920" s="39"/>
    </row>
    <row r="4921" spans="6:9" x14ac:dyDescent="0.25">
      <c r="F4921" s="39"/>
      <c r="G4921" s="39"/>
      <c r="H4921" s="39"/>
      <c r="I4921" s="39"/>
    </row>
    <row r="4922" spans="6:9" x14ac:dyDescent="0.25">
      <c r="F4922" s="39"/>
      <c r="G4922" s="39"/>
      <c r="H4922" s="39"/>
      <c r="I4922" s="39"/>
    </row>
    <row r="4923" spans="6:9" x14ac:dyDescent="0.25">
      <c r="F4923" s="39"/>
      <c r="G4923" s="39"/>
      <c r="H4923" s="39"/>
      <c r="I4923" s="39"/>
    </row>
    <row r="4924" spans="6:9" x14ac:dyDescent="0.25">
      <c r="F4924" s="39"/>
      <c r="G4924" s="39"/>
      <c r="H4924" s="39"/>
      <c r="I4924" s="39"/>
    </row>
    <row r="4925" spans="6:9" x14ac:dyDescent="0.25">
      <c r="F4925" s="39"/>
      <c r="G4925" s="39"/>
      <c r="H4925" s="39"/>
      <c r="I4925" s="39"/>
    </row>
    <row r="4926" spans="6:9" x14ac:dyDescent="0.25">
      <c r="F4926" s="39"/>
      <c r="G4926" s="39"/>
      <c r="H4926" s="39"/>
      <c r="I4926" s="39"/>
    </row>
    <row r="4927" spans="6:9" x14ac:dyDescent="0.25">
      <c r="F4927" s="39"/>
      <c r="G4927" s="39"/>
      <c r="H4927" s="39"/>
      <c r="I4927" s="39"/>
    </row>
    <row r="4928" spans="6:9" x14ac:dyDescent="0.25">
      <c r="F4928" s="39"/>
      <c r="G4928" s="39"/>
      <c r="H4928" s="39"/>
      <c r="I4928" s="39"/>
    </row>
    <row r="4929" spans="6:9" x14ac:dyDescent="0.25">
      <c r="F4929" s="39"/>
      <c r="G4929" s="39"/>
      <c r="H4929" s="39"/>
      <c r="I4929" s="39"/>
    </row>
    <row r="4930" spans="6:9" x14ac:dyDescent="0.25">
      <c r="F4930" s="39"/>
      <c r="G4930" s="39"/>
      <c r="H4930" s="39"/>
      <c r="I4930" s="39"/>
    </row>
    <row r="4931" spans="6:9" x14ac:dyDescent="0.25">
      <c r="F4931" s="39"/>
      <c r="G4931" s="39"/>
      <c r="H4931" s="39"/>
      <c r="I4931" s="39"/>
    </row>
    <row r="4932" spans="6:9" x14ac:dyDescent="0.25">
      <c r="F4932" s="39"/>
      <c r="G4932" s="39"/>
      <c r="H4932" s="39"/>
      <c r="I4932" s="39"/>
    </row>
    <row r="4933" spans="6:9" x14ac:dyDescent="0.25">
      <c r="F4933" s="39"/>
      <c r="G4933" s="39"/>
      <c r="H4933" s="39"/>
      <c r="I4933" s="39"/>
    </row>
    <row r="4934" spans="6:9" x14ac:dyDescent="0.25">
      <c r="F4934" s="39"/>
      <c r="G4934" s="39"/>
      <c r="H4934" s="39"/>
      <c r="I4934" s="39"/>
    </row>
    <row r="4935" spans="6:9" x14ac:dyDescent="0.25">
      <c r="F4935" s="39"/>
      <c r="G4935" s="39"/>
      <c r="H4935" s="39"/>
      <c r="I4935" s="39"/>
    </row>
    <row r="4936" spans="6:9" x14ac:dyDescent="0.25">
      <c r="F4936" s="39"/>
      <c r="G4936" s="39"/>
      <c r="H4936" s="39"/>
      <c r="I4936" s="39"/>
    </row>
    <row r="4937" spans="6:9" x14ac:dyDescent="0.25">
      <c r="F4937" s="39"/>
      <c r="G4937" s="39"/>
      <c r="H4937" s="39"/>
      <c r="I4937" s="39"/>
    </row>
    <row r="4938" spans="6:9" x14ac:dyDescent="0.25">
      <c r="F4938" s="39"/>
      <c r="G4938" s="39"/>
      <c r="H4938" s="39"/>
      <c r="I4938" s="39"/>
    </row>
    <row r="4939" spans="6:9" x14ac:dyDescent="0.25">
      <c r="F4939" s="39"/>
      <c r="G4939" s="39"/>
      <c r="H4939" s="39"/>
      <c r="I4939" s="39"/>
    </row>
    <row r="4940" spans="6:9" x14ac:dyDescent="0.25">
      <c r="F4940" s="39"/>
      <c r="G4940" s="39"/>
      <c r="H4940" s="39"/>
      <c r="I4940" s="39"/>
    </row>
    <row r="4941" spans="6:9" x14ac:dyDescent="0.25">
      <c r="F4941" s="39"/>
      <c r="G4941" s="39"/>
      <c r="H4941" s="39"/>
      <c r="I4941" s="39"/>
    </row>
    <row r="4942" spans="6:9" x14ac:dyDescent="0.25">
      <c r="F4942" s="39"/>
      <c r="G4942" s="39"/>
      <c r="H4942" s="39"/>
      <c r="I4942" s="39"/>
    </row>
    <row r="4943" spans="6:9" x14ac:dyDescent="0.25">
      <c r="F4943" s="39"/>
      <c r="G4943" s="39"/>
      <c r="H4943" s="39"/>
      <c r="I4943" s="39"/>
    </row>
    <row r="4944" spans="6:9" x14ac:dyDescent="0.25">
      <c r="F4944" s="39"/>
      <c r="G4944" s="39"/>
      <c r="H4944" s="39"/>
      <c r="I4944" s="39"/>
    </row>
    <row r="4945" spans="6:9" x14ac:dyDescent="0.25">
      <c r="F4945" s="39"/>
      <c r="G4945" s="39"/>
      <c r="H4945" s="39"/>
      <c r="I4945" s="39"/>
    </row>
    <row r="4946" spans="6:9" x14ac:dyDescent="0.25">
      <c r="F4946" s="39"/>
      <c r="G4946" s="39"/>
      <c r="H4946" s="39"/>
      <c r="I4946" s="39"/>
    </row>
    <row r="4947" spans="6:9" x14ac:dyDescent="0.25">
      <c r="F4947" s="39"/>
      <c r="G4947" s="39"/>
      <c r="H4947" s="39"/>
      <c r="I4947" s="39"/>
    </row>
    <row r="4948" spans="6:9" x14ac:dyDescent="0.25">
      <c r="F4948" s="39"/>
      <c r="G4948" s="39"/>
      <c r="H4948" s="39"/>
      <c r="I4948" s="39"/>
    </row>
    <row r="4949" spans="6:9" x14ac:dyDescent="0.25">
      <c r="F4949" s="39"/>
      <c r="G4949" s="39"/>
      <c r="H4949" s="39"/>
      <c r="I4949" s="39"/>
    </row>
    <row r="4950" spans="6:9" x14ac:dyDescent="0.25">
      <c r="F4950" s="39"/>
      <c r="G4950" s="39"/>
      <c r="H4950" s="39"/>
      <c r="I4950" s="39"/>
    </row>
    <row r="4951" spans="6:9" x14ac:dyDescent="0.25">
      <c r="F4951" s="39"/>
      <c r="G4951" s="39"/>
      <c r="H4951" s="39"/>
      <c r="I4951" s="39"/>
    </row>
    <row r="4952" spans="6:9" x14ac:dyDescent="0.25">
      <c r="F4952" s="39"/>
      <c r="G4952" s="39"/>
      <c r="H4952" s="39"/>
      <c r="I4952" s="39"/>
    </row>
    <row r="4953" spans="6:9" x14ac:dyDescent="0.25">
      <c r="F4953" s="39"/>
      <c r="G4953" s="39"/>
      <c r="H4953" s="39"/>
      <c r="I4953" s="39"/>
    </row>
    <row r="4954" spans="6:9" x14ac:dyDescent="0.25">
      <c r="F4954" s="39"/>
      <c r="G4954" s="39"/>
      <c r="H4954" s="39"/>
      <c r="I4954" s="39"/>
    </row>
    <row r="4955" spans="6:9" x14ac:dyDescent="0.25">
      <c r="F4955" s="39"/>
      <c r="G4955" s="39"/>
      <c r="H4955" s="39"/>
      <c r="I4955" s="39"/>
    </row>
    <row r="4956" spans="6:9" x14ac:dyDescent="0.25">
      <c r="F4956" s="39"/>
      <c r="G4956" s="39"/>
      <c r="H4956" s="39"/>
      <c r="I4956" s="39"/>
    </row>
    <row r="4957" spans="6:9" x14ac:dyDescent="0.25">
      <c r="F4957" s="39"/>
      <c r="G4957" s="39"/>
      <c r="H4957" s="39"/>
      <c r="I4957" s="39"/>
    </row>
    <row r="4958" spans="6:9" x14ac:dyDescent="0.25">
      <c r="F4958" s="39"/>
      <c r="G4958" s="39"/>
      <c r="H4958" s="39"/>
      <c r="I4958" s="39"/>
    </row>
    <row r="4959" spans="6:9" x14ac:dyDescent="0.25">
      <c r="F4959" s="39"/>
      <c r="G4959" s="39"/>
      <c r="H4959" s="39"/>
      <c r="I4959" s="39"/>
    </row>
    <row r="4960" spans="6:9" x14ac:dyDescent="0.25">
      <c r="F4960" s="39"/>
      <c r="G4960" s="39"/>
      <c r="H4960" s="39"/>
      <c r="I4960" s="39"/>
    </row>
    <row r="4961" spans="6:9" x14ac:dyDescent="0.25">
      <c r="F4961" s="39"/>
      <c r="G4961" s="39"/>
      <c r="H4961" s="39"/>
      <c r="I4961" s="39"/>
    </row>
    <row r="4962" spans="6:9" x14ac:dyDescent="0.25">
      <c r="F4962" s="39"/>
      <c r="G4962" s="39"/>
      <c r="H4962" s="39"/>
      <c r="I4962" s="39"/>
    </row>
    <row r="4963" spans="6:9" x14ac:dyDescent="0.25">
      <c r="F4963" s="39"/>
      <c r="G4963" s="39"/>
      <c r="H4963" s="39"/>
      <c r="I4963" s="39"/>
    </row>
    <row r="4964" spans="6:9" x14ac:dyDescent="0.25">
      <c r="F4964" s="39"/>
      <c r="G4964" s="39"/>
      <c r="H4964" s="39"/>
      <c r="I4964" s="39"/>
    </row>
    <row r="4965" spans="6:9" x14ac:dyDescent="0.25">
      <c r="F4965" s="39"/>
      <c r="G4965" s="39"/>
      <c r="H4965" s="39"/>
      <c r="I4965" s="39"/>
    </row>
    <row r="4966" spans="6:9" x14ac:dyDescent="0.25">
      <c r="F4966" s="39"/>
      <c r="G4966" s="39"/>
      <c r="H4966" s="39"/>
      <c r="I4966" s="39"/>
    </row>
    <row r="4967" spans="6:9" x14ac:dyDescent="0.25">
      <c r="F4967" s="39"/>
      <c r="G4967" s="39"/>
      <c r="H4967" s="39"/>
      <c r="I4967" s="39"/>
    </row>
    <row r="4968" spans="6:9" x14ac:dyDescent="0.25">
      <c r="F4968" s="39"/>
      <c r="G4968" s="39"/>
      <c r="H4968" s="39"/>
      <c r="I4968" s="39"/>
    </row>
    <row r="4969" spans="6:9" x14ac:dyDescent="0.25">
      <c r="F4969" s="39"/>
      <c r="G4969" s="39"/>
      <c r="H4969" s="39"/>
      <c r="I4969" s="39"/>
    </row>
    <row r="4970" spans="6:9" x14ac:dyDescent="0.25">
      <c r="F4970" s="39"/>
      <c r="G4970" s="39"/>
      <c r="H4970" s="39"/>
      <c r="I4970" s="39"/>
    </row>
    <row r="4971" spans="6:9" x14ac:dyDescent="0.25">
      <c r="F4971" s="39"/>
      <c r="G4971" s="39"/>
      <c r="H4971" s="39"/>
      <c r="I4971" s="39"/>
    </row>
    <row r="4972" spans="6:9" x14ac:dyDescent="0.25">
      <c r="F4972" s="39"/>
      <c r="G4972" s="39"/>
      <c r="H4972" s="39"/>
      <c r="I4972" s="39"/>
    </row>
    <row r="4973" spans="6:9" x14ac:dyDescent="0.25">
      <c r="F4973" s="39"/>
      <c r="G4973" s="39"/>
      <c r="H4973" s="39"/>
      <c r="I4973" s="39"/>
    </row>
    <row r="4974" spans="6:9" x14ac:dyDescent="0.25">
      <c r="F4974" s="39"/>
      <c r="G4974" s="39"/>
      <c r="H4974" s="39"/>
      <c r="I4974" s="39"/>
    </row>
    <row r="4975" spans="6:9" x14ac:dyDescent="0.25">
      <c r="F4975" s="39"/>
      <c r="G4975" s="39"/>
      <c r="H4975" s="39"/>
      <c r="I4975" s="39"/>
    </row>
    <row r="4976" spans="6:9" x14ac:dyDescent="0.25">
      <c r="F4976" s="39"/>
      <c r="G4976" s="39"/>
      <c r="H4976" s="39"/>
      <c r="I4976" s="39"/>
    </row>
    <row r="4977" spans="6:9" x14ac:dyDescent="0.25">
      <c r="F4977" s="39"/>
      <c r="G4977" s="39"/>
      <c r="H4977" s="39"/>
      <c r="I4977" s="39"/>
    </row>
    <row r="4978" spans="6:9" x14ac:dyDescent="0.25">
      <c r="F4978" s="39"/>
      <c r="G4978" s="39"/>
      <c r="H4978" s="39"/>
      <c r="I4978" s="39"/>
    </row>
    <row r="4979" spans="6:9" x14ac:dyDescent="0.25">
      <c r="F4979" s="39"/>
      <c r="G4979" s="39"/>
      <c r="H4979" s="39"/>
      <c r="I4979" s="39"/>
    </row>
    <row r="4980" spans="6:9" x14ac:dyDescent="0.25">
      <c r="F4980" s="39"/>
      <c r="G4980" s="39"/>
      <c r="H4980" s="39"/>
      <c r="I4980" s="39"/>
    </row>
    <row r="4981" spans="6:9" x14ac:dyDescent="0.25">
      <c r="F4981" s="39"/>
      <c r="G4981" s="39"/>
      <c r="H4981" s="39"/>
      <c r="I4981" s="39"/>
    </row>
    <row r="4982" spans="6:9" x14ac:dyDescent="0.25">
      <c r="F4982" s="39"/>
      <c r="G4982" s="39"/>
      <c r="H4982" s="39"/>
      <c r="I4982" s="39"/>
    </row>
    <row r="4983" spans="6:9" x14ac:dyDescent="0.25">
      <c r="F4983" s="39"/>
      <c r="G4983" s="39"/>
      <c r="H4983" s="39"/>
      <c r="I4983" s="39"/>
    </row>
    <row r="4984" spans="6:9" x14ac:dyDescent="0.25">
      <c r="F4984" s="39"/>
      <c r="G4984" s="39"/>
      <c r="H4984" s="39"/>
      <c r="I4984" s="39"/>
    </row>
    <row r="4985" spans="6:9" x14ac:dyDescent="0.25">
      <c r="F4985" s="39"/>
      <c r="G4985" s="39"/>
      <c r="H4985" s="39"/>
      <c r="I4985" s="39"/>
    </row>
    <row r="4986" spans="6:9" x14ac:dyDescent="0.25">
      <c r="F4986" s="39"/>
      <c r="G4986" s="39"/>
      <c r="H4986" s="39"/>
      <c r="I4986" s="39"/>
    </row>
    <row r="4987" spans="6:9" x14ac:dyDescent="0.25">
      <c r="F4987" s="39"/>
      <c r="G4987" s="39"/>
      <c r="H4987" s="39"/>
      <c r="I4987" s="39"/>
    </row>
    <row r="4988" spans="6:9" x14ac:dyDescent="0.25">
      <c r="F4988" s="39"/>
      <c r="G4988" s="39"/>
      <c r="H4988" s="39"/>
      <c r="I4988" s="39"/>
    </row>
    <row r="4989" spans="6:9" x14ac:dyDescent="0.25">
      <c r="F4989" s="39"/>
      <c r="G4989" s="39"/>
      <c r="H4989" s="39"/>
      <c r="I4989" s="39"/>
    </row>
    <row r="4990" spans="6:9" x14ac:dyDescent="0.25">
      <c r="F4990" s="39"/>
      <c r="G4990" s="39"/>
      <c r="H4990" s="39"/>
      <c r="I4990" s="39"/>
    </row>
    <row r="4991" spans="6:9" x14ac:dyDescent="0.25">
      <c r="F4991" s="39"/>
      <c r="G4991" s="39"/>
      <c r="H4991" s="39"/>
      <c r="I4991" s="39"/>
    </row>
    <row r="4992" spans="6:9" x14ac:dyDescent="0.25">
      <c r="F4992" s="39"/>
      <c r="G4992" s="39"/>
      <c r="H4992" s="39"/>
      <c r="I4992" s="39"/>
    </row>
    <row r="4993" spans="6:9" x14ac:dyDescent="0.25">
      <c r="F4993" s="39"/>
      <c r="G4993" s="39"/>
      <c r="H4993" s="39"/>
      <c r="I4993" s="39"/>
    </row>
    <row r="4994" spans="6:9" x14ac:dyDescent="0.25">
      <c r="F4994" s="39"/>
      <c r="G4994" s="39"/>
      <c r="H4994" s="39"/>
      <c r="I4994" s="39"/>
    </row>
    <row r="4995" spans="6:9" x14ac:dyDescent="0.25">
      <c r="F4995" s="39"/>
      <c r="G4995" s="39"/>
      <c r="H4995" s="39"/>
      <c r="I4995" s="39"/>
    </row>
    <row r="4996" spans="6:9" x14ac:dyDescent="0.25">
      <c r="F4996" s="39"/>
      <c r="G4996" s="39"/>
      <c r="H4996" s="39"/>
      <c r="I4996" s="39"/>
    </row>
    <row r="4997" spans="6:9" x14ac:dyDescent="0.25">
      <c r="F4997" s="39"/>
      <c r="G4997" s="39"/>
      <c r="H4997" s="39"/>
      <c r="I4997" s="39"/>
    </row>
    <row r="4998" spans="6:9" x14ac:dyDescent="0.25">
      <c r="F4998" s="39"/>
      <c r="G4998" s="39"/>
      <c r="H4998" s="39"/>
      <c r="I4998" s="39"/>
    </row>
    <row r="4999" spans="6:9" x14ac:dyDescent="0.25">
      <c r="F4999" s="39"/>
      <c r="G4999" s="39"/>
      <c r="H4999" s="39"/>
      <c r="I4999" s="39"/>
    </row>
    <row r="5000" spans="6:9" x14ac:dyDescent="0.25">
      <c r="F5000" s="39"/>
      <c r="G5000" s="39"/>
      <c r="H5000" s="39"/>
      <c r="I5000" s="39"/>
    </row>
    <row r="5001" spans="6:9" x14ac:dyDescent="0.25">
      <c r="F5001" s="39"/>
      <c r="G5001" s="39"/>
      <c r="H5001" s="39"/>
      <c r="I5001" s="39"/>
    </row>
    <row r="5002" spans="6:9" x14ac:dyDescent="0.25">
      <c r="F5002" s="39"/>
      <c r="G5002" s="39"/>
      <c r="H5002" s="39"/>
      <c r="I5002" s="39"/>
    </row>
    <row r="5003" spans="6:9" x14ac:dyDescent="0.25">
      <c r="F5003" s="39"/>
      <c r="G5003" s="39"/>
      <c r="H5003" s="39"/>
      <c r="I5003" s="39"/>
    </row>
    <row r="5004" spans="6:9" x14ac:dyDescent="0.25">
      <c r="F5004" s="39"/>
      <c r="G5004" s="39"/>
      <c r="H5004" s="39"/>
      <c r="I5004" s="39"/>
    </row>
    <row r="5005" spans="6:9" x14ac:dyDescent="0.25">
      <c r="F5005" s="39"/>
      <c r="G5005" s="39"/>
      <c r="H5005" s="39"/>
      <c r="I5005" s="39"/>
    </row>
    <row r="5006" spans="6:9" x14ac:dyDescent="0.25">
      <c r="F5006" s="39"/>
      <c r="G5006" s="39"/>
      <c r="H5006" s="39"/>
      <c r="I5006" s="39"/>
    </row>
    <row r="5007" spans="6:9" x14ac:dyDescent="0.25">
      <c r="F5007" s="39"/>
      <c r="G5007" s="39"/>
      <c r="H5007" s="39"/>
      <c r="I5007" s="39"/>
    </row>
    <row r="5008" spans="6:9" x14ac:dyDescent="0.25">
      <c r="F5008" s="39"/>
      <c r="G5008" s="39"/>
      <c r="H5008" s="39"/>
      <c r="I5008" s="39"/>
    </row>
    <row r="5009" spans="6:9" x14ac:dyDescent="0.25">
      <c r="F5009" s="39"/>
      <c r="G5009" s="39"/>
      <c r="H5009" s="39"/>
      <c r="I5009" s="39"/>
    </row>
    <row r="5010" spans="6:9" x14ac:dyDescent="0.25">
      <c r="F5010" s="39"/>
      <c r="G5010" s="39"/>
      <c r="H5010" s="39"/>
      <c r="I5010" s="39"/>
    </row>
    <row r="5011" spans="6:9" x14ac:dyDescent="0.25">
      <c r="F5011" s="39"/>
      <c r="G5011" s="39"/>
      <c r="H5011" s="39"/>
      <c r="I5011" s="39"/>
    </row>
    <row r="5012" spans="6:9" x14ac:dyDescent="0.25">
      <c r="F5012" s="39"/>
      <c r="G5012" s="39"/>
      <c r="H5012" s="39"/>
      <c r="I5012" s="39"/>
    </row>
    <row r="5013" spans="6:9" x14ac:dyDescent="0.25">
      <c r="F5013" s="39"/>
      <c r="G5013" s="39"/>
      <c r="H5013" s="39"/>
      <c r="I5013" s="39"/>
    </row>
    <row r="5014" spans="6:9" x14ac:dyDescent="0.25">
      <c r="F5014" s="39"/>
      <c r="G5014" s="39"/>
      <c r="H5014" s="39"/>
      <c r="I5014" s="39"/>
    </row>
    <row r="5015" spans="6:9" x14ac:dyDescent="0.25">
      <c r="F5015" s="39"/>
      <c r="G5015" s="39"/>
      <c r="H5015" s="39"/>
      <c r="I5015" s="39"/>
    </row>
    <row r="5016" spans="6:9" x14ac:dyDescent="0.25">
      <c r="F5016" s="39"/>
      <c r="G5016" s="39"/>
      <c r="H5016" s="39"/>
      <c r="I5016" s="39"/>
    </row>
    <row r="5017" spans="6:9" x14ac:dyDescent="0.25">
      <c r="F5017" s="39"/>
      <c r="G5017" s="39"/>
      <c r="H5017" s="39"/>
      <c r="I5017" s="39"/>
    </row>
    <row r="5018" spans="6:9" x14ac:dyDescent="0.25">
      <c r="F5018" s="39"/>
      <c r="G5018" s="39"/>
      <c r="H5018" s="39"/>
      <c r="I5018" s="39"/>
    </row>
    <row r="5019" spans="6:9" x14ac:dyDescent="0.25">
      <c r="F5019" s="39"/>
      <c r="G5019" s="39"/>
      <c r="H5019" s="39"/>
      <c r="I5019" s="39"/>
    </row>
    <row r="5020" spans="6:9" x14ac:dyDescent="0.25">
      <c r="F5020" s="39"/>
      <c r="G5020" s="39"/>
      <c r="H5020" s="39"/>
      <c r="I5020" s="39"/>
    </row>
    <row r="5021" spans="6:9" x14ac:dyDescent="0.25">
      <c r="F5021" s="39"/>
      <c r="G5021" s="39"/>
      <c r="H5021" s="39"/>
      <c r="I5021" s="39"/>
    </row>
    <row r="5022" spans="6:9" x14ac:dyDescent="0.25">
      <c r="F5022" s="39"/>
      <c r="G5022" s="39"/>
      <c r="H5022" s="39"/>
      <c r="I5022" s="39"/>
    </row>
    <row r="5023" spans="6:9" x14ac:dyDescent="0.25">
      <c r="F5023" s="39"/>
      <c r="G5023" s="39"/>
      <c r="H5023" s="39"/>
      <c r="I5023" s="39"/>
    </row>
    <row r="5024" spans="6:9" x14ac:dyDescent="0.25">
      <c r="F5024" s="39"/>
      <c r="G5024" s="39"/>
      <c r="H5024" s="39"/>
      <c r="I5024" s="39"/>
    </row>
    <row r="5025" spans="6:9" x14ac:dyDescent="0.25">
      <c r="F5025" s="39"/>
      <c r="G5025" s="39"/>
      <c r="H5025" s="39"/>
      <c r="I5025" s="39"/>
    </row>
    <row r="5026" spans="6:9" x14ac:dyDescent="0.25">
      <c r="F5026" s="39"/>
      <c r="G5026" s="39"/>
      <c r="H5026" s="39"/>
      <c r="I5026" s="39"/>
    </row>
    <row r="5027" spans="6:9" x14ac:dyDescent="0.25">
      <c r="F5027" s="39"/>
      <c r="G5027" s="39"/>
      <c r="H5027" s="39"/>
      <c r="I5027" s="39"/>
    </row>
    <row r="5028" spans="6:9" x14ac:dyDescent="0.25">
      <c r="F5028" s="39"/>
      <c r="G5028" s="39"/>
      <c r="H5028" s="39"/>
      <c r="I5028" s="39"/>
    </row>
    <row r="5029" spans="6:9" x14ac:dyDescent="0.25">
      <c r="F5029" s="39"/>
      <c r="G5029" s="39"/>
      <c r="H5029" s="39"/>
      <c r="I5029" s="39"/>
    </row>
    <row r="5030" spans="6:9" x14ac:dyDescent="0.25">
      <c r="F5030" s="39"/>
      <c r="G5030" s="39"/>
      <c r="H5030" s="39"/>
      <c r="I5030" s="39"/>
    </row>
    <row r="5031" spans="6:9" x14ac:dyDescent="0.25">
      <c r="F5031" s="39"/>
      <c r="G5031" s="39"/>
      <c r="H5031" s="39"/>
      <c r="I5031" s="39"/>
    </row>
    <row r="5032" spans="6:9" x14ac:dyDescent="0.25">
      <c r="F5032" s="39"/>
      <c r="G5032" s="39"/>
      <c r="H5032" s="39"/>
      <c r="I5032" s="39"/>
    </row>
    <row r="5033" spans="6:9" x14ac:dyDescent="0.25">
      <c r="F5033" s="39"/>
      <c r="G5033" s="39"/>
      <c r="H5033" s="39"/>
      <c r="I5033" s="39"/>
    </row>
    <row r="5034" spans="6:9" x14ac:dyDescent="0.25">
      <c r="F5034" s="39"/>
      <c r="G5034" s="39"/>
      <c r="H5034" s="39"/>
      <c r="I5034" s="39"/>
    </row>
    <row r="5035" spans="6:9" x14ac:dyDescent="0.25">
      <c r="F5035" s="39"/>
      <c r="G5035" s="39"/>
      <c r="H5035" s="39"/>
      <c r="I5035" s="39"/>
    </row>
    <row r="5036" spans="6:9" x14ac:dyDescent="0.25">
      <c r="F5036" s="39"/>
      <c r="G5036" s="39"/>
      <c r="H5036" s="39"/>
      <c r="I5036" s="39"/>
    </row>
    <row r="5037" spans="6:9" x14ac:dyDescent="0.25">
      <c r="F5037" s="39"/>
      <c r="G5037" s="39"/>
      <c r="H5037" s="39"/>
      <c r="I5037" s="39"/>
    </row>
    <row r="5038" spans="6:9" x14ac:dyDescent="0.25">
      <c r="F5038" s="39"/>
      <c r="G5038" s="39"/>
      <c r="H5038" s="39"/>
      <c r="I5038" s="39"/>
    </row>
    <row r="5039" spans="6:9" x14ac:dyDescent="0.25">
      <c r="F5039" s="39"/>
      <c r="G5039" s="39"/>
      <c r="H5039" s="39"/>
      <c r="I5039" s="39"/>
    </row>
    <row r="5040" spans="6:9" x14ac:dyDescent="0.25">
      <c r="F5040" s="39"/>
      <c r="G5040" s="39"/>
      <c r="H5040" s="39"/>
      <c r="I5040" s="39"/>
    </row>
    <row r="5041" spans="6:9" x14ac:dyDescent="0.25">
      <c r="F5041" s="39"/>
      <c r="G5041" s="39"/>
      <c r="H5041" s="39"/>
      <c r="I5041" s="39"/>
    </row>
    <row r="5042" spans="6:9" x14ac:dyDescent="0.25">
      <c r="F5042" s="39"/>
      <c r="G5042" s="39"/>
      <c r="H5042" s="39"/>
      <c r="I5042" s="39"/>
    </row>
    <row r="5043" spans="6:9" x14ac:dyDescent="0.25">
      <c r="F5043" s="39"/>
      <c r="G5043" s="39"/>
      <c r="H5043" s="39"/>
      <c r="I5043" s="39"/>
    </row>
    <row r="5044" spans="6:9" x14ac:dyDescent="0.25">
      <c r="F5044" s="39"/>
      <c r="G5044" s="39"/>
      <c r="H5044" s="39"/>
      <c r="I5044" s="39"/>
    </row>
    <row r="5045" spans="6:9" x14ac:dyDescent="0.25">
      <c r="F5045" s="39"/>
      <c r="G5045" s="39"/>
      <c r="H5045" s="39"/>
      <c r="I5045" s="39"/>
    </row>
    <row r="5046" spans="6:9" x14ac:dyDescent="0.25">
      <c r="F5046" s="39"/>
      <c r="G5046" s="39"/>
      <c r="H5046" s="39"/>
      <c r="I5046" s="39"/>
    </row>
    <row r="5047" spans="6:9" x14ac:dyDescent="0.25">
      <c r="F5047" s="39"/>
      <c r="G5047" s="39"/>
      <c r="H5047" s="39"/>
      <c r="I5047" s="39"/>
    </row>
    <row r="5048" spans="6:9" x14ac:dyDescent="0.25">
      <c r="F5048" s="39"/>
      <c r="G5048" s="39"/>
      <c r="H5048" s="39"/>
      <c r="I5048" s="39"/>
    </row>
    <row r="5049" spans="6:9" x14ac:dyDescent="0.25">
      <c r="F5049" s="39"/>
      <c r="G5049" s="39"/>
      <c r="H5049" s="39"/>
      <c r="I5049" s="39"/>
    </row>
    <row r="5050" spans="6:9" x14ac:dyDescent="0.25">
      <c r="F5050" s="39"/>
      <c r="G5050" s="39"/>
      <c r="H5050" s="39"/>
      <c r="I5050" s="39"/>
    </row>
    <row r="5051" spans="6:9" x14ac:dyDescent="0.25">
      <c r="F5051" s="39"/>
      <c r="G5051" s="39"/>
      <c r="H5051" s="39"/>
      <c r="I5051" s="39"/>
    </row>
    <row r="5052" spans="6:9" x14ac:dyDescent="0.25">
      <c r="F5052" s="39"/>
      <c r="G5052" s="39"/>
      <c r="H5052" s="39"/>
      <c r="I5052" s="39"/>
    </row>
    <row r="5053" spans="6:9" x14ac:dyDescent="0.25">
      <c r="F5053" s="39"/>
      <c r="G5053" s="39"/>
      <c r="H5053" s="39"/>
      <c r="I5053" s="39"/>
    </row>
    <row r="5054" spans="6:9" x14ac:dyDescent="0.25">
      <c r="F5054" s="39"/>
      <c r="G5054" s="39"/>
      <c r="H5054" s="39"/>
      <c r="I5054" s="39"/>
    </row>
    <row r="5055" spans="6:9" x14ac:dyDescent="0.25">
      <c r="F5055" s="39"/>
      <c r="G5055" s="39"/>
      <c r="H5055" s="39"/>
      <c r="I5055" s="39"/>
    </row>
    <row r="5056" spans="6:9" x14ac:dyDescent="0.25">
      <c r="F5056" s="39"/>
      <c r="G5056" s="39"/>
      <c r="H5056" s="39"/>
      <c r="I5056" s="39"/>
    </row>
    <row r="5057" spans="6:9" x14ac:dyDescent="0.25">
      <c r="F5057" s="39"/>
      <c r="G5057" s="39"/>
      <c r="H5057" s="39"/>
      <c r="I5057" s="39"/>
    </row>
    <row r="5058" spans="6:9" x14ac:dyDescent="0.25">
      <c r="F5058" s="39"/>
      <c r="G5058" s="39"/>
      <c r="H5058" s="39"/>
      <c r="I5058" s="39"/>
    </row>
    <row r="5059" spans="6:9" x14ac:dyDescent="0.25">
      <c r="F5059" s="39"/>
      <c r="G5059" s="39"/>
      <c r="H5059" s="39"/>
      <c r="I5059" s="39"/>
    </row>
    <row r="5060" spans="6:9" x14ac:dyDescent="0.25">
      <c r="F5060" s="39"/>
      <c r="G5060" s="39"/>
      <c r="H5060" s="39"/>
      <c r="I5060" s="39"/>
    </row>
    <row r="5061" spans="6:9" x14ac:dyDescent="0.25">
      <c r="F5061" s="39"/>
      <c r="G5061" s="39"/>
      <c r="H5061" s="39"/>
      <c r="I5061" s="39"/>
    </row>
    <row r="5062" spans="6:9" x14ac:dyDescent="0.25">
      <c r="F5062" s="39"/>
      <c r="G5062" s="39"/>
      <c r="H5062" s="39"/>
      <c r="I5062" s="39"/>
    </row>
    <row r="5063" spans="6:9" x14ac:dyDescent="0.25">
      <c r="F5063" s="39"/>
      <c r="G5063" s="39"/>
      <c r="H5063" s="39"/>
      <c r="I5063" s="39"/>
    </row>
    <row r="5064" spans="6:9" x14ac:dyDescent="0.25">
      <c r="F5064" s="39"/>
      <c r="G5064" s="39"/>
      <c r="H5064" s="39"/>
      <c r="I5064" s="39"/>
    </row>
    <row r="5065" spans="6:9" x14ac:dyDescent="0.25">
      <c r="F5065" s="39"/>
      <c r="G5065" s="39"/>
      <c r="H5065" s="39"/>
      <c r="I5065" s="39"/>
    </row>
    <row r="5066" spans="6:9" x14ac:dyDescent="0.25">
      <c r="F5066" s="39"/>
      <c r="G5066" s="39"/>
      <c r="H5066" s="39"/>
      <c r="I5066" s="39"/>
    </row>
    <row r="5067" spans="6:9" x14ac:dyDescent="0.25">
      <c r="F5067" s="39"/>
      <c r="G5067" s="39"/>
      <c r="H5067" s="39"/>
      <c r="I5067" s="39"/>
    </row>
    <row r="5068" spans="6:9" x14ac:dyDescent="0.25">
      <c r="F5068" s="39"/>
      <c r="G5068" s="39"/>
      <c r="H5068" s="39"/>
      <c r="I5068" s="39"/>
    </row>
    <row r="5069" spans="6:9" x14ac:dyDescent="0.25">
      <c r="F5069" s="39"/>
      <c r="G5069" s="39"/>
      <c r="H5069" s="39"/>
      <c r="I5069" s="39"/>
    </row>
    <row r="5070" spans="6:9" x14ac:dyDescent="0.25">
      <c r="F5070" s="39"/>
      <c r="G5070" s="39"/>
      <c r="H5070" s="39"/>
      <c r="I5070" s="39"/>
    </row>
    <row r="5071" spans="6:9" x14ac:dyDescent="0.25">
      <c r="F5071" s="39"/>
      <c r="G5071" s="39"/>
      <c r="H5071" s="39"/>
      <c r="I5071" s="39"/>
    </row>
    <row r="5072" spans="6:9" x14ac:dyDescent="0.25">
      <c r="F5072" s="39"/>
      <c r="G5072" s="39"/>
      <c r="H5072" s="39"/>
      <c r="I5072" s="39"/>
    </row>
    <row r="5073" spans="6:9" x14ac:dyDescent="0.25">
      <c r="F5073" s="39"/>
      <c r="G5073" s="39"/>
      <c r="H5073" s="39"/>
      <c r="I5073" s="39"/>
    </row>
    <row r="5074" spans="6:9" x14ac:dyDescent="0.25">
      <c r="F5074" s="39"/>
      <c r="G5074" s="39"/>
      <c r="H5074" s="39"/>
      <c r="I5074" s="39"/>
    </row>
    <row r="5075" spans="6:9" x14ac:dyDescent="0.25">
      <c r="F5075" s="39"/>
      <c r="G5075" s="39"/>
      <c r="H5075" s="39"/>
      <c r="I5075" s="39"/>
    </row>
    <row r="5076" spans="6:9" x14ac:dyDescent="0.25">
      <c r="F5076" s="39"/>
      <c r="G5076" s="39"/>
      <c r="H5076" s="39"/>
      <c r="I5076" s="39"/>
    </row>
    <row r="5077" spans="6:9" x14ac:dyDescent="0.25">
      <c r="F5077" s="39"/>
      <c r="G5077" s="39"/>
      <c r="H5077" s="39"/>
      <c r="I5077" s="39"/>
    </row>
    <row r="5078" spans="6:9" x14ac:dyDescent="0.25">
      <c r="F5078" s="39"/>
      <c r="G5078" s="39"/>
      <c r="H5078" s="39"/>
      <c r="I5078" s="39"/>
    </row>
    <row r="5079" spans="6:9" x14ac:dyDescent="0.25">
      <c r="F5079" s="39"/>
      <c r="G5079" s="39"/>
      <c r="H5079" s="39"/>
      <c r="I5079" s="39"/>
    </row>
    <row r="5080" spans="6:9" x14ac:dyDescent="0.25">
      <c r="F5080" s="39"/>
      <c r="G5080" s="39"/>
      <c r="H5080" s="39"/>
      <c r="I5080" s="39"/>
    </row>
    <row r="5081" spans="6:9" x14ac:dyDescent="0.25">
      <c r="F5081" s="39"/>
      <c r="G5081" s="39"/>
      <c r="H5081" s="39"/>
      <c r="I5081" s="39"/>
    </row>
    <row r="5082" spans="6:9" x14ac:dyDescent="0.25">
      <c r="F5082" s="39"/>
      <c r="G5082" s="39"/>
      <c r="H5082" s="39"/>
      <c r="I5082" s="39"/>
    </row>
    <row r="5083" spans="6:9" x14ac:dyDescent="0.25">
      <c r="F5083" s="39"/>
      <c r="G5083" s="39"/>
      <c r="H5083" s="39"/>
      <c r="I5083" s="39"/>
    </row>
    <row r="5084" spans="6:9" x14ac:dyDescent="0.25">
      <c r="F5084" s="39"/>
      <c r="G5084" s="39"/>
      <c r="H5084" s="39"/>
      <c r="I5084" s="39"/>
    </row>
    <row r="5085" spans="6:9" x14ac:dyDescent="0.25">
      <c r="F5085" s="39"/>
      <c r="G5085" s="39"/>
      <c r="H5085" s="39"/>
      <c r="I5085" s="39"/>
    </row>
    <row r="5086" spans="6:9" x14ac:dyDescent="0.25">
      <c r="F5086" s="39"/>
      <c r="G5086" s="39"/>
      <c r="H5086" s="39"/>
      <c r="I5086" s="39"/>
    </row>
    <row r="5087" spans="6:9" x14ac:dyDescent="0.25">
      <c r="F5087" s="39"/>
      <c r="G5087" s="39"/>
      <c r="H5087" s="39"/>
      <c r="I5087" s="39"/>
    </row>
    <row r="5088" spans="6:9" x14ac:dyDescent="0.25">
      <c r="F5088" s="39"/>
      <c r="G5088" s="39"/>
      <c r="H5088" s="39"/>
      <c r="I5088" s="39"/>
    </row>
    <row r="5089" spans="6:9" x14ac:dyDescent="0.25">
      <c r="F5089" s="39"/>
      <c r="G5089" s="39"/>
      <c r="H5089" s="39"/>
      <c r="I5089" s="39"/>
    </row>
    <row r="5090" spans="6:9" x14ac:dyDescent="0.25">
      <c r="F5090" s="39"/>
      <c r="G5090" s="39"/>
      <c r="H5090" s="39"/>
      <c r="I5090" s="39"/>
    </row>
    <row r="5091" spans="6:9" x14ac:dyDescent="0.25">
      <c r="F5091" s="39"/>
      <c r="G5091" s="39"/>
      <c r="H5091" s="39"/>
      <c r="I5091" s="39"/>
    </row>
    <row r="5092" spans="6:9" x14ac:dyDescent="0.25">
      <c r="F5092" s="39"/>
      <c r="G5092" s="39"/>
      <c r="H5092" s="39"/>
      <c r="I5092" s="39"/>
    </row>
    <row r="5093" spans="6:9" x14ac:dyDescent="0.25">
      <c r="F5093" s="39"/>
      <c r="G5093" s="39"/>
      <c r="H5093" s="39"/>
      <c r="I5093" s="39"/>
    </row>
    <row r="5094" spans="6:9" x14ac:dyDescent="0.25">
      <c r="F5094" s="39"/>
      <c r="G5094" s="39"/>
      <c r="H5094" s="39"/>
      <c r="I5094" s="39"/>
    </row>
    <row r="5095" spans="6:9" x14ac:dyDescent="0.25">
      <c r="F5095" s="39"/>
      <c r="G5095" s="39"/>
      <c r="H5095" s="39"/>
      <c r="I5095" s="39"/>
    </row>
    <row r="5096" spans="6:9" x14ac:dyDescent="0.25">
      <c r="F5096" s="39"/>
      <c r="G5096" s="39"/>
      <c r="H5096" s="39"/>
      <c r="I5096" s="39"/>
    </row>
    <row r="5097" spans="6:9" x14ac:dyDescent="0.25">
      <c r="F5097" s="39"/>
      <c r="G5097" s="39"/>
      <c r="H5097" s="39"/>
      <c r="I5097" s="39"/>
    </row>
    <row r="5098" spans="6:9" x14ac:dyDescent="0.25">
      <c r="F5098" s="39"/>
      <c r="G5098" s="39"/>
      <c r="H5098" s="39"/>
      <c r="I5098" s="39"/>
    </row>
    <row r="5099" spans="6:9" x14ac:dyDescent="0.25">
      <c r="F5099" s="39"/>
      <c r="G5099" s="39"/>
      <c r="H5099" s="39"/>
      <c r="I5099" s="39"/>
    </row>
    <row r="5100" spans="6:9" x14ac:dyDescent="0.25">
      <c r="F5100" s="39"/>
      <c r="G5100" s="39"/>
      <c r="H5100" s="39"/>
      <c r="I5100" s="39"/>
    </row>
    <row r="5101" spans="6:9" x14ac:dyDescent="0.25">
      <c r="F5101" s="39"/>
      <c r="G5101" s="39"/>
      <c r="H5101" s="39"/>
      <c r="I5101" s="39"/>
    </row>
    <row r="5102" spans="6:9" x14ac:dyDescent="0.25">
      <c r="F5102" s="39"/>
      <c r="G5102" s="39"/>
      <c r="H5102" s="39"/>
      <c r="I5102" s="39"/>
    </row>
    <row r="5103" spans="6:9" x14ac:dyDescent="0.25">
      <c r="F5103" s="39"/>
      <c r="G5103" s="39"/>
      <c r="H5103" s="39"/>
      <c r="I5103" s="39"/>
    </row>
    <row r="5104" spans="6:9" x14ac:dyDescent="0.25">
      <c r="F5104" s="39"/>
      <c r="G5104" s="39"/>
      <c r="H5104" s="39"/>
      <c r="I5104" s="39"/>
    </row>
    <row r="5105" spans="6:9" x14ac:dyDescent="0.25">
      <c r="F5105" s="39"/>
      <c r="G5105" s="39"/>
      <c r="H5105" s="39"/>
      <c r="I5105" s="39"/>
    </row>
    <row r="5106" spans="6:9" x14ac:dyDescent="0.25">
      <c r="F5106" s="39"/>
      <c r="G5106" s="39"/>
      <c r="H5106" s="39"/>
      <c r="I5106" s="39"/>
    </row>
    <row r="5107" spans="6:9" x14ac:dyDescent="0.25">
      <c r="F5107" s="39"/>
      <c r="G5107" s="39"/>
      <c r="H5107" s="39"/>
      <c r="I5107" s="39"/>
    </row>
    <row r="5108" spans="6:9" x14ac:dyDescent="0.25">
      <c r="F5108" s="39"/>
      <c r="G5108" s="39"/>
      <c r="H5108" s="39"/>
      <c r="I5108" s="39"/>
    </row>
    <row r="5109" spans="6:9" x14ac:dyDescent="0.25">
      <c r="F5109" s="39"/>
      <c r="G5109" s="39"/>
      <c r="H5109" s="39"/>
      <c r="I5109" s="39"/>
    </row>
    <row r="5110" spans="6:9" x14ac:dyDescent="0.25">
      <c r="F5110" s="39"/>
      <c r="G5110" s="39"/>
      <c r="H5110" s="39"/>
      <c r="I5110" s="39"/>
    </row>
    <row r="5111" spans="6:9" x14ac:dyDescent="0.25">
      <c r="F5111" s="39"/>
      <c r="G5111" s="39"/>
      <c r="H5111" s="39"/>
      <c r="I5111" s="39"/>
    </row>
    <row r="5112" spans="6:9" x14ac:dyDescent="0.25">
      <c r="F5112" s="39"/>
      <c r="G5112" s="39"/>
      <c r="H5112" s="39"/>
      <c r="I5112" s="39"/>
    </row>
    <row r="5113" spans="6:9" x14ac:dyDescent="0.25">
      <c r="F5113" s="39"/>
      <c r="G5113" s="39"/>
      <c r="H5113" s="39"/>
      <c r="I5113" s="39"/>
    </row>
    <row r="5114" spans="6:9" x14ac:dyDescent="0.25">
      <c r="F5114" s="39"/>
      <c r="G5114" s="39"/>
      <c r="H5114" s="39"/>
      <c r="I5114" s="39"/>
    </row>
    <row r="5115" spans="6:9" x14ac:dyDescent="0.25">
      <c r="F5115" s="39"/>
      <c r="G5115" s="39"/>
      <c r="H5115" s="39"/>
      <c r="I5115" s="39"/>
    </row>
    <row r="5116" spans="6:9" x14ac:dyDescent="0.25">
      <c r="F5116" s="39"/>
      <c r="G5116" s="39"/>
      <c r="H5116" s="39"/>
      <c r="I5116" s="39"/>
    </row>
    <row r="5117" spans="6:9" x14ac:dyDescent="0.25">
      <c r="F5117" s="39"/>
      <c r="G5117" s="39"/>
      <c r="H5117" s="39"/>
      <c r="I5117" s="39"/>
    </row>
    <row r="5118" spans="6:9" x14ac:dyDescent="0.25">
      <c r="F5118" s="39"/>
      <c r="G5118" s="39"/>
      <c r="H5118" s="39"/>
      <c r="I5118" s="39"/>
    </row>
    <row r="5119" spans="6:9" x14ac:dyDescent="0.25">
      <c r="F5119" s="39"/>
      <c r="G5119" s="39"/>
      <c r="H5119" s="39"/>
      <c r="I5119" s="39"/>
    </row>
    <row r="5120" spans="6:9" x14ac:dyDescent="0.25">
      <c r="F5120" s="39"/>
      <c r="G5120" s="39"/>
      <c r="H5120" s="39"/>
      <c r="I5120" s="39"/>
    </row>
    <row r="5121" spans="6:9" x14ac:dyDescent="0.25">
      <c r="F5121" s="39"/>
      <c r="G5121" s="39"/>
      <c r="H5121" s="39"/>
      <c r="I5121" s="39"/>
    </row>
    <row r="5122" spans="6:9" x14ac:dyDescent="0.25">
      <c r="F5122" s="39"/>
      <c r="G5122" s="39"/>
      <c r="H5122" s="39"/>
      <c r="I5122" s="39"/>
    </row>
    <row r="5123" spans="6:9" x14ac:dyDescent="0.25">
      <c r="F5123" s="39"/>
      <c r="G5123" s="39"/>
      <c r="H5123" s="39"/>
      <c r="I5123" s="39"/>
    </row>
    <row r="5124" spans="6:9" x14ac:dyDescent="0.25">
      <c r="F5124" s="39"/>
      <c r="G5124" s="39"/>
      <c r="H5124" s="39"/>
      <c r="I5124" s="39"/>
    </row>
    <row r="5125" spans="6:9" x14ac:dyDescent="0.25">
      <c r="F5125" s="39"/>
      <c r="G5125" s="39"/>
      <c r="H5125" s="39"/>
      <c r="I5125" s="39"/>
    </row>
    <row r="5126" spans="6:9" x14ac:dyDescent="0.25">
      <c r="F5126" s="39"/>
      <c r="G5126" s="39"/>
      <c r="H5126" s="39"/>
      <c r="I5126" s="39"/>
    </row>
    <row r="5127" spans="6:9" x14ac:dyDescent="0.25">
      <c r="F5127" s="39"/>
      <c r="G5127" s="39"/>
      <c r="H5127" s="39"/>
      <c r="I5127" s="39"/>
    </row>
    <row r="5128" spans="6:9" x14ac:dyDescent="0.25">
      <c r="F5128" s="39"/>
      <c r="G5128" s="39"/>
      <c r="H5128" s="39"/>
      <c r="I5128" s="39"/>
    </row>
    <row r="5129" spans="6:9" x14ac:dyDescent="0.25">
      <c r="F5129" s="39"/>
      <c r="G5129" s="39"/>
      <c r="H5129" s="39"/>
      <c r="I5129" s="39"/>
    </row>
    <row r="5130" spans="6:9" x14ac:dyDescent="0.25">
      <c r="F5130" s="39"/>
      <c r="G5130" s="39"/>
      <c r="H5130" s="39"/>
      <c r="I5130" s="39"/>
    </row>
    <row r="5131" spans="6:9" x14ac:dyDescent="0.25">
      <c r="F5131" s="39"/>
      <c r="G5131" s="39"/>
      <c r="H5131" s="39"/>
      <c r="I5131" s="39"/>
    </row>
    <row r="5132" spans="6:9" x14ac:dyDescent="0.25">
      <c r="F5132" s="39"/>
      <c r="G5132" s="39"/>
      <c r="H5132" s="39"/>
      <c r="I5132" s="39"/>
    </row>
    <row r="5133" spans="6:9" x14ac:dyDescent="0.25">
      <c r="F5133" s="39"/>
      <c r="G5133" s="39"/>
      <c r="H5133" s="39"/>
      <c r="I5133" s="39"/>
    </row>
    <row r="5134" spans="6:9" x14ac:dyDescent="0.25">
      <c r="F5134" s="39"/>
      <c r="G5134" s="39"/>
      <c r="H5134" s="39"/>
      <c r="I5134" s="39"/>
    </row>
    <row r="5135" spans="6:9" x14ac:dyDescent="0.25">
      <c r="F5135" s="39"/>
      <c r="G5135" s="39"/>
      <c r="H5135" s="39"/>
      <c r="I5135" s="39"/>
    </row>
    <row r="5136" spans="6:9" x14ac:dyDescent="0.25">
      <c r="F5136" s="39"/>
      <c r="G5136" s="39"/>
      <c r="H5136" s="39"/>
      <c r="I5136" s="39"/>
    </row>
    <row r="5137" spans="6:9" x14ac:dyDescent="0.25">
      <c r="F5137" s="39"/>
      <c r="G5137" s="39"/>
      <c r="H5137" s="39"/>
      <c r="I5137" s="39"/>
    </row>
    <row r="5138" spans="6:9" x14ac:dyDescent="0.25">
      <c r="F5138" s="39"/>
      <c r="G5138" s="39"/>
      <c r="H5138" s="39"/>
      <c r="I5138" s="39"/>
    </row>
    <row r="5139" spans="6:9" x14ac:dyDescent="0.25">
      <c r="F5139" s="39"/>
      <c r="G5139" s="39"/>
      <c r="H5139" s="39"/>
      <c r="I5139" s="39"/>
    </row>
    <row r="5140" spans="6:9" x14ac:dyDescent="0.25">
      <c r="F5140" s="39"/>
      <c r="G5140" s="39"/>
      <c r="H5140" s="39"/>
      <c r="I5140" s="39"/>
    </row>
    <row r="5141" spans="6:9" x14ac:dyDescent="0.25">
      <c r="F5141" s="39"/>
      <c r="G5141" s="39"/>
      <c r="H5141" s="39"/>
      <c r="I5141" s="39"/>
    </row>
    <row r="5142" spans="6:9" x14ac:dyDescent="0.25">
      <c r="F5142" s="39"/>
      <c r="G5142" s="39"/>
      <c r="H5142" s="39"/>
      <c r="I5142" s="39"/>
    </row>
    <row r="5143" spans="6:9" x14ac:dyDescent="0.25">
      <c r="F5143" s="39"/>
      <c r="G5143" s="39"/>
      <c r="H5143" s="39"/>
      <c r="I5143" s="39"/>
    </row>
    <row r="5144" spans="6:9" x14ac:dyDescent="0.25">
      <c r="F5144" s="39"/>
      <c r="G5144" s="39"/>
      <c r="H5144" s="39"/>
      <c r="I5144" s="39"/>
    </row>
    <row r="5145" spans="6:9" x14ac:dyDescent="0.25">
      <c r="F5145" s="39"/>
      <c r="G5145" s="39"/>
      <c r="H5145" s="39"/>
      <c r="I5145" s="39"/>
    </row>
    <row r="5146" spans="6:9" x14ac:dyDescent="0.25">
      <c r="F5146" s="39"/>
      <c r="G5146" s="39"/>
      <c r="H5146" s="39"/>
      <c r="I5146" s="39"/>
    </row>
    <row r="5147" spans="6:9" x14ac:dyDescent="0.25">
      <c r="F5147" s="39"/>
      <c r="G5147" s="39"/>
      <c r="H5147" s="39"/>
      <c r="I5147" s="39"/>
    </row>
    <row r="5148" spans="6:9" x14ac:dyDescent="0.25">
      <c r="F5148" s="39"/>
      <c r="G5148" s="39"/>
      <c r="H5148" s="39"/>
      <c r="I5148" s="39"/>
    </row>
    <row r="5149" spans="6:9" x14ac:dyDescent="0.25">
      <c r="F5149" s="39"/>
      <c r="G5149" s="39"/>
      <c r="H5149" s="39"/>
      <c r="I5149" s="39"/>
    </row>
    <row r="5150" spans="6:9" x14ac:dyDescent="0.25">
      <c r="F5150" s="39"/>
      <c r="G5150" s="39"/>
      <c r="H5150" s="39"/>
      <c r="I5150" s="39"/>
    </row>
    <row r="5151" spans="6:9" x14ac:dyDescent="0.25">
      <c r="F5151" s="39"/>
      <c r="G5151" s="39"/>
      <c r="H5151" s="39"/>
      <c r="I5151" s="39"/>
    </row>
    <row r="5152" spans="6:9" x14ac:dyDescent="0.25">
      <c r="F5152" s="39"/>
      <c r="G5152" s="39"/>
      <c r="H5152" s="39"/>
      <c r="I5152" s="39"/>
    </row>
    <row r="5153" spans="6:9" x14ac:dyDescent="0.25">
      <c r="F5153" s="39"/>
      <c r="G5153" s="39"/>
      <c r="H5153" s="39"/>
      <c r="I5153" s="39"/>
    </row>
    <row r="5154" spans="6:9" x14ac:dyDescent="0.25">
      <c r="F5154" s="39"/>
      <c r="G5154" s="39"/>
      <c r="H5154" s="39"/>
      <c r="I5154" s="39"/>
    </row>
    <row r="5155" spans="6:9" x14ac:dyDescent="0.25">
      <c r="F5155" s="39"/>
      <c r="G5155" s="39"/>
      <c r="H5155" s="39"/>
      <c r="I5155" s="39"/>
    </row>
    <row r="5156" spans="6:9" x14ac:dyDescent="0.25">
      <c r="F5156" s="39"/>
      <c r="G5156" s="39"/>
      <c r="H5156" s="39"/>
      <c r="I5156" s="39"/>
    </row>
    <row r="5157" spans="6:9" x14ac:dyDescent="0.25">
      <c r="F5157" s="39"/>
      <c r="G5157" s="39"/>
      <c r="H5157" s="39"/>
      <c r="I5157" s="39"/>
    </row>
    <row r="5158" spans="6:9" x14ac:dyDescent="0.25">
      <c r="F5158" s="39"/>
      <c r="G5158" s="39"/>
      <c r="H5158" s="39"/>
      <c r="I5158" s="39"/>
    </row>
    <row r="5159" spans="6:9" x14ac:dyDescent="0.25">
      <c r="F5159" s="39"/>
      <c r="G5159" s="39"/>
      <c r="H5159" s="39"/>
      <c r="I5159" s="39"/>
    </row>
    <row r="5160" spans="6:9" x14ac:dyDescent="0.25">
      <c r="F5160" s="39"/>
      <c r="G5160" s="39"/>
      <c r="H5160" s="39"/>
      <c r="I5160" s="39"/>
    </row>
    <row r="5161" spans="6:9" x14ac:dyDescent="0.25">
      <c r="F5161" s="39"/>
      <c r="G5161" s="39"/>
      <c r="H5161" s="39"/>
      <c r="I5161" s="39"/>
    </row>
    <row r="5162" spans="6:9" x14ac:dyDescent="0.25">
      <c r="F5162" s="39"/>
      <c r="G5162" s="39"/>
      <c r="H5162" s="39"/>
      <c r="I5162" s="39"/>
    </row>
    <row r="5163" spans="6:9" x14ac:dyDescent="0.25">
      <c r="F5163" s="39"/>
      <c r="G5163" s="39"/>
      <c r="H5163" s="39"/>
      <c r="I5163" s="39"/>
    </row>
    <row r="5164" spans="6:9" x14ac:dyDescent="0.25">
      <c r="F5164" s="39"/>
      <c r="G5164" s="39"/>
      <c r="H5164" s="39"/>
      <c r="I5164" s="39"/>
    </row>
    <row r="5165" spans="6:9" x14ac:dyDescent="0.25">
      <c r="F5165" s="39"/>
      <c r="G5165" s="39"/>
      <c r="H5165" s="39"/>
      <c r="I5165" s="39"/>
    </row>
    <row r="5166" spans="6:9" x14ac:dyDescent="0.25">
      <c r="F5166" s="39"/>
      <c r="G5166" s="39"/>
      <c r="H5166" s="39"/>
      <c r="I5166" s="39"/>
    </row>
    <row r="5167" spans="6:9" x14ac:dyDescent="0.25">
      <c r="F5167" s="39"/>
      <c r="G5167" s="39"/>
      <c r="H5167" s="39"/>
      <c r="I5167" s="39"/>
    </row>
    <row r="5168" spans="6:9" x14ac:dyDescent="0.25">
      <c r="F5168" s="39"/>
      <c r="G5168" s="39"/>
      <c r="H5168" s="39"/>
      <c r="I5168" s="39"/>
    </row>
    <row r="5169" spans="6:9" x14ac:dyDescent="0.25">
      <c r="F5169" s="39"/>
      <c r="G5169" s="39"/>
      <c r="H5169" s="39"/>
      <c r="I5169" s="39"/>
    </row>
    <row r="5170" spans="6:9" x14ac:dyDescent="0.25">
      <c r="F5170" s="39"/>
      <c r="G5170" s="39"/>
      <c r="H5170" s="39"/>
      <c r="I5170" s="39"/>
    </row>
    <row r="5171" spans="6:9" x14ac:dyDescent="0.25">
      <c r="F5171" s="39"/>
      <c r="G5171" s="39"/>
      <c r="H5171" s="39"/>
      <c r="I5171" s="39"/>
    </row>
    <row r="5172" spans="6:9" x14ac:dyDescent="0.25">
      <c r="F5172" s="39"/>
      <c r="G5172" s="39"/>
      <c r="H5172" s="39"/>
      <c r="I5172" s="39"/>
    </row>
    <row r="5173" spans="6:9" x14ac:dyDescent="0.25">
      <c r="F5173" s="39"/>
      <c r="G5173" s="39"/>
      <c r="H5173" s="39"/>
      <c r="I5173" s="39"/>
    </row>
    <row r="5174" spans="6:9" x14ac:dyDescent="0.25">
      <c r="F5174" s="39"/>
      <c r="G5174" s="39"/>
      <c r="H5174" s="39"/>
      <c r="I5174" s="39"/>
    </row>
    <row r="5175" spans="6:9" x14ac:dyDescent="0.25">
      <c r="F5175" s="39"/>
      <c r="G5175" s="39"/>
      <c r="H5175" s="39"/>
      <c r="I5175" s="39"/>
    </row>
    <row r="5176" spans="6:9" x14ac:dyDescent="0.25">
      <c r="F5176" s="39"/>
      <c r="G5176" s="39"/>
      <c r="H5176" s="39"/>
      <c r="I5176" s="39"/>
    </row>
    <row r="5177" spans="6:9" x14ac:dyDescent="0.25">
      <c r="F5177" s="39"/>
      <c r="G5177" s="39"/>
      <c r="H5177" s="39"/>
      <c r="I5177" s="39"/>
    </row>
    <row r="5178" spans="6:9" x14ac:dyDescent="0.25">
      <c r="F5178" s="39"/>
      <c r="G5178" s="39"/>
      <c r="H5178" s="39"/>
      <c r="I5178" s="39"/>
    </row>
    <row r="5179" spans="6:9" x14ac:dyDescent="0.25">
      <c r="F5179" s="39"/>
      <c r="G5179" s="39"/>
      <c r="H5179" s="39"/>
      <c r="I5179" s="39"/>
    </row>
    <row r="5180" spans="6:9" x14ac:dyDescent="0.25">
      <c r="F5180" s="39"/>
      <c r="G5180" s="39"/>
      <c r="H5180" s="39"/>
      <c r="I5180" s="39"/>
    </row>
    <row r="5181" spans="6:9" x14ac:dyDescent="0.25">
      <c r="F5181" s="39"/>
      <c r="G5181" s="39"/>
      <c r="H5181" s="39"/>
      <c r="I5181" s="39"/>
    </row>
    <row r="5182" spans="6:9" x14ac:dyDescent="0.25">
      <c r="F5182" s="39"/>
      <c r="G5182" s="39"/>
      <c r="H5182" s="39"/>
      <c r="I5182" s="39"/>
    </row>
    <row r="5183" spans="6:9" x14ac:dyDescent="0.25">
      <c r="F5183" s="39"/>
      <c r="G5183" s="39"/>
      <c r="H5183" s="39"/>
      <c r="I5183" s="39"/>
    </row>
    <row r="5184" spans="6:9" x14ac:dyDescent="0.25">
      <c r="F5184" s="39"/>
      <c r="G5184" s="39"/>
      <c r="H5184" s="39"/>
      <c r="I5184" s="39"/>
    </row>
    <row r="5185" spans="6:9" x14ac:dyDescent="0.25">
      <c r="F5185" s="39"/>
      <c r="G5185" s="39"/>
      <c r="H5185" s="39"/>
      <c r="I5185" s="39"/>
    </row>
    <row r="5186" spans="6:9" x14ac:dyDescent="0.25">
      <c r="F5186" s="39"/>
      <c r="G5186" s="39"/>
      <c r="H5186" s="39"/>
      <c r="I5186" s="39"/>
    </row>
    <row r="5187" spans="6:9" x14ac:dyDescent="0.25">
      <c r="F5187" s="39"/>
      <c r="G5187" s="39"/>
      <c r="H5187" s="39"/>
      <c r="I5187" s="39"/>
    </row>
    <row r="5188" spans="6:9" x14ac:dyDescent="0.25">
      <c r="F5188" s="39"/>
      <c r="G5188" s="39"/>
      <c r="H5188" s="39"/>
      <c r="I5188" s="39"/>
    </row>
    <row r="5189" spans="6:9" x14ac:dyDescent="0.25">
      <c r="F5189" s="39"/>
      <c r="G5189" s="39"/>
      <c r="H5189" s="39"/>
      <c r="I5189" s="39"/>
    </row>
    <row r="5190" spans="6:9" x14ac:dyDescent="0.25">
      <c r="F5190" s="39"/>
      <c r="G5190" s="39"/>
      <c r="H5190" s="39"/>
      <c r="I5190" s="39"/>
    </row>
    <row r="5191" spans="6:9" x14ac:dyDescent="0.25">
      <c r="F5191" s="39"/>
      <c r="G5191" s="39"/>
      <c r="H5191" s="39"/>
      <c r="I5191" s="39"/>
    </row>
    <row r="5192" spans="6:9" x14ac:dyDescent="0.25">
      <c r="F5192" s="39"/>
      <c r="G5192" s="39"/>
      <c r="H5192" s="39"/>
      <c r="I5192" s="39"/>
    </row>
    <row r="5193" spans="6:9" x14ac:dyDescent="0.25">
      <c r="F5193" s="39"/>
      <c r="G5193" s="39"/>
      <c r="H5193" s="39"/>
      <c r="I5193" s="39"/>
    </row>
    <row r="5194" spans="6:9" x14ac:dyDescent="0.25">
      <c r="F5194" s="39"/>
      <c r="G5194" s="39"/>
      <c r="H5194" s="39"/>
      <c r="I5194" s="39"/>
    </row>
    <row r="5195" spans="6:9" x14ac:dyDescent="0.25">
      <c r="F5195" s="39"/>
      <c r="G5195" s="39"/>
      <c r="H5195" s="39"/>
      <c r="I5195" s="39"/>
    </row>
    <row r="5196" spans="6:9" x14ac:dyDescent="0.25">
      <c r="F5196" s="39"/>
      <c r="G5196" s="39"/>
      <c r="H5196" s="39"/>
      <c r="I5196" s="39"/>
    </row>
    <row r="5197" spans="6:9" x14ac:dyDescent="0.25">
      <c r="F5197" s="39"/>
      <c r="G5197" s="39"/>
      <c r="H5197" s="39"/>
      <c r="I5197" s="39"/>
    </row>
    <row r="5198" spans="6:9" x14ac:dyDescent="0.25">
      <c r="F5198" s="39"/>
      <c r="G5198" s="39"/>
      <c r="H5198" s="39"/>
      <c r="I5198" s="39"/>
    </row>
    <row r="5199" spans="6:9" x14ac:dyDescent="0.25">
      <c r="F5199" s="39"/>
      <c r="G5199" s="39"/>
      <c r="H5199" s="39"/>
      <c r="I5199" s="39"/>
    </row>
    <row r="5200" spans="6:9" x14ac:dyDescent="0.25">
      <c r="F5200" s="39"/>
      <c r="G5200" s="39"/>
      <c r="H5200" s="39"/>
      <c r="I5200" s="39"/>
    </row>
    <row r="5201" spans="6:9" x14ac:dyDescent="0.25">
      <c r="F5201" s="39"/>
      <c r="G5201" s="39"/>
      <c r="H5201" s="39"/>
      <c r="I5201" s="39"/>
    </row>
    <row r="5202" spans="6:9" x14ac:dyDescent="0.25">
      <c r="F5202" s="39"/>
      <c r="G5202" s="39"/>
      <c r="H5202" s="39"/>
      <c r="I5202" s="39"/>
    </row>
    <row r="5203" spans="6:9" x14ac:dyDescent="0.25">
      <c r="F5203" s="39"/>
      <c r="G5203" s="39"/>
      <c r="H5203" s="39"/>
      <c r="I5203" s="39"/>
    </row>
    <row r="5204" spans="6:9" x14ac:dyDescent="0.25">
      <c r="F5204" s="39"/>
      <c r="G5204" s="39"/>
      <c r="H5204" s="39"/>
      <c r="I5204" s="39"/>
    </row>
    <row r="5205" spans="6:9" x14ac:dyDescent="0.25">
      <c r="F5205" s="39"/>
      <c r="G5205" s="39"/>
      <c r="H5205" s="39"/>
      <c r="I5205" s="39"/>
    </row>
    <row r="5206" spans="6:9" x14ac:dyDescent="0.25">
      <c r="F5206" s="39"/>
      <c r="G5206" s="39"/>
      <c r="H5206" s="39"/>
      <c r="I5206" s="39"/>
    </row>
    <row r="5207" spans="6:9" x14ac:dyDescent="0.25">
      <c r="F5207" s="39"/>
      <c r="G5207" s="39"/>
      <c r="H5207" s="39"/>
      <c r="I5207" s="39"/>
    </row>
    <row r="5208" spans="6:9" x14ac:dyDescent="0.25">
      <c r="F5208" s="39"/>
      <c r="G5208" s="39"/>
      <c r="H5208" s="39"/>
      <c r="I5208" s="39"/>
    </row>
    <row r="5209" spans="6:9" x14ac:dyDescent="0.25">
      <c r="F5209" s="39"/>
      <c r="G5209" s="39"/>
      <c r="H5209" s="39"/>
      <c r="I5209" s="39"/>
    </row>
    <row r="5210" spans="6:9" x14ac:dyDescent="0.25">
      <c r="F5210" s="39"/>
      <c r="G5210" s="39"/>
      <c r="H5210" s="39"/>
      <c r="I5210" s="39"/>
    </row>
    <row r="5211" spans="6:9" x14ac:dyDescent="0.25">
      <c r="F5211" s="39"/>
      <c r="G5211" s="39"/>
      <c r="H5211" s="39"/>
      <c r="I5211" s="39"/>
    </row>
    <row r="5212" spans="6:9" x14ac:dyDescent="0.25">
      <c r="F5212" s="39"/>
      <c r="G5212" s="39"/>
      <c r="H5212" s="39"/>
      <c r="I5212" s="39"/>
    </row>
    <row r="5213" spans="6:9" x14ac:dyDescent="0.25">
      <c r="F5213" s="39"/>
      <c r="G5213" s="39"/>
      <c r="H5213" s="39"/>
      <c r="I5213" s="39"/>
    </row>
    <row r="5214" spans="6:9" x14ac:dyDescent="0.25">
      <c r="F5214" s="39"/>
      <c r="G5214" s="39"/>
      <c r="H5214" s="39"/>
      <c r="I5214" s="39"/>
    </row>
    <row r="5215" spans="6:9" x14ac:dyDescent="0.25">
      <c r="F5215" s="39"/>
      <c r="G5215" s="39"/>
      <c r="H5215" s="39"/>
      <c r="I5215" s="39"/>
    </row>
    <row r="5216" spans="6:9" x14ac:dyDescent="0.25">
      <c r="F5216" s="39"/>
      <c r="G5216" s="39"/>
      <c r="H5216" s="39"/>
      <c r="I5216" s="39"/>
    </row>
    <row r="5217" spans="6:9" x14ac:dyDescent="0.25">
      <c r="F5217" s="39"/>
      <c r="G5217" s="39"/>
      <c r="H5217" s="39"/>
      <c r="I5217" s="39"/>
    </row>
    <row r="5218" spans="6:9" x14ac:dyDescent="0.25">
      <c r="F5218" s="39"/>
      <c r="G5218" s="39"/>
      <c r="H5218" s="39"/>
      <c r="I5218" s="39"/>
    </row>
    <row r="5219" spans="6:9" x14ac:dyDescent="0.25">
      <c r="F5219" s="39"/>
      <c r="G5219" s="39"/>
      <c r="H5219" s="39"/>
      <c r="I5219" s="39"/>
    </row>
    <row r="5220" spans="6:9" x14ac:dyDescent="0.25">
      <c r="F5220" s="39"/>
      <c r="G5220" s="39"/>
      <c r="H5220" s="39"/>
      <c r="I5220" s="39"/>
    </row>
    <row r="5221" spans="6:9" x14ac:dyDescent="0.25">
      <c r="F5221" s="39"/>
      <c r="G5221" s="39"/>
      <c r="H5221" s="39"/>
      <c r="I5221" s="39"/>
    </row>
    <row r="5222" spans="6:9" x14ac:dyDescent="0.25">
      <c r="F5222" s="39"/>
      <c r="G5222" s="39"/>
      <c r="H5222" s="39"/>
      <c r="I5222" s="39"/>
    </row>
    <row r="5223" spans="6:9" x14ac:dyDescent="0.25">
      <c r="F5223" s="39"/>
      <c r="G5223" s="39"/>
      <c r="H5223" s="39"/>
      <c r="I5223" s="39"/>
    </row>
    <row r="5224" spans="6:9" x14ac:dyDescent="0.25">
      <c r="F5224" s="39"/>
      <c r="G5224" s="39"/>
      <c r="H5224" s="39"/>
      <c r="I5224" s="39"/>
    </row>
    <row r="5225" spans="6:9" x14ac:dyDescent="0.25">
      <c r="F5225" s="39"/>
      <c r="G5225" s="39"/>
      <c r="H5225" s="39"/>
      <c r="I5225" s="39"/>
    </row>
    <row r="5226" spans="6:9" x14ac:dyDescent="0.25">
      <c r="F5226" s="39"/>
      <c r="G5226" s="39"/>
      <c r="H5226" s="39"/>
      <c r="I5226" s="39"/>
    </row>
    <row r="5227" spans="6:9" x14ac:dyDescent="0.25">
      <c r="F5227" s="39"/>
      <c r="G5227" s="39"/>
      <c r="H5227" s="39"/>
      <c r="I5227" s="39"/>
    </row>
    <row r="5228" spans="6:9" x14ac:dyDescent="0.25">
      <c r="F5228" s="39"/>
      <c r="G5228" s="39"/>
      <c r="H5228" s="39"/>
      <c r="I5228" s="39"/>
    </row>
    <row r="5229" spans="6:9" x14ac:dyDescent="0.25">
      <c r="F5229" s="39"/>
      <c r="G5229" s="39"/>
      <c r="H5229" s="39"/>
      <c r="I5229" s="39"/>
    </row>
    <row r="5230" spans="6:9" x14ac:dyDescent="0.25">
      <c r="F5230" s="39"/>
      <c r="G5230" s="39"/>
      <c r="H5230" s="39"/>
      <c r="I5230" s="39"/>
    </row>
    <row r="5231" spans="6:9" x14ac:dyDescent="0.25">
      <c r="F5231" s="39"/>
      <c r="G5231" s="39"/>
      <c r="H5231" s="39"/>
      <c r="I5231" s="39"/>
    </row>
    <row r="5232" spans="6:9" x14ac:dyDescent="0.25">
      <c r="F5232" s="39"/>
      <c r="G5232" s="39"/>
      <c r="H5232" s="39"/>
      <c r="I5232" s="39"/>
    </row>
    <row r="5233" spans="6:9" x14ac:dyDescent="0.25">
      <c r="F5233" s="39"/>
      <c r="G5233" s="39"/>
      <c r="H5233" s="39"/>
      <c r="I5233" s="39"/>
    </row>
    <row r="5234" spans="6:9" x14ac:dyDescent="0.25">
      <c r="F5234" s="39"/>
      <c r="G5234" s="39"/>
      <c r="H5234" s="39"/>
      <c r="I5234" s="39"/>
    </row>
    <row r="5235" spans="6:9" x14ac:dyDescent="0.25">
      <c r="F5235" s="39"/>
      <c r="G5235" s="39"/>
      <c r="H5235" s="39"/>
      <c r="I5235" s="39"/>
    </row>
    <row r="5236" spans="6:9" x14ac:dyDescent="0.25">
      <c r="F5236" s="39"/>
      <c r="G5236" s="39"/>
      <c r="H5236" s="39"/>
      <c r="I5236" s="39"/>
    </row>
    <row r="5237" spans="6:9" x14ac:dyDescent="0.25">
      <c r="F5237" s="39"/>
      <c r="G5237" s="39"/>
      <c r="H5237" s="39"/>
      <c r="I5237" s="39"/>
    </row>
    <row r="5238" spans="6:9" x14ac:dyDescent="0.25">
      <c r="F5238" s="39"/>
      <c r="G5238" s="39"/>
      <c r="H5238" s="39"/>
      <c r="I5238" s="39"/>
    </row>
    <row r="5239" spans="6:9" x14ac:dyDescent="0.25">
      <c r="F5239" s="39"/>
      <c r="G5239" s="39"/>
      <c r="H5239" s="39"/>
      <c r="I5239" s="39"/>
    </row>
    <row r="5240" spans="6:9" x14ac:dyDescent="0.25">
      <c r="F5240" s="39"/>
      <c r="G5240" s="39"/>
      <c r="H5240" s="39"/>
      <c r="I5240" s="39"/>
    </row>
    <row r="5241" spans="6:9" x14ac:dyDescent="0.25">
      <c r="F5241" s="39"/>
      <c r="G5241" s="39"/>
      <c r="H5241" s="39"/>
      <c r="I5241" s="39"/>
    </row>
    <row r="5242" spans="6:9" x14ac:dyDescent="0.25">
      <c r="F5242" s="39"/>
      <c r="G5242" s="39"/>
      <c r="H5242" s="39"/>
      <c r="I5242" s="39"/>
    </row>
    <row r="5243" spans="6:9" x14ac:dyDescent="0.25">
      <c r="F5243" s="39"/>
      <c r="G5243" s="39"/>
      <c r="H5243" s="39"/>
      <c r="I5243" s="39"/>
    </row>
    <row r="5244" spans="6:9" x14ac:dyDescent="0.25">
      <c r="F5244" s="39"/>
      <c r="G5244" s="39"/>
      <c r="H5244" s="39"/>
      <c r="I5244" s="39"/>
    </row>
    <row r="5245" spans="6:9" x14ac:dyDescent="0.25">
      <c r="F5245" s="39"/>
      <c r="G5245" s="39"/>
      <c r="H5245" s="39"/>
      <c r="I5245" s="39"/>
    </row>
    <row r="5246" spans="6:9" x14ac:dyDescent="0.25">
      <c r="F5246" s="39"/>
      <c r="G5246" s="39"/>
      <c r="H5246" s="39"/>
      <c r="I5246" s="39"/>
    </row>
    <row r="5247" spans="6:9" x14ac:dyDescent="0.25">
      <c r="F5247" s="39"/>
      <c r="G5247" s="39"/>
      <c r="H5247" s="39"/>
      <c r="I5247" s="39"/>
    </row>
    <row r="5248" spans="6:9" x14ac:dyDescent="0.25">
      <c r="F5248" s="39"/>
      <c r="G5248" s="39"/>
      <c r="H5248" s="39"/>
      <c r="I5248" s="39"/>
    </row>
    <row r="5249" spans="6:9" x14ac:dyDescent="0.25">
      <c r="F5249" s="39"/>
      <c r="G5249" s="39"/>
      <c r="H5249" s="39"/>
      <c r="I5249" s="39"/>
    </row>
    <row r="5250" spans="6:9" x14ac:dyDescent="0.25">
      <c r="F5250" s="39"/>
      <c r="G5250" s="39"/>
      <c r="H5250" s="39"/>
      <c r="I5250" s="39"/>
    </row>
    <row r="5251" spans="6:9" x14ac:dyDescent="0.25">
      <c r="F5251" s="39"/>
      <c r="G5251" s="39"/>
      <c r="H5251" s="39"/>
      <c r="I5251" s="39"/>
    </row>
    <row r="5252" spans="6:9" x14ac:dyDescent="0.25">
      <c r="F5252" s="39"/>
      <c r="G5252" s="39"/>
      <c r="H5252" s="39"/>
      <c r="I5252" s="39"/>
    </row>
    <row r="5253" spans="6:9" x14ac:dyDescent="0.25">
      <c r="F5253" s="39"/>
      <c r="G5253" s="39"/>
      <c r="H5253" s="39"/>
      <c r="I5253" s="39"/>
    </row>
    <row r="5254" spans="6:9" x14ac:dyDescent="0.25">
      <c r="F5254" s="39"/>
      <c r="G5254" s="39"/>
      <c r="H5254" s="39"/>
      <c r="I5254" s="39"/>
    </row>
    <row r="5255" spans="6:9" x14ac:dyDescent="0.25">
      <c r="F5255" s="39"/>
      <c r="G5255" s="39"/>
      <c r="H5255" s="39"/>
      <c r="I5255" s="39"/>
    </row>
    <row r="5256" spans="6:9" x14ac:dyDescent="0.25">
      <c r="F5256" s="39"/>
      <c r="G5256" s="39"/>
      <c r="H5256" s="39"/>
      <c r="I5256" s="39"/>
    </row>
    <row r="5257" spans="6:9" x14ac:dyDescent="0.25">
      <c r="F5257" s="39"/>
      <c r="G5257" s="39"/>
      <c r="H5257" s="39"/>
      <c r="I5257" s="39"/>
    </row>
    <row r="5258" spans="6:9" x14ac:dyDescent="0.25">
      <c r="F5258" s="39"/>
      <c r="G5258" s="39"/>
      <c r="H5258" s="39"/>
      <c r="I5258" s="39"/>
    </row>
    <row r="5259" spans="6:9" x14ac:dyDescent="0.25">
      <c r="F5259" s="39"/>
      <c r="G5259" s="39"/>
      <c r="H5259" s="39"/>
      <c r="I5259" s="39"/>
    </row>
    <row r="5260" spans="6:9" x14ac:dyDescent="0.25">
      <c r="F5260" s="39"/>
      <c r="G5260" s="39"/>
      <c r="H5260" s="39"/>
      <c r="I5260" s="39"/>
    </row>
    <row r="5261" spans="6:9" x14ac:dyDescent="0.25">
      <c r="F5261" s="39"/>
      <c r="G5261" s="39"/>
      <c r="H5261" s="39"/>
      <c r="I5261" s="39"/>
    </row>
    <row r="5262" spans="6:9" x14ac:dyDescent="0.25">
      <c r="F5262" s="39"/>
      <c r="G5262" s="39"/>
      <c r="H5262" s="39"/>
      <c r="I5262" s="39"/>
    </row>
    <row r="5263" spans="6:9" x14ac:dyDescent="0.25">
      <c r="F5263" s="39"/>
      <c r="G5263" s="39"/>
      <c r="H5263" s="39"/>
      <c r="I5263" s="39"/>
    </row>
    <row r="5264" spans="6:9" x14ac:dyDescent="0.25">
      <c r="F5264" s="39"/>
      <c r="G5264" s="39"/>
      <c r="H5264" s="39"/>
      <c r="I5264" s="39"/>
    </row>
    <row r="5265" spans="6:9" x14ac:dyDescent="0.25">
      <c r="F5265" s="39"/>
      <c r="G5265" s="39"/>
      <c r="H5265" s="39"/>
      <c r="I5265" s="39"/>
    </row>
    <row r="5266" spans="6:9" x14ac:dyDescent="0.25">
      <c r="F5266" s="39"/>
      <c r="G5266" s="39"/>
      <c r="H5266" s="39"/>
      <c r="I5266" s="39"/>
    </row>
    <row r="5267" spans="6:9" x14ac:dyDescent="0.25">
      <c r="F5267" s="39"/>
      <c r="G5267" s="39"/>
      <c r="H5267" s="39"/>
      <c r="I5267" s="39"/>
    </row>
    <row r="5268" spans="6:9" x14ac:dyDescent="0.25">
      <c r="F5268" s="39"/>
      <c r="G5268" s="39"/>
      <c r="H5268" s="39"/>
      <c r="I5268" s="39"/>
    </row>
    <row r="5269" spans="6:9" x14ac:dyDescent="0.25">
      <c r="F5269" s="39"/>
      <c r="G5269" s="39"/>
      <c r="H5269" s="39"/>
      <c r="I5269" s="39"/>
    </row>
    <row r="5270" spans="6:9" x14ac:dyDescent="0.25">
      <c r="F5270" s="39"/>
      <c r="G5270" s="39"/>
      <c r="H5270" s="39"/>
      <c r="I5270" s="39"/>
    </row>
    <row r="5271" spans="6:9" x14ac:dyDescent="0.25">
      <c r="F5271" s="39"/>
      <c r="G5271" s="39"/>
      <c r="H5271" s="39"/>
      <c r="I5271" s="39"/>
    </row>
    <row r="5272" spans="6:9" x14ac:dyDescent="0.25">
      <c r="F5272" s="39"/>
      <c r="G5272" s="39"/>
      <c r="H5272" s="39"/>
      <c r="I5272" s="39"/>
    </row>
    <row r="5273" spans="6:9" x14ac:dyDescent="0.25">
      <c r="F5273" s="39"/>
      <c r="G5273" s="39"/>
      <c r="H5273" s="39"/>
      <c r="I5273" s="39"/>
    </row>
    <row r="5274" spans="6:9" x14ac:dyDescent="0.25">
      <c r="F5274" s="39"/>
      <c r="G5274" s="39"/>
      <c r="H5274" s="39"/>
      <c r="I5274" s="39"/>
    </row>
    <row r="5275" spans="6:9" x14ac:dyDescent="0.25">
      <c r="F5275" s="39"/>
      <c r="G5275" s="39"/>
      <c r="H5275" s="39"/>
      <c r="I5275" s="39"/>
    </row>
    <row r="5276" spans="6:9" x14ac:dyDescent="0.25">
      <c r="F5276" s="39"/>
      <c r="G5276" s="39"/>
      <c r="H5276" s="39"/>
      <c r="I5276" s="39"/>
    </row>
    <row r="5277" spans="6:9" x14ac:dyDescent="0.25">
      <c r="F5277" s="39"/>
      <c r="G5277" s="39"/>
      <c r="H5277" s="39"/>
      <c r="I5277" s="39"/>
    </row>
    <row r="5278" spans="6:9" x14ac:dyDescent="0.25">
      <c r="F5278" s="39"/>
      <c r="G5278" s="39"/>
      <c r="H5278" s="39"/>
      <c r="I5278" s="39"/>
    </row>
    <row r="5279" spans="6:9" x14ac:dyDescent="0.25">
      <c r="F5279" s="39"/>
      <c r="G5279" s="39"/>
      <c r="H5279" s="39"/>
      <c r="I5279" s="39"/>
    </row>
    <row r="5280" spans="6:9" x14ac:dyDescent="0.25">
      <c r="F5280" s="39"/>
      <c r="G5280" s="39"/>
      <c r="H5280" s="39"/>
      <c r="I5280" s="39"/>
    </row>
    <row r="5281" spans="6:9" x14ac:dyDescent="0.25">
      <c r="F5281" s="39"/>
      <c r="G5281" s="39"/>
      <c r="H5281" s="39"/>
      <c r="I5281" s="39"/>
    </row>
    <row r="5282" spans="6:9" x14ac:dyDescent="0.25">
      <c r="F5282" s="39"/>
      <c r="G5282" s="39"/>
      <c r="H5282" s="39"/>
      <c r="I5282" s="39"/>
    </row>
    <row r="5283" spans="6:9" x14ac:dyDescent="0.25">
      <c r="F5283" s="39"/>
      <c r="G5283" s="39"/>
      <c r="H5283" s="39"/>
      <c r="I5283" s="39"/>
    </row>
    <row r="5284" spans="6:9" x14ac:dyDescent="0.25">
      <c r="F5284" s="39"/>
      <c r="G5284" s="39"/>
      <c r="H5284" s="39"/>
      <c r="I5284" s="39"/>
    </row>
    <row r="5285" spans="6:9" x14ac:dyDescent="0.25">
      <c r="F5285" s="39"/>
      <c r="G5285" s="39"/>
      <c r="H5285" s="39"/>
      <c r="I5285" s="39"/>
    </row>
    <row r="5286" spans="6:9" x14ac:dyDescent="0.25">
      <c r="F5286" s="39"/>
      <c r="G5286" s="39"/>
      <c r="H5286" s="39"/>
      <c r="I5286" s="39"/>
    </row>
    <row r="5287" spans="6:9" x14ac:dyDescent="0.25">
      <c r="F5287" s="39"/>
      <c r="G5287" s="39"/>
      <c r="H5287" s="39"/>
      <c r="I5287" s="39"/>
    </row>
    <row r="5288" spans="6:9" x14ac:dyDescent="0.25">
      <c r="F5288" s="39"/>
      <c r="G5288" s="39"/>
      <c r="H5288" s="39"/>
      <c r="I5288" s="39"/>
    </row>
    <row r="5289" spans="6:9" x14ac:dyDescent="0.25">
      <c r="F5289" s="39"/>
      <c r="G5289" s="39"/>
      <c r="H5289" s="39"/>
      <c r="I5289" s="39"/>
    </row>
    <row r="5290" spans="6:9" x14ac:dyDescent="0.25">
      <c r="F5290" s="39"/>
      <c r="G5290" s="39"/>
      <c r="H5290" s="39"/>
      <c r="I5290" s="39"/>
    </row>
    <row r="5291" spans="6:9" x14ac:dyDescent="0.25">
      <c r="F5291" s="39"/>
      <c r="G5291" s="39"/>
      <c r="H5291" s="39"/>
      <c r="I5291" s="39"/>
    </row>
    <row r="5292" spans="6:9" x14ac:dyDescent="0.25">
      <c r="F5292" s="39"/>
      <c r="G5292" s="39"/>
      <c r="H5292" s="39"/>
      <c r="I5292" s="39"/>
    </row>
    <row r="5293" spans="6:9" x14ac:dyDescent="0.25">
      <c r="F5293" s="39"/>
      <c r="G5293" s="39"/>
      <c r="H5293" s="39"/>
      <c r="I5293" s="39"/>
    </row>
    <row r="5294" spans="6:9" x14ac:dyDescent="0.25">
      <c r="F5294" s="39"/>
      <c r="G5294" s="39"/>
      <c r="H5294" s="39"/>
      <c r="I5294" s="39"/>
    </row>
    <row r="5295" spans="6:9" x14ac:dyDescent="0.25">
      <c r="F5295" s="39"/>
      <c r="G5295" s="39"/>
      <c r="H5295" s="39"/>
      <c r="I5295" s="39"/>
    </row>
    <row r="5296" spans="6:9" x14ac:dyDescent="0.25">
      <c r="F5296" s="39"/>
      <c r="G5296" s="39"/>
      <c r="H5296" s="39"/>
      <c r="I5296" s="39"/>
    </row>
    <row r="5297" spans="6:9" x14ac:dyDescent="0.25">
      <c r="F5297" s="39"/>
      <c r="G5297" s="39"/>
      <c r="H5297" s="39"/>
      <c r="I5297" s="39"/>
    </row>
    <row r="5298" spans="6:9" x14ac:dyDescent="0.25">
      <c r="F5298" s="39"/>
      <c r="G5298" s="39"/>
      <c r="H5298" s="39"/>
      <c r="I5298" s="39"/>
    </row>
    <row r="5299" spans="6:9" x14ac:dyDescent="0.25">
      <c r="F5299" s="39"/>
      <c r="G5299" s="39"/>
      <c r="H5299" s="39"/>
      <c r="I5299" s="39"/>
    </row>
    <row r="5300" spans="6:9" x14ac:dyDescent="0.25">
      <c r="F5300" s="39"/>
      <c r="G5300" s="39"/>
      <c r="H5300" s="39"/>
      <c r="I5300" s="39"/>
    </row>
    <row r="5301" spans="6:9" x14ac:dyDescent="0.25">
      <c r="F5301" s="39"/>
      <c r="G5301" s="39"/>
      <c r="H5301" s="39"/>
      <c r="I5301" s="39"/>
    </row>
    <row r="5302" spans="6:9" x14ac:dyDescent="0.25">
      <c r="F5302" s="39"/>
      <c r="G5302" s="39"/>
      <c r="H5302" s="39"/>
      <c r="I5302" s="39"/>
    </row>
    <row r="5303" spans="6:9" x14ac:dyDescent="0.25">
      <c r="F5303" s="39"/>
      <c r="G5303" s="39"/>
      <c r="H5303" s="39"/>
      <c r="I5303" s="39"/>
    </row>
    <row r="5304" spans="6:9" x14ac:dyDescent="0.25">
      <c r="F5304" s="39"/>
      <c r="G5304" s="39"/>
      <c r="H5304" s="39"/>
      <c r="I5304" s="39"/>
    </row>
    <row r="5305" spans="6:9" x14ac:dyDescent="0.25">
      <c r="F5305" s="39"/>
      <c r="G5305" s="39"/>
      <c r="H5305" s="39"/>
      <c r="I5305" s="39"/>
    </row>
    <row r="5306" spans="6:9" x14ac:dyDescent="0.25">
      <c r="F5306" s="39"/>
      <c r="G5306" s="39"/>
      <c r="H5306" s="39"/>
      <c r="I5306" s="39"/>
    </row>
    <row r="5307" spans="6:9" x14ac:dyDescent="0.25">
      <c r="F5307" s="39"/>
      <c r="G5307" s="39"/>
      <c r="H5307" s="39"/>
      <c r="I5307" s="39"/>
    </row>
    <row r="5308" spans="6:9" x14ac:dyDescent="0.25">
      <c r="F5308" s="39"/>
      <c r="G5308" s="39"/>
      <c r="H5308" s="39"/>
      <c r="I5308" s="39"/>
    </row>
    <row r="5309" spans="6:9" x14ac:dyDescent="0.25">
      <c r="F5309" s="39"/>
      <c r="G5309" s="39"/>
      <c r="H5309" s="39"/>
      <c r="I5309" s="39"/>
    </row>
    <row r="5310" spans="6:9" x14ac:dyDescent="0.25">
      <c r="F5310" s="39"/>
      <c r="G5310" s="39"/>
      <c r="H5310" s="39"/>
      <c r="I5310" s="39"/>
    </row>
    <row r="5311" spans="6:9" x14ac:dyDescent="0.25">
      <c r="F5311" s="39"/>
      <c r="G5311" s="39"/>
      <c r="H5311" s="39"/>
      <c r="I5311" s="39"/>
    </row>
    <row r="5312" spans="6:9" x14ac:dyDescent="0.25">
      <c r="F5312" s="39"/>
      <c r="G5312" s="39"/>
      <c r="H5312" s="39"/>
      <c r="I5312" s="39"/>
    </row>
    <row r="5313" spans="6:9" x14ac:dyDescent="0.25">
      <c r="F5313" s="39"/>
      <c r="G5313" s="39"/>
      <c r="H5313" s="39"/>
      <c r="I5313" s="39"/>
    </row>
    <row r="5314" spans="6:9" x14ac:dyDescent="0.25">
      <c r="F5314" s="39"/>
      <c r="G5314" s="39"/>
      <c r="H5314" s="39"/>
      <c r="I5314" s="39"/>
    </row>
    <row r="5315" spans="6:9" x14ac:dyDescent="0.25">
      <c r="F5315" s="39"/>
      <c r="G5315" s="39"/>
      <c r="H5315" s="39"/>
      <c r="I5315" s="39"/>
    </row>
    <row r="5316" spans="6:9" x14ac:dyDescent="0.25">
      <c r="F5316" s="39"/>
      <c r="G5316" s="39"/>
      <c r="H5316" s="39"/>
      <c r="I5316" s="39"/>
    </row>
    <row r="5317" spans="6:9" x14ac:dyDescent="0.25">
      <c r="F5317" s="39"/>
      <c r="G5317" s="39"/>
      <c r="H5317" s="39"/>
      <c r="I5317" s="39"/>
    </row>
    <row r="5318" spans="6:9" x14ac:dyDescent="0.25">
      <c r="F5318" s="39"/>
      <c r="G5318" s="39"/>
      <c r="H5318" s="39"/>
      <c r="I5318" s="39"/>
    </row>
    <row r="5319" spans="6:9" x14ac:dyDescent="0.25">
      <c r="F5319" s="39"/>
      <c r="G5319" s="39"/>
      <c r="H5319" s="39"/>
      <c r="I5319" s="39"/>
    </row>
    <row r="5320" spans="6:9" x14ac:dyDescent="0.25">
      <c r="F5320" s="39"/>
      <c r="G5320" s="39"/>
      <c r="H5320" s="39"/>
      <c r="I5320" s="39"/>
    </row>
    <row r="5321" spans="6:9" x14ac:dyDescent="0.25">
      <c r="F5321" s="39"/>
      <c r="G5321" s="39"/>
      <c r="H5321" s="39"/>
      <c r="I5321" s="39"/>
    </row>
    <row r="5322" spans="6:9" x14ac:dyDescent="0.25">
      <c r="F5322" s="39"/>
      <c r="G5322" s="39"/>
      <c r="H5322" s="39"/>
      <c r="I5322" s="39"/>
    </row>
    <row r="5323" spans="6:9" x14ac:dyDescent="0.25">
      <c r="F5323" s="39"/>
      <c r="G5323" s="39"/>
      <c r="H5323" s="39"/>
      <c r="I5323" s="39"/>
    </row>
    <row r="5324" spans="6:9" x14ac:dyDescent="0.25">
      <c r="F5324" s="39"/>
      <c r="G5324" s="39"/>
      <c r="H5324" s="39"/>
      <c r="I5324" s="39"/>
    </row>
    <row r="5325" spans="6:9" x14ac:dyDescent="0.25">
      <c r="F5325" s="39"/>
      <c r="G5325" s="39"/>
      <c r="H5325" s="39"/>
      <c r="I5325" s="39"/>
    </row>
    <row r="5326" spans="6:9" x14ac:dyDescent="0.25">
      <c r="F5326" s="39"/>
      <c r="G5326" s="39"/>
      <c r="H5326" s="39"/>
      <c r="I5326" s="39"/>
    </row>
    <row r="5327" spans="6:9" x14ac:dyDescent="0.25">
      <c r="F5327" s="39"/>
      <c r="G5327" s="39"/>
      <c r="H5327" s="39"/>
      <c r="I5327" s="39"/>
    </row>
    <row r="5328" spans="6:9" x14ac:dyDescent="0.25">
      <c r="F5328" s="39"/>
      <c r="G5328" s="39"/>
      <c r="H5328" s="39"/>
      <c r="I5328" s="39"/>
    </row>
    <row r="5329" spans="6:9" x14ac:dyDescent="0.25">
      <c r="F5329" s="39"/>
      <c r="G5329" s="39"/>
      <c r="H5329" s="39"/>
      <c r="I5329" s="39"/>
    </row>
    <row r="5330" spans="6:9" x14ac:dyDescent="0.25">
      <c r="F5330" s="39"/>
      <c r="G5330" s="39"/>
      <c r="H5330" s="39"/>
      <c r="I5330" s="39"/>
    </row>
    <row r="5331" spans="6:9" x14ac:dyDescent="0.25">
      <c r="F5331" s="39"/>
      <c r="G5331" s="39"/>
      <c r="H5331" s="39"/>
      <c r="I5331" s="39"/>
    </row>
    <row r="5332" spans="6:9" x14ac:dyDescent="0.25">
      <c r="F5332" s="39"/>
      <c r="G5332" s="39"/>
      <c r="H5332" s="39"/>
      <c r="I5332" s="39"/>
    </row>
    <row r="5333" spans="6:9" x14ac:dyDescent="0.25">
      <c r="F5333" s="39"/>
      <c r="G5333" s="39"/>
      <c r="H5333" s="39"/>
      <c r="I5333" s="39"/>
    </row>
    <row r="5334" spans="6:9" x14ac:dyDescent="0.25">
      <c r="F5334" s="39"/>
      <c r="G5334" s="39"/>
      <c r="H5334" s="39"/>
      <c r="I5334" s="39"/>
    </row>
    <row r="5335" spans="6:9" x14ac:dyDescent="0.25">
      <c r="F5335" s="39"/>
      <c r="G5335" s="39"/>
      <c r="H5335" s="39"/>
      <c r="I5335" s="39"/>
    </row>
    <row r="5336" spans="6:9" x14ac:dyDescent="0.25">
      <c r="F5336" s="39"/>
      <c r="G5336" s="39"/>
      <c r="H5336" s="39"/>
      <c r="I5336" s="39"/>
    </row>
    <row r="5337" spans="6:9" x14ac:dyDescent="0.25">
      <c r="F5337" s="39"/>
      <c r="G5337" s="39"/>
      <c r="H5337" s="39"/>
      <c r="I5337" s="39"/>
    </row>
    <row r="5338" spans="6:9" x14ac:dyDescent="0.25">
      <c r="F5338" s="39"/>
      <c r="G5338" s="39"/>
      <c r="H5338" s="39"/>
      <c r="I5338" s="39"/>
    </row>
    <row r="5339" spans="6:9" x14ac:dyDescent="0.25">
      <c r="F5339" s="39"/>
      <c r="G5339" s="39"/>
      <c r="H5339" s="39"/>
      <c r="I5339" s="39"/>
    </row>
    <row r="5340" spans="6:9" x14ac:dyDescent="0.25">
      <c r="F5340" s="39"/>
      <c r="G5340" s="39"/>
      <c r="H5340" s="39"/>
      <c r="I5340" s="39"/>
    </row>
    <row r="5341" spans="6:9" x14ac:dyDescent="0.25">
      <c r="F5341" s="39"/>
      <c r="G5341" s="39"/>
      <c r="H5341" s="39"/>
      <c r="I5341" s="39"/>
    </row>
    <row r="5342" spans="6:9" x14ac:dyDescent="0.25">
      <c r="F5342" s="39"/>
      <c r="G5342" s="39"/>
      <c r="H5342" s="39"/>
      <c r="I5342" s="39"/>
    </row>
    <row r="5343" spans="6:9" x14ac:dyDescent="0.25">
      <c r="F5343" s="39"/>
      <c r="G5343" s="39"/>
      <c r="H5343" s="39"/>
      <c r="I5343" s="39"/>
    </row>
    <row r="5344" spans="6:9" x14ac:dyDescent="0.25">
      <c r="F5344" s="39"/>
      <c r="G5344" s="39"/>
      <c r="H5344" s="39"/>
      <c r="I5344" s="39"/>
    </row>
    <row r="5345" spans="6:9" x14ac:dyDescent="0.25">
      <c r="F5345" s="39"/>
      <c r="G5345" s="39"/>
      <c r="H5345" s="39"/>
      <c r="I5345" s="39"/>
    </row>
    <row r="5346" spans="6:9" x14ac:dyDescent="0.25">
      <c r="F5346" s="39"/>
      <c r="G5346" s="39"/>
      <c r="H5346" s="39"/>
      <c r="I5346" s="39"/>
    </row>
    <row r="5347" spans="6:9" x14ac:dyDescent="0.25">
      <c r="F5347" s="39"/>
      <c r="G5347" s="39"/>
      <c r="H5347" s="39"/>
      <c r="I5347" s="39"/>
    </row>
    <row r="5348" spans="6:9" x14ac:dyDescent="0.25">
      <c r="F5348" s="39"/>
      <c r="G5348" s="39"/>
      <c r="H5348" s="39"/>
      <c r="I5348" s="39"/>
    </row>
    <row r="5349" spans="6:9" x14ac:dyDescent="0.25">
      <c r="F5349" s="39"/>
      <c r="G5349" s="39"/>
      <c r="H5349" s="39"/>
      <c r="I5349" s="39"/>
    </row>
    <row r="5350" spans="6:9" x14ac:dyDescent="0.25">
      <c r="F5350" s="39"/>
      <c r="G5350" s="39"/>
      <c r="H5350" s="39"/>
      <c r="I5350" s="39"/>
    </row>
    <row r="5351" spans="6:9" x14ac:dyDescent="0.25">
      <c r="F5351" s="39"/>
      <c r="G5351" s="39"/>
      <c r="H5351" s="39"/>
      <c r="I5351" s="39"/>
    </row>
    <row r="5352" spans="6:9" x14ac:dyDescent="0.25">
      <c r="F5352" s="39"/>
      <c r="G5352" s="39"/>
      <c r="H5352" s="39"/>
      <c r="I5352" s="39"/>
    </row>
    <row r="5353" spans="6:9" x14ac:dyDescent="0.25">
      <c r="F5353" s="39"/>
      <c r="G5353" s="39"/>
      <c r="H5353" s="39"/>
      <c r="I5353" s="39"/>
    </row>
    <row r="5354" spans="6:9" x14ac:dyDescent="0.25">
      <c r="F5354" s="39"/>
      <c r="G5354" s="39"/>
      <c r="H5354" s="39"/>
      <c r="I5354" s="39"/>
    </row>
    <row r="5355" spans="6:9" x14ac:dyDescent="0.25">
      <c r="F5355" s="39"/>
      <c r="G5355" s="39"/>
      <c r="H5355" s="39"/>
      <c r="I5355" s="39"/>
    </row>
    <row r="5356" spans="6:9" x14ac:dyDescent="0.25">
      <c r="F5356" s="39"/>
      <c r="G5356" s="39"/>
      <c r="H5356" s="39"/>
      <c r="I5356" s="39"/>
    </row>
    <row r="5357" spans="6:9" x14ac:dyDescent="0.25">
      <c r="F5357" s="39"/>
      <c r="G5357" s="39"/>
      <c r="H5357" s="39"/>
      <c r="I5357" s="39"/>
    </row>
    <row r="5358" spans="6:9" x14ac:dyDescent="0.25">
      <c r="F5358" s="39"/>
      <c r="G5358" s="39"/>
      <c r="H5358" s="39"/>
      <c r="I5358" s="39"/>
    </row>
    <row r="5359" spans="6:9" x14ac:dyDescent="0.25">
      <c r="F5359" s="39"/>
      <c r="G5359" s="39"/>
      <c r="H5359" s="39"/>
      <c r="I5359" s="39"/>
    </row>
    <row r="5360" spans="6:9" x14ac:dyDescent="0.25">
      <c r="F5360" s="39"/>
      <c r="G5360" s="39"/>
      <c r="H5360" s="39"/>
      <c r="I5360" s="39"/>
    </row>
    <row r="5361" spans="6:9" x14ac:dyDescent="0.25">
      <c r="F5361" s="39"/>
      <c r="G5361" s="39"/>
      <c r="H5361" s="39"/>
      <c r="I5361" s="39"/>
    </row>
    <row r="5362" spans="6:9" x14ac:dyDescent="0.25">
      <c r="F5362" s="39"/>
      <c r="G5362" s="39"/>
      <c r="H5362" s="39"/>
      <c r="I5362" s="39"/>
    </row>
    <row r="5363" spans="6:9" x14ac:dyDescent="0.25">
      <c r="F5363" s="39"/>
      <c r="G5363" s="39"/>
      <c r="H5363" s="39"/>
      <c r="I5363" s="39"/>
    </row>
    <row r="5364" spans="6:9" x14ac:dyDescent="0.25">
      <c r="F5364" s="39"/>
      <c r="G5364" s="39"/>
      <c r="H5364" s="39"/>
      <c r="I5364" s="39"/>
    </row>
    <row r="5365" spans="6:9" x14ac:dyDescent="0.25">
      <c r="F5365" s="39"/>
      <c r="G5365" s="39"/>
      <c r="H5365" s="39"/>
      <c r="I5365" s="39"/>
    </row>
    <row r="5366" spans="6:9" x14ac:dyDescent="0.25">
      <c r="F5366" s="39"/>
      <c r="G5366" s="39"/>
      <c r="H5366" s="39"/>
      <c r="I5366" s="39"/>
    </row>
    <row r="5367" spans="6:9" x14ac:dyDescent="0.25">
      <c r="F5367" s="39"/>
      <c r="G5367" s="39"/>
      <c r="H5367" s="39"/>
      <c r="I5367" s="39"/>
    </row>
    <row r="5368" spans="6:9" x14ac:dyDescent="0.25">
      <c r="F5368" s="39"/>
      <c r="G5368" s="39"/>
      <c r="H5368" s="39"/>
      <c r="I5368" s="39"/>
    </row>
    <row r="5369" spans="6:9" x14ac:dyDescent="0.25">
      <c r="F5369" s="39"/>
      <c r="G5369" s="39"/>
      <c r="H5369" s="39"/>
      <c r="I5369" s="39"/>
    </row>
    <row r="5370" spans="6:9" x14ac:dyDescent="0.25">
      <c r="F5370" s="39"/>
      <c r="G5370" s="39"/>
      <c r="H5370" s="39"/>
      <c r="I5370" s="39"/>
    </row>
    <row r="5371" spans="6:9" x14ac:dyDescent="0.25">
      <c r="F5371" s="39"/>
      <c r="G5371" s="39"/>
      <c r="H5371" s="39"/>
      <c r="I5371" s="39"/>
    </row>
    <row r="5372" spans="6:9" x14ac:dyDescent="0.25">
      <c r="F5372" s="39"/>
      <c r="G5372" s="39"/>
      <c r="H5372" s="39"/>
      <c r="I5372" s="39"/>
    </row>
    <row r="5373" spans="6:9" x14ac:dyDescent="0.25">
      <c r="F5373" s="39"/>
      <c r="G5373" s="39"/>
      <c r="H5373" s="39"/>
      <c r="I5373" s="39"/>
    </row>
    <row r="5374" spans="6:9" x14ac:dyDescent="0.25">
      <c r="F5374" s="39"/>
      <c r="G5374" s="39"/>
      <c r="H5374" s="39"/>
      <c r="I5374" s="39"/>
    </row>
    <row r="5375" spans="6:9" x14ac:dyDescent="0.25">
      <c r="F5375" s="39"/>
      <c r="G5375" s="39"/>
      <c r="H5375" s="39"/>
      <c r="I5375" s="39"/>
    </row>
    <row r="5376" spans="6:9" x14ac:dyDescent="0.25">
      <c r="F5376" s="39"/>
      <c r="G5376" s="39"/>
      <c r="H5376" s="39"/>
      <c r="I5376" s="39"/>
    </row>
    <row r="5377" spans="6:9" x14ac:dyDescent="0.25">
      <c r="F5377" s="39"/>
      <c r="G5377" s="39"/>
      <c r="H5377" s="39"/>
      <c r="I5377" s="39"/>
    </row>
    <row r="5378" spans="6:9" x14ac:dyDescent="0.25">
      <c r="F5378" s="39"/>
      <c r="G5378" s="39"/>
      <c r="H5378" s="39"/>
      <c r="I5378" s="39"/>
    </row>
    <row r="5379" spans="6:9" x14ac:dyDescent="0.25">
      <c r="F5379" s="39"/>
      <c r="G5379" s="39"/>
      <c r="H5379" s="39"/>
      <c r="I5379" s="39"/>
    </row>
    <row r="5380" spans="6:9" x14ac:dyDescent="0.25">
      <c r="F5380" s="39"/>
      <c r="G5380" s="39"/>
      <c r="H5380" s="39"/>
      <c r="I5380" s="39"/>
    </row>
    <row r="5381" spans="6:9" x14ac:dyDescent="0.25">
      <c r="F5381" s="39"/>
      <c r="G5381" s="39"/>
      <c r="H5381" s="39"/>
      <c r="I5381" s="39"/>
    </row>
    <row r="5382" spans="6:9" x14ac:dyDescent="0.25">
      <c r="F5382" s="39"/>
      <c r="G5382" s="39"/>
      <c r="H5382" s="39"/>
      <c r="I5382" s="39"/>
    </row>
    <row r="5383" spans="6:9" x14ac:dyDescent="0.25">
      <c r="F5383" s="39"/>
      <c r="G5383" s="39"/>
      <c r="H5383" s="39"/>
      <c r="I5383" s="39"/>
    </row>
    <row r="5384" spans="6:9" x14ac:dyDescent="0.25">
      <c r="F5384" s="39"/>
      <c r="G5384" s="39"/>
      <c r="H5384" s="39"/>
      <c r="I5384" s="39"/>
    </row>
    <row r="5385" spans="6:9" x14ac:dyDescent="0.25">
      <c r="F5385" s="39"/>
      <c r="G5385" s="39"/>
      <c r="H5385" s="39"/>
      <c r="I5385" s="39"/>
    </row>
    <row r="5386" spans="6:9" x14ac:dyDescent="0.25">
      <c r="F5386" s="39"/>
      <c r="G5386" s="39"/>
      <c r="H5386" s="39"/>
      <c r="I5386" s="39"/>
    </row>
    <row r="5387" spans="6:9" x14ac:dyDescent="0.25">
      <c r="F5387" s="39"/>
      <c r="G5387" s="39"/>
      <c r="H5387" s="39"/>
      <c r="I5387" s="39"/>
    </row>
    <row r="5388" spans="6:9" x14ac:dyDescent="0.25">
      <c r="F5388" s="39"/>
      <c r="G5388" s="39"/>
      <c r="H5388" s="39"/>
      <c r="I5388" s="39"/>
    </row>
    <row r="5389" spans="6:9" x14ac:dyDescent="0.25">
      <c r="F5389" s="39"/>
      <c r="G5389" s="39"/>
      <c r="H5389" s="39"/>
      <c r="I5389" s="39"/>
    </row>
    <row r="5390" spans="6:9" x14ac:dyDescent="0.25">
      <c r="F5390" s="39"/>
      <c r="G5390" s="39"/>
      <c r="H5390" s="39"/>
      <c r="I5390" s="39"/>
    </row>
    <row r="5391" spans="6:9" x14ac:dyDescent="0.25">
      <c r="F5391" s="39"/>
      <c r="G5391" s="39"/>
      <c r="H5391" s="39"/>
      <c r="I5391" s="39"/>
    </row>
    <row r="5392" spans="6:9" x14ac:dyDescent="0.25">
      <c r="F5392" s="39"/>
      <c r="G5392" s="39"/>
      <c r="H5392" s="39"/>
      <c r="I5392" s="39"/>
    </row>
    <row r="5393" spans="6:9" x14ac:dyDescent="0.25">
      <c r="F5393" s="39"/>
      <c r="G5393" s="39"/>
      <c r="H5393" s="39"/>
      <c r="I5393" s="39"/>
    </row>
    <row r="5394" spans="6:9" x14ac:dyDescent="0.25">
      <c r="F5394" s="39"/>
      <c r="G5394" s="39"/>
      <c r="H5394" s="39"/>
      <c r="I5394" s="39"/>
    </row>
    <row r="5395" spans="6:9" x14ac:dyDescent="0.25">
      <c r="F5395" s="39"/>
      <c r="G5395" s="39"/>
      <c r="H5395" s="39"/>
      <c r="I5395" s="39"/>
    </row>
    <row r="5396" spans="6:9" x14ac:dyDescent="0.25">
      <c r="F5396" s="39"/>
      <c r="G5396" s="39"/>
      <c r="H5396" s="39"/>
      <c r="I5396" s="39"/>
    </row>
    <row r="5397" spans="6:9" x14ac:dyDescent="0.25">
      <c r="F5397" s="39"/>
      <c r="G5397" s="39"/>
      <c r="H5397" s="39"/>
      <c r="I5397" s="39"/>
    </row>
    <row r="5398" spans="6:9" x14ac:dyDescent="0.25">
      <c r="F5398" s="39"/>
      <c r="G5398" s="39"/>
      <c r="H5398" s="39"/>
      <c r="I5398" s="39"/>
    </row>
    <row r="5399" spans="6:9" x14ac:dyDescent="0.25">
      <c r="F5399" s="39"/>
      <c r="G5399" s="39"/>
      <c r="H5399" s="39"/>
      <c r="I5399" s="39"/>
    </row>
    <row r="5400" spans="6:9" x14ac:dyDescent="0.25">
      <c r="F5400" s="39"/>
      <c r="G5400" s="39"/>
      <c r="H5400" s="39"/>
      <c r="I5400" s="39"/>
    </row>
    <row r="5401" spans="6:9" x14ac:dyDescent="0.25">
      <c r="F5401" s="39"/>
      <c r="G5401" s="39"/>
      <c r="H5401" s="39"/>
      <c r="I5401" s="39"/>
    </row>
    <row r="5402" spans="6:9" x14ac:dyDescent="0.25">
      <c r="F5402" s="39"/>
      <c r="G5402" s="39"/>
      <c r="H5402" s="39"/>
      <c r="I5402" s="39"/>
    </row>
    <row r="5403" spans="6:9" x14ac:dyDescent="0.25">
      <c r="F5403" s="39"/>
      <c r="G5403" s="39"/>
      <c r="H5403" s="39"/>
      <c r="I5403" s="39"/>
    </row>
    <row r="5404" spans="6:9" x14ac:dyDescent="0.25">
      <c r="F5404" s="39"/>
      <c r="G5404" s="39"/>
      <c r="H5404" s="39"/>
      <c r="I5404" s="39"/>
    </row>
    <row r="5405" spans="6:9" x14ac:dyDescent="0.25">
      <c r="F5405" s="39"/>
      <c r="G5405" s="39"/>
      <c r="H5405" s="39"/>
      <c r="I5405" s="39"/>
    </row>
    <row r="5406" spans="6:9" x14ac:dyDescent="0.25">
      <c r="F5406" s="39"/>
      <c r="G5406" s="39"/>
      <c r="H5406" s="39"/>
      <c r="I5406" s="39"/>
    </row>
    <row r="5407" spans="6:9" x14ac:dyDescent="0.25">
      <c r="F5407" s="39"/>
      <c r="G5407" s="39"/>
      <c r="H5407" s="39"/>
      <c r="I5407" s="39"/>
    </row>
    <row r="5408" spans="6:9" x14ac:dyDescent="0.25">
      <c r="F5408" s="39"/>
      <c r="G5408" s="39"/>
      <c r="H5408" s="39"/>
      <c r="I5408" s="39"/>
    </row>
    <row r="5409" spans="6:9" x14ac:dyDescent="0.25">
      <c r="F5409" s="39"/>
      <c r="G5409" s="39"/>
      <c r="H5409" s="39"/>
      <c r="I5409" s="39"/>
    </row>
    <row r="5410" spans="6:9" x14ac:dyDescent="0.25">
      <c r="F5410" s="39"/>
      <c r="G5410" s="39"/>
      <c r="H5410" s="39"/>
      <c r="I5410" s="39"/>
    </row>
    <row r="5411" spans="6:9" x14ac:dyDescent="0.25">
      <c r="F5411" s="39"/>
      <c r="G5411" s="39"/>
      <c r="H5411" s="39"/>
      <c r="I5411" s="39"/>
    </row>
    <row r="5412" spans="6:9" x14ac:dyDescent="0.25">
      <c r="F5412" s="39"/>
      <c r="G5412" s="39"/>
      <c r="H5412" s="39"/>
      <c r="I5412" s="39"/>
    </row>
    <row r="5413" spans="6:9" x14ac:dyDescent="0.25">
      <c r="F5413" s="39"/>
      <c r="G5413" s="39"/>
      <c r="H5413" s="39"/>
      <c r="I5413" s="39"/>
    </row>
    <row r="5414" spans="6:9" x14ac:dyDescent="0.25">
      <c r="F5414" s="39"/>
      <c r="G5414" s="39"/>
      <c r="H5414" s="39"/>
      <c r="I5414" s="39"/>
    </row>
    <row r="5415" spans="6:9" x14ac:dyDescent="0.25">
      <c r="F5415" s="39"/>
      <c r="G5415" s="39"/>
      <c r="H5415" s="39"/>
      <c r="I5415" s="39"/>
    </row>
    <row r="5416" spans="6:9" x14ac:dyDescent="0.25">
      <c r="F5416" s="39"/>
      <c r="G5416" s="39"/>
      <c r="H5416" s="39"/>
      <c r="I5416" s="39"/>
    </row>
    <row r="5417" spans="6:9" x14ac:dyDescent="0.25">
      <c r="F5417" s="39"/>
      <c r="G5417" s="39"/>
      <c r="H5417" s="39"/>
      <c r="I5417" s="39"/>
    </row>
    <row r="5418" spans="6:9" x14ac:dyDescent="0.25">
      <c r="F5418" s="39"/>
      <c r="G5418" s="39"/>
      <c r="H5418" s="39"/>
      <c r="I5418" s="39"/>
    </row>
    <row r="5419" spans="6:9" x14ac:dyDescent="0.25">
      <c r="F5419" s="39"/>
      <c r="G5419" s="39"/>
      <c r="H5419" s="39"/>
      <c r="I5419" s="39"/>
    </row>
    <row r="5420" spans="6:9" x14ac:dyDescent="0.25">
      <c r="F5420" s="39"/>
      <c r="G5420" s="39"/>
      <c r="H5420" s="39"/>
      <c r="I5420" s="39"/>
    </row>
    <row r="5421" spans="6:9" x14ac:dyDescent="0.25">
      <c r="F5421" s="39"/>
      <c r="G5421" s="39"/>
      <c r="H5421" s="39"/>
      <c r="I5421" s="39"/>
    </row>
    <row r="5422" spans="6:9" x14ac:dyDescent="0.25">
      <c r="F5422" s="39"/>
      <c r="G5422" s="39"/>
      <c r="H5422" s="39"/>
      <c r="I5422" s="39"/>
    </row>
    <row r="5423" spans="6:9" x14ac:dyDescent="0.25">
      <c r="F5423" s="39"/>
      <c r="G5423" s="39"/>
      <c r="H5423" s="39"/>
      <c r="I5423" s="39"/>
    </row>
    <row r="5424" spans="6:9" x14ac:dyDescent="0.25">
      <c r="F5424" s="39"/>
      <c r="G5424" s="39"/>
      <c r="H5424" s="39"/>
      <c r="I5424" s="39"/>
    </row>
    <row r="5425" spans="6:9" x14ac:dyDescent="0.25">
      <c r="F5425" s="39"/>
      <c r="G5425" s="39"/>
      <c r="H5425" s="39"/>
      <c r="I5425" s="39"/>
    </row>
    <row r="5426" spans="6:9" x14ac:dyDescent="0.25">
      <c r="F5426" s="39"/>
      <c r="G5426" s="39"/>
      <c r="H5426" s="39"/>
      <c r="I5426" s="39"/>
    </row>
    <row r="5427" spans="6:9" x14ac:dyDescent="0.25">
      <c r="F5427" s="39"/>
      <c r="G5427" s="39"/>
      <c r="H5427" s="39"/>
      <c r="I5427" s="39"/>
    </row>
    <row r="5428" spans="6:9" x14ac:dyDescent="0.25">
      <c r="F5428" s="39"/>
      <c r="G5428" s="39"/>
      <c r="H5428" s="39"/>
      <c r="I5428" s="39"/>
    </row>
    <row r="5429" spans="6:9" x14ac:dyDescent="0.25">
      <c r="F5429" s="39"/>
      <c r="G5429" s="39"/>
      <c r="H5429" s="39"/>
      <c r="I5429" s="39"/>
    </row>
    <row r="5430" spans="6:9" x14ac:dyDescent="0.25">
      <c r="F5430" s="39"/>
      <c r="G5430" s="39"/>
      <c r="H5430" s="39"/>
      <c r="I5430" s="39"/>
    </row>
    <row r="5431" spans="6:9" x14ac:dyDescent="0.25">
      <c r="F5431" s="39"/>
      <c r="G5431" s="39"/>
      <c r="H5431" s="39"/>
      <c r="I5431" s="39"/>
    </row>
    <row r="5432" spans="6:9" x14ac:dyDescent="0.25">
      <c r="F5432" s="39"/>
      <c r="G5432" s="39"/>
      <c r="H5432" s="39"/>
      <c r="I5432" s="39"/>
    </row>
    <row r="5433" spans="6:9" x14ac:dyDescent="0.25">
      <c r="F5433" s="39"/>
      <c r="G5433" s="39"/>
      <c r="H5433" s="39"/>
      <c r="I5433" s="39"/>
    </row>
    <row r="5434" spans="6:9" x14ac:dyDescent="0.25">
      <c r="F5434" s="39"/>
      <c r="G5434" s="39"/>
      <c r="H5434" s="39"/>
      <c r="I5434" s="39"/>
    </row>
    <row r="5435" spans="6:9" x14ac:dyDescent="0.25">
      <c r="F5435" s="39"/>
      <c r="G5435" s="39"/>
      <c r="H5435" s="39"/>
      <c r="I5435" s="39"/>
    </row>
    <row r="5436" spans="6:9" x14ac:dyDescent="0.25">
      <c r="F5436" s="39"/>
      <c r="G5436" s="39"/>
      <c r="H5436" s="39"/>
      <c r="I5436" s="39"/>
    </row>
    <row r="5437" spans="6:9" x14ac:dyDescent="0.25">
      <c r="F5437" s="39"/>
      <c r="G5437" s="39"/>
      <c r="H5437" s="39"/>
      <c r="I5437" s="39"/>
    </row>
    <row r="5438" spans="6:9" x14ac:dyDescent="0.25">
      <c r="F5438" s="39"/>
      <c r="G5438" s="39"/>
      <c r="H5438" s="39"/>
      <c r="I5438" s="39"/>
    </row>
    <row r="5439" spans="6:9" x14ac:dyDescent="0.25">
      <c r="F5439" s="39"/>
      <c r="G5439" s="39"/>
      <c r="H5439" s="39"/>
      <c r="I5439" s="39"/>
    </row>
    <row r="5440" spans="6:9" x14ac:dyDescent="0.25">
      <c r="F5440" s="39"/>
      <c r="G5440" s="39"/>
      <c r="H5440" s="39"/>
      <c r="I5440" s="39"/>
    </row>
    <row r="5441" spans="6:9" x14ac:dyDescent="0.25">
      <c r="F5441" s="39"/>
      <c r="G5441" s="39"/>
      <c r="H5441" s="39"/>
      <c r="I5441" s="39"/>
    </row>
    <row r="5442" spans="6:9" x14ac:dyDescent="0.25">
      <c r="F5442" s="39"/>
      <c r="G5442" s="39"/>
      <c r="H5442" s="39"/>
      <c r="I5442" s="39"/>
    </row>
    <row r="5443" spans="6:9" x14ac:dyDescent="0.25">
      <c r="F5443" s="39"/>
      <c r="G5443" s="39"/>
      <c r="H5443" s="39"/>
      <c r="I5443" s="39"/>
    </row>
    <row r="5444" spans="6:9" x14ac:dyDescent="0.25">
      <c r="F5444" s="39"/>
      <c r="G5444" s="39"/>
      <c r="H5444" s="39"/>
      <c r="I5444" s="39"/>
    </row>
    <row r="5445" spans="6:9" x14ac:dyDescent="0.25">
      <c r="F5445" s="39"/>
      <c r="G5445" s="39"/>
      <c r="H5445" s="39"/>
      <c r="I5445" s="39"/>
    </row>
    <row r="5446" spans="6:9" x14ac:dyDescent="0.25">
      <c r="F5446" s="39"/>
      <c r="G5446" s="39"/>
      <c r="H5446" s="39"/>
      <c r="I5446" s="39"/>
    </row>
    <row r="5447" spans="6:9" x14ac:dyDescent="0.25">
      <c r="F5447" s="39"/>
      <c r="G5447" s="39"/>
      <c r="H5447" s="39"/>
      <c r="I5447" s="39"/>
    </row>
    <row r="5448" spans="6:9" x14ac:dyDescent="0.25">
      <c r="F5448" s="39"/>
      <c r="G5448" s="39"/>
      <c r="H5448" s="39"/>
      <c r="I5448" s="39"/>
    </row>
    <row r="5449" spans="6:9" x14ac:dyDescent="0.25">
      <c r="F5449" s="39"/>
      <c r="G5449" s="39"/>
      <c r="H5449" s="39"/>
      <c r="I5449" s="39"/>
    </row>
    <row r="5450" spans="6:9" x14ac:dyDescent="0.25">
      <c r="F5450" s="39"/>
      <c r="G5450" s="39"/>
      <c r="H5450" s="39"/>
      <c r="I5450" s="39"/>
    </row>
    <row r="5451" spans="6:9" x14ac:dyDescent="0.25">
      <c r="F5451" s="39"/>
      <c r="G5451" s="39"/>
      <c r="H5451" s="39"/>
      <c r="I5451" s="39"/>
    </row>
    <row r="5452" spans="6:9" x14ac:dyDescent="0.25">
      <c r="F5452" s="39"/>
      <c r="G5452" s="39"/>
      <c r="H5452" s="39"/>
      <c r="I5452" s="39"/>
    </row>
    <row r="5453" spans="6:9" x14ac:dyDescent="0.25">
      <c r="F5453" s="39"/>
      <c r="G5453" s="39"/>
      <c r="H5453" s="39"/>
      <c r="I5453" s="39"/>
    </row>
    <row r="5454" spans="6:9" x14ac:dyDescent="0.25">
      <c r="F5454" s="39"/>
      <c r="G5454" s="39"/>
      <c r="H5454" s="39"/>
      <c r="I5454" s="39"/>
    </row>
    <row r="5455" spans="6:9" x14ac:dyDescent="0.25">
      <c r="F5455" s="39"/>
      <c r="G5455" s="39"/>
      <c r="H5455" s="39"/>
      <c r="I5455" s="39"/>
    </row>
    <row r="5456" spans="6:9" x14ac:dyDescent="0.25">
      <c r="F5456" s="39"/>
      <c r="G5456" s="39"/>
      <c r="H5456" s="39"/>
      <c r="I5456" s="39"/>
    </row>
    <row r="5457" spans="6:9" x14ac:dyDescent="0.25">
      <c r="F5457" s="39"/>
      <c r="G5457" s="39"/>
      <c r="H5457" s="39"/>
      <c r="I5457" s="39"/>
    </row>
    <row r="5458" spans="6:9" x14ac:dyDescent="0.25">
      <c r="F5458" s="39"/>
      <c r="G5458" s="39"/>
      <c r="H5458" s="39"/>
      <c r="I5458" s="39"/>
    </row>
    <row r="5459" spans="6:9" x14ac:dyDescent="0.25">
      <c r="F5459" s="39"/>
      <c r="G5459" s="39"/>
      <c r="H5459" s="39"/>
      <c r="I5459" s="39"/>
    </row>
    <row r="5460" spans="6:9" x14ac:dyDescent="0.25">
      <c r="F5460" s="39"/>
      <c r="G5460" s="39"/>
      <c r="H5460" s="39"/>
      <c r="I5460" s="39"/>
    </row>
    <row r="5461" spans="6:9" x14ac:dyDescent="0.25">
      <c r="F5461" s="39"/>
      <c r="G5461" s="39"/>
      <c r="H5461" s="39"/>
      <c r="I5461" s="39"/>
    </row>
    <row r="5462" spans="6:9" x14ac:dyDescent="0.25">
      <c r="F5462" s="39"/>
      <c r="G5462" s="39"/>
      <c r="H5462" s="39"/>
      <c r="I5462" s="39"/>
    </row>
    <row r="5463" spans="6:9" x14ac:dyDescent="0.25">
      <c r="F5463" s="39"/>
      <c r="G5463" s="39"/>
      <c r="H5463" s="39"/>
      <c r="I5463" s="39"/>
    </row>
    <row r="5464" spans="6:9" x14ac:dyDescent="0.25">
      <c r="F5464" s="39"/>
      <c r="G5464" s="39"/>
      <c r="H5464" s="39"/>
      <c r="I5464" s="39"/>
    </row>
    <row r="5465" spans="6:9" x14ac:dyDescent="0.25">
      <c r="F5465" s="39"/>
      <c r="G5465" s="39"/>
      <c r="H5465" s="39"/>
      <c r="I5465" s="39"/>
    </row>
    <row r="5466" spans="6:9" x14ac:dyDescent="0.25">
      <c r="F5466" s="39"/>
      <c r="G5466" s="39"/>
      <c r="H5466" s="39"/>
      <c r="I5466" s="39"/>
    </row>
    <row r="5467" spans="6:9" x14ac:dyDescent="0.25">
      <c r="F5467" s="39"/>
      <c r="G5467" s="39"/>
      <c r="H5467" s="39"/>
      <c r="I5467" s="39"/>
    </row>
    <row r="5468" spans="6:9" x14ac:dyDescent="0.25">
      <c r="F5468" s="39"/>
      <c r="G5468" s="39"/>
      <c r="H5468" s="39"/>
      <c r="I5468" s="39"/>
    </row>
    <row r="5469" spans="6:9" x14ac:dyDescent="0.25">
      <c r="F5469" s="39"/>
      <c r="G5469" s="39"/>
      <c r="H5469" s="39"/>
      <c r="I5469" s="39"/>
    </row>
    <row r="5470" spans="6:9" x14ac:dyDescent="0.25">
      <c r="F5470" s="39"/>
      <c r="G5470" s="39"/>
      <c r="H5470" s="39"/>
      <c r="I5470" s="39"/>
    </row>
    <row r="5471" spans="6:9" x14ac:dyDescent="0.25">
      <c r="F5471" s="39"/>
      <c r="G5471" s="39"/>
      <c r="H5471" s="39"/>
      <c r="I5471" s="39"/>
    </row>
    <row r="5472" spans="6:9" x14ac:dyDescent="0.25">
      <c r="F5472" s="39"/>
      <c r="G5472" s="39"/>
      <c r="H5472" s="39"/>
      <c r="I5472" s="39"/>
    </row>
    <row r="5473" spans="6:9" x14ac:dyDescent="0.25">
      <c r="F5473" s="39"/>
      <c r="G5473" s="39"/>
      <c r="H5473" s="39"/>
      <c r="I5473" s="39"/>
    </row>
    <row r="5474" spans="6:9" x14ac:dyDescent="0.25">
      <c r="F5474" s="39"/>
      <c r="G5474" s="39"/>
      <c r="H5474" s="39"/>
      <c r="I5474" s="39"/>
    </row>
    <row r="5475" spans="6:9" x14ac:dyDescent="0.25">
      <c r="F5475" s="39"/>
      <c r="G5475" s="39"/>
      <c r="H5475" s="39"/>
      <c r="I5475" s="39"/>
    </row>
    <row r="5476" spans="6:9" x14ac:dyDescent="0.25">
      <c r="F5476" s="39"/>
      <c r="G5476" s="39"/>
      <c r="H5476" s="39"/>
      <c r="I5476" s="39"/>
    </row>
    <row r="5477" spans="6:9" x14ac:dyDescent="0.25">
      <c r="F5477" s="39"/>
      <c r="G5477" s="39"/>
      <c r="H5477" s="39"/>
      <c r="I5477" s="39"/>
    </row>
    <row r="5478" spans="6:9" x14ac:dyDescent="0.25">
      <c r="F5478" s="39"/>
      <c r="G5478" s="39"/>
      <c r="H5478" s="39"/>
      <c r="I5478" s="39"/>
    </row>
    <row r="5479" spans="6:9" x14ac:dyDescent="0.25">
      <c r="F5479" s="39"/>
      <c r="G5479" s="39"/>
      <c r="H5479" s="39"/>
      <c r="I5479" s="39"/>
    </row>
    <row r="5480" spans="6:9" x14ac:dyDescent="0.25">
      <c r="F5480" s="39"/>
      <c r="G5480" s="39"/>
      <c r="H5480" s="39"/>
      <c r="I5480" s="39"/>
    </row>
    <row r="5481" spans="6:9" x14ac:dyDescent="0.25">
      <c r="F5481" s="39"/>
      <c r="G5481" s="39"/>
      <c r="H5481" s="39"/>
      <c r="I5481" s="39"/>
    </row>
    <row r="5482" spans="6:9" x14ac:dyDescent="0.25">
      <c r="F5482" s="39"/>
      <c r="G5482" s="39"/>
      <c r="H5482" s="39"/>
      <c r="I5482" s="39"/>
    </row>
    <row r="5483" spans="6:9" x14ac:dyDescent="0.25">
      <c r="F5483" s="39"/>
      <c r="G5483" s="39"/>
      <c r="H5483" s="39"/>
      <c r="I5483" s="39"/>
    </row>
    <row r="5484" spans="6:9" x14ac:dyDescent="0.25">
      <c r="F5484" s="39"/>
      <c r="G5484" s="39"/>
      <c r="H5484" s="39"/>
      <c r="I5484" s="39"/>
    </row>
    <row r="5485" spans="6:9" x14ac:dyDescent="0.25">
      <c r="F5485" s="39"/>
      <c r="G5485" s="39"/>
      <c r="H5485" s="39"/>
      <c r="I5485" s="39"/>
    </row>
    <row r="5486" spans="6:9" x14ac:dyDescent="0.25">
      <c r="F5486" s="39"/>
      <c r="G5486" s="39"/>
      <c r="H5486" s="39"/>
      <c r="I5486" s="39"/>
    </row>
    <row r="5487" spans="6:9" x14ac:dyDescent="0.25">
      <c r="F5487" s="39"/>
      <c r="G5487" s="39"/>
      <c r="H5487" s="39"/>
      <c r="I5487" s="39"/>
    </row>
    <row r="5488" spans="6:9" x14ac:dyDescent="0.25">
      <c r="F5488" s="39"/>
      <c r="G5488" s="39"/>
      <c r="H5488" s="39"/>
      <c r="I5488" s="39"/>
    </row>
    <row r="5489" spans="6:9" x14ac:dyDescent="0.25">
      <c r="F5489" s="39"/>
      <c r="G5489" s="39"/>
      <c r="H5489" s="39"/>
      <c r="I5489" s="39"/>
    </row>
    <row r="5490" spans="6:9" x14ac:dyDescent="0.25">
      <c r="F5490" s="39"/>
      <c r="G5490" s="39"/>
      <c r="H5490" s="39"/>
      <c r="I5490" s="39"/>
    </row>
    <row r="5491" spans="6:9" x14ac:dyDescent="0.25">
      <c r="F5491" s="39"/>
      <c r="G5491" s="39"/>
      <c r="H5491" s="39"/>
      <c r="I5491" s="39"/>
    </row>
    <row r="5492" spans="6:9" x14ac:dyDescent="0.25">
      <c r="F5492" s="39"/>
      <c r="G5492" s="39"/>
      <c r="H5492" s="39"/>
      <c r="I5492" s="39"/>
    </row>
    <row r="5493" spans="6:9" x14ac:dyDescent="0.25">
      <c r="F5493" s="39"/>
      <c r="G5493" s="39"/>
      <c r="H5493" s="39"/>
      <c r="I5493" s="39"/>
    </row>
    <row r="5494" spans="6:9" x14ac:dyDescent="0.25">
      <c r="F5494" s="39"/>
      <c r="G5494" s="39"/>
      <c r="H5494" s="39"/>
      <c r="I5494" s="39"/>
    </row>
    <row r="5495" spans="6:9" x14ac:dyDescent="0.25">
      <c r="F5495" s="39"/>
      <c r="G5495" s="39"/>
      <c r="H5495" s="39"/>
      <c r="I5495" s="39"/>
    </row>
    <row r="5496" spans="6:9" x14ac:dyDescent="0.25">
      <c r="F5496" s="39"/>
      <c r="G5496" s="39"/>
      <c r="H5496" s="39"/>
      <c r="I5496" s="39"/>
    </row>
    <row r="5497" spans="6:9" x14ac:dyDescent="0.25">
      <c r="F5497" s="39"/>
      <c r="G5497" s="39"/>
      <c r="H5497" s="39"/>
      <c r="I5497" s="39"/>
    </row>
    <row r="5498" spans="6:9" x14ac:dyDescent="0.25">
      <c r="F5498" s="39"/>
      <c r="G5498" s="39"/>
      <c r="H5498" s="39"/>
      <c r="I5498" s="39"/>
    </row>
    <row r="5499" spans="6:9" x14ac:dyDescent="0.25">
      <c r="F5499" s="39"/>
      <c r="G5499" s="39"/>
      <c r="H5499" s="39"/>
      <c r="I5499" s="39"/>
    </row>
    <row r="5500" spans="6:9" x14ac:dyDescent="0.25">
      <c r="F5500" s="39"/>
      <c r="G5500" s="39"/>
      <c r="H5500" s="39"/>
      <c r="I5500" s="39"/>
    </row>
    <row r="5501" spans="6:9" x14ac:dyDescent="0.25">
      <c r="F5501" s="39"/>
      <c r="G5501" s="39"/>
      <c r="H5501" s="39"/>
      <c r="I5501" s="39"/>
    </row>
    <row r="5502" spans="6:9" x14ac:dyDescent="0.25">
      <c r="F5502" s="39"/>
      <c r="G5502" s="39"/>
      <c r="H5502" s="39"/>
      <c r="I5502" s="39"/>
    </row>
    <row r="5503" spans="6:9" x14ac:dyDescent="0.25">
      <c r="F5503" s="39"/>
      <c r="G5503" s="39"/>
      <c r="H5503" s="39"/>
      <c r="I5503" s="39"/>
    </row>
    <row r="5504" spans="6:9" x14ac:dyDescent="0.25">
      <c r="F5504" s="39"/>
      <c r="G5504" s="39"/>
      <c r="H5504" s="39"/>
      <c r="I5504" s="39"/>
    </row>
    <row r="5505" spans="6:9" x14ac:dyDescent="0.25">
      <c r="F5505" s="39"/>
      <c r="G5505" s="39"/>
      <c r="H5505" s="39"/>
      <c r="I5505" s="39"/>
    </row>
    <row r="5506" spans="6:9" x14ac:dyDescent="0.25">
      <c r="F5506" s="39"/>
      <c r="G5506" s="39"/>
      <c r="H5506" s="39"/>
      <c r="I5506" s="39"/>
    </row>
    <row r="5507" spans="6:9" x14ac:dyDescent="0.25">
      <c r="F5507" s="39"/>
      <c r="G5507" s="39"/>
      <c r="H5507" s="39"/>
      <c r="I5507" s="39"/>
    </row>
    <row r="5508" spans="6:9" x14ac:dyDescent="0.25">
      <c r="F5508" s="39"/>
      <c r="G5508" s="39"/>
      <c r="H5508" s="39"/>
      <c r="I5508" s="39"/>
    </row>
    <row r="5509" spans="6:9" x14ac:dyDescent="0.25">
      <c r="F5509" s="39"/>
      <c r="G5509" s="39"/>
      <c r="H5509" s="39"/>
      <c r="I5509" s="39"/>
    </row>
    <row r="5510" spans="6:9" x14ac:dyDescent="0.25">
      <c r="F5510" s="39"/>
      <c r="G5510" s="39"/>
      <c r="H5510" s="39"/>
      <c r="I5510" s="39"/>
    </row>
    <row r="5511" spans="6:9" x14ac:dyDescent="0.25">
      <c r="F5511" s="39"/>
      <c r="G5511" s="39"/>
      <c r="H5511" s="39"/>
      <c r="I5511" s="39"/>
    </row>
    <row r="5512" spans="6:9" x14ac:dyDescent="0.25">
      <c r="F5512" s="39"/>
      <c r="G5512" s="39"/>
      <c r="H5512" s="39"/>
      <c r="I5512" s="39"/>
    </row>
    <row r="5513" spans="6:9" x14ac:dyDescent="0.25">
      <c r="F5513" s="39"/>
      <c r="G5513" s="39"/>
      <c r="H5513" s="39"/>
      <c r="I5513" s="39"/>
    </row>
    <row r="5514" spans="6:9" x14ac:dyDescent="0.25">
      <c r="F5514" s="39"/>
      <c r="G5514" s="39"/>
      <c r="H5514" s="39"/>
      <c r="I5514" s="39"/>
    </row>
    <row r="5515" spans="6:9" x14ac:dyDescent="0.25">
      <c r="F5515" s="39"/>
      <c r="G5515" s="39"/>
      <c r="H5515" s="39"/>
      <c r="I5515" s="39"/>
    </row>
    <row r="5516" spans="6:9" x14ac:dyDescent="0.25">
      <c r="F5516" s="39"/>
      <c r="G5516" s="39"/>
      <c r="H5516" s="39"/>
      <c r="I5516" s="39"/>
    </row>
    <row r="5517" spans="6:9" x14ac:dyDescent="0.25">
      <c r="F5517" s="39"/>
      <c r="G5517" s="39"/>
      <c r="H5517" s="39"/>
      <c r="I5517" s="39"/>
    </row>
    <row r="5518" spans="6:9" x14ac:dyDescent="0.25">
      <c r="F5518" s="39"/>
      <c r="G5518" s="39"/>
      <c r="H5518" s="39"/>
      <c r="I5518" s="39"/>
    </row>
    <row r="5519" spans="6:9" x14ac:dyDescent="0.25">
      <c r="F5519" s="39"/>
      <c r="G5519" s="39"/>
      <c r="H5519" s="39"/>
      <c r="I5519" s="39"/>
    </row>
    <row r="5520" spans="6:9" x14ac:dyDescent="0.25">
      <c r="F5520" s="39"/>
      <c r="G5520" s="39"/>
      <c r="H5520" s="39"/>
      <c r="I5520" s="39"/>
    </row>
    <row r="5521" spans="6:9" x14ac:dyDescent="0.25">
      <c r="F5521" s="39"/>
      <c r="G5521" s="39"/>
      <c r="H5521" s="39"/>
      <c r="I5521" s="39"/>
    </row>
    <row r="5522" spans="6:9" x14ac:dyDescent="0.25">
      <c r="F5522" s="39"/>
      <c r="G5522" s="39"/>
      <c r="H5522" s="39"/>
      <c r="I5522" s="39"/>
    </row>
    <row r="5523" spans="6:9" x14ac:dyDescent="0.25">
      <c r="F5523" s="39"/>
      <c r="G5523" s="39"/>
      <c r="H5523" s="39"/>
      <c r="I5523" s="39"/>
    </row>
    <row r="5524" spans="6:9" x14ac:dyDescent="0.25">
      <c r="F5524" s="39"/>
      <c r="G5524" s="39"/>
      <c r="H5524" s="39"/>
      <c r="I5524" s="39"/>
    </row>
    <row r="5525" spans="6:9" x14ac:dyDescent="0.25">
      <c r="F5525" s="39"/>
      <c r="G5525" s="39"/>
      <c r="H5525" s="39"/>
      <c r="I5525" s="39"/>
    </row>
    <row r="5526" spans="6:9" x14ac:dyDescent="0.25">
      <c r="F5526" s="39"/>
      <c r="G5526" s="39"/>
      <c r="H5526" s="39"/>
      <c r="I5526" s="39"/>
    </row>
    <row r="5527" spans="6:9" x14ac:dyDescent="0.25">
      <c r="F5527" s="39"/>
      <c r="G5527" s="39"/>
      <c r="H5527" s="39"/>
      <c r="I5527" s="39"/>
    </row>
    <row r="5528" spans="6:9" x14ac:dyDescent="0.25">
      <c r="F5528" s="39"/>
      <c r="G5528" s="39"/>
      <c r="H5528" s="39"/>
      <c r="I5528" s="39"/>
    </row>
    <row r="5529" spans="6:9" x14ac:dyDescent="0.25">
      <c r="F5529" s="39"/>
      <c r="G5529" s="39"/>
      <c r="H5529" s="39"/>
      <c r="I5529" s="39"/>
    </row>
    <row r="5530" spans="6:9" x14ac:dyDescent="0.25">
      <c r="F5530" s="39"/>
      <c r="G5530" s="39"/>
      <c r="H5530" s="39"/>
      <c r="I5530" s="39"/>
    </row>
    <row r="5531" spans="6:9" x14ac:dyDescent="0.25">
      <c r="F5531" s="39"/>
      <c r="G5531" s="39"/>
      <c r="H5531" s="39"/>
      <c r="I5531" s="39"/>
    </row>
    <row r="5532" spans="6:9" x14ac:dyDescent="0.25">
      <c r="F5532" s="39"/>
      <c r="G5532" s="39"/>
      <c r="H5532" s="39"/>
      <c r="I5532" s="39"/>
    </row>
    <row r="5533" spans="6:9" x14ac:dyDescent="0.25">
      <c r="F5533" s="39"/>
      <c r="G5533" s="39"/>
      <c r="H5533" s="39"/>
      <c r="I5533" s="39"/>
    </row>
    <row r="5534" spans="6:9" x14ac:dyDescent="0.25">
      <c r="F5534" s="39"/>
      <c r="G5534" s="39"/>
      <c r="H5534" s="39"/>
      <c r="I5534" s="39"/>
    </row>
    <row r="5535" spans="6:9" x14ac:dyDescent="0.25">
      <c r="F5535" s="39"/>
      <c r="G5535" s="39"/>
      <c r="H5535" s="39"/>
      <c r="I5535" s="39"/>
    </row>
    <row r="5536" spans="6:9" x14ac:dyDescent="0.25">
      <c r="F5536" s="39"/>
      <c r="G5536" s="39"/>
      <c r="H5536" s="39"/>
      <c r="I5536" s="39"/>
    </row>
    <row r="5537" spans="6:9" x14ac:dyDescent="0.25">
      <c r="F5537" s="39"/>
      <c r="G5537" s="39"/>
      <c r="H5537" s="39"/>
      <c r="I5537" s="39"/>
    </row>
    <row r="5538" spans="6:9" x14ac:dyDescent="0.25">
      <c r="F5538" s="39"/>
      <c r="G5538" s="39"/>
      <c r="H5538" s="39"/>
      <c r="I5538" s="39"/>
    </row>
    <row r="5539" spans="6:9" x14ac:dyDescent="0.25">
      <c r="F5539" s="39"/>
      <c r="G5539" s="39"/>
      <c r="H5539" s="39"/>
      <c r="I5539" s="39"/>
    </row>
    <row r="5540" spans="6:9" x14ac:dyDescent="0.25">
      <c r="F5540" s="39"/>
      <c r="G5540" s="39"/>
      <c r="H5540" s="39"/>
      <c r="I5540" s="39"/>
    </row>
    <row r="5541" spans="6:9" x14ac:dyDescent="0.25">
      <c r="F5541" s="39"/>
      <c r="G5541" s="39"/>
      <c r="H5541" s="39"/>
      <c r="I5541" s="39"/>
    </row>
    <row r="5542" spans="6:9" x14ac:dyDescent="0.25">
      <c r="F5542" s="39"/>
      <c r="G5542" s="39"/>
      <c r="H5542" s="39"/>
      <c r="I5542" s="39"/>
    </row>
    <row r="5543" spans="6:9" x14ac:dyDescent="0.25">
      <c r="F5543" s="39"/>
      <c r="G5543" s="39"/>
      <c r="H5543" s="39"/>
      <c r="I5543" s="39"/>
    </row>
    <row r="5544" spans="6:9" x14ac:dyDescent="0.25">
      <c r="F5544" s="39"/>
      <c r="G5544" s="39"/>
      <c r="H5544" s="39"/>
      <c r="I5544" s="39"/>
    </row>
    <row r="5545" spans="6:9" x14ac:dyDescent="0.25">
      <c r="F5545" s="39"/>
      <c r="G5545" s="39"/>
      <c r="H5545" s="39"/>
      <c r="I5545" s="39"/>
    </row>
    <row r="5546" spans="6:9" x14ac:dyDescent="0.25">
      <c r="F5546" s="39"/>
      <c r="G5546" s="39"/>
      <c r="H5546" s="39"/>
      <c r="I5546" s="39"/>
    </row>
    <row r="5547" spans="6:9" x14ac:dyDescent="0.25">
      <c r="F5547" s="39"/>
      <c r="G5547" s="39"/>
      <c r="H5547" s="39"/>
      <c r="I5547" s="39"/>
    </row>
    <row r="5548" spans="6:9" x14ac:dyDescent="0.25">
      <c r="F5548" s="39"/>
      <c r="G5548" s="39"/>
      <c r="H5548" s="39"/>
      <c r="I5548" s="39"/>
    </row>
    <row r="5549" spans="6:9" x14ac:dyDescent="0.25">
      <c r="F5549" s="39"/>
      <c r="G5549" s="39"/>
      <c r="H5549" s="39"/>
      <c r="I5549" s="39"/>
    </row>
    <row r="5550" spans="6:9" x14ac:dyDescent="0.25">
      <c r="F5550" s="39"/>
      <c r="G5550" s="39"/>
      <c r="H5550" s="39"/>
      <c r="I5550" s="39"/>
    </row>
    <row r="5551" spans="6:9" x14ac:dyDescent="0.25">
      <c r="F5551" s="39"/>
      <c r="G5551" s="39"/>
      <c r="H5551" s="39"/>
      <c r="I5551" s="39"/>
    </row>
    <row r="5552" spans="6:9" x14ac:dyDescent="0.25">
      <c r="F5552" s="39"/>
      <c r="G5552" s="39"/>
      <c r="H5552" s="39"/>
      <c r="I5552" s="39"/>
    </row>
    <row r="5553" spans="6:9" x14ac:dyDescent="0.25">
      <c r="F5553" s="39"/>
      <c r="G5553" s="39"/>
      <c r="H5553" s="39"/>
      <c r="I5553" s="39"/>
    </row>
    <row r="5554" spans="6:9" x14ac:dyDescent="0.25">
      <c r="F5554" s="39"/>
      <c r="G5554" s="39"/>
      <c r="H5554" s="39"/>
      <c r="I5554" s="39"/>
    </row>
    <row r="5555" spans="6:9" x14ac:dyDescent="0.25">
      <c r="F5555" s="39"/>
      <c r="G5555" s="39"/>
      <c r="H5555" s="39"/>
      <c r="I5555" s="39"/>
    </row>
    <row r="5556" spans="6:9" x14ac:dyDescent="0.25">
      <c r="F5556" s="39"/>
      <c r="G5556" s="39"/>
      <c r="H5556" s="39"/>
      <c r="I5556" s="39"/>
    </row>
    <row r="5557" spans="6:9" x14ac:dyDescent="0.25">
      <c r="F5557" s="39"/>
      <c r="G5557" s="39"/>
      <c r="H5557" s="39"/>
      <c r="I5557" s="39"/>
    </row>
    <row r="5558" spans="6:9" x14ac:dyDescent="0.25">
      <c r="F5558" s="39"/>
      <c r="G5558" s="39"/>
      <c r="H5558" s="39"/>
      <c r="I5558" s="39"/>
    </row>
    <row r="5559" spans="6:9" x14ac:dyDescent="0.25">
      <c r="F5559" s="39"/>
      <c r="G5559" s="39"/>
      <c r="H5559" s="39"/>
      <c r="I5559" s="39"/>
    </row>
    <row r="5560" spans="6:9" x14ac:dyDescent="0.25">
      <c r="F5560" s="39"/>
      <c r="G5560" s="39"/>
      <c r="H5560" s="39"/>
      <c r="I5560" s="39"/>
    </row>
    <row r="5561" spans="6:9" x14ac:dyDescent="0.25">
      <c r="F5561" s="39"/>
      <c r="G5561" s="39"/>
      <c r="H5561" s="39"/>
      <c r="I5561" s="39"/>
    </row>
    <row r="5562" spans="6:9" x14ac:dyDescent="0.25">
      <c r="F5562" s="39"/>
      <c r="G5562" s="39"/>
      <c r="H5562" s="39"/>
      <c r="I5562" s="39"/>
    </row>
    <row r="5563" spans="6:9" x14ac:dyDescent="0.25">
      <c r="F5563" s="39"/>
      <c r="G5563" s="39"/>
      <c r="H5563" s="39"/>
      <c r="I5563" s="39"/>
    </row>
    <row r="5564" spans="6:9" x14ac:dyDescent="0.25">
      <c r="F5564" s="39"/>
      <c r="G5564" s="39"/>
      <c r="H5564" s="39"/>
      <c r="I5564" s="39"/>
    </row>
    <row r="5565" spans="6:9" x14ac:dyDescent="0.25">
      <c r="F5565" s="39"/>
      <c r="G5565" s="39"/>
      <c r="H5565" s="39"/>
      <c r="I5565" s="39"/>
    </row>
    <row r="5566" spans="6:9" x14ac:dyDescent="0.25">
      <c r="F5566" s="39"/>
      <c r="G5566" s="39"/>
      <c r="H5566" s="39"/>
      <c r="I5566" s="39"/>
    </row>
    <row r="5567" spans="6:9" x14ac:dyDescent="0.25">
      <c r="F5567" s="39"/>
      <c r="G5567" s="39"/>
      <c r="H5567" s="39"/>
      <c r="I5567" s="39"/>
    </row>
    <row r="5568" spans="6:9" x14ac:dyDescent="0.25">
      <c r="F5568" s="39"/>
      <c r="G5568" s="39"/>
      <c r="H5568" s="39"/>
      <c r="I5568" s="39"/>
    </row>
    <row r="5569" spans="6:9" x14ac:dyDescent="0.25">
      <c r="F5569" s="39"/>
      <c r="G5569" s="39"/>
      <c r="H5569" s="39"/>
      <c r="I5569" s="39"/>
    </row>
    <row r="5570" spans="6:9" x14ac:dyDescent="0.25">
      <c r="F5570" s="39"/>
      <c r="G5570" s="39"/>
      <c r="H5570" s="39"/>
      <c r="I5570" s="39"/>
    </row>
    <row r="5571" spans="6:9" x14ac:dyDescent="0.25">
      <c r="F5571" s="39"/>
      <c r="G5571" s="39"/>
      <c r="H5571" s="39"/>
      <c r="I5571" s="39"/>
    </row>
    <row r="5572" spans="6:9" x14ac:dyDescent="0.25">
      <c r="F5572" s="39"/>
      <c r="G5572" s="39"/>
      <c r="H5572" s="39"/>
      <c r="I5572" s="39"/>
    </row>
    <row r="5573" spans="6:9" x14ac:dyDescent="0.25">
      <c r="F5573" s="39"/>
      <c r="G5573" s="39"/>
      <c r="H5573" s="39"/>
      <c r="I5573" s="39"/>
    </row>
    <row r="5574" spans="6:9" x14ac:dyDescent="0.25">
      <c r="F5574" s="39"/>
      <c r="G5574" s="39"/>
      <c r="H5574" s="39"/>
      <c r="I5574" s="39"/>
    </row>
    <row r="5575" spans="6:9" x14ac:dyDescent="0.25">
      <c r="F5575" s="39"/>
      <c r="G5575" s="39"/>
      <c r="H5575" s="39"/>
      <c r="I5575" s="39"/>
    </row>
    <row r="5576" spans="6:9" x14ac:dyDescent="0.25">
      <c r="F5576" s="39"/>
      <c r="G5576" s="39"/>
      <c r="H5576" s="39"/>
      <c r="I5576" s="39"/>
    </row>
    <row r="5577" spans="6:9" x14ac:dyDescent="0.25">
      <c r="F5577" s="39"/>
      <c r="G5577" s="39"/>
      <c r="H5577" s="39"/>
      <c r="I5577" s="39"/>
    </row>
    <row r="5578" spans="6:9" x14ac:dyDescent="0.25">
      <c r="F5578" s="39"/>
      <c r="G5578" s="39"/>
      <c r="H5578" s="39"/>
      <c r="I5578" s="39"/>
    </row>
    <row r="5579" spans="6:9" x14ac:dyDescent="0.25">
      <c r="F5579" s="39"/>
      <c r="G5579" s="39"/>
      <c r="H5579" s="39"/>
      <c r="I5579" s="39"/>
    </row>
    <row r="5580" spans="6:9" x14ac:dyDescent="0.25">
      <c r="F5580" s="39"/>
      <c r="G5580" s="39"/>
      <c r="H5580" s="39"/>
      <c r="I5580" s="39"/>
    </row>
    <row r="5581" spans="6:9" x14ac:dyDescent="0.25">
      <c r="F5581" s="39"/>
      <c r="G5581" s="39"/>
      <c r="H5581" s="39"/>
      <c r="I5581" s="39"/>
    </row>
    <row r="5582" spans="6:9" x14ac:dyDescent="0.25">
      <c r="F5582" s="39"/>
      <c r="G5582" s="39"/>
      <c r="H5582" s="39"/>
      <c r="I5582" s="39"/>
    </row>
    <row r="5583" spans="6:9" x14ac:dyDescent="0.25">
      <c r="F5583" s="39"/>
      <c r="G5583" s="39"/>
      <c r="H5583" s="39"/>
      <c r="I5583" s="39"/>
    </row>
    <row r="5584" spans="6:9" x14ac:dyDescent="0.25">
      <c r="F5584" s="39"/>
      <c r="G5584" s="39"/>
      <c r="H5584" s="39"/>
      <c r="I5584" s="39"/>
    </row>
    <row r="5585" spans="6:9" x14ac:dyDescent="0.25">
      <c r="F5585" s="39"/>
      <c r="G5585" s="39"/>
      <c r="H5585" s="39"/>
      <c r="I5585" s="39"/>
    </row>
    <row r="5586" spans="6:9" x14ac:dyDescent="0.25">
      <c r="F5586" s="39"/>
      <c r="G5586" s="39"/>
      <c r="H5586" s="39"/>
      <c r="I5586" s="39"/>
    </row>
    <row r="5587" spans="6:9" x14ac:dyDescent="0.25">
      <c r="F5587" s="39"/>
      <c r="G5587" s="39"/>
      <c r="H5587" s="39"/>
      <c r="I5587" s="39"/>
    </row>
    <row r="5588" spans="6:9" x14ac:dyDescent="0.25">
      <c r="F5588" s="39"/>
      <c r="G5588" s="39"/>
      <c r="H5588" s="39"/>
      <c r="I5588" s="39"/>
    </row>
    <row r="5589" spans="6:9" x14ac:dyDescent="0.25">
      <c r="F5589" s="39"/>
      <c r="G5589" s="39"/>
      <c r="H5589" s="39"/>
      <c r="I5589" s="39"/>
    </row>
    <row r="5590" spans="6:9" x14ac:dyDescent="0.25">
      <c r="F5590" s="39"/>
      <c r="G5590" s="39"/>
      <c r="H5590" s="39"/>
      <c r="I5590" s="39"/>
    </row>
    <row r="5591" spans="6:9" x14ac:dyDescent="0.25">
      <c r="F5591" s="39"/>
      <c r="G5591" s="39"/>
      <c r="H5591" s="39"/>
      <c r="I5591" s="39"/>
    </row>
    <row r="5592" spans="6:9" x14ac:dyDescent="0.25">
      <c r="F5592" s="39"/>
      <c r="G5592" s="39"/>
      <c r="H5592" s="39"/>
      <c r="I5592" s="39"/>
    </row>
    <row r="5593" spans="6:9" x14ac:dyDescent="0.25">
      <c r="F5593" s="39"/>
      <c r="G5593" s="39"/>
      <c r="H5593" s="39"/>
      <c r="I5593" s="39"/>
    </row>
    <row r="5594" spans="6:9" x14ac:dyDescent="0.25">
      <c r="F5594" s="39"/>
      <c r="G5594" s="39"/>
      <c r="H5594" s="39"/>
      <c r="I5594" s="39"/>
    </row>
    <row r="5595" spans="6:9" x14ac:dyDescent="0.25">
      <c r="F5595" s="39"/>
      <c r="G5595" s="39"/>
      <c r="H5595" s="39"/>
      <c r="I5595" s="39"/>
    </row>
    <row r="5596" spans="6:9" x14ac:dyDescent="0.25">
      <c r="F5596" s="39"/>
      <c r="G5596" s="39"/>
      <c r="H5596" s="39"/>
      <c r="I5596" s="39"/>
    </row>
    <row r="5597" spans="6:9" x14ac:dyDescent="0.25">
      <c r="F5597" s="39"/>
      <c r="G5597" s="39"/>
      <c r="H5597" s="39"/>
      <c r="I5597" s="39"/>
    </row>
    <row r="5598" spans="6:9" x14ac:dyDescent="0.25">
      <c r="F5598" s="39"/>
      <c r="G5598" s="39"/>
      <c r="H5598" s="39"/>
      <c r="I5598" s="39"/>
    </row>
    <row r="5599" spans="6:9" x14ac:dyDescent="0.25">
      <c r="F5599" s="39"/>
      <c r="G5599" s="39"/>
      <c r="H5599" s="39"/>
      <c r="I5599" s="39"/>
    </row>
    <row r="5600" spans="6:9" x14ac:dyDescent="0.25">
      <c r="F5600" s="39"/>
      <c r="G5600" s="39"/>
      <c r="H5600" s="39"/>
      <c r="I5600" s="39"/>
    </row>
    <row r="5601" spans="6:9" x14ac:dyDescent="0.25">
      <c r="F5601" s="39"/>
      <c r="G5601" s="39"/>
      <c r="H5601" s="39"/>
      <c r="I5601" s="39"/>
    </row>
    <row r="5602" spans="6:9" x14ac:dyDescent="0.25">
      <c r="F5602" s="39"/>
      <c r="G5602" s="39"/>
      <c r="H5602" s="39"/>
      <c r="I5602" s="39"/>
    </row>
    <row r="5603" spans="6:9" x14ac:dyDescent="0.25">
      <c r="F5603" s="39"/>
      <c r="G5603" s="39"/>
      <c r="H5603" s="39"/>
      <c r="I5603" s="39"/>
    </row>
    <row r="5604" spans="6:9" x14ac:dyDescent="0.25">
      <c r="F5604" s="39"/>
      <c r="G5604" s="39"/>
      <c r="H5604" s="39"/>
      <c r="I5604" s="39"/>
    </row>
    <row r="5605" spans="6:9" x14ac:dyDescent="0.25">
      <c r="F5605" s="39"/>
      <c r="G5605" s="39"/>
      <c r="H5605" s="39"/>
      <c r="I5605" s="39"/>
    </row>
    <row r="5606" spans="6:9" x14ac:dyDescent="0.25">
      <c r="F5606" s="39"/>
      <c r="G5606" s="39"/>
      <c r="H5606" s="39"/>
      <c r="I5606" s="39"/>
    </row>
    <row r="5607" spans="6:9" x14ac:dyDescent="0.25">
      <c r="F5607" s="39"/>
      <c r="G5607" s="39"/>
      <c r="H5607" s="39"/>
      <c r="I5607" s="39"/>
    </row>
    <row r="5608" spans="6:9" x14ac:dyDescent="0.25">
      <c r="F5608" s="39"/>
      <c r="G5608" s="39"/>
      <c r="H5608" s="39"/>
      <c r="I5608" s="39"/>
    </row>
    <row r="5609" spans="6:9" x14ac:dyDescent="0.25">
      <c r="F5609" s="39"/>
      <c r="G5609" s="39"/>
      <c r="H5609" s="39"/>
      <c r="I5609" s="39"/>
    </row>
    <row r="5610" spans="6:9" x14ac:dyDescent="0.25">
      <c r="F5610" s="39"/>
      <c r="G5610" s="39"/>
      <c r="H5610" s="39"/>
      <c r="I5610" s="39"/>
    </row>
    <row r="5611" spans="6:9" x14ac:dyDescent="0.25">
      <c r="F5611" s="39"/>
      <c r="G5611" s="39"/>
      <c r="H5611" s="39"/>
      <c r="I5611" s="39"/>
    </row>
    <row r="5612" spans="6:9" x14ac:dyDescent="0.25">
      <c r="F5612" s="39"/>
      <c r="G5612" s="39"/>
      <c r="H5612" s="39"/>
      <c r="I5612" s="39"/>
    </row>
    <row r="5613" spans="6:9" x14ac:dyDescent="0.25">
      <c r="F5613" s="39"/>
      <c r="G5613" s="39"/>
      <c r="H5613" s="39"/>
      <c r="I5613" s="39"/>
    </row>
    <row r="5614" spans="6:9" x14ac:dyDescent="0.25">
      <c r="F5614" s="39"/>
      <c r="G5614" s="39"/>
      <c r="H5614" s="39"/>
      <c r="I5614" s="39"/>
    </row>
    <row r="5615" spans="6:9" x14ac:dyDescent="0.25">
      <c r="F5615" s="39"/>
      <c r="G5615" s="39"/>
      <c r="H5615" s="39"/>
      <c r="I5615" s="39"/>
    </row>
    <row r="5616" spans="6:9" x14ac:dyDescent="0.25">
      <c r="F5616" s="39"/>
      <c r="G5616" s="39"/>
      <c r="H5616" s="39"/>
      <c r="I5616" s="39"/>
    </row>
    <row r="5617" spans="6:9" x14ac:dyDescent="0.25">
      <c r="F5617" s="39"/>
      <c r="G5617" s="39"/>
      <c r="H5617" s="39"/>
      <c r="I5617" s="39"/>
    </row>
    <row r="5618" spans="6:9" x14ac:dyDescent="0.25">
      <c r="F5618" s="39"/>
      <c r="G5618" s="39"/>
      <c r="H5618" s="39"/>
      <c r="I5618" s="39"/>
    </row>
    <row r="5619" spans="6:9" x14ac:dyDescent="0.25">
      <c r="F5619" s="39"/>
      <c r="G5619" s="39"/>
      <c r="H5619" s="39"/>
      <c r="I5619" s="39"/>
    </row>
    <row r="5620" spans="6:9" x14ac:dyDescent="0.25">
      <c r="F5620" s="39"/>
      <c r="G5620" s="39"/>
      <c r="H5620" s="39"/>
      <c r="I5620" s="39"/>
    </row>
    <row r="5621" spans="6:9" x14ac:dyDescent="0.25">
      <c r="F5621" s="39"/>
      <c r="G5621" s="39"/>
      <c r="H5621" s="39"/>
      <c r="I5621" s="39"/>
    </row>
    <row r="5622" spans="6:9" x14ac:dyDescent="0.25">
      <c r="F5622" s="39"/>
      <c r="G5622" s="39"/>
      <c r="H5622" s="39"/>
      <c r="I5622" s="39"/>
    </row>
    <row r="5623" spans="6:9" x14ac:dyDescent="0.25">
      <c r="F5623" s="39"/>
      <c r="G5623" s="39"/>
      <c r="H5623" s="39"/>
      <c r="I5623" s="39"/>
    </row>
    <row r="5624" spans="6:9" x14ac:dyDescent="0.25">
      <c r="F5624" s="39"/>
      <c r="G5624" s="39"/>
      <c r="H5624" s="39"/>
      <c r="I5624" s="39"/>
    </row>
    <row r="5625" spans="6:9" x14ac:dyDescent="0.25">
      <c r="F5625" s="39"/>
      <c r="G5625" s="39"/>
      <c r="H5625" s="39"/>
      <c r="I5625" s="39"/>
    </row>
    <row r="5626" spans="6:9" x14ac:dyDescent="0.25">
      <c r="F5626" s="39"/>
      <c r="G5626" s="39"/>
      <c r="H5626" s="39"/>
      <c r="I5626" s="39"/>
    </row>
    <row r="5627" spans="6:9" x14ac:dyDescent="0.25">
      <c r="F5627" s="39"/>
      <c r="G5627" s="39"/>
      <c r="H5627" s="39"/>
      <c r="I5627" s="39"/>
    </row>
    <row r="5628" spans="6:9" x14ac:dyDescent="0.25">
      <c r="F5628" s="39"/>
      <c r="G5628" s="39"/>
      <c r="H5628" s="39"/>
      <c r="I5628" s="39"/>
    </row>
    <row r="5629" spans="6:9" x14ac:dyDescent="0.25">
      <c r="F5629" s="39"/>
      <c r="G5629" s="39"/>
      <c r="H5629" s="39"/>
      <c r="I5629" s="39"/>
    </row>
    <row r="5630" spans="6:9" x14ac:dyDescent="0.25">
      <c r="F5630" s="39"/>
      <c r="G5630" s="39"/>
      <c r="H5630" s="39"/>
      <c r="I5630" s="39"/>
    </row>
    <row r="5631" spans="6:9" x14ac:dyDescent="0.25">
      <c r="F5631" s="39"/>
      <c r="G5631" s="39"/>
      <c r="H5631" s="39"/>
      <c r="I5631" s="39"/>
    </row>
    <row r="5632" spans="6:9" x14ac:dyDescent="0.25">
      <c r="F5632" s="39"/>
      <c r="G5632" s="39"/>
      <c r="H5632" s="39"/>
      <c r="I5632" s="39"/>
    </row>
    <row r="5633" spans="6:9" x14ac:dyDescent="0.25">
      <c r="F5633" s="39"/>
      <c r="G5633" s="39"/>
      <c r="H5633" s="39"/>
      <c r="I5633" s="39"/>
    </row>
    <row r="5634" spans="6:9" x14ac:dyDescent="0.25">
      <c r="F5634" s="39"/>
      <c r="G5634" s="39"/>
      <c r="H5634" s="39"/>
      <c r="I5634" s="39"/>
    </row>
    <row r="5635" spans="6:9" x14ac:dyDescent="0.25">
      <c r="F5635" s="39"/>
      <c r="G5635" s="39"/>
      <c r="H5635" s="39"/>
      <c r="I5635" s="39"/>
    </row>
    <row r="5636" spans="6:9" x14ac:dyDescent="0.25">
      <c r="F5636" s="39"/>
      <c r="G5636" s="39"/>
      <c r="H5636" s="39"/>
      <c r="I5636" s="39"/>
    </row>
    <row r="5637" spans="6:9" x14ac:dyDescent="0.25">
      <c r="F5637" s="39"/>
      <c r="G5637" s="39"/>
      <c r="H5637" s="39"/>
      <c r="I5637" s="39"/>
    </row>
    <row r="5638" spans="6:9" x14ac:dyDescent="0.25">
      <c r="F5638" s="39"/>
      <c r="G5638" s="39"/>
      <c r="H5638" s="39"/>
      <c r="I5638" s="39"/>
    </row>
    <row r="5639" spans="6:9" x14ac:dyDescent="0.25">
      <c r="F5639" s="39"/>
      <c r="G5639" s="39"/>
      <c r="H5639" s="39"/>
      <c r="I5639" s="39"/>
    </row>
    <row r="5640" spans="6:9" x14ac:dyDescent="0.25">
      <c r="F5640" s="39"/>
      <c r="G5640" s="39"/>
      <c r="H5640" s="39"/>
      <c r="I5640" s="39"/>
    </row>
    <row r="5641" spans="6:9" x14ac:dyDescent="0.25">
      <c r="F5641" s="39"/>
      <c r="G5641" s="39"/>
      <c r="H5641" s="39"/>
      <c r="I5641" s="39"/>
    </row>
    <row r="5642" spans="6:9" x14ac:dyDescent="0.25">
      <c r="F5642" s="39"/>
      <c r="G5642" s="39"/>
      <c r="H5642" s="39"/>
      <c r="I5642" s="39"/>
    </row>
    <row r="5643" spans="6:9" x14ac:dyDescent="0.25">
      <c r="F5643" s="39"/>
      <c r="G5643" s="39"/>
      <c r="H5643" s="39"/>
      <c r="I5643" s="39"/>
    </row>
    <row r="5644" spans="6:9" x14ac:dyDescent="0.25">
      <c r="F5644" s="39"/>
      <c r="G5644" s="39"/>
      <c r="H5644" s="39"/>
      <c r="I5644" s="39"/>
    </row>
    <row r="5645" spans="6:9" x14ac:dyDescent="0.25">
      <c r="F5645" s="39"/>
      <c r="G5645" s="39"/>
      <c r="H5645" s="39"/>
      <c r="I5645" s="39"/>
    </row>
    <row r="5646" spans="6:9" x14ac:dyDescent="0.25">
      <c r="F5646" s="39"/>
      <c r="G5646" s="39"/>
      <c r="H5646" s="39"/>
      <c r="I5646" s="39"/>
    </row>
    <row r="5647" spans="6:9" x14ac:dyDescent="0.25">
      <c r="F5647" s="39"/>
      <c r="G5647" s="39"/>
      <c r="H5647" s="39"/>
      <c r="I5647" s="39"/>
    </row>
    <row r="5648" spans="6:9" x14ac:dyDescent="0.25">
      <c r="F5648" s="39"/>
      <c r="G5648" s="39"/>
      <c r="H5648" s="39"/>
      <c r="I5648" s="39"/>
    </row>
    <row r="5649" spans="6:9" x14ac:dyDescent="0.25">
      <c r="F5649" s="39"/>
      <c r="G5649" s="39"/>
      <c r="H5649" s="39"/>
      <c r="I5649" s="39"/>
    </row>
  </sheetData>
  <autoFilter ref="F3:I496" xr:uid="{00000000-0009-0000-0000-000014000000}">
    <sortState xmlns:xlrd2="http://schemas.microsoft.com/office/spreadsheetml/2017/richdata2" ref="F6:I507">
      <sortCondition ref="F3:F496"/>
    </sortState>
  </autoFilter>
  <mergeCells count="8">
    <mergeCell ref="H3:H4"/>
    <mergeCell ref="I3:I4"/>
    <mergeCell ref="F1:I2"/>
    <mergeCell ref="D8:D9"/>
    <mergeCell ref="B3:B4"/>
    <mergeCell ref="D3:D4"/>
    <mergeCell ref="F3:F4"/>
    <mergeCell ref="G3:G4"/>
  </mergeCells>
  <phoneticPr fontId="2" type="noConversion"/>
  <dataValidations count="1">
    <dataValidation type="list" allowBlank="1" showInputMessage="1" showErrorMessage="1" sqref="B5:B15 G5:G467 G469:G1556" xr:uid="{00000000-0002-0000-1400-000000000000}">
      <formula1>$B$5:$B$44</formula1>
    </dataValidation>
  </dataValidations>
  <pageMargins left="0.511811024" right="0.511811024" top="0.78740157499999996" bottom="0.78740157499999996" header="0.31496062000000002" footer="0.31496062000000002"/>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21">
    <tabColor rgb="FF1BA94A"/>
  </sheetPr>
  <dimension ref="B1:BA46"/>
  <sheetViews>
    <sheetView showGridLines="0" tabSelected="1" topLeftCell="AJ4" zoomScale="58" zoomScaleNormal="85" workbookViewId="0">
      <selection activeCell="AO4" sqref="AO1:AP1048576"/>
    </sheetView>
  </sheetViews>
  <sheetFormatPr defaultColWidth="9.140625" defaultRowHeight="16.5" x14ac:dyDescent="0.25"/>
  <cols>
    <col min="1" max="1" width="1.28515625" style="1" customWidth="1"/>
    <col min="2" max="2" width="69.28515625" style="50" bestFit="1" customWidth="1"/>
    <col min="3" max="3" width="10" style="50" bestFit="1" customWidth="1"/>
    <col min="4" max="4" width="7.85546875" style="50" bestFit="1" customWidth="1"/>
    <col min="5" max="6" width="28.42578125" style="50" bestFit="1" customWidth="1"/>
    <col min="7" max="7" width="29.5703125" style="50" bestFit="1" customWidth="1"/>
    <col min="8" max="8" width="53.7109375" style="50" bestFit="1" customWidth="1"/>
    <col min="9" max="9" width="10.28515625" style="1" bestFit="1" customWidth="1"/>
    <col min="10" max="10" width="8" style="1" bestFit="1" customWidth="1"/>
    <col min="11" max="12" width="28.42578125" style="1" bestFit="1" customWidth="1"/>
    <col min="13" max="13" width="31.140625" style="1" bestFit="1" customWidth="1"/>
    <col min="14" max="14" width="53.7109375" style="1" bestFit="1" customWidth="1"/>
    <col min="15" max="15" width="10.28515625" style="1" bestFit="1" customWidth="1"/>
    <col min="16" max="16" width="8" style="1" bestFit="1" customWidth="1"/>
    <col min="17" max="18" width="29" style="1" bestFit="1" customWidth="1"/>
    <col min="19" max="19" width="31.140625" style="1" bestFit="1" customWidth="1"/>
    <col min="20" max="20" width="53.7109375" style="1" bestFit="1" customWidth="1"/>
    <col min="21" max="21" width="10.28515625" style="1" bestFit="1" customWidth="1"/>
    <col min="22" max="22" width="8" style="1" bestFit="1" customWidth="1"/>
    <col min="23" max="24" width="29" style="1" bestFit="1" customWidth="1"/>
    <col min="25" max="25" width="31.140625" style="1" bestFit="1" customWidth="1"/>
    <col min="26" max="26" width="53.7109375" style="1" bestFit="1" customWidth="1"/>
    <col min="27" max="27" width="10.28515625" style="1" bestFit="1" customWidth="1"/>
    <col min="28" max="28" width="8" style="1" bestFit="1" customWidth="1"/>
    <col min="29" max="30" width="29" style="1" bestFit="1" customWidth="1"/>
    <col min="31" max="31" width="31.140625" style="1" bestFit="1" customWidth="1"/>
    <col min="32" max="32" width="53.7109375" style="1" bestFit="1" customWidth="1"/>
    <col min="33" max="33" width="10.28515625" style="1" bestFit="1" customWidth="1"/>
    <col min="34" max="34" width="8" style="1" bestFit="1" customWidth="1"/>
    <col min="35" max="36" width="35.5703125" style="1" bestFit="1" customWidth="1"/>
    <col min="37" max="37" width="31.140625" style="1" bestFit="1" customWidth="1"/>
    <col min="38" max="40" width="10.7109375" style="1" customWidth="1"/>
    <col min="41" max="41" width="10.7109375" style="1" hidden="1" customWidth="1"/>
    <col min="42" max="42" width="5.85546875" style="1" hidden="1" customWidth="1"/>
    <col min="43" max="43" width="2.28515625" style="1" hidden="1" customWidth="1"/>
    <col min="44" max="44" width="7.140625" style="1" hidden="1" customWidth="1"/>
    <col min="45" max="45" width="5.85546875" style="1" hidden="1" customWidth="1"/>
    <col min="46" max="46" width="3.5703125" style="1" hidden="1" customWidth="1"/>
    <col min="47" max="47" width="2.85546875" style="1" hidden="1" customWidth="1"/>
    <col min="48" max="48" width="4.42578125" style="1" hidden="1" customWidth="1"/>
    <col min="49" max="49" width="0" style="1" hidden="1" customWidth="1"/>
    <col min="50" max="51" width="2.28515625" style="1" hidden="1" customWidth="1"/>
    <col min="52" max="16384" width="9.140625" style="1"/>
  </cols>
  <sheetData>
    <row r="1" spans="2:51" s="22" customFormat="1" ht="6.75" customHeight="1" x14ac:dyDescent="0.25">
      <c r="B1" s="22" t="str">
        <f>UPPER("")</f>
        <v/>
      </c>
      <c r="I1" s="40"/>
    </row>
    <row r="2" spans="2:51" s="22" customFormat="1" ht="65.25" customHeight="1" x14ac:dyDescent="0.25">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row>
    <row r="3" spans="2:51" s="22" customFormat="1" ht="65.25" customHeight="1" x14ac:dyDescent="0.25">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row>
    <row r="4" spans="2:51" s="41" customFormat="1" ht="40.5" customHeight="1" x14ac:dyDescent="0.25">
      <c r="B4" s="216" t="s">
        <v>0</v>
      </c>
      <c r="C4" s="216" t="s">
        <v>5</v>
      </c>
      <c r="D4" s="216"/>
      <c r="E4" s="204" t="s">
        <v>93</v>
      </c>
      <c r="F4" s="204" t="s">
        <v>94</v>
      </c>
      <c r="G4" s="204" t="s">
        <v>17</v>
      </c>
      <c r="H4" s="213"/>
      <c r="I4" s="216" t="s">
        <v>8</v>
      </c>
      <c r="J4" s="216"/>
      <c r="K4" s="204" t="s">
        <v>104</v>
      </c>
      <c r="L4" s="204" t="s">
        <v>103</v>
      </c>
      <c r="M4" s="204" t="s">
        <v>17</v>
      </c>
      <c r="N4" s="213"/>
      <c r="O4" s="216" t="s">
        <v>9</v>
      </c>
      <c r="P4" s="216"/>
      <c r="Q4" s="204" t="s">
        <v>102</v>
      </c>
      <c r="R4" s="204" t="s">
        <v>101</v>
      </c>
      <c r="S4" s="204" t="s">
        <v>17</v>
      </c>
      <c r="T4" s="213"/>
      <c r="U4" s="216" t="s">
        <v>10</v>
      </c>
      <c r="V4" s="218"/>
      <c r="W4" s="204" t="s">
        <v>100</v>
      </c>
      <c r="X4" s="204" t="s">
        <v>99</v>
      </c>
      <c r="Y4" s="204" t="s">
        <v>17</v>
      </c>
      <c r="Z4" s="213"/>
      <c r="AA4" s="216" t="s">
        <v>11</v>
      </c>
      <c r="AB4" s="218"/>
      <c r="AC4" s="204" t="s">
        <v>98</v>
      </c>
      <c r="AD4" s="204" t="s">
        <v>97</v>
      </c>
      <c r="AE4" s="204" t="s">
        <v>17</v>
      </c>
      <c r="AF4" s="212"/>
      <c r="AG4" s="219" t="s">
        <v>83</v>
      </c>
      <c r="AH4" s="220"/>
      <c r="AI4" s="204" t="s">
        <v>95</v>
      </c>
      <c r="AJ4" s="204" t="s">
        <v>96</v>
      </c>
      <c r="AK4" s="204" t="s">
        <v>17</v>
      </c>
      <c r="AL4" s="209"/>
      <c r="AM4" s="209"/>
      <c r="AN4" s="209"/>
      <c r="AO4" s="209"/>
      <c r="AP4" s="208"/>
      <c r="AQ4" s="42"/>
      <c r="AR4" s="216" t="s">
        <v>2</v>
      </c>
      <c r="AS4" s="42"/>
      <c r="AT4" s="42"/>
      <c r="AU4" s="42"/>
      <c r="AV4" s="215" t="s">
        <v>35</v>
      </c>
      <c r="AW4" s="215"/>
      <c r="AX4" s="215"/>
      <c r="AY4" s="215"/>
    </row>
    <row r="5" spans="2:51" s="41" customFormat="1" ht="22.5" customHeight="1" x14ac:dyDescent="0.25">
      <c r="B5" s="216"/>
      <c r="C5" s="28" t="s">
        <v>6</v>
      </c>
      <c r="D5" s="43" t="s">
        <v>7</v>
      </c>
      <c r="E5" s="204"/>
      <c r="F5" s="204"/>
      <c r="G5" s="204"/>
      <c r="H5" s="213"/>
      <c r="I5" s="28" t="s">
        <v>6</v>
      </c>
      <c r="J5" s="43" t="s">
        <v>7</v>
      </c>
      <c r="K5" s="204"/>
      <c r="L5" s="204"/>
      <c r="M5" s="204"/>
      <c r="N5" s="213"/>
      <c r="O5" s="28" t="s">
        <v>6</v>
      </c>
      <c r="P5" s="43" t="s">
        <v>7</v>
      </c>
      <c r="Q5" s="204"/>
      <c r="R5" s="204"/>
      <c r="S5" s="204"/>
      <c r="T5" s="213"/>
      <c r="U5" s="28" t="s">
        <v>6</v>
      </c>
      <c r="V5" s="43" t="s">
        <v>7</v>
      </c>
      <c r="W5" s="204"/>
      <c r="X5" s="204"/>
      <c r="Y5" s="204"/>
      <c r="Z5" s="213"/>
      <c r="AA5" s="28" t="s">
        <v>6</v>
      </c>
      <c r="AB5" s="43" t="s">
        <v>7</v>
      </c>
      <c r="AC5" s="204"/>
      <c r="AD5" s="204"/>
      <c r="AE5" s="204"/>
      <c r="AF5" s="213"/>
      <c r="AG5" s="28" t="s">
        <v>6</v>
      </c>
      <c r="AH5" s="43" t="s">
        <v>7</v>
      </c>
      <c r="AI5" s="204"/>
      <c r="AJ5" s="204"/>
      <c r="AK5" s="204"/>
      <c r="AL5" s="210"/>
      <c r="AM5" s="210"/>
      <c r="AN5" s="210"/>
      <c r="AO5" s="210"/>
      <c r="AP5" s="42"/>
      <c r="AQ5" s="42"/>
      <c r="AR5" s="216"/>
      <c r="AS5" s="42"/>
      <c r="AT5" s="42"/>
      <c r="AU5" s="42"/>
      <c r="AV5" s="215"/>
      <c r="AW5" s="215"/>
      <c r="AX5" s="215"/>
      <c r="AY5" s="215"/>
    </row>
    <row r="6" spans="2:51" s="41" customFormat="1" ht="6.75" customHeight="1" x14ac:dyDescent="0.25"/>
    <row r="7" spans="2:51" ht="24.75" customHeight="1" x14ac:dyDescent="0.25">
      <c r="B7" s="44" t="s">
        <v>127</v>
      </c>
      <c r="C7" s="108">
        <f>IF($B7="","",SUMIF('09M'!$AS:$AS,'EFICIÊNCIA 1º ETAPA'!$B7,'09M'!$AU:$AU))</f>
        <v>291</v>
      </c>
      <c r="D7" s="108">
        <f>IF($B7="","",SUMIF('09F'!$AS:$AS,'EFICIÊNCIA 1º ETAPA'!$B7,'09F'!$AU:$AU))</f>
        <v>0</v>
      </c>
      <c r="E7" s="108">
        <f>SUM(C7:D7)</f>
        <v>291</v>
      </c>
      <c r="F7" s="108" t="s">
        <v>770</v>
      </c>
      <c r="G7" s="207">
        <v>25</v>
      </c>
      <c r="H7" s="214"/>
      <c r="I7" s="108">
        <f>IF($B7="","",SUMIF('11M'!$AS:$AS,'EFICIÊNCIA 1º ETAPA'!$B7,'11M'!$AU:$AU))</f>
        <v>983</v>
      </c>
      <c r="J7" s="108">
        <f>IF($B7="","",SUMIF('11F'!$AS:$AS,'EFICIÊNCIA 1º ETAPA'!$B7,'11F'!$AU:$AU))</f>
        <v>150</v>
      </c>
      <c r="K7" s="108">
        <f>SUM(I7:J7)</f>
        <v>1133</v>
      </c>
      <c r="L7" s="108" t="s">
        <v>762</v>
      </c>
      <c r="M7" s="207">
        <v>700</v>
      </c>
      <c r="N7" s="214"/>
      <c r="O7" s="108">
        <f>IF($B7="","",SUMIF('13M'!$AS:$AS,'EFICIÊNCIA 1º ETAPA'!$B7,'13M'!$AU:$AU))</f>
        <v>867</v>
      </c>
      <c r="P7" s="108">
        <f>IF($B7="","",SUMIF('13F'!$AS:$AS,'EFICIÊNCIA 1º ETAPA'!$B7,'13F'!$AU:$AU))</f>
        <v>180</v>
      </c>
      <c r="Q7" s="108">
        <f>SUM(O7:P7)</f>
        <v>1047</v>
      </c>
      <c r="R7" s="108" t="s">
        <v>762</v>
      </c>
      <c r="S7" s="207">
        <v>700</v>
      </c>
      <c r="T7" s="214"/>
      <c r="U7" s="108">
        <f>IF($B7="","",SUMIF('15M'!$AS:$AS,'EFICIÊNCIA 1º ETAPA'!$B7,'15M'!$AU:$AU))</f>
        <v>0</v>
      </c>
      <c r="V7" s="108">
        <f>IF($B7="","",SUMIF('15F'!$AS:$AS,'EFICIÊNCIA 1º ETAPA'!$B7,'15F'!$AU:$AU))</f>
        <v>0</v>
      </c>
      <c r="W7" s="108">
        <f>SUM(U7:V7)</f>
        <v>0</v>
      </c>
      <c r="X7" s="108"/>
      <c r="Y7" s="207"/>
      <c r="Z7" s="214"/>
      <c r="AA7" s="108">
        <f>IF($B7="","",SUMIF('17M'!$AS:$AS,'EFICIÊNCIA 1º ETAPA'!$B7,'17M'!$AU:$AU))</f>
        <v>0</v>
      </c>
      <c r="AB7" s="108">
        <f>IF($B7="","",SUMIF('17F'!$AS:$AS,'EFICIÊNCIA 1º ETAPA'!$B7,'17F'!$AU:$AU))</f>
        <v>0</v>
      </c>
      <c r="AC7" s="108">
        <f>SUM(AA7:AB7)</f>
        <v>0</v>
      </c>
      <c r="AD7" s="108"/>
      <c r="AE7" s="207"/>
      <c r="AF7" s="214"/>
      <c r="AG7" s="108"/>
      <c r="AH7" s="108"/>
      <c r="AI7" s="108">
        <f>SUM(AG7:AH7)</f>
        <v>0</v>
      </c>
      <c r="AJ7" s="207"/>
      <c r="AK7" s="207"/>
      <c r="AL7" s="211"/>
      <c r="AM7" s="211"/>
      <c r="AN7" s="211"/>
      <c r="AO7" s="211"/>
      <c r="AP7" s="46">
        <f t="shared" ref="AP7:AP27" si="0">IF(AR7="","",AR7+(ROW(AR7)/100))</f>
        <v>6367.07</v>
      </c>
      <c r="AQ7" s="46" t="str">
        <f>IF(AR7="","",B7)</f>
        <v>ABACO IPIRANGA</v>
      </c>
      <c r="AR7" s="109">
        <f>SUM(C7:AH7)</f>
        <v>6367</v>
      </c>
      <c r="AS7" s="46">
        <f t="shared" ref="AS7:AS23" si="1">IF(AR7="","",LARGE(AP:AP,AT7))</f>
        <v>16772.099999999999</v>
      </c>
      <c r="AT7" s="46">
        <v>1</v>
      </c>
      <c r="AU7" s="45"/>
      <c r="AV7" s="47" t="e">
        <f>IF(B7&lt;&gt;"",_xlfn.RANK.EQ(AY7,$AY$7:$AY$46,0),"")</f>
        <v>#NUM!</v>
      </c>
      <c r="AW7" s="48" t="e">
        <f>IF(AV7="","","LUGAR")</f>
        <v>#NUM!</v>
      </c>
      <c r="AX7" s="49" t="str">
        <f t="shared" ref="AX7:AX27" si="2">IF(AR7="","",VLOOKUP(AS7,AP:AR,2,0))</f>
        <v>COLÉGIO ARBOS - UNIDADE SANTO ANDRÉ</v>
      </c>
      <c r="AY7" s="110">
        <f t="shared" ref="AY7:AY27" si="3">IF(AR7="","",VLOOKUP(AS7,AP:AR,3,0))</f>
        <v>16772</v>
      </c>
    </row>
    <row r="8" spans="2:51" ht="24.75" customHeight="1" x14ac:dyDescent="0.25">
      <c r="B8" s="44" t="s">
        <v>139</v>
      </c>
      <c r="C8" s="108">
        <f>IF($B8="","",SUMIF('09M'!$AS:$AS,'EFICIÊNCIA 1º ETAPA'!$B8,'09M'!$AU:$AU))</f>
        <v>480</v>
      </c>
      <c r="D8" s="108">
        <f>IF($B8="","",SUMIF('09F'!$AS:$AS,'EFICIÊNCIA 1º ETAPA'!$B8,'09F'!$AU:$AU))</f>
        <v>0</v>
      </c>
      <c r="E8" s="108">
        <f t="shared" ref="E8:E46" si="4">SUM(C8:D8)</f>
        <v>480</v>
      </c>
      <c r="F8" s="108" t="s">
        <v>764</v>
      </c>
      <c r="G8" s="207">
        <v>500</v>
      </c>
      <c r="H8" s="214"/>
      <c r="I8" s="108">
        <f>IF($B8="","",SUMIF('11M'!$AS:$AS,'EFICIÊNCIA 1º ETAPA'!$B8,'11M'!$AU:$AU))</f>
        <v>0</v>
      </c>
      <c r="J8" s="108">
        <f>IF($B8="","",SUMIF('11F'!$AS:$AS,'EFICIÊNCIA 1º ETAPA'!$B8,'11F'!$AU:$AU))</f>
        <v>0</v>
      </c>
      <c r="K8" s="108">
        <f t="shared" ref="K8:K46" si="5">SUM(I8:J8)</f>
        <v>0</v>
      </c>
      <c r="L8" s="108"/>
      <c r="M8" s="207"/>
      <c r="N8" s="214"/>
      <c r="O8" s="108">
        <f>IF($B8="","",SUMIF('13M'!$AS:$AS,'EFICIÊNCIA 1º ETAPA'!$B8,'13M'!$AU:$AU))</f>
        <v>0</v>
      </c>
      <c r="P8" s="108">
        <f>IF($B8="","",SUMIF('13F'!$AS:$AS,'EFICIÊNCIA 1º ETAPA'!$B8,'13F'!$AU:$AU))</f>
        <v>0</v>
      </c>
      <c r="Q8" s="108">
        <f t="shared" ref="Q8:Q46" si="6">SUM(O8:P8)</f>
        <v>0</v>
      </c>
      <c r="R8" s="108"/>
      <c r="S8" s="207"/>
      <c r="T8" s="214"/>
      <c r="U8" s="108">
        <f>IF($B8="","",SUMIF('15M'!$AS:$AS,'EFICIÊNCIA 1º ETAPA'!$B8,'15M'!$AU:$AU))</f>
        <v>0</v>
      </c>
      <c r="V8" s="108">
        <f>IF($B8="","",SUMIF('15F'!$AS:$AS,'EFICIÊNCIA 1º ETAPA'!$B8,'15F'!$AU:$AU))</f>
        <v>0</v>
      </c>
      <c r="W8" s="108">
        <f t="shared" ref="W8:W46" si="7">SUM(U8:V8)</f>
        <v>0</v>
      </c>
      <c r="X8" s="108"/>
      <c r="Y8" s="207"/>
      <c r="Z8" s="214"/>
      <c r="AA8" s="108">
        <f>IF($B8="","",SUMIF('17M'!$AS:$AS,'EFICIÊNCIA 1º ETAPA'!$B8,'17M'!$AU:$AU))</f>
        <v>0</v>
      </c>
      <c r="AB8" s="108">
        <f>IF($B8="","",SUMIF('17F'!$AS:$AS,'EFICIÊNCIA 1º ETAPA'!$B8,'17F'!$AU:$AU))</f>
        <v>0</v>
      </c>
      <c r="AC8" s="108">
        <f t="shared" ref="AC8:AC46" si="8">SUM(AA8:AB8)</f>
        <v>0</v>
      </c>
      <c r="AD8" s="108"/>
      <c r="AE8" s="207"/>
      <c r="AF8" s="214"/>
      <c r="AG8" s="108"/>
      <c r="AH8" s="108"/>
      <c r="AI8" s="108">
        <f t="shared" ref="AI8:AI46" si="9">SUM(AG8:AH8)</f>
        <v>0</v>
      </c>
      <c r="AJ8" s="207"/>
      <c r="AK8" s="207"/>
      <c r="AL8" s="211"/>
      <c r="AM8" s="211"/>
      <c r="AN8" s="211"/>
      <c r="AO8" s="211"/>
      <c r="AP8" s="46">
        <f t="shared" si="0"/>
        <v>1460.08</v>
      </c>
      <c r="AQ8" s="46" t="str">
        <f>IF(AR8="","",B8)</f>
        <v>AMERICAN ACADEMY SCHOOL SBC</v>
      </c>
      <c r="AR8" s="109">
        <f>SUM(C8:AH8)</f>
        <v>1460</v>
      </c>
      <c r="AS8" s="46">
        <f t="shared" si="1"/>
        <v>13167.15</v>
      </c>
      <c r="AT8" s="46">
        <v>2</v>
      </c>
      <c r="AU8" s="45"/>
      <c r="AV8" s="47" t="e">
        <f>IF(B8&lt;&gt;"",_xlfn.RANK.EQ(AY8,$AY$7:$AY$46,0),"")</f>
        <v>#NUM!</v>
      </c>
      <c r="AW8" s="48" t="e">
        <f t="shared" ref="AW8:AW27" si="10">IF(AV8="","","LUGAR")</f>
        <v>#NUM!</v>
      </c>
      <c r="AX8" s="49" t="str">
        <f t="shared" si="2"/>
        <v>COLÉGIO ENGENHEIRO SALVADOR ARENA</v>
      </c>
      <c r="AY8" s="110">
        <f t="shared" si="3"/>
        <v>13167</v>
      </c>
    </row>
    <row r="9" spans="2:51" ht="24.75" customHeight="1" x14ac:dyDescent="0.25">
      <c r="B9" s="44" t="s">
        <v>391</v>
      </c>
      <c r="C9" s="108">
        <f>IF($B9="","",SUMIF('09M'!$AS:$AS,'EFICIÊNCIA 1º ETAPA'!$B9,'09M'!$AU:$AU))</f>
        <v>0</v>
      </c>
      <c r="D9" s="108">
        <f>IF($B9="","",SUMIF('09F'!$AS:$AS,'EFICIÊNCIA 1º ETAPA'!$B9,'09F'!$AU:$AU))</f>
        <v>0</v>
      </c>
      <c r="E9" s="108">
        <f t="shared" si="4"/>
        <v>0</v>
      </c>
      <c r="F9" s="108"/>
      <c r="G9" s="207"/>
      <c r="H9" s="214"/>
      <c r="I9" s="108">
        <f>IF($B9="","",SUMIF('11M'!$AS:$AS,'EFICIÊNCIA 1º ETAPA'!$B9,'11M'!$AU:$AU))</f>
        <v>0</v>
      </c>
      <c r="J9" s="108">
        <f>IF($B9="","",SUMIF('11F'!$AS:$AS,'EFICIÊNCIA 1º ETAPA'!$B9,'11F'!$AU:$AU))</f>
        <v>0</v>
      </c>
      <c r="K9" s="108">
        <f t="shared" si="5"/>
        <v>0</v>
      </c>
      <c r="L9" s="108"/>
      <c r="M9" s="207"/>
      <c r="N9" s="214"/>
      <c r="O9" s="108">
        <f>IF($B9="","",SUMIF('13M'!$AS:$AS,'EFICIÊNCIA 1º ETAPA'!$B9,'13M'!$AU:$AU))</f>
        <v>750</v>
      </c>
      <c r="P9" s="108">
        <f>IF($B9="","",SUMIF('13F'!$AS:$AS,'EFICIÊNCIA 1º ETAPA'!$B9,'13F'!$AU:$AU))</f>
        <v>0</v>
      </c>
      <c r="Q9" s="108">
        <f t="shared" si="6"/>
        <v>750</v>
      </c>
      <c r="R9" s="108" t="s">
        <v>765</v>
      </c>
      <c r="S9" s="207">
        <v>400</v>
      </c>
      <c r="T9" s="214"/>
      <c r="U9" s="108">
        <f>IF($B9="","",SUMIF('15M'!$AS:$AS,'EFICIÊNCIA 1º ETAPA'!$B9,'15M'!$AU:$AU))</f>
        <v>0</v>
      </c>
      <c r="V9" s="108">
        <f>IF($B9="","",SUMIF('15F'!$AS:$AS,'EFICIÊNCIA 1º ETAPA'!$B9,'15F'!$AU:$AU))</f>
        <v>0</v>
      </c>
      <c r="W9" s="108">
        <f t="shared" si="7"/>
        <v>0</v>
      </c>
      <c r="X9" s="108"/>
      <c r="Y9" s="207"/>
      <c r="Z9" s="214"/>
      <c r="AA9" s="108">
        <f>IF($B9="","",SUMIF('17M'!$AS:$AS,'EFICIÊNCIA 1º ETAPA'!$B9,'17M'!$AU:$AU))</f>
        <v>0</v>
      </c>
      <c r="AB9" s="108">
        <f>IF($B9="","",SUMIF('17F'!$AS:$AS,'EFICIÊNCIA 1º ETAPA'!$B9,'17F'!$AU:$AU))</f>
        <v>0</v>
      </c>
      <c r="AC9" s="108">
        <f t="shared" si="8"/>
        <v>0</v>
      </c>
      <c r="AD9" s="108"/>
      <c r="AE9" s="207"/>
      <c r="AF9" s="214"/>
      <c r="AG9" s="108"/>
      <c r="AH9" s="108"/>
      <c r="AI9" s="108">
        <f t="shared" si="9"/>
        <v>0</v>
      </c>
      <c r="AJ9" s="207"/>
      <c r="AK9" s="207"/>
      <c r="AL9" s="211"/>
      <c r="AM9" s="211"/>
      <c r="AN9" s="211"/>
      <c r="AO9" s="211"/>
      <c r="AP9" s="46">
        <f t="shared" si="0"/>
        <v>1900.09</v>
      </c>
      <c r="AQ9" s="46" t="str">
        <f>IF(AR9="","",B9)</f>
        <v>CENTRO DE ESTUDOS JÚLIO VERNE</v>
      </c>
      <c r="AR9" s="109">
        <f>SUM(C9:AH9)</f>
        <v>1900</v>
      </c>
      <c r="AS9" s="46">
        <f t="shared" si="1"/>
        <v>11615.12</v>
      </c>
      <c r="AT9" s="46">
        <v>3</v>
      </c>
      <c r="AU9" s="45"/>
      <c r="AV9" s="47" t="e">
        <f>IF(B9&lt;&gt;"",_xlfn.RANK.EQ(AY9,$AY$7:$AY$46,0),"")</f>
        <v>#NUM!</v>
      </c>
      <c r="AW9" s="48" t="e">
        <f t="shared" si="10"/>
        <v>#NUM!</v>
      </c>
      <c r="AX9" s="49" t="str">
        <f t="shared" si="2"/>
        <v>COLÉGIO ARBOS SÃO CAETANO DO SUL</v>
      </c>
      <c r="AY9" s="110">
        <f t="shared" si="3"/>
        <v>11615</v>
      </c>
    </row>
    <row r="10" spans="2:51" ht="24.75" customHeight="1" x14ac:dyDescent="0.25">
      <c r="B10" s="44" t="s">
        <v>115</v>
      </c>
      <c r="C10" s="108">
        <f>IF($B10="","",SUMIF('09M'!$AS:$AS,'EFICIÊNCIA 1º ETAPA'!$B10,'09M'!$AU:$AU))</f>
        <v>1766</v>
      </c>
      <c r="D10" s="108">
        <f>IF($B10="","",SUMIF('09F'!$AS:$AS,'EFICIÊNCIA 1º ETAPA'!$B10,'09F'!$AU:$AU))</f>
        <v>415</v>
      </c>
      <c r="E10" s="108">
        <f t="shared" si="4"/>
        <v>2181</v>
      </c>
      <c r="F10" s="108" t="s">
        <v>760</v>
      </c>
      <c r="G10" s="207">
        <v>1000</v>
      </c>
      <c r="H10" s="214"/>
      <c r="I10" s="108">
        <f>IF($B10="","",SUMIF('11M'!$AS:$AS,'EFICIÊNCIA 1º ETAPA'!$B10,'11M'!$AU:$AU))</f>
        <v>840</v>
      </c>
      <c r="J10" s="108">
        <f>IF($B10="","",SUMIF('11F'!$AS:$AS,'EFICIÊNCIA 1º ETAPA'!$B10,'11F'!$AU:$AU))</f>
        <v>565</v>
      </c>
      <c r="K10" s="108">
        <f t="shared" si="5"/>
        <v>1405</v>
      </c>
      <c r="L10" s="108" t="s">
        <v>760</v>
      </c>
      <c r="M10" s="207">
        <v>1000</v>
      </c>
      <c r="N10" s="214"/>
      <c r="O10" s="108">
        <f>IF($B10="","",SUMIF('13M'!$AS:$AS,'EFICIÊNCIA 1º ETAPA'!$B10,'13M'!$AU:$AU))</f>
        <v>350</v>
      </c>
      <c r="P10" s="108">
        <f>IF($B10="","",SUMIF('13F'!$AS:$AS,'EFICIÊNCIA 1º ETAPA'!$B10,'13F'!$AU:$AU))</f>
        <v>70</v>
      </c>
      <c r="Q10" s="108">
        <f t="shared" si="6"/>
        <v>420</v>
      </c>
      <c r="R10" s="108" t="s">
        <v>767</v>
      </c>
      <c r="S10" s="207">
        <v>100</v>
      </c>
      <c r="T10" s="214"/>
      <c r="U10" s="108">
        <f>IF($B10="","",SUMIF('15M'!$AS:$AS,'EFICIÊNCIA 1º ETAPA'!$B10,'15M'!$AU:$AU))</f>
        <v>955</v>
      </c>
      <c r="V10" s="108">
        <f>IF($B10="","",SUMIF('15F'!$AS:$AS,'EFICIÊNCIA 1º ETAPA'!$B10,'15F'!$AU:$AU))</f>
        <v>425</v>
      </c>
      <c r="W10" s="108">
        <f t="shared" si="7"/>
        <v>1380</v>
      </c>
      <c r="X10" s="108" t="s">
        <v>760</v>
      </c>
      <c r="Y10" s="207">
        <v>1000</v>
      </c>
      <c r="Z10" s="214"/>
      <c r="AA10" s="108">
        <f>IF($B10="","",SUMIF('17M'!$AS:$AS,'EFICIÊNCIA 1º ETAPA'!$B10,'17M'!$AU:$AU))</f>
        <v>1100</v>
      </c>
      <c r="AB10" s="108">
        <f>IF($B10="","",SUMIF('17F'!$AS:$AS,'EFICIÊNCIA 1º ETAPA'!$B10,'17F'!$AU:$AU))</f>
        <v>0</v>
      </c>
      <c r="AC10" s="108">
        <f t="shared" si="8"/>
        <v>1100</v>
      </c>
      <c r="AD10" s="108" t="s">
        <v>762</v>
      </c>
      <c r="AE10" s="207">
        <v>700</v>
      </c>
      <c r="AF10" s="214"/>
      <c r="AG10" s="108"/>
      <c r="AH10" s="108"/>
      <c r="AI10" s="108">
        <f t="shared" si="9"/>
        <v>0</v>
      </c>
      <c r="AJ10" s="207"/>
      <c r="AK10" s="207"/>
      <c r="AL10" s="211"/>
      <c r="AM10" s="211"/>
      <c r="AN10" s="211"/>
      <c r="AO10" s="211"/>
      <c r="AP10" s="46">
        <f t="shared" si="0"/>
        <v>16772.099999999999</v>
      </c>
      <c r="AQ10" s="46" t="str">
        <f>IF(AR10="","",B10)</f>
        <v>COLÉGIO ARBOS - UNIDADE SANTO ANDRÉ</v>
      </c>
      <c r="AR10" s="109">
        <f>SUM(C10:AH10)</f>
        <v>16772</v>
      </c>
      <c r="AS10" s="46">
        <f t="shared" si="1"/>
        <v>9990.16</v>
      </c>
      <c r="AT10" s="46">
        <v>4</v>
      </c>
      <c r="AU10" s="45"/>
      <c r="AV10" s="47" t="e">
        <f>IF(B10&lt;&gt;"",_xlfn.RANK.EQ(AY10,$AY$7:$AY$46,0),"")</f>
        <v>#NUM!</v>
      </c>
      <c r="AW10" s="48" t="e">
        <f t="shared" si="10"/>
        <v>#NUM!</v>
      </c>
      <c r="AX10" s="49" t="str">
        <f t="shared" si="2"/>
        <v>COLÉGIO MARCONI - GRU</v>
      </c>
      <c r="AY10" s="110">
        <f t="shared" si="3"/>
        <v>9990</v>
      </c>
    </row>
    <row r="11" spans="2:51" ht="24.75" customHeight="1" x14ac:dyDescent="0.25">
      <c r="B11" s="44" t="s">
        <v>118</v>
      </c>
      <c r="C11" s="108">
        <f>IF($B11="","",SUMIF('09M'!$AS:$AS,'EFICIÊNCIA 1º ETAPA'!$B11,'09M'!$AU:$AU))</f>
        <v>161</v>
      </c>
      <c r="D11" s="108">
        <f>IF($B11="","",SUMIF('09F'!$AS:$AS,'EFICIÊNCIA 1º ETAPA'!$B11,'09F'!$AU:$AU))</f>
        <v>0</v>
      </c>
      <c r="E11" s="108">
        <f t="shared" si="4"/>
        <v>161</v>
      </c>
      <c r="F11" s="108" t="s">
        <v>773</v>
      </c>
      <c r="G11" s="207">
        <v>25</v>
      </c>
      <c r="H11" s="214"/>
      <c r="I11" s="108">
        <f>IF($B11="","",SUMIF('11M'!$AS:$AS,'EFICIÊNCIA 1º ETAPA'!$B11,'11M'!$AU:$AU))</f>
        <v>210</v>
      </c>
      <c r="J11" s="108">
        <f>IF($B11="","",SUMIF('11F'!$AS:$AS,'EFICIÊNCIA 1º ETAPA'!$B11,'11F'!$AU:$AU))</f>
        <v>0</v>
      </c>
      <c r="K11" s="108">
        <f t="shared" si="5"/>
        <v>210</v>
      </c>
      <c r="L11" s="108" t="s">
        <v>772</v>
      </c>
      <c r="M11" s="207">
        <v>25</v>
      </c>
      <c r="N11" s="214"/>
      <c r="O11" s="108">
        <f>IF($B11="","",SUMIF('13M'!$AS:$AS,'EFICIÊNCIA 1º ETAPA'!$B11,'13M'!$AU:$AU))</f>
        <v>0</v>
      </c>
      <c r="P11" s="108">
        <f>IF($B11="","",SUMIF('13F'!$AS:$AS,'EFICIÊNCIA 1º ETAPA'!$B11,'13F'!$AU:$AU))</f>
        <v>150</v>
      </c>
      <c r="Q11" s="108">
        <f t="shared" si="6"/>
        <v>150</v>
      </c>
      <c r="R11" s="108" t="s">
        <v>772</v>
      </c>
      <c r="S11" s="207">
        <v>25</v>
      </c>
      <c r="T11" s="214"/>
      <c r="U11" s="108">
        <f>IF($B11="","",SUMIF('15M'!$AS:$AS,'EFICIÊNCIA 1º ETAPA'!$B11,'15M'!$AU:$AU))</f>
        <v>170</v>
      </c>
      <c r="V11" s="108">
        <f>IF($B11="","",SUMIF('15F'!$AS:$AS,'EFICIÊNCIA 1º ETAPA'!$B11,'15F'!$AU:$AU))</f>
        <v>0</v>
      </c>
      <c r="W11" s="108">
        <f t="shared" si="7"/>
        <v>170</v>
      </c>
      <c r="X11" s="108" t="s">
        <v>776</v>
      </c>
      <c r="Y11" s="207">
        <v>25</v>
      </c>
      <c r="Z11" s="214"/>
      <c r="AA11" s="108">
        <f>IF($B11="","",SUMIF('17M'!$AS:$AS,'EFICIÊNCIA 1º ETAPA'!$B11,'17M'!$AU:$AU))</f>
        <v>70</v>
      </c>
      <c r="AB11" s="108">
        <f>IF($B11="","",SUMIF('17F'!$AS:$AS,'EFICIÊNCIA 1º ETAPA'!$B11,'17F'!$AU:$AU))</f>
        <v>0</v>
      </c>
      <c r="AC11" s="108">
        <f t="shared" si="8"/>
        <v>70</v>
      </c>
      <c r="AD11" s="108" t="s">
        <v>770</v>
      </c>
      <c r="AE11" s="207">
        <v>25</v>
      </c>
      <c r="AF11" s="214"/>
      <c r="AG11" s="108"/>
      <c r="AH11" s="108"/>
      <c r="AI11" s="108">
        <f t="shared" si="9"/>
        <v>0</v>
      </c>
      <c r="AJ11" s="207"/>
      <c r="AK11" s="207"/>
      <c r="AL11" s="211"/>
      <c r="AM11" s="211"/>
      <c r="AN11" s="211"/>
      <c r="AO11" s="211"/>
      <c r="AP11" s="46">
        <f t="shared" si="0"/>
        <v>1647.11</v>
      </c>
      <c r="AQ11" s="46" t="str">
        <f>IF(AR11="","",B11)</f>
        <v>COLÉGIO ARBOS DE SÃO BERNARDO DO CAMPO</v>
      </c>
      <c r="AR11" s="109">
        <f>SUM(C11:AH11)</f>
        <v>1647</v>
      </c>
      <c r="AS11" s="46">
        <f t="shared" si="1"/>
        <v>9232.27</v>
      </c>
      <c r="AT11" s="46">
        <v>5</v>
      </c>
      <c r="AU11" s="45"/>
      <c r="AV11" s="47" t="e">
        <f>IF(B11&lt;&gt;"",_xlfn.RANK.EQ(AY11,$AY$7:$AY$46,0),"")</f>
        <v>#NUM!</v>
      </c>
      <c r="AW11" s="48" t="e">
        <f t="shared" si="10"/>
        <v>#NUM!</v>
      </c>
      <c r="AX11" s="49" t="str">
        <f t="shared" si="2"/>
        <v>ESCOLA VILLARE</v>
      </c>
      <c r="AY11" s="110">
        <f t="shared" si="3"/>
        <v>9232</v>
      </c>
    </row>
    <row r="12" spans="2:51" ht="24.75" customHeight="1" x14ac:dyDescent="0.25">
      <c r="B12" s="44" t="s">
        <v>149</v>
      </c>
      <c r="C12" s="108">
        <f>IF($B12="","",SUMIF('09M'!$AS:$AS,'EFICIÊNCIA 1º ETAPA'!$B12,'09M'!$AU:$AU))</f>
        <v>0</v>
      </c>
      <c r="D12" s="108">
        <f>IF($B12="","",SUMIF('09F'!$AS:$AS,'EFICIÊNCIA 1º ETAPA'!$B12,'09F'!$AU:$AU))</f>
        <v>400</v>
      </c>
      <c r="E12" s="108">
        <f t="shared" si="4"/>
        <v>400</v>
      </c>
      <c r="F12" s="108" t="s">
        <v>768</v>
      </c>
      <c r="G12" s="207">
        <v>50</v>
      </c>
      <c r="H12" s="214"/>
      <c r="I12" s="108">
        <f>IF($B12="","",SUMIF('11M'!$AS:$AS,'EFICIÊNCIA 1º ETAPA'!$B12,'11M'!$AU:$AU))</f>
        <v>275</v>
      </c>
      <c r="J12" s="108">
        <f>IF($B12="","",SUMIF('11F'!$AS:$AS,'EFICIÊNCIA 1º ETAPA'!$B12,'11F'!$AU:$AU))</f>
        <v>0</v>
      </c>
      <c r="K12" s="108">
        <f t="shared" si="5"/>
        <v>275</v>
      </c>
      <c r="L12" s="108" t="s">
        <v>771</v>
      </c>
      <c r="M12" s="207">
        <v>25</v>
      </c>
      <c r="N12" s="214"/>
      <c r="O12" s="108">
        <f>IF($B12="","",SUMIF('13M'!$AS:$AS,'EFICIÊNCIA 1º ETAPA'!$B12,'13M'!$AU:$AU))</f>
        <v>630</v>
      </c>
      <c r="P12" s="108">
        <f>IF($B12="","",SUMIF('13F'!$AS:$AS,'EFICIÊNCIA 1º ETAPA'!$B12,'13F'!$AU:$AU))</f>
        <v>300</v>
      </c>
      <c r="Q12" s="108">
        <f t="shared" si="6"/>
        <v>930</v>
      </c>
      <c r="R12" s="108" t="s">
        <v>763</v>
      </c>
      <c r="S12" s="207">
        <v>600</v>
      </c>
      <c r="T12" s="214"/>
      <c r="U12" s="108">
        <f>IF($B12="","",SUMIF('15M'!$AS:$AS,'EFICIÊNCIA 1º ETAPA'!$B12,'15M'!$AU:$AU))</f>
        <v>660</v>
      </c>
      <c r="V12" s="108">
        <f>IF($B12="","",SUMIF('15F'!$AS:$AS,'EFICIÊNCIA 1º ETAPA'!$B12,'15F'!$AU:$AU))</f>
        <v>260</v>
      </c>
      <c r="W12" s="108">
        <f t="shared" si="7"/>
        <v>920</v>
      </c>
      <c r="X12" s="108" t="s">
        <v>764</v>
      </c>
      <c r="Y12" s="207">
        <v>500</v>
      </c>
      <c r="Z12" s="214"/>
      <c r="AA12" s="108">
        <f>IF($B12="","",SUMIF('17M'!$AS:$AS,'EFICIÊNCIA 1º ETAPA'!$B12,'17M'!$AU:$AU))</f>
        <v>1235</v>
      </c>
      <c r="AB12" s="108">
        <f>IF($B12="","",SUMIF('17F'!$AS:$AS,'EFICIÊNCIA 1º ETAPA'!$B12,'17F'!$AU:$AU))</f>
        <v>960</v>
      </c>
      <c r="AC12" s="108">
        <f t="shared" si="8"/>
        <v>2195</v>
      </c>
      <c r="AD12" s="108" t="s">
        <v>761</v>
      </c>
      <c r="AE12" s="207">
        <v>800</v>
      </c>
      <c r="AF12" s="214"/>
      <c r="AG12" s="108">
        <v>200</v>
      </c>
      <c r="AH12" s="108"/>
      <c r="AI12" s="108">
        <f t="shared" si="9"/>
        <v>200</v>
      </c>
      <c r="AJ12" s="207" t="s">
        <v>760</v>
      </c>
      <c r="AK12" s="207">
        <v>500</v>
      </c>
      <c r="AL12" s="211"/>
      <c r="AM12" s="211"/>
      <c r="AN12" s="211"/>
      <c r="AO12" s="211"/>
      <c r="AP12" s="46">
        <f t="shared" si="0"/>
        <v>11615.12</v>
      </c>
      <c r="AQ12" s="46" t="str">
        <f>IF(AR12="","",B12)</f>
        <v>COLÉGIO ARBOS SÃO CAETANO DO SUL</v>
      </c>
      <c r="AR12" s="109">
        <f>SUM(C12:AH12)</f>
        <v>11615</v>
      </c>
      <c r="AS12" s="46">
        <f t="shared" si="1"/>
        <v>7696.31</v>
      </c>
      <c r="AT12" s="46">
        <v>6</v>
      </c>
      <c r="AU12" s="45"/>
      <c r="AV12" s="47" t="e">
        <f>IF(B12&lt;&gt;"",_xlfn.RANK.EQ(AY12,$AY$7:$AY$46,0),"")</f>
        <v>#NUM!</v>
      </c>
      <c r="AW12" s="48" t="e">
        <f t="shared" si="10"/>
        <v>#NUM!</v>
      </c>
      <c r="AX12" s="49" t="str">
        <f t="shared" si="2"/>
        <v>LICEU JARDIM</v>
      </c>
      <c r="AY12" s="110">
        <f t="shared" si="3"/>
        <v>7696</v>
      </c>
    </row>
    <row r="13" spans="2:51" ht="24.75" customHeight="1" x14ac:dyDescent="0.25">
      <c r="B13" s="44" t="s">
        <v>120</v>
      </c>
      <c r="C13" s="108">
        <f>IF($B13="","",SUMIF('09M'!$AS:$AS,'EFICIÊNCIA 1º ETAPA'!$B13,'09M'!$AU:$AU))</f>
        <v>465</v>
      </c>
      <c r="D13" s="108">
        <f>IF($B13="","",SUMIF('09F'!$AS:$AS,'EFICIÊNCIA 1º ETAPA'!$B13,'09F'!$AU:$AU))</f>
        <v>0</v>
      </c>
      <c r="E13" s="108">
        <f t="shared" si="4"/>
        <v>465</v>
      </c>
      <c r="F13" s="108" t="s">
        <v>766</v>
      </c>
      <c r="G13" s="207">
        <v>200</v>
      </c>
      <c r="H13" s="214"/>
      <c r="I13" s="108">
        <f>IF($B13="","",SUMIF('11M'!$AS:$AS,'EFICIÊNCIA 1º ETAPA'!$B13,'11M'!$AU:$AU))</f>
        <v>130</v>
      </c>
      <c r="J13" s="108">
        <f>IF($B13="","",SUMIF('11F'!$AS:$AS,'EFICIÊNCIA 1º ETAPA'!$B13,'11F'!$AU:$AU))</f>
        <v>0</v>
      </c>
      <c r="K13" s="108">
        <f t="shared" si="5"/>
        <v>130</v>
      </c>
      <c r="L13" s="108" t="s">
        <v>773</v>
      </c>
      <c r="M13" s="207">
        <v>25</v>
      </c>
      <c r="N13" s="214"/>
      <c r="O13" s="108">
        <f>IF($B13="","",SUMIF('13M'!$AS:$AS,'EFICIÊNCIA 1º ETAPA'!$B13,'13M'!$AU:$AU))</f>
        <v>70</v>
      </c>
      <c r="P13" s="108">
        <f>IF($B13="","",SUMIF('13F'!$AS:$AS,'EFICIÊNCIA 1º ETAPA'!$B13,'13F'!$AU:$AU))</f>
        <v>0</v>
      </c>
      <c r="Q13" s="108">
        <f t="shared" si="6"/>
        <v>70</v>
      </c>
      <c r="R13" s="108" t="s">
        <v>777</v>
      </c>
      <c r="S13" s="207">
        <v>25</v>
      </c>
      <c r="T13" s="214"/>
      <c r="U13" s="108">
        <f>IF($B13="","",SUMIF('15M'!$AS:$AS,'EFICIÊNCIA 1º ETAPA'!$B13,'15M'!$AU:$AU))</f>
        <v>0</v>
      </c>
      <c r="V13" s="108">
        <f>IF($B13="","",SUMIF('15F'!$AS:$AS,'EFICIÊNCIA 1º ETAPA'!$B13,'15F'!$AU:$AU))</f>
        <v>100</v>
      </c>
      <c r="W13" s="108">
        <f t="shared" si="7"/>
        <v>100</v>
      </c>
      <c r="X13" s="108" t="s">
        <v>777</v>
      </c>
      <c r="Y13" s="207">
        <v>25</v>
      </c>
      <c r="Z13" s="214"/>
      <c r="AA13" s="108">
        <f>IF($B13="","",SUMIF('17M'!$AS:$AS,'EFICIÊNCIA 1º ETAPA'!$B13,'17M'!$AU:$AU))</f>
        <v>0</v>
      </c>
      <c r="AB13" s="108">
        <f>IF($B13="","",SUMIF('17F'!$AS:$AS,'EFICIÊNCIA 1º ETAPA'!$B13,'17F'!$AU:$AU))</f>
        <v>0</v>
      </c>
      <c r="AC13" s="108">
        <f t="shared" si="8"/>
        <v>0</v>
      </c>
      <c r="AD13" s="108"/>
      <c r="AE13" s="207"/>
      <c r="AF13" s="214"/>
      <c r="AG13" s="108"/>
      <c r="AH13" s="108"/>
      <c r="AI13" s="108">
        <f t="shared" si="9"/>
        <v>0</v>
      </c>
      <c r="AJ13" s="207"/>
      <c r="AK13" s="207"/>
      <c r="AL13" s="211"/>
      <c r="AM13" s="211"/>
      <c r="AN13" s="211"/>
      <c r="AO13" s="211"/>
      <c r="AP13" s="46">
        <f t="shared" si="0"/>
        <v>1805.13</v>
      </c>
      <c r="AQ13" s="46" t="str">
        <f>IF(AR13="","",B13)</f>
        <v>COLÉGIO ATENEU</v>
      </c>
      <c r="AR13" s="109">
        <f>SUM(C13:AH13)</f>
        <v>1805</v>
      </c>
      <c r="AS13" s="46">
        <f t="shared" si="1"/>
        <v>6922.17</v>
      </c>
      <c r="AT13" s="46">
        <v>7</v>
      </c>
      <c r="AU13" s="45"/>
      <c r="AV13" s="47" t="e">
        <f>IF(B13&lt;&gt;"",_xlfn.RANK.EQ(AY13,$AY$7:$AY$46,0),"")</f>
        <v>#NUM!</v>
      </c>
      <c r="AW13" s="48" t="e">
        <f t="shared" si="10"/>
        <v>#NUM!</v>
      </c>
      <c r="AX13" s="49" t="str">
        <f t="shared" si="2"/>
        <v>COLEGIO PETROPOLIS</v>
      </c>
      <c r="AY13" s="110">
        <f t="shared" si="3"/>
        <v>6922</v>
      </c>
    </row>
    <row r="14" spans="2:51" ht="24.75" customHeight="1" x14ac:dyDescent="0.25">
      <c r="B14" s="44" t="s">
        <v>275</v>
      </c>
      <c r="C14" s="108">
        <f>IF($B14="","",SUMIF('09M'!$AS:$AS,'EFICIÊNCIA 1º ETAPA'!$B14,'09M'!$AU:$AU))</f>
        <v>0</v>
      </c>
      <c r="D14" s="108">
        <f>IF($B14="","",SUMIF('09F'!$AS:$AS,'EFICIÊNCIA 1º ETAPA'!$B14,'09F'!$AU:$AU))</f>
        <v>0</v>
      </c>
      <c r="E14" s="108">
        <f t="shared" si="4"/>
        <v>0</v>
      </c>
      <c r="F14" s="108"/>
      <c r="G14" s="207"/>
      <c r="H14" s="214"/>
      <c r="I14" s="108">
        <f>IF($B14="","",SUMIF('11M'!$AS:$AS,'EFICIÊNCIA 1º ETAPA'!$B14,'11M'!$AU:$AU))</f>
        <v>0</v>
      </c>
      <c r="J14" s="108">
        <f>IF($B14="","",SUMIF('11F'!$AS:$AS,'EFICIÊNCIA 1º ETAPA'!$B14,'11F'!$AU:$AU))</f>
        <v>400</v>
      </c>
      <c r="K14" s="108">
        <f t="shared" si="5"/>
        <v>400</v>
      </c>
      <c r="L14" s="108" t="s">
        <v>769</v>
      </c>
      <c r="M14" s="207">
        <v>25</v>
      </c>
      <c r="N14" s="214"/>
      <c r="O14" s="108">
        <f>IF($B14="","",SUMIF('13M'!$AS:$AS,'EFICIÊNCIA 1º ETAPA'!$B14,'13M'!$AU:$AU))</f>
        <v>0</v>
      </c>
      <c r="P14" s="108">
        <f>IF($B14="","",SUMIF('13F'!$AS:$AS,'EFICIÊNCIA 1º ETAPA'!$B14,'13F'!$AU:$AU))</f>
        <v>0</v>
      </c>
      <c r="Q14" s="108">
        <f t="shared" si="6"/>
        <v>0</v>
      </c>
      <c r="R14" s="108"/>
      <c r="S14" s="207"/>
      <c r="T14" s="214"/>
      <c r="U14" s="108">
        <f>IF($B14="","",SUMIF('15M'!$AS:$AS,'EFICIÊNCIA 1º ETAPA'!$B14,'15M'!$AU:$AU))</f>
        <v>240</v>
      </c>
      <c r="V14" s="108">
        <f>IF($B14="","",SUMIF('15F'!$AS:$AS,'EFICIÊNCIA 1º ETAPA'!$B14,'15F'!$AU:$AU))</f>
        <v>0</v>
      </c>
      <c r="W14" s="108">
        <f t="shared" si="7"/>
        <v>240</v>
      </c>
      <c r="X14" s="108" t="s">
        <v>769</v>
      </c>
      <c r="Y14" s="207">
        <v>25</v>
      </c>
      <c r="Z14" s="214"/>
      <c r="AA14" s="108">
        <f>IF($B14="","",SUMIF('17M'!$AS:$AS,'EFICIÊNCIA 1º ETAPA'!$B14,'17M'!$AU:$AU))</f>
        <v>0</v>
      </c>
      <c r="AB14" s="108">
        <f>IF($B14="","",SUMIF('17F'!$AS:$AS,'EFICIÊNCIA 1º ETAPA'!$B14,'17F'!$AU:$AU))</f>
        <v>0</v>
      </c>
      <c r="AC14" s="108">
        <f t="shared" si="8"/>
        <v>0</v>
      </c>
      <c r="AD14" s="108"/>
      <c r="AE14" s="207"/>
      <c r="AF14" s="214"/>
      <c r="AG14" s="108"/>
      <c r="AH14" s="108"/>
      <c r="AI14" s="108">
        <f t="shared" si="9"/>
        <v>0</v>
      </c>
      <c r="AJ14" s="207"/>
      <c r="AK14" s="207"/>
      <c r="AL14" s="211"/>
      <c r="AM14" s="211"/>
      <c r="AN14" s="211"/>
      <c r="AO14" s="211"/>
      <c r="AP14" s="46">
        <f t="shared" si="0"/>
        <v>1330.14</v>
      </c>
      <c r="AQ14" s="46" t="str">
        <f>IF(AR14="","",B14)</f>
        <v>COLÉGIO BANDEIRANTES</v>
      </c>
      <c r="AR14" s="109">
        <f>SUM(C14:AH14)</f>
        <v>1330</v>
      </c>
      <c r="AS14" s="46">
        <f t="shared" si="1"/>
        <v>6367.07</v>
      </c>
      <c r="AT14" s="46">
        <v>8</v>
      </c>
      <c r="AU14" s="45"/>
      <c r="AV14" s="47" t="e">
        <f>IF(B14&lt;&gt;"",_xlfn.RANK.EQ(AY14,$AY$7:$AY$46,0),"")</f>
        <v>#NUM!</v>
      </c>
      <c r="AW14" s="48" t="e">
        <f t="shared" si="10"/>
        <v>#NUM!</v>
      </c>
      <c r="AX14" s="49" t="str">
        <f t="shared" si="2"/>
        <v>ABACO IPIRANGA</v>
      </c>
      <c r="AY14" s="110">
        <f t="shared" si="3"/>
        <v>6367</v>
      </c>
    </row>
    <row r="15" spans="2:51" ht="24.75" customHeight="1" x14ac:dyDescent="0.25">
      <c r="B15" s="44" t="s">
        <v>111</v>
      </c>
      <c r="C15" s="108">
        <f>IF($B15="","",SUMIF('09M'!$AS:$AS,'EFICIÊNCIA 1º ETAPA'!$B15,'09M'!$AU:$AU))</f>
        <v>0</v>
      </c>
      <c r="D15" s="108">
        <f>IF($B15="","",SUMIF('09F'!$AS:$AS,'EFICIÊNCIA 1º ETAPA'!$B15,'09F'!$AU:$AU))</f>
        <v>460</v>
      </c>
      <c r="E15" s="108">
        <f t="shared" si="4"/>
        <v>460</v>
      </c>
      <c r="F15" s="108" t="s">
        <v>767</v>
      </c>
      <c r="G15" s="207">
        <v>100</v>
      </c>
      <c r="H15" s="214"/>
      <c r="I15" s="108">
        <f>IF($B15="","",SUMIF('11M'!$AS:$AS,'EFICIÊNCIA 1º ETAPA'!$B15,'11M'!$AU:$AU))</f>
        <v>40</v>
      </c>
      <c r="J15" s="108">
        <f>IF($B15="","",SUMIF('11F'!$AS:$AS,'EFICIÊNCIA 1º ETAPA'!$B15,'11F'!$AU:$AU))</f>
        <v>838</v>
      </c>
      <c r="K15" s="108">
        <f t="shared" si="5"/>
        <v>878</v>
      </c>
      <c r="L15" s="108" t="s">
        <v>764</v>
      </c>
      <c r="M15" s="207">
        <v>500</v>
      </c>
      <c r="N15" s="214"/>
      <c r="O15" s="108">
        <f>IF($B15="","",SUMIF('13M'!$AS:$AS,'EFICIÊNCIA 1º ETAPA'!$B15,'13M'!$AU:$AU))</f>
        <v>0</v>
      </c>
      <c r="P15" s="108">
        <f>IF($B15="","",SUMIF('13F'!$AS:$AS,'EFICIÊNCIA 1º ETAPA'!$B15,'13F'!$AU:$AU))</f>
        <v>100</v>
      </c>
      <c r="Q15" s="108">
        <f t="shared" si="6"/>
        <v>100</v>
      </c>
      <c r="R15" s="108" t="s">
        <v>774</v>
      </c>
      <c r="S15" s="207">
        <v>25</v>
      </c>
      <c r="T15" s="214"/>
      <c r="U15" s="108">
        <f>IF($B15="","",SUMIF('15M'!$AS:$AS,'EFICIÊNCIA 1º ETAPA'!$B15,'15M'!$AU:$AU))</f>
        <v>1050</v>
      </c>
      <c r="V15" s="108">
        <f>IF($B15="","",SUMIF('15F'!$AS:$AS,'EFICIÊNCIA 1º ETAPA'!$B15,'15F'!$AU:$AU))</f>
        <v>275</v>
      </c>
      <c r="W15" s="108">
        <f t="shared" si="7"/>
        <v>1325</v>
      </c>
      <c r="X15" s="108" t="s">
        <v>761</v>
      </c>
      <c r="Y15" s="207">
        <v>800</v>
      </c>
      <c r="Z15" s="214"/>
      <c r="AA15" s="108">
        <f>IF($B15="","",SUMIF('17M'!$AS:$AS,'EFICIÊNCIA 1º ETAPA'!$B15,'17M'!$AU:$AU))</f>
        <v>1268</v>
      </c>
      <c r="AB15" s="108">
        <f>IF($B15="","",SUMIF('17F'!$AS:$AS,'EFICIÊNCIA 1º ETAPA'!$B15,'17F'!$AU:$AU))</f>
        <v>1340</v>
      </c>
      <c r="AC15" s="108">
        <f t="shared" si="8"/>
        <v>2608</v>
      </c>
      <c r="AD15" s="108" t="s">
        <v>760</v>
      </c>
      <c r="AE15" s="207">
        <v>1000</v>
      </c>
      <c r="AF15" s="214"/>
      <c r="AG15" s="108"/>
      <c r="AH15" s="108"/>
      <c r="AI15" s="108">
        <f t="shared" si="9"/>
        <v>0</v>
      </c>
      <c r="AJ15" s="207"/>
      <c r="AK15" s="207"/>
      <c r="AL15" s="211"/>
      <c r="AM15" s="211"/>
      <c r="AN15" s="211"/>
      <c r="AO15" s="211"/>
      <c r="AP15" s="46">
        <f t="shared" si="0"/>
        <v>13167.15</v>
      </c>
      <c r="AQ15" s="46" t="str">
        <f>IF(AR15="","",B15)</f>
        <v>COLÉGIO ENGENHEIRO SALVADOR ARENA</v>
      </c>
      <c r="AR15" s="109">
        <f>SUM(C15:AH15)</f>
        <v>13167</v>
      </c>
      <c r="AS15" s="46">
        <f t="shared" si="1"/>
        <v>4686.32</v>
      </c>
      <c r="AT15" s="46">
        <v>9</v>
      </c>
      <c r="AU15" s="45"/>
      <c r="AV15" s="47" t="e">
        <f>IF(B15&lt;&gt;"",_xlfn.RANK.EQ(AY15,$AY$7:$AY$46,0),"")</f>
        <v>#NUM!</v>
      </c>
      <c r="AW15" s="48" t="e">
        <f t="shared" si="10"/>
        <v>#NUM!</v>
      </c>
      <c r="AX15" s="49" t="str">
        <f t="shared" si="2"/>
        <v>PEN LIFE</v>
      </c>
      <c r="AY15" s="110">
        <f t="shared" si="3"/>
        <v>4686</v>
      </c>
    </row>
    <row r="16" spans="2:51" ht="24.75" customHeight="1" x14ac:dyDescent="0.25">
      <c r="B16" s="44" t="s">
        <v>154</v>
      </c>
      <c r="C16" s="108">
        <f>IF($B16="","",SUMIF('09M'!$AS:$AS,'EFICIÊNCIA 1º ETAPA'!$B16,'09M'!$AU:$AU))</f>
        <v>470</v>
      </c>
      <c r="D16" s="108">
        <f>IF($B16="","",SUMIF('09F'!$AS:$AS,'EFICIÊNCIA 1º ETAPA'!$B16,'09F'!$AU:$AU))</f>
        <v>0</v>
      </c>
      <c r="E16" s="108">
        <f t="shared" si="4"/>
        <v>470</v>
      </c>
      <c r="F16" s="108" t="s">
        <v>765</v>
      </c>
      <c r="G16" s="207">
        <v>400</v>
      </c>
      <c r="H16" s="214"/>
      <c r="I16" s="108">
        <f>IF($B16="","",SUMIF('11M'!$AS:$AS,'EFICIÊNCIA 1º ETAPA'!$B16,'11M'!$AU:$AU))</f>
        <v>740</v>
      </c>
      <c r="J16" s="108">
        <f>IF($B16="","",SUMIF('11F'!$AS:$AS,'EFICIÊNCIA 1º ETAPA'!$B16,'11F'!$AU:$AU))</f>
        <v>170</v>
      </c>
      <c r="K16" s="108">
        <f t="shared" si="5"/>
        <v>910</v>
      </c>
      <c r="L16" s="108" t="s">
        <v>763</v>
      </c>
      <c r="M16" s="207">
        <v>600</v>
      </c>
      <c r="N16" s="214"/>
      <c r="O16" s="108">
        <f>IF($B16="","",SUMIF('13M'!$AS:$AS,'EFICIÊNCIA 1º ETAPA'!$B16,'13M'!$AU:$AU))</f>
        <v>620</v>
      </c>
      <c r="P16" s="108">
        <f>IF($B16="","",SUMIF('13F'!$AS:$AS,'EFICIÊNCIA 1º ETAPA'!$B16,'13F'!$AU:$AU))</f>
        <v>620</v>
      </c>
      <c r="Q16" s="108">
        <f t="shared" si="6"/>
        <v>1240</v>
      </c>
      <c r="R16" s="108" t="s">
        <v>760</v>
      </c>
      <c r="S16" s="207">
        <v>1000</v>
      </c>
      <c r="T16" s="214"/>
      <c r="U16" s="108">
        <f>IF($B16="","",SUMIF('15M'!$AS:$AS,'EFICIÊNCIA 1º ETAPA'!$B16,'15M'!$AU:$AU))</f>
        <v>375</v>
      </c>
      <c r="V16" s="108">
        <f>IF($B16="","",SUMIF('15F'!$AS:$AS,'EFICIÊNCIA 1º ETAPA'!$B16,'15F'!$AU:$AU))</f>
        <v>700</v>
      </c>
      <c r="W16" s="108">
        <f t="shared" si="7"/>
        <v>1075</v>
      </c>
      <c r="X16" s="108" t="s">
        <v>763</v>
      </c>
      <c r="Y16" s="207">
        <v>600</v>
      </c>
      <c r="Z16" s="214"/>
      <c r="AA16" s="108">
        <f>IF($B16="","",SUMIF('17M'!$AS:$AS,'EFICIÊNCIA 1º ETAPA'!$B16,'17M'!$AU:$AU))</f>
        <v>0</v>
      </c>
      <c r="AB16" s="108">
        <f>IF($B16="","",SUMIF('17F'!$AS:$AS,'EFICIÊNCIA 1º ETAPA'!$B16,'17F'!$AU:$AU))</f>
        <v>0</v>
      </c>
      <c r="AC16" s="108">
        <f t="shared" si="8"/>
        <v>0</v>
      </c>
      <c r="AD16" s="108"/>
      <c r="AE16" s="207"/>
      <c r="AF16" s="214"/>
      <c r="AG16" s="108"/>
      <c r="AH16" s="108"/>
      <c r="AI16" s="108">
        <f t="shared" si="9"/>
        <v>0</v>
      </c>
      <c r="AJ16" s="207"/>
      <c r="AK16" s="207"/>
      <c r="AL16" s="211"/>
      <c r="AM16" s="211"/>
      <c r="AN16" s="211"/>
      <c r="AO16" s="211"/>
      <c r="AP16" s="46">
        <f t="shared" si="0"/>
        <v>9990.16</v>
      </c>
      <c r="AQ16" s="46" t="str">
        <f>IF(AR16="","",B16)</f>
        <v>COLÉGIO MARCONI - GRU</v>
      </c>
      <c r="AR16" s="109">
        <f>SUM(C16:AH16)</f>
        <v>9990</v>
      </c>
      <c r="AS16" s="46">
        <f t="shared" si="1"/>
        <v>2104.2600000000002</v>
      </c>
      <c r="AT16" s="46">
        <v>10</v>
      </c>
      <c r="AU16" s="45"/>
      <c r="AV16" s="47" t="e">
        <f>IF(B16&lt;&gt;"",_xlfn.RANK.EQ(AY16,$AY$7:$AY$46,0),"")</f>
        <v>#NUM!</v>
      </c>
      <c r="AW16" s="48" t="e">
        <f t="shared" si="10"/>
        <v>#NUM!</v>
      </c>
      <c r="AX16" s="49" t="str">
        <f t="shared" si="2"/>
        <v>ESCOLA STAGIUM</v>
      </c>
      <c r="AY16" s="110">
        <f t="shared" si="3"/>
        <v>2104</v>
      </c>
    </row>
    <row r="17" spans="2:51" ht="24.75" customHeight="1" x14ac:dyDescent="0.25">
      <c r="B17" s="44" t="s">
        <v>188</v>
      </c>
      <c r="C17" s="108">
        <f>IF($B17="","",SUMIF('09M'!$AS:$AS,'EFICIÊNCIA 1º ETAPA'!$B17,'09M'!$AU:$AU))</f>
        <v>0</v>
      </c>
      <c r="D17" s="108">
        <f>IF($B17="","",SUMIF('09F'!$AS:$AS,'EFICIÊNCIA 1º ETAPA'!$B17,'09F'!$AU:$AU))</f>
        <v>0</v>
      </c>
      <c r="E17" s="108">
        <f t="shared" si="4"/>
        <v>0</v>
      </c>
      <c r="F17" s="108"/>
      <c r="G17" s="207"/>
      <c r="H17" s="214"/>
      <c r="I17" s="108">
        <f>IF($B17="","",SUMIF('11M'!$AS:$AS,'EFICIÊNCIA 1º ETAPA'!$B17,'11M'!$AU:$AU))</f>
        <v>438</v>
      </c>
      <c r="J17" s="108">
        <f>IF($B17="","",SUMIF('11F'!$AS:$AS,'EFICIÊNCIA 1º ETAPA'!$B17,'11F'!$AU:$AU))</f>
        <v>280</v>
      </c>
      <c r="K17" s="108">
        <f t="shared" si="5"/>
        <v>718</v>
      </c>
      <c r="L17" s="108" t="s">
        <v>775</v>
      </c>
      <c r="M17" s="207">
        <v>300</v>
      </c>
      <c r="N17" s="214"/>
      <c r="O17" s="108">
        <f>IF($B17="","",SUMIF('13M'!$AS:$AS,'EFICIÊNCIA 1º ETAPA'!$B17,'13M'!$AU:$AU))</f>
        <v>825</v>
      </c>
      <c r="P17" s="108">
        <f>IF($B17="","",SUMIF('13F'!$AS:$AS,'EFICIÊNCIA 1º ETAPA'!$B17,'13F'!$AU:$AU))</f>
        <v>300</v>
      </c>
      <c r="Q17" s="108">
        <f t="shared" si="6"/>
        <v>1125</v>
      </c>
      <c r="R17" s="108" t="s">
        <v>761</v>
      </c>
      <c r="S17" s="207">
        <v>800</v>
      </c>
      <c r="T17" s="214"/>
      <c r="U17" s="108">
        <f>IF($B17="","",SUMIF('15M'!$AS:$AS,'EFICIÊNCIA 1º ETAPA'!$B17,'15M'!$AU:$AU))</f>
        <v>308</v>
      </c>
      <c r="V17" s="108">
        <f>IF($B17="","",SUMIF('15F'!$AS:$AS,'EFICIÊNCIA 1º ETAPA'!$B17,'15F'!$AU:$AU))</f>
        <v>270</v>
      </c>
      <c r="W17" s="108">
        <f t="shared" si="7"/>
        <v>578</v>
      </c>
      <c r="X17" s="108" t="s">
        <v>775</v>
      </c>
      <c r="Y17" s="207">
        <v>300</v>
      </c>
      <c r="Z17" s="214"/>
      <c r="AA17" s="108">
        <f>IF($B17="","",SUMIF('17M'!$AS:$AS,'EFICIÊNCIA 1º ETAPA'!$B17,'17M'!$AU:$AU))</f>
        <v>240</v>
      </c>
      <c r="AB17" s="108">
        <f>IF($B17="","",SUMIF('17F'!$AS:$AS,'EFICIÊNCIA 1º ETAPA'!$B17,'17F'!$AU:$AU))</f>
        <v>0</v>
      </c>
      <c r="AC17" s="108">
        <f t="shared" si="8"/>
        <v>240</v>
      </c>
      <c r="AD17" s="108" t="s">
        <v>766</v>
      </c>
      <c r="AE17" s="207">
        <v>200</v>
      </c>
      <c r="AF17" s="214"/>
      <c r="AG17" s="108"/>
      <c r="AH17" s="108"/>
      <c r="AI17" s="108">
        <f t="shared" si="9"/>
        <v>0</v>
      </c>
      <c r="AJ17" s="207"/>
      <c r="AK17" s="207"/>
      <c r="AL17" s="211"/>
      <c r="AM17" s="211"/>
      <c r="AN17" s="211"/>
      <c r="AO17" s="211"/>
      <c r="AP17" s="46">
        <f t="shared" si="0"/>
        <v>6922.17</v>
      </c>
      <c r="AQ17" s="46" t="str">
        <f>IF(AR17="","",B17)</f>
        <v>COLEGIO PETROPOLIS</v>
      </c>
      <c r="AR17" s="109">
        <f>SUM(C17:AH17)</f>
        <v>6922</v>
      </c>
      <c r="AS17" s="46">
        <f t="shared" si="1"/>
        <v>1900.09</v>
      </c>
      <c r="AT17" s="46">
        <v>11</v>
      </c>
      <c r="AU17" s="45"/>
      <c r="AV17" s="47" t="e">
        <f>IF(B17&lt;&gt;"",_xlfn.RANK.EQ(AY17,$AY$7:$AY$46,0),"")</f>
        <v>#NUM!</v>
      </c>
      <c r="AW17" s="48" t="e">
        <f t="shared" si="10"/>
        <v>#NUM!</v>
      </c>
      <c r="AX17" s="49" t="str">
        <f t="shared" si="2"/>
        <v>CENTRO DE ESTUDOS JÚLIO VERNE</v>
      </c>
      <c r="AY17" s="110">
        <f t="shared" si="3"/>
        <v>1900</v>
      </c>
    </row>
    <row r="18" spans="2:51" ht="24.75" customHeight="1" x14ac:dyDescent="0.25">
      <c r="B18" s="44" t="s">
        <v>232</v>
      </c>
      <c r="C18" s="108">
        <f>IF($B18="","",SUMIF('09M'!$AS:$AS,'EFICIÊNCIA 1º ETAPA'!$B18,'09M'!$AU:$AU))</f>
        <v>0</v>
      </c>
      <c r="D18" s="108">
        <f>IF($B18="","",SUMIF('09F'!$AS:$AS,'EFICIÊNCIA 1º ETAPA'!$B18,'09F'!$AU:$AU))</f>
        <v>0</v>
      </c>
      <c r="E18" s="108">
        <f t="shared" si="4"/>
        <v>0</v>
      </c>
      <c r="F18" s="108"/>
      <c r="G18" s="207"/>
      <c r="H18" s="214"/>
      <c r="I18" s="108">
        <f>IF($B18="","",SUMIF('11M'!$AS:$AS,'EFICIÊNCIA 1º ETAPA'!$B18,'11M'!$AU:$AU))</f>
        <v>320</v>
      </c>
      <c r="J18" s="108">
        <f>IF($B18="","",SUMIF('11F'!$AS:$AS,'EFICIÊNCIA 1º ETAPA'!$B18,'11F'!$AU:$AU))</f>
        <v>180</v>
      </c>
      <c r="K18" s="108">
        <f t="shared" si="5"/>
        <v>500</v>
      </c>
      <c r="L18" s="108" t="s">
        <v>767</v>
      </c>
      <c r="M18" s="207">
        <v>100</v>
      </c>
      <c r="N18" s="214"/>
      <c r="O18" s="108">
        <f>IF($B18="","",SUMIF('13M'!$AS:$AS,'EFICIÊNCIA 1º ETAPA'!$B18,'13M'!$AU:$AU))</f>
        <v>670</v>
      </c>
      <c r="P18" s="108">
        <f>IF($B18="","",SUMIF('13F'!$AS:$AS,'EFICIÊNCIA 1º ETAPA'!$B18,'13F'!$AU:$AU))</f>
        <v>0</v>
      </c>
      <c r="Q18" s="108">
        <f t="shared" si="6"/>
        <v>670</v>
      </c>
      <c r="R18" s="108" t="s">
        <v>775</v>
      </c>
      <c r="S18" s="207">
        <v>300</v>
      </c>
      <c r="T18" s="214"/>
      <c r="U18" s="108">
        <f>IF($B18="","",SUMIF('15M'!$AS:$AS,'EFICIÊNCIA 1º ETAPA'!$B18,'15M'!$AU:$AU))</f>
        <v>0</v>
      </c>
      <c r="V18" s="108">
        <f>IF($B18="","",SUMIF('15F'!$AS:$AS,'EFICIÊNCIA 1º ETAPA'!$B18,'15F'!$AU:$AU))</f>
        <v>0</v>
      </c>
      <c r="W18" s="108">
        <f t="shared" si="7"/>
        <v>0</v>
      </c>
      <c r="X18" s="108"/>
      <c r="Y18" s="207"/>
      <c r="Z18" s="214"/>
      <c r="AA18" s="108">
        <f>IF($B18="","",SUMIF('17M'!$AS:$AS,'EFICIÊNCIA 1º ETAPA'!$B18,'17M'!$AU:$AU))</f>
        <v>0</v>
      </c>
      <c r="AB18" s="108">
        <f>IF($B18="","",SUMIF('17F'!$AS:$AS,'EFICIÊNCIA 1º ETAPA'!$B18,'17F'!$AU:$AU))</f>
        <v>0</v>
      </c>
      <c r="AC18" s="108">
        <f t="shared" si="8"/>
        <v>0</v>
      </c>
      <c r="AD18" s="108"/>
      <c r="AE18" s="207"/>
      <c r="AF18" s="214"/>
      <c r="AG18" s="108"/>
      <c r="AH18" s="108"/>
      <c r="AI18" s="108">
        <f t="shared" si="9"/>
        <v>0</v>
      </c>
      <c r="AJ18" s="207"/>
      <c r="AK18" s="207"/>
      <c r="AL18" s="211"/>
      <c r="AM18" s="211"/>
      <c r="AN18" s="211"/>
      <c r="AO18" s="211"/>
      <c r="AP18" s="46" t="str">
        <f t="shared" si="0"/>
        <v/>
      </c>
      <c r="AQ18" s="46" t="str">
        <f>IF(AR18="","",B18)</f>
        <v/>
      </c>
      <c r="AR18" s="109"/>
      <c r="AS18" s="46" t="str">
        <f t="shared" si="1"/>
        <v/>
      </c>
      <c r="AT18" s="46">
        <v>12</v>
      </c>
      <c r="AU18" s="45"/>
      <c r="AV18" s="47" t="e">
        <f>IF(B18&lt;&gt;"",_xlfn.RANK.EQ(AY18,$AY$7:$AY$46,0),"")</f>
        <v>#VALUE!</v>
      </c>
      <c r="AW18" s="48" t="e">
        <f t="shared" si="10"/>
        <v>#VALUE!</v>
      </c>
      <c r="AX18" s="49" t="str">
        <f t="shared" si="2"/>
        <v/>
      </c>
      <c r="AY18" s="110" t="str">
        <f t="shared" si="3"/>
        <v/>
      </c>
    </row>
    <row r="19" spans="2:51" ht="24.75" customHeight="1" x14ac:dyDescent="0.25">
      <c r="B19" s="44" t="s">
        <v>147</v>
      </c>
      <c r="C19" s="108">
        <f>IF($B19="","",SUMIF('09M'!$AS:$AS,'EFICIÊNCIA 1º ETAPA'!$B19,'09M'!$AU:$AU))</f>
        <v>130</v>
      </c>
      <c r="D19" s="108">
        <f>IF($B19="","",SUMIF('09F'!$AS:$AS,'EFICIÊNCIA 1º ETAPA'!$B19,'09F'!$AU:$AU))</f>
        <v>340</v>
      </c>
      <c r="E19" s="108">
        <f t="shared" si="4"/>
        <v>470</v>
      </c>
      <c r="F19" s="108" t="s">
        <v>765</v>
      </c>
      <c r="G19" s="207">
        <v>400</v>
      </c>
      <c r="H19" s="214"/>
      <c r="I19" s="108">
        <f>IF($B19="","",SUMIF('11M'!$AS:$AS,'EFICIÊNCIA 1º ETAPA'!$B19,'11M'!$AU:$AU))</f>
        <v>0</v>
      </c>
      <c r="J19" s="108">
        <f>IF($B19="","",SUMIF('11F'!$AS:$AS,'EFICIÊNCIA 1º ETAPA'!$B19,'11F'!$AU:$AU))</f>
        <v>0</v>
      </c>
      <c r="K19" s="108">
        <f t="shared" si="5"/>
        <v>0</v>
      </c>
      <c r="L19" s="108"/>
      <c r="M19" s="207"/>
      <c r="N19" s="214"/>
      <c r="O19" s="108">
        <f>IF($B19="","",SUMIF('13M'!$AS:$AS,'EFICIÊNCIA 1º ETAPA'!$B19,'13M'!$AU:$AU))</f>
        <v>140</v>
      </c>
      <c r="P19" s="108">
        <f>IF($B19="","",SUMIF('13F'!$AS:$AS,'EFICIÊNCIA 1º ETAPA'!$B19,'13F'!$AU:$AU))</f>
        <v>170</v>
      </c>
      <c r="Q19" s="108">
        <f t="shared" si="6"/>
        <v>310</v>
      </c>
      <c r="R19" s="108" t="s">
        <v>768</v>
      </c>
      <c r="S19" s="207">
        <v>50</v>
      </c>
      <c r="T19" s="214"/>
      <c r="U19" s="108">
        <f>IF($B19="","",SUMIF('15M'!$AS:$AS,'EFICIÊNCIA 1º ETAPA'!$B19,'15M'!$AU:$AU))</f>
        <v>98</v>
      </c>
      <c r="V19" s="108">
        <f>IF($B19="","",SUMIF('15F'!$AS:$AS,'EFICIÊNCIA 1º ETAPA'!$B19,'15F'!$AU:$AU))</f>
        <v>520</v>
      </c>
      <c r="W19" s="108">
        <f t="shared" si="7"/>
        <v>618</v>
      </c>
      <c r="X19" s="108" t="s">
        <v>765</v>
      </c>
      <c r="Y19" s="207">
        <v>400</v>
      </c>
      <c r="Z19" s="214"/>
      <c r="AA19" s="108">
        <f>IF($B19="","",SUMIF('17M'!$AS:$AS,'EFICIÊNCIA 1º ETAPA'!$B19,'17M'!$AU:$AU))</f>
        <v>0</v>
      </c>
      <c r="AB19" s="108">
        <f>IF($B19="","",SUMIF('17F'!$AS:$AS,'EFICIÊNCIA 1º ETAPA'!$B19,'17F'!$AU:$AU))</f>
        <v>140</v>
      </c>
      <c r="AC19" s="108">
        <f t="shared" si="8"/>
        <v>140</v>
      </c>
      <c r="AD19" s="108" t="s">
        <v>768</v>
      </c>
      <c r="AE19" s="207">
        <v>50</v>
      </c>
      <c r="AF19" s="214"/>
      <c r="AG19" s="108"/>
      <c r="AH19" s="108"/>
      <c r="AI19" s="108">
        <f t="shared" si="9"/>
        <v>0</v>
      </c>
      <c r="AJ19" s="207"/>
      <c r="AK19" s="207"/>
      <c r="AL19" s="211"/>
      <c r="AM19" s="211"/>
      <c r="AN19" s="211"/>
      <c r="AO19" s="211"/>
      <c r="AP19" s="46" t="str">
        <f t="shared" si="0"/>
        <v/>
      </c>
      <c r="AQ19" s="46" t="str">
        <f>IF(AR19="","",B19)</f>
        <v/>
      </c>
      <c r="AR19" s="109"/>
      <c r="AS19" s="46" t="str">
        <f t="shared" si="1"/>
        <v/>
      </c>
      <c r="AT19" s="46">
        <v>13</v>
      </c>
      <c r="AU19" s="45"/>
      <c r="AV19" s="47" t="e">
        <f>IF(B19&lt;&gt;"",_xlfn.RANK.EQ(AY19,$AY$7:$AY$46,0),"")</f>
        <v>#VALUE!</v>
      </c>
      <c r="AW19" s="48" t="e">
        <f t="shared" si="10"/>
        <v>#VALUE!</v>
      </c>
      <c r="AX19" s="49" t="str">
        <f t="shared" si="2"/>
        <v/>
      </c>
      <c r="AY19" s="110" t="str">
        <f t="shared" si="3"/>
        <v/>
      </c>
    </row>
    <row r="20" spans="2:51" ht="24.75" customHeight="1" x14ac:dyDescent="0.25">
      <c r="B20" s="44" t="s">
        <v>222</v>
      </c>
      <c r="C20" s="108">
        <f>IF($B20="","",SUMIF('09M'!$AS:$AS,'EFICIÊNCIA 1º ETAPA'!$B20,'09M'!$AU:$AU))</f>
        <v>0</v>
      </c>
      <c r="D20" s="108">
        <f>IF($B20="","",SUMIF('09F'!$AS:$AS,'EFICIÊNCIA 1º ETAPA'!$B20,'09F'!$AU:$AU))</f>
        <v>0</v>
      </c>
      <c r="E20" s="108">
        <f t="shared" si="4"/>
        <v>0</v>
      </c>
      <c r="F20" s="108"/>
      <c r="G20" s="207"/>
      <c r="H20" s="214"/>
      <c r="I20" s="108">
        <f>IF($B20="","",SUMIF('11M'!$AS:$AS,'EFICIÊNCIA 1º ETAPA'!$B20,'11M'!$AU:$AU))</f>
        <v>345</v>
      </c>
      <c r="J20" s="108">
        <f>IF($B20="","",SUMIF('11F'!$AS:$AS,'EFICIÊNCIA 1º ETAPA'!$B20,'11F'!$AU:$AU))</f>
        <v>30</v>
      </c>
      <c r="K20" s="108">
        <f t="shared" si="5"/>
        <v>375</v>
      </c>
      <c r="L20" s="108" t="s">
        <v>770</v>
      </c>
      <c r="M20" s="207">
        <v>25</v>
      </c>
      <c r="N20" s="214"/>
      <c r="O20" s="108">
        <f>IF($B20="","",SUMIF('13M'!$AS:$AS,'EFICIÊNCIA 1º ETAPA'!$B20,'13M'!$AU:$AU))</f>
        <v>120</v>
      </c>
      <c r="P20" s="108">
        <f>IF($B20="","",SUMIF('13F'!$AS:$AS,'EFICIÊNCIA 1º ETAPA'!$B20,'13F'!$AU:$AU))</f>
        <v>0</v>
      </c>
      <c r="Q20" s="108">
        <f t="shared" si="6"/>
        <v>120</v>
      </c>
      <c r="R20" s="108" t="s">
        <v>773</v>
      </c>
      <c r="S20" s="207">
        <v>25</v>
      </c>
      <c r="T20" s="214"/>
      <c r="U20" s="108">
        <f>IF($B20="","",SUMIF('15M'!$AS:$AS,'EFICIÊNCIA 1º ETAPA'!$B20,'15M'!$AU:$AU))</f>
        <v>0</v>
      </c>
      <c r="V20" s="108">
        <f>IF($B20="","",SUMIF('15F'!$AS:$AS,'EFICIÊNCIA 1º ETAPA'!$B20,'15F'!$AU:$AU))</f>
        <v>0</v>
      </c>
      <c r="W20" s="108">
        <f t="shared" si="7"/>
        <v>0</v>
      </c>
      <c r="X20" s="108"/>
      <c r="Y20" s="207"/>
      <c r="Z20" s="214"/>
      <c r="AA20" s="108">
        <f>IF($B20="","",SUMIF('17M'!$AS:$AS,'EFICIÊNCIA 1º ETAPA'!$B20,'17M'!$AU:$AU))</f>
        <v>380</v>
      </c>
      <c r="AB20" s="108">
        <f>IF($B20="","",SUMIF('17F'!$AS:$AS,'EFICIÊNCIA 1º ETAPA'!$B20,'17F'!$AU:$AU))</f>
        <v>0</v>
      </c>
      <c r="AC20" s="108">
        <f t="shared" si="8"/>
        <v>380</v>
      </c>
      <c r="AD20" s="108" t="s">
        <v>765</v>
      </c>
      <c r="AE20" s="207">
        <v>400</v>
      </c>
      <c r="AF20" s="214"/>
      <c r="AG20" s="108"/>
      <c r="AH20" s="108"/>
      <c r="AI20" s="108">
        <f t="shared" si="9"/>
        <v>0</v>
      </c>
      <c r="AJ20" s="207"/>
      <c r="AK20" s="207"/>
      <c r="AL20" s="211"/>
      <c r="AM20" s="211"/>
      <c r="AN20" s="211"/>
      <c r="AO20" s="211"/>
      <c r="AP20" s="46" t="str">
        <f t="shared" si="0"/>
        <v/>
      </c>
      <c r="AQ20" s="46" t="str">
        <f>IF(AR20="","",B20)</f>
        <v/>
      </c>
      <c r="AR20" s="109"/>
      <c r="AS20" s="46" t="str">
        <f t="shared" si="1"/>
        <v/>
      </c>
      <c r="AT20" s="46">
        <v>14</v>
      </c>
      <c r="AU20" s="45"/>
      <c r="AV20" s="47" t="e">
        <f>IF(B20&lt;&gt;"",_xlfn.RANK.EQ(AY20,$AY$7:$AY$46,0),"")</f>
        <v>#VALUE!</v>
      </c>
      <c r="AW20" s="48" t="e">
        <f t="shared" si="10"/>
        <v>#VALUE!</v>
      </c>
      <c r="AX20" s="49" t="str">
        <f t="shared" si="2"/>
        <v/>
      </c>
      <c r="AY20" s="110" t="str">
        <f t="shared" si="3"/>
        <v/>
      </c>
    </row>
    <row r="21" spans="2:51" ht="24.75" customHeight="1" x14ac:dyDescent="0.25">
      <c r="B21" s="44" t="s">
        <v>525</v>
      </c>
      <c r="C21" s="108">
        <f>IF($B21="","",SUMIF('09M'!$AS:$AS,'EFICIÊNCIA 1º ETAPA'!$B21,'09M'!$AU:$AU))</f>
        <v>0</v>
      </c>
      <c r="D21" s="108">
        <f>IF($B21="","",SUMIF('09F'!$AS:$AS,'EFICIÊNCIA 1º ETAPA'!$B21,'09F'!$AU:$AU))</f>
        <v>0</v>
      </c>
      <c r="E21" s="108">
        <f t="shared" si="4"/>
        <v>0</v>
      </c>
      <c r="F21" s="108"/>
      <c r="G21" s="207"/>
      <c r="H21" s="214"/>
      <c r="I21" s="108">
        <f>IF($B21="","",SUMIF('11M'!$AS:$AS,'EFICIÊNCIA 1º ETAPA'!$B21,'11M'!$AU:$AU))</f>
        <v>0</v>
      </c>
      <c r="J21" s="108">
        <f>IF($B21="","",SUMIF('11F'!$AS:$AS,'EFICIÊNCIA 1º ETAPA'!$B21,'11F'!$AU:$AU))</f>
        <v>0</v>
      </c>
      <c r="K21" s="108">
        <f t="shared" si="5"/>
        <v>0</v>
      </c>
      <c r="L21" s="108"/>
      <c r="M21" s="207"/>
      <c r="N21" s="214"/>
      <c r="O21" s="108">
        <f>IF($B21="","",SUMIF('13M'!$AS:$AS,'EFICIÊNCIA 1º ETAPA'!$B21,'13M'!$AU:$AU))</f>
        <v>0</v>
      </c>
      <c r="P21" s="108">
        <f>IF($B21="","",SUMIF('13F'!$AS:$AS,'EFICIÊNCIA 1º ETAPA'!$B21,'13F'!$AU:$AU))</f>
        <v>0</v>
      </c>
      <c r="Q21" s="108">
        <f t="shared" si="6"/>
        <v>0</v>
      </c>
      <c r="R21" s="108"/>
      <c r="S21" s="207"/>
      <c r="T21" s="214"/>
      <c r="U21" s="108">
        <f>IF($B21="","",SUMIF('15M'!$AS:$AS,'EFICIÊNCIA 1º ETAPA'!$B21,'15M'!$AU:$AU))</f>
        <v>340</v>
      </c>
      <c r="V21" s="108">
        <f>IF($B21="","",SUMIF('15F'!$AS:$AS,'EFICIÊNCIA 1º ETAPA'!$B21,'15F'!$AU:$AU))</f>
        <v>0</v>
      </c>
      <c r="W21" s="108">
        <f t="shared" si="7"/>
        <v>340</v>
      </c>
      <c r="X21" s="108" t="s">
        <v>767</v>
      </c>
      <c r="Y21" s="207">
        <v>100</v>
      </c>
      <c r="Z21" s="214"/>
      <c r="AA21" s="108">
        <f>IF($B21="","",SUMIF('17M'!$AS:$AS,'EFICIÊNCIA 1º ETAPA'!$B21,'17M'!$AU:$AU))</f>
        <v>0</v>
      </c>
      <c r="AB21" s="108">
        <f>IF($B21="","",SUMIF('17F'!$AS:$AS,'EFICIÊNCIA 1º ETAPA'!$B21,'17F'!$AU:$AU))</f>
        <v>0</v>
      </c>
      <c r="AC21" s="108">
        <f t="shared" si="8"/>
        <v>0</v>
      </c>
      <c r="AD21" s="108"/>
      <c r="AE21" s="207"/>
      <c r="AF21" s="214"/>
      <c r="AG21" s="108"/>
      <c r="AH21" s="108"/>
      <c r="AI21" s="108">
        <f t="shared" si="9"/>
        <v>0</v>
      </c>
      <c r="AJ21" s="207"/>
      <c r="AK21" s="207"/>
      <c r="AL21" s="211"/>
      <c r="AM21" s="211"/>
      <c r="AN21" s="211"/>
      <c r="AO21" s="211"/>
      <c r="AP21" s="46" t="str">
        <f t="shared" si="0"/>
        <v/>
      </c>
      <c r="AQ21" s="46" t="str">
        <f>IF(AR21="","",B21)</f>
        <v/>
      </c>
      <c r="AR21" s="109"/>
      <c r="AS21" s="46" t="str">
        <f t="shared" si="1"/>
        <v/>
      </c>
      <c r="AT21" s="46">
        <v>15</v>
      </c>
      <c r="AU21" s="45"/>
      <c r="AV21" s="47" t="e">
        <f>IF(B21&lt;&gt;"",_xlfn.RANK.EQ(AY21,$AY$7:$AY$46,0),"")</f>
        <v>#VALUE!</v>
      </c>
      <c r="AW21" s="48" t="e">
        <f t="shared" si="10"/>
        <v>#VALUE!</v>
      </c>
      <c r="AX21" s="49" t="str">
        <f t="shared" si="2"/>
        <v/>
      </c>
      <c r="AY21" s="110" t="str">
        <f t="shared" si="3"/>
        <v/>
      </c>
    </row>
    <row r="22" spans="2:51" ht="24.75" customHeight="1" x14ac:dyDescent="0.25">
      <c r="B22" s="44" t="s">
        <v>383</v>
      </c>
      <c r="C22" s="108">
        <f>IF($B22="","",SUMIF('09M'!$AS:$AS,'EFICIÊNCIA 1º ETAPA'!$B22,'09M'!$AU:$AU))</f>
        <v>0</v>
      </c>
      <c r="D22" s="108">
        <f>IF($B22="","",SUMIF('09F'!$AS:$AS,'EFICIÊNCIA 1º ETAPA'!$B22,'09F'!$AU:$AU))</f>
        <v>0</v>
      </c>
      <c r="E22" s="108">
        <f t="shared" si="4"/>
        <v>0</v>
      </c>
      <c r="F22" s="108"/>
      <c r="G22" s="207"/>
      <c r="H22" s="214"/>
      <c r="I22" s="108">
        <f>IF($B22="","",SUMIF('11M'!$AS:$AS,'EFICIÊNCIA 1º ETAPA'!$B22,'11M'!$AU:$AU))</f>
        <v>0</v>
      </c>
      <c r="J22" s="108">
        <f>IF($B22="","",SUMIF('11F'!$AS:$AS,'EFICIÊNCIA 1º ETAPA'!$B22,'11F'!$AU:$AU))</f>
        <v>0</v>
      </c>
      <c r="K22" s="108">
        <f t="shared" si="5"/>
        <v>0</v>
      </c>
      <c r="L22" s="108"/>
      <c r="M22" s="207"/>
      <c r="N22" s="214"/>
      <c r="O22" s="108">
        <f>IF($B22="","",SUMIF('13M'!$AS:$AS,'EFICIÊNCIA 1º ETAPA'!$B22,'13M'!$AU:$AU))</f>
        <v>200</v>
      </c>
      <c r="P22" s="108">
        <f>IF($B22="","",SUMIF('13F'!$AS:$AS,'EFICIÊNCIA 1º ETAPA'!$B22,'13F'!$AU:$AU))</f>
        <v>0</v>
      </c>
      <c r="Q22" s="108">
        <f t="shared" si="6"/>
        <v>200</v>
      </c>
      <c r="R22" s="108" t="s">
        <v>776</v>
      </c>
      <c r="S22" s="207">
        <v>25</v>
      </c>
      <c r="T22" s="214"/>
      <c r="U22" s="108">
        <f>IF($B22="","",SUMIF('15M'!$AS:$AS,'EFICIÊNCIA 1º ETAPA'!$B22,'15M'!$AU:$AU))</f>
        <v>120</v>
      </c>
      <c r="V22" s="108">
        <f>IF($B22="","",SUMIF('15F'!$AS:$AS,'EFICIÊNCIA 1º ETAPA'!$B22,'15F'!$AU:$AU))</f>
        <v>0</v>
      </c>
      <c r="W22" s="108">
        <f t="shared" si="7"/>
        <v>120</v>
      </c>
      <c r="X22" s="108" t="s">
        <v>773</v>
      </c>
      <c r="Y22" s="207">
        <v>25</v>
      </c>
      <c r="Z22" s="214"/>
      <c r="AA22" s="108">
        <f>IF($B22="","",SUMIF('17M'!$AS:$AS,'EFICIÊNCIA 1º ETAPA'!$B22,'17M'!$AU:$AU))</f>
        <v>105</v>
      </c>
      <c r="AB22" s="108">
        <f>IF($B22="","",SUMIF('17F'!$AS:$AS,'EFICIÊNCIA 1º ETAPA'!$B22,'17F'!$AU:$AU))</f>
        <v>0</v>
      </c>
      <c r="AC22" s="108">
        <f t="shared" si="8"/>
        <v>105</v>
      </c>
      <c r="AD22" s="108" t="s">
        <v>769</v>
      </c>
      <c r="AE22" s="207">
        <v>25</v>
      </c>
      <c r="AF22" s="214"/>
      <c r="AG22" s="108"/>
      <c r="AH22" s="108"/>
      <c r="AI22" s="108">
        <f t="shared" si="9"/>
        <v>0</v>
      </c>
      <c r="AJ22" s="207"/>
      <c r="AK22" s="207"/>
      <c r="AL22" s="211"/>
      <c r="AM22" s="211"/>
      <c r="AN22" s="211"/>
      <c r="AO22" s="211"/>
      <c r="AP22" s="46" t="str">
        <f t="shared" si="0"/>
        <v/>
      </c>
      <c r="AQ22" s="46" t="str">
        <f>IF(AR22="","",B22)</f>
        <v/>
      </c>
      <c r="AR22" s="109"/>
      <c r="AS22" s="46" t="str">
        <f t="shared" si="1"/>
        <v/>
      </c>
      <c r="AT22" s="46">
        <v>16</v>
      </c>
      <c r="AU22" s="45"/>
      <c r="AV22" s="47" t="e">
        <f>IF(B22&lt;&gt;"",_xlfn.RANK.EQ(AY22,$AY$7:$AY$46,0),"")</f>
        <v>#VALUE!</v>
      </c>
      <c r="AW22" s="48" t="e">
        <f t="shared" si="10"/>
        <v>#VALUE!</v>
      </c>
      <c r="AX22" s="49" t="str">
        <f t="shared" si="2"/>
        <v/>
      </c>
      <c r="AY22" s="110" t="str">
        <f t="shared" si="3"/>
        <v/>
      </c>
    </row>
    <row r="23" spans="2:51" ht="24.75" customHeight="1" x14ac:dyDescent="0.25">
      <c r="B23" s="44" t="s">
        <v>582</v>
      </c>
      <c r="C23" s="108">
        <f>IF($B23="","",SUMIF('09M'!$AS:$AS,'EFICIÊNCIA 1º ETAPA'!$B23,'09M'!$AU:$AU))</f>
        <v>0</v>
      </c>
      <c r="D23" s="108">
        <f>IF($B23="","",SUMIF('09F'!$AS:$AS,'EFICIÊNCIA 1º ETAPA'!$B23,'09F'!$AU:$AU))</f>
        <v>0</v>
      </c>
      <c r="E23" s="108">
        <f t="shared" si="4"/>
        <v>0</v>
      </c>
      <c r="F23" s="108"/>
      <c r="G23" s="207"/>
      <c r="H23" s="214"/>
      <c r="I23" s="108">
        <f>IF($B23="","",SUMIF('11M'!$AS:$AS,'EFICIÊNCIA 1º ETAPA'!$B23,'11M'!$AU:$AU))</f>
        <v>0</v>
      </c>
      <c r="J23" s="108">
        <f>IF($B23="","",SUMIF('11F'!$AS:$AS,'EFICIÊNCIA 1º ETAPA'!$B23,'11F'!$AU:$AU))</f>
        <v>0</v>
      </c>
      <c r="K23" s="108">
        <f t="shared" si="5"/>
        <v>0</v>
      </c>
      <c r="L23" s="108"/>
      <c r="M23" s="207"/>
      <c r="N23" s="214"/>
      <c r="O23" s="108">
        <f>IF($B23="","",SUMIF('13M'!$AS:$AS,'EFICIÊNCIA 1º ETAPA'!$B23,'13M'!$AU:$AU))</f>
        <v>0</v>
      </c>
      <c r="P23" s="108">
        <f>IF($B23="","",SUMIF('13F'!$AS:$AS,'EFICIÊNCIA 1º ETAPA'!$B23,'13F'!$AU:$AU))</f>
        <v>0</v>
      </c>
      <c r="Q23" s="108">
        <f t="shared" si="6"/>
        <v>0</v>
      </c>
      <c r="R23" s="108"/>
      <c r="S23" s="207"/>
      <c r="T23" s="214"/>
      <c r="U23" s="108">
        <f>IF($B23="","",SUMIF('15M'!$AS:$AS,'EFICIÊNCIA 1º ETAPA'!$B23,'15M'!$AU:$AU))</f>
        <v>0</v>
      </c>
      <c r="V23" s="108">
        <f>IF($B23="","",SUMIF('15F'!$AS:$AS,'EFICIÊNCIA 1º ETAPA'!$B23,'15F'!$AU:$AU))</f>
        <v>0</v>
      </c>
      <c r="W23" s="108">
        <f t="shared" si="7"/>
        <v>0</v>
      </c>
      <c r="X23" s="108"/>
      <c r="Y23" s="207"/>
      <c r="Z23" s="214"/>
      <c r="AA23" s="108">
        <f>IF($B23="","",SUMIF('17M'!$AS:$AS,'EFICIÊNCIA 1º ETAPA'!$B23,'17M'!$AU:$AU))</f>
        <v>280</v>
      </c>
      <c r="AB23" s="108">
        <f>IF($B23="","",SUMIF('17F'!$AS:$AS,'EFICIÊNCIA 1º ETAPA'!$B23,'17F'!$AU:$AU))</f>
        <v>0</v>
      </c>
      <c r="AC23" s="108">
        <f t="shared" si="8"/>
        <v>280</v>
      </c>
      <c r="AD23" s="108" t="s">
        <v>775</v>
      </c>
      <c r="AE23" s="207">
        <v>300</v>
      </c>
      <c r="AF23" s="214"/>
      <c r="AG23" s="108"/>
      <c r="AH23" s="108"/>
      <c r="AI23" s="108">
        <f t="shared" si="9"/>
        <v>0</v>
      </c>
      <c r="AJ23" s="207"/>
      <c r="AK23" s="207"/>
      <c r="AL23" s="211"/>
      <c r="AM23" s="211"/>
      <c r="AN23" s="211"/>
      <c r="AO23" s="211"/>
      <c r="AP23" s="46">
        <f t="shared" si="0"/>
        <v>280.23</v>
      </c>
      <c r="AQ23" s="46" t="str">
        <f>IF(AR23="","",B23)</f>
        <v>E.E. 20 DE AGOSTO</v>
      </c>
      <c r="AR23" s="109">
        <f>IF(B23="","",SUM(C23:AB23))</f>
        <v>280</v>
      </c>
      <c r="AS23" s="46">
        <f t="shared" si="1"/>
        <v>1330.14</v>
      </c>
      <c r="AT23" s="46">
        <v>17</v>
      </c>
      <c r="AU23" s="45"/>
      <c r="AV23" s="47" t="e">
        <f>IF(B23&lt;&gt;"",_xlfn.RANK.EQ(AY23,$AY$7:$AY$46,0),"")</f>
        <v>#NUM!</v>
      </c>
      <c r="AW23" s="48" t="e">
        <f t="shared" si="10"/>
        <v>#NUM!</v>
      </c>
      <c r="AX23" s="49" t="str">
        <f t="shared" si="2"/>
        <v>COLÉGIO BANDEIRANTES</v>
      </c>
      <c r="AY23" s="110">
        <f t="shared" si="3"/>
        <v>1330</v>
      </c>
    </row>
    <row r="24" spans="2:51" ht="24.75" customHeight="1" x14ac:dyDescent="0.25">
      <c r="B24" s="44" t="s">
        <v>181</v>
      </c>
      <c r="C24" s="108">
        <f>IF($B24="","",SUMIF('09M'!$AS:$AS,'EFICIÊNCIA 1º ETAPA'!$B24,'09M'!$AU:$AU))</f>
        <v>0</v>
      </c>
      <c r="D24" s="108">
        <f>IF($B24="","",SUMIF('09F'!$AS:$AS,'EFICIÊNCIA 1º ETAPA'!$B24,'09F'!$AU:$AU))</f>
        <v>0</v>
      </c>
      <c r="E24" s="108">
        <f t="shared" si="4"/>
        <v>0</v>
      </c>
      <c r="F24" s="108"/>
      <c r="G24" s="207"/>
      <c r="H24" s="214"/>
      <c r="I24" s="108">
        <f>IF($B24="","",SUMIF('11M'!$AS:$AS,'EFICIÊNCIA 1º ETAPA'!$B24,'11M'!$AU:$AU))</f>
        <v>35</v>
      </c>
      <c r="J24" s="108">
        <f>IF($B24="","",SUMIF('11F'!$AS:$AS,'EFICIÊNCIA 1º ETAPA'!$B24,'11F'!$AU:$AU))</f>
        <v>0</v>
      </c>
      <c r="K24" s="108">
        <f t="shared" si="5"/>
        <v>35</v>
      </c>
      <c r="L24" s="108" t="s">
        <v>779</v>
      </c>
      <c r="M24" s="207">
        <v>25</v>
      </c>
      <c r="N24" s="214"/>
      <c r="O24" s="108">
        <f>IF($B24="","",SUMIF('13M'!$AS:$AS,'EFICIÊNCIA 1º ETAPA'!$B24,'13M'!$AU:$AU))</f>
        <v>0</v>
      </c>
      <c r="P24" s="108">
        <f>IF($B24="","",SUMIF('13F'!$AS:$AS,'EFICIÊNCIA 1º ETAPA'!$B24,'13F'!$AU:$AU))</f>
        <v>0</v>
      </c>
      <c r="Q24" s="108">
        <f t="shared" si="6"/>
        <v>0</v>
      </c>
      <c r="R24" s="108"/>
      <c r="S24" s="207"/>
      <c r="T24" s="214"/>
      <c r="U24" s="108">
        <f>IF($B24="","",SUMIF('15M'!$AS:$AS,'EFICIÊNCIA 1º ETAPA'!$B24,'15M'!$AU:$AU))</f>
        <v>105</v>
      </c>
      <c r="V24" s="108">
        <f>IF($B24="","",SUMIF('15F'!$AS:$AS,'EFICIÊNCIA 1º ETAPA'!$B24,'15F'!$AU:$AU))</f>
        <v>0</v>
      </c>
      <c r="W24" s="108">
        <f t="shared" si="7"/>
        <v>105</v>
      </c>
      <c r="X24" s="108" t="s">
        <v>774</v>
      </c>
      <c r="Y24" s="207">
        <v>25</v>
      </c>
      <c r="Z24" s="214"/>
      <c r="AA24" s="108">
        <f>IF($B24="","",SUMIF('17M'!$AS:$AS,'EFICIÊNCIA 1º ETAPA'!$B24,'17M'!$AU:$AU))</f>
        <v>0</v>
      </c>
      <c r="AB24" s="108">
        <f>IF($B24="","",SUMIF('17F'!$AS:$AS,'EFICIÊNCIA 1º ETAPA'!$B24,'17F'!$AU:$AU))</f>
        <v>0</v>
      </c>
      <c r="AC24" s="108">
        <f t="shared" si="8"/>
        <v>0</v>
      </c>
      <c r="AD24" s="108"/>
      <c r="AE24" s="207"/>
      <c r="AF24" s="214"/>
      <c r="AG24" s="108"/>
      <c r="AH24" s="108"/>
      <c r="AI24" s="108">
        <f t="shared" si="9"/>
        <v>0</v>
      </c>
      <c r="AJ24" s="207"/>
      <c r="AK24" s="207"/>
      <c r="AL24" s="211"/>
      <c r="AM24" s="211"/>
      <c r="AN24" s="211"/>
      <c r="AO24" s="211"/>
      <c r="AP24" s="46">
        <f t="shared" si="0"/>
        <v>330.24</v>
      </c>
      <c r="AQ24" s="46" t="str">
        <f>IF(AR24="","",B24)</f>
        <v>ESCOLA IL SOLE</v>
      </c>
      <c r="AR24" s="109">
        <f>IF(B24="","",SUM(C24:AB24))</f>
        <v>330</v>
      </c>
      <c r="AS24" s="46">
        <f t="shared" ref="AS24:AS45" si="11">IF(AR24="","",LARGE(AP:AP,AT24))</f>
        <v>1163.3</v>
      </c>
      <c r="AT24" s="46">
        <v>18</v>
      </c>
      <c r="AU24" s="45"/>
      <c r="AV24" s="47" t="e">
        <f>IF(B24&lt;&gt;"",_xlfn.RANK.EQ(AY24,$AY$7:$AY$46,0),"")</f>
        <v>#NUM!</v>
      </c>
      <c r="AW24" s="48" t="e">
        <f t="shared" si="10"/>
        <v>#NUM!</v>
      </c>
      <c r="AX24" s="49" t="str">
        <f t="shared" si="2"/>
        <v>IEBURIX -SBC</v>
      </c>
      <c r="AY24" s="110">
        <f t="shared" si="3"/>
        <v>1163</v>
      </c>
    </row>
    <row r="25" spans="2:51" ht="24.75" customHeight="1" x14ac:dyDescent="0.25">
      <c r="B25" s="44" t="s">
        <v>515</v>
      </c>
      <c r="C25" s="108">
        <f>IF($B25="","",SUMIF('09M'!$AS:$AS,'EFICIÊNCIA 1º ETAPA'!$B25,'09M'!$AU:$AU))</f>
        <v>0</v>
      </c>
      <c r="D25" s="108">
        <f>IF($B25="","",SUMIF('09F'!$AS:$AS,'EFICIÊNCIA 1º ETAPA'!$B25,'09F'!$AU:$AU))</f>
        <v>0</v>
      </c>
      <c r="E25" s="108">
        <f t="shared" si="4"/>
        <v>0</v>
      </c>
      <c r="F25" s="108"/>
      <c r="G25" s="207"/>
      <c r="H25" s="214"/>
      <c r="I25" s="108">
        <f>IF($B25="","",SUMIF('11M'!$AS:$AS,'EFICIÊNCIA 1º ETAPA'!$B25,'11M'!$AU:$AU))</f>
        <v>0</v>
      </c>
      <c r="J25" s="108">
        <f>IF($B25="","",SUMIF('11F'!$AS:$AS,'EFICIÊNCIA 1º ETAPA'!$B25,'11F'!$AU:$AU))</f>
        <v>0</v>
      </c>
      <c r="K25" s="108">
        <f t="shared" si="5"/>
        <v>0</v>
      </c>
      <c r="L25" s="108"/>
      <c r="M25" s="207"/>
      <c r="N25" s="214"/>
      <c r="O25" s="108">
        <f>IF($B25="","",SUMIF('13M'!$AS:$AS,'EFICIÊNCIA 1º ETAPA'!$B25,'13M'!$AU:$AU))</f>
        <v>0</v>
      </c>
      <c r="P25" s="108">
        <f>IF($B25="","",SUMIF('13F'!$AS:$AS,'EFICIÊNCIA 1º ETAPA'!$B25,'13F'!$AU:$AU))</f>
        <v>0</v>
      </c>
      <c r="Q25" s="108">
        <f t="shared" si="6"/>
        <v>0</v>
      </c>
      <c r="R25" s="108"/>
      <c r="S25" s="207"/>
      <c r="T25" s="214"/>
      <c r="U25" s="108">
        <f>IF($B25="","",SUMIF('15M'!$AS:$AS,'EFICIÊNCIA 1º ETAPA'!$B25,'15M'!$AU:$AU))</f>
        <v>0</v>
      </c>
      <c r="V25" s="108">
        <f>IF($B25="","",SUMIF('15F'!$AS:$AS,'EFICIÊNCIA 1º ETAPA'!$B25,'15F'!$AU:$AU))</f>
        <v>130</v>
      </c>
      <c r="W25" s="108">
        <f t="shared" si="7"/>
        <v>130</v>
      </c>
      <c r="X25" s="108" t="s">
        <v>772</v>
      </c>
      <c r="Y25" s="207">
        <v>25</v>
      </c>
      <c r="Z25" s="214"/>
      <c r="AA25" s="108">
        <f>IF($B25="","",SUMIF('17M'!$AS:$AS,'EFICIÊNCIA 1º ETAPA'!$B25,'17M'!$AU:$AU))</f>
        <v>430</v>
      </c>
      <c r="AB25" s="108">
        <f>IF($B25="","",SUMIF('17F'!$AS:$AS,'EFICIÊNCIA 1º ETAPA'!$B25,'17F'!$AU:$AU))</f>
        <v>0</v>
      </c>
      <c r="AC25" s="108">
        <f t="shared" si="8"/>
        <v>430</v>
      </c>
      <c r="AD25" s="108" t="s">
        <v>764</v>
      </c>
      <c r="AE25" s="207">
        <v>500</v>
      </c>
      <c r="AF25" s="214"/>
      <c r="AG25" s="108"/>
      <c r="AH25" s="108"/>
      <c r="AI25" s="108">
        <f t="shared" si="9"/>
        <v>0</v>
      </c>
      <c r="AJ25" s="207"/>
      <c r="AK25" s="207"/>
      <c r="AL25" s="211"/>
      <c r="AM25" s="211"/>
      <c r="AN25" s="211"/>
      <c r="AO25" s="211"/>
      <c r="AP25" s="46">
        <f t="shared" si="0"/>
        <v>715.25</v>
      </c>
      <c r="AQ25" s="46" t="str">
        <f>IF(AR25="","",B25)</f>
        <v>ESCOLA PRÓ CONHECER</v>
      </c>
      <c r="AR25" s="109">
        <f>IF(B25="","",SUM(C25:AB25))</f>
        <v>715</v>
      </c>
      <c r="AS25" s="46">
        <f t="shared" si="11"/>
        <v>935.29</v>
      </c>
      <c r="AT25" s="46">
        <v>19</v>
      </c>
      <c r="AU25" s="45"/>
      <c r="AV25" s="47" t="e">
        <f>IF(B25&lt;&gt;"",_xlfn.RANK.EQ(AY25,$AY$7:$AY$46,0),"")</f>
        <v>#NUM!</v>
      </c>
      <c r="AW25" s="48" t="e">
        <f t="shared" si="10"/>
        <v>#NUM!</v>
      </c>
      <c r="AX25" s="49" t="str">
        <f t="shared" si="2"/>
        <v>EXTERNATO SANTO ANTONIO</v>
      </c>
      <c r="AY25" s="110">
        <f t="shared" si="3"/>
        <v>935</v>
      </c>
    </row>
    <row r="26" spans="2:51" ht="24.75" customHeight="1" x14ac:dyDescent="0.25">
      <c r="B26" s="44" t="s">
        <v>376</v>
      </c>
      <c r="C26" s="108">
        <f>IF($B26="","",SUMIF('09M'!$AS:$AS,'EFICIÊNCIA 1º ETAPA'!$B26,'09M'!$AU:$AU))</f>
        <v>0</v>
      </c>
      <c r="D26" s="108">
        <f>IF($B26="","",SUMIF('09F'!$AS:$AS,'EFICIÊNCIA 1º ETAPA'!$B26,'09F'!$AU:$AU))</f>
        <v>0</v>
      </c>
      <c r="E26" s="108">
        <f t="shared" si="4"/>
        <v>0</v>
      </c>
      <c r="F26" s="108"/>
      <c r="G26" s="207"/>
      <c r="H26" s="214"/>
      <c r="I26" s="108">
        <f>IF($B26="","",SUMIF('11M'!$AS:$AS,'EFICIÊNCIA 1º ETAPA'!$B26,'11M'!$AU:$AU))</f>
        <v>98</v>
      </c>
      <c r="J26" s="108">
        <f>IF($B26="","",SUMIF('11F'!$AS:$AS,'EFICIÊNCIA 1º ETAPA'!$B26,'11F'!$AU:$AU))</f>
        <v>0</v>
      </c>
      <c r="K26" s="108">
        <f t="shared" si="5"/>
        <v>98</v>
      </c>
      <c r="L26" s="108" t="s">
        <v>777</v>
      </c>
      <c r="M26" s="207">
        <v>25</v>
      </c>
      <c r="N26" s="214"/>
      <c r="O26" s="108">
        <f>IF($B26="","",SUMIF('13M'!$AS:$AS,'EFICIÊNCIA 1º ETAPA'!$B26,'13M'!$AU:$AU))</f>
        <v>245</v>
      </c>
      <c r="P26" s="108">
        <f>IF($B26="","",SUMIF('13F'!$AS:$AS,'EFICIÊNCIA 1º ETAPA'!$B26,'13F'!$AU:$AU))</f>
        <v>50</v>
      </c>
      <c r="Q26" s="108">
        <f t="shared" si="6"/>
        <v>295</v>
      </c>
      <c r="R26" s="108" t="s">
        <v>769</v>
      </c>
      <c r="S26" s="207">
        <v>25</v>
      </c>
      <c r="T26" s="214"/>
      <c r="U26" s="108">
        <f>IF($B26="","",SUMIF('15M'!$AS:$AS,'EFICIÊNCIA 1º ETAPA'!$B26,'15M'!$AU:$AU))</f>
        <v>514</v>
      </c>
      <c r="V26" s="108">
        <f>IF($B26="","",SUMIF('15F'!$AS:$AS,'EFICIÊNCIA 1º ETAPA'!$B26,'15F'!$AU:$AU))</f>
        <v>0</v>
      </c>
      <c r="W26" s="108">
        <f t="shared" si="7"/>
        <v>514</v>
      </c>
      <c r="X26" s="108" t="s">
        <v>766</v>
      </c>
      <c r="Y26" s="207">
        <v>200</v>
      </c>
      <c r="Z26" s="214"/>
      <c r="AA26" s="108">
        <f>IF($B26="","",SUMIF('17M'!$AS:$AS,'EFICIÊNCIA 1º ETAPA'!$B26,'17M'!$AU:$AU))</f>
        <v>40</v>
      </c>
      <c r="AB26" s="108">
        <f>IF($B26="","",SUMIF('17F'!$AS:$AS,'EFICIÊNCIA 1º ETAPA'!$B26,'17F'!$AU:$AU))</f>
        <v>0</v>
      </c>
      <c r="AC26" s="108">
        <f t="shared" si="8"/>
        <v>40</v>
      </c>
      <c r="AD26" s="108" t="s">
        <v>771</v>
      </c>
      <c r="AE26" s="207">
        <v>25</v>
      </c>
      <c r="AF26" s="214"/>
      <c r="AG26" s="108"/>
      <c r="AH26" s="108"/>
      <c r="AI26" s="108">
        <f t="shared" si="9"/>
        <v>0</v>
      </c>
      <c r="AJ26" s="207"/>
      <c r="AK26" s="207"/>
      <c r="AL26" s="211"/>
      <c r="AM26" s="211"/>
      <c r="AN26" s="211"/>
      <c r="AO26" s="211"/>
      <c r="AP26" s="46">
        <f t="shared" si="0"/>
        <v>2104.2600000000002</v>
      </c>
      <c r="AQ26" s="46" t="str">
        <f>IF(AR26="","",B26)</f>
        <v>ESCOLA STAGIUM</v>
      </c>
      <c r="AR26" s="109">
        <f>IF(B26="","",SUM(C26:AB26))</f>
        <v>2104</v>
      </c>
      <c r="AS26" s="46">
        <f t="shared" si="11"/>
        <v>910.33</v>
      </c>
      <c r="AT26" s="46">
        <v>20</v>
      </c>
      <c r="AU26" s="45"/>
      <c r="AV26" s="47" t="e">
        <f>IF(B26&lt;&gt;"",_xlfn.RANK.EQ(AY26,$AY$7:$AY$46,0),"")</f>
        <v>#NUM!</v>
      </c>
      <c r="AW26" s="48" t="e">
        <f t="shared" si="10"/>
        <v>#NUM!</v>
      </c>
      <c r="AX26" s="49" t="str">
        <f t="shared" si="2"/>
        <v>RIO BRANCO - SBC</v>
      </c>
      <c r="AY26" s="110">
        <f t="shared" si="3"/>
        <v>910</v>
      </c>
    </row>
    <row r="27" spans="2:51" ht="24.75" customHeight="1" x14ac:dyDescent="0.25">
      <c r="B27" s="44" t="s">
        <v>107</v>
      </c>
      <c r="C27" s="108">
        <f>IF($B27="","",SUMIF('09M'!$AS:$AS,'EFICIÊNCIA 1º ETAPA'!$B27,'09M'!$AU:$AU))</f>
        <v>645</v>
      </c>
      <c r="D27" s="108">
        <f>IF($B27="","",SUMIF('09F'!$AS:$AS,'EFICIÊNCIA 1º ETAPA'!$B27,'09F'!$AU:$AU))</f>
        <v>0</v>
      </c>
      <c r="E27" s="108">
        <f t="shared" si="4"/>
        <v>645</v>
      </c>
      <c r="F27" s="108" t="s">
        <v>763</v>
      </c>
      <c r="G27" s="207">
        <v>600</v>
      </c>
      <c r="H27" s="214"/>
      <c r="I27" s="108">
        <f>IF($B27="","",SUMIF('11M'!$AS:$AS,'EFICIÊNCIA 1º ETAPA'!$B27,'11M'!$AU:$AU))</f>
        <v>811</v>
      </c>
      <c r="J27" s="108">
        <f>IF($B27="","",SUMIF('11F'!$AS:$AS,'EFICIÊNCIA 1º ETAPA'!$B27,'11F'!$AU:$AU))</f>
        <v>350</v>
      </c>
      <c r="K27" s="108">
        <f t="shared" si="5"/>
        <v>1161</v>
      </c>
      <c r="L27" s="108" t="s">
        <v>761</v>
      </c>
      <c r="M27" s="207">
        <v>800</v>
      </c>
      <c r="N27" s="214"/>
      <c r="O27" s="108">
        <f>IF($B27="","",SUMIF('13M'!$AS:$AS,'EFICIÊNCIA 1º ETAPA'!$B27,'13M'!$AU:$AU))</f>
        <v>575</v>
      </c>
      <c r="P27" s="108">
        <f>IF($B27="","",SUMIF('13F'!$AS:$AS,'EFICIÊNCIA 1º ETAPA'!$B27,'13F'!$AU:$AU))</f>
        <v>0</v>
      </c>
      <c r="Q27" s="108">
        <f t="shared" si="6"/>
        <v>575</v>
      </c>
      <c r="R27" s="108" t="s">
        <v>766</v>
      </c>
      <c r="S27" s="207">
        <v>200</v>
      </c>
      <c r="T27" s="214"/>
      <c r="U27" s="108">
        <f>IF($B27="","",SUMIF('15M'!$AS:$AS,'EFICIÊNCIA 1º ETAPA'!$B27,'15M'!$AU:$AU))</f>
        <v>745</v>
      </c>
      <c r="V27" s="108">
        <f>IF($B27="","",SUMIF('15F'!$AS:$AS,'EFICIÊNCIA 1º ETAPA'!$B27,'15F'!$AU:$AU))</f>
        <v>340</v>
      </c>
      <c r="W27" s="108">
        <f t="shared" si="7"/>
        <v>1085</v>
      </c>
      <c r="X27" s="108" t="s">
        <v>762</v>
      </c>
      <c r="Y27" s="207">
        <v>700</v>
      </c>
      <c r="Z27" s="214"/>
      <c r="AA27" s="108">
        <f>IF($B27="","",SUMIF('17M'!$AS:$AS,'EFICIÊNCIA 1º ETAPA'!$B27,'17M'!$AU:$AU))</f>
        <v>0</v>
      </c>
      <c r="AB27" s="108">
        <f>IF($B27="","",SUMIF('17F'!$AS:$AS,'EFICIÊNCIA 1º ETAPA'!$B27,'17F'!$AU:$AU))</f>
        <v>0</v>
      </c>
      <c r="AC27" s="108">
        <f t="shared" si="8"/>
        <v>0</v>
      </c>
      <c r="AD27" s="108"/>
      <c r="AE27" s="207"/>
      <c r="AF27" s="214"/>
      <c r="AG27" s="108"/>
      <c r="AH27" s="108"/>
      <c r="AI27" s="108">
        <f t="shared" si="9"/>
        <v>0</v>
      </c>
      <c r="AJ27" s="207"/>
      <c r="AK27" s="207"/>
      <c r="AL27" s="211"/>
      <c r="AM27" s="211"/>
      <c r="AN27" s="211"/>
      <c r="AO27" s="211"/>
      <c r="AP27" s="46">
        <f t="shared" si="0"/>
        <v>9232.27</v>
      </c>
      <c r="AQ27" s="46" t="str">
        <f>IF(AR27="","",B27)</f>
        <v>ESCOLA VILLARE</v>
      </c>
      <c r="AR27" s="109">
        <f>IF(B27="","",SUM(C27:AB27))</f>
        <v>9232</v>
      </c>
      <c r="AS27" s="46">
        <f t="shared" si="11"/>
        <v>715.25</v>
      </c>
      <c r="AT27" s="46">
        <v>21</v>
      </c>
      <c r="AU27" s="45"/>
      <c r="AV27" s="47" t="e">
        <f>IF(B27&lt;&gt;"",_xlfn.RANK.EQ(AY27,$AY$7:$AY$46,0),"")</f>
        <v>#NUM!</v>
      </c>
      <c r="AW27" s="48" t="e">
        <f t="shared" si="10"/>
        <v>#NUM!</v>
      </c>
      <c r="AX27" s="49" t="str">
        <f t="shared" si="2"/>
        <v>ESCOLA PRÓ CONHECER</v>
      </c>
      <c r="AY27" s="110">
        <f t="shared" si="3"/>
        <v>715</v>
      </c>
    </row>
    <row r="28" spans="2:51" ht="24.75" customHeight="1" x14ac:dyDescent="0.25">
      <c r="B28" s="44" t="s">
        <v>249</v>
      </c>
      <c r="C28" s="108">
        <f>IF($B28="","",SUMIF('09M'!$AS:$AS,'EFICIÊNCIA 1º ETAPA'!$B28,'09M'!$AU:$AU))</f>
        <v>0</v>
      </c>
      <c r="D28" s="108">
        <f>IF($B28="","",SUMIF('09F'!$AS:$AS,'EFICIÊNCIA 1º ETAPA'!$B28,'09F'!$AU:$AU))</f>
        <v>0</v>
      </c>
      <c r="E28" s="108">
        <f t="shared" si="4"/>
        <v>0</v>
      </c>
      <c r="F28" s="108"/>
      <c r="G28" s="207"/>
      <c r="H28" s="214"/>
      <c r="I28" s="108">
        <f>IF($B28="","",SUMIF('11M'!$AS:$AS,'EFICIÊNCIA 1º ETAPA'!$B28,'11M'!$AU:$AU))</f>
        <v>0</v>
      </c>
      <c r="J28" s="108">
        <f>IF($B28="","",SUMIF('11F'!$AS:$AS,'EFICIÊNCIA 1º ETAPA'!$B28,'11F'!$AU:$AU))</f>
        <v>0</v>
      </c>
      <c r="K28" s="108">
        <f t="shared" si="5"/>
        <v>0</v>
      </c>
      <c r="L28" s="108"/>
      <c r="M28" s="207"/>
      <c r="N28" s="214"/>
      <c r="O28" s="108">
        <f>IF($B28="","",SUMIF('13M'!$AS:$AS,'EFICIÊNCIA 1º ETAPA'!$B28,'13M'!$AU:$AU))</f>
        <v>0</v>
      </c>
      <c r="P28" s="108">
        <f>IF($B28="","",SUMIF('13F'!$AS:$AS,'EFICIÊNCIA 1º ETAPA'!$B28,'13F'!$AU:$AU))</f>
        <v>0</v>
      </c>
      <c r="Q28" s="108">
        <f t="shared" si="6"/>
        <v>0</v>
      </c>
      <c r="R28" s="108"/>
      <c r="S28" s="207"/>
      <c r="T28" s="214"/>
      <c r="U28" s="108">
        <f>IF($B28="","",SUMIF('15M'!$AS:$AS,'EFICIÊNCIA 1º ETAPA'!$B28,'15M'!$AU:$AU))</f>
        <v>0</v>
      </c>
      <c r="V28" s="108">
        <f>IF($B28="","",SUMIF('15F'!$AS:$AS,'EFICIÊNCIA 1º ETAPA'!$B28,'15F'!$AU:$AU))</f>
        <v>0</v>
      </c>
      <c r="W28" s="108">
        <f t="shared" si="7"/>
        <v>0</v>
      </c>
      <c r="X28" s="108"/>
      <c r="Y28" s="207"/>
      <c r="Z28" s="214"/>
      <c r="AA28" s="108">
        <f>IF($B28="","",SUMIF('17M'!$AS:$AS,'EFICIÊNCIA 1º ETAPA'!$B28,'17M'!$AU:$AU))</f>
        <v>0</v>
      </c>
      <c r="AB28" s="108">
        <f>IF($B28="","",SUMIF('17F'!$AS:$AS,'EFICIÊNCIA 1º ETAPA'!$B28,'17F'!$AU:$AU))</f>
        <v>0</v>
      </c>
      <c r="AC28" s="108">
        <f t="shared" si="8"/>
        <v>0</v>
      </c>
      <c r="AD28" s="108"/>
      <c r="AE28" s="207"/>
      <c r="AF28" s="214"/>
      <c r="AG28" s="108"/>
      <c r="AH28" s="108"/>
      <c r="AI28" s="108">
        <f t="shared" si="9"/>
        <v>0</v>
      </c>
      <c r="AJ28" s="207"/>
      <c r="AK28" s="207"/>
      <c r="AL28" s="211"/>
      <c r="AM28" s="211"/>
      <c r="AN28" s="211"/>
      <c r="AO28" s="211"/>
      <c r="AP28" s="46">
        <f t="shared" ref="AP28:AP46" si="12">IF(AR28="","",AR28+(ROW(AR28)/100))</f>
        <v>0.28000000000000003</v>
      </c>
      <c r="AQ28" s="46" t="str">
        <f>IF(AR28="","",B28)</f>
        <v>EVOLUTION TEENS</v>
      </c>
      <c r="AR28" s="109">
        <f>IF(B28="","",SUM(C28:AB28))</f>
        <v>0</v>
      </c>
      <c r="AS28" s="46">
        <f t="shared" si="11"/>
        <v>330.24</v>
      </c>
      <c r="AT28" s="46">
        <v>22</v>
      </c>
      <c r="AU28" s="45"/>
      <c r="AV28" s="47" t="e">
        <f>IF(B28&lt;&gt;"",_xlfn.RANK.EQ(AY28,$AY$7:$AY$46,0),"")</f>
        <v>#NUM!</v>
      </c>
      <c r="AW28" s="48" t="e">
        <f t="shared" ref="AW28:AW46" si="13">IF(AV28="","","LUGAR")</f>
        <v>#NUM!</v>
      </c>
      <c r="AX28" s="49" t="str">
        <f t="shared" ref="AX28:AX46" si="14">IF(AR28="","",VLOOKUP(AS28,AP:AR,2,0))</f>
        <v>ESCOLA IL SOLE</v>
      </c>
      <c r="AY28" s="110">
        <f t="shared" ref="AY28:AY46" si="15">IF(AR28="","",VLOOKUP(AS28,AP:AR,3,0))</f>
        <v>330</v>
      </c>
    </row>
    <row r="29" spans="2:51" ht="24.75" customHeight="1" x14ac:dyDescent="0.25">
      <c r="B29" s="44" t="s">
        <v>156</v>
      </c>
      <c r="C29" s="108">
        <f>IF($B29="","",SUMIF('09M'!$AS:$AS,'EFICIÊNCIA 1º ETAPA'!$B29,'09M'!$AU:$AU))</f>
        <v>0</v>
      </c>
      <c r="D29" s="108">
        <f>IF($B29="","",SUMIF('09F'!$AS:$AS,'EFICIÊNCIA 1º ETAPA'!$B29,'09F'!$AU:$AU))</f>
        <v>180</v>
      </c>
      <c r="E29" s="108">
        <f t="shared" si="4"/>
        <v>180</v>
      </c>
      <c r="F29" s="108" t="s">
        <v>772</v>
      </c>
      <c r="G29" s="207">
        <v>25</v>
      </c>
      <c r="H29" s="214"/>
      <c r="I29" s="108">
        <f>IF($B29="","",SUMIF('11M'!$AS:$AS,'EFICIÊNCIA 1º ETAPA'!$B29,'11M'!$AU:$AU))</f>
        <v>50</v>
      </c>
      <c r="J29" s="108">
        <f>IF($B29="","",SUMIF('11F'!$AS:$AS,'EFICIÊNCIA 1º ETAPA'!$B29,'11F'!$AU:$AU))</f>
        <v>0</v>
      </c>
      <c r="K29" s="108">
        <f t="shared" si="5"/>
        <v>50</v>
      </c>
      <c r="L29" s="108" t="s">
        <v>778</v>
      </c>
      <c r="M29" s="207">
        <v>25</v>
      </c>
      <c r="N29" s="214"/>
      <c r="O29" s="108">
        <f>IF($B29="","",SUMIF('13M'!$AS:$AS,'EFICIÊNCIA 1º ETAPA'!$B29,'13M'!$AU:$AU))</f>
        <v>0</v>
      </c>
      <c r="P29" s="108">
        <f>IF($B29="","",SUMIF('13F'!$AS:$AS,'EFICIÊNCIA 1º ETAPA'!$B29,'13F'!$AU:$AU))</f>
        <v>0</v>
      </c>
      <c r="Q29" s="108">
        <f t="shared" si="6"/>
        <v>0</v>
      </c>
      <c r="R29" s="108"/>
      <c r="S29" s="207"/>
      <c r="T29" s="214"/>
      <c r="U29" s="108">
        <f>IF($B29="","",SUMIF('15M'!$AS:$AS,'EFICIÊNCIA 1º ETAPA'!$B29,'15M'!$AU:$AU))</f>
        <v>200</v>
      </c>
      <c r="V29" s="108">
        <f>IF($B29="","",SUMIF('15F'!$AS:$AS,'EFICIÊNCIA 1º ETAPA'!$B29,'15F'!$AU:$AU))</f>
        <v>0</v>
      </c>
      <c r="W29" s="108">
        <f t="shared" si="7"/>
        <v>200</v>
      </c>
      <c r="X29" s="108" t="s">
        <v>771</v>
      </c>
      <c r="Y29" s="207">
        <v>25</v>
      </c>
      <c r="Z29" s="214"/>
      <c r="AA29" s="108">
        <f>IF($B29="","",SUMIF('17M'!$AS:$AS,'EFICIÊNCIA 1º ETAPA'!$B29,'17M'!$AU:$AU))</f>
        <v>0</v>
      </c>
      <c r="AB29" s="108">
        <f>IF($B29="","",SUMIF('17F'!$AS:$AS,'EFICIÊNCIA 1º ETAPA'!$B29,'17F'!$AU:$AU))</f>
        <v>0</v>
      </c>
      <c r="AC29" s="108">
        <f t="shared" si="8"/>
        <v>0</v>
      </c>
      <c r="AD29" s="108"/>
      <c r="AE29" s="207"/>
      <c r="AF29" s="214"/>
      <c r="AG29" s="108"/>
      <c r="AH29" s="108"/>
      <c r="AI29" s="108">
        <f t="shared" si="9"/>
        <v>0</v>
      </c>
      <c r="AJ29" s="207"/>
      <c r="AK29" s="207"/>
      <c r="AL29" s="211"/>
      <c r="AM29" s="211"/>
      <c r="AN29" s="211"/>
      <c r="AO29" s="211"/>
      <c r="AP29" s="46">
        <f t="shared" si="12"/>
        <v>935.29</v>
      </c>
      <c r="AQ29" s="46" t="str">
        <f>IF(AR29="","",B29)</f>
        <v>EXTERNATO SANTO ANTONIO</v>
      </c>
      <c r="AR29" s="109">
        <f>IF(B29="","",SUM(C29:AB29))</f>
        <v>935</v>
      </c>
      <c r="AS29" s="46">
        <f t="shared" si="11"/>
        <v>280.23</v>
      </c>
      <c r="AT29" s="46">
        <v>23</v>
      </c>
      <c r="AU29" s="45"/>
      <c r="AV29" s="47" t="e">
        <f>IF(B29&lt;&gt;"",_xlfn.RANK.EQ(AY29,$AY$7:$AY$46,0),"")</f>
        <v>#NUM!</v>
      </c>
      <c r="AW29" s="48" t="e">
        <f t="shared" si="13"/>
        <v>#NUM!</v>
      </c>
      <c r="AX29" s="49" t="str">
        <f t="shared" si="14"/>
        <v>E.E. 20 DE AGOSTO</v>
      </c>
      <c r="AY29" s="110">
        <f t="shared" si="15"/>
        <v>280</v>
      </c>
    </row>
    <row r="30" spans="2:51" ht="24.75" customHeight="1" x14ac:dyDescent="0.25">
      <c r="B30" s="44" t="s">
        <v>113</v>
      </c>
      <c r="C30" s="108">
        <f>IF($B30="","",SUMIF('09M'!$AS:$AS,'EFICIÊNCIA 1º ETAPA'!$B30,'09M'!$AU:$AU))</f>
        <v>96</v>
      </c>
      <c r="D30" s="108">
        <f>IF($B30="","",SUMIF('09F'!$AS:$AS,'EFICIÊNCIA 1º ETAPA'!$B30,'09F'!$AU:$AU))</f>
        <v>0</v>
      </c>
      <c r="E30" s="108">
        <f t="shared" si="4"/>
        <v>96</v>
      </c>
      <c r="F30" s="108" t="s">
        <v>774</v>
      </c>
      <c r="G30" s="207">
        <v>25</v>
      </c>
      <c r="H30" s="214"/>
      <c r="I30" s="108">
        <f>IF($B30="","",SUMIF('11M'!$AS:$AS,'EFICIÊNCIA 1º ETAPA'!$B30,'11M'!$AU:$AU))</f>
        <v>28</v>
      </c>
      <c r="J30" s="108">
        <f>IF($B30="","",SUMIF('11F'!$AS:$AS,'EFICIÊNCIA 1º ETAPA'!$B30,'11F'!$AU:$AU))</f>
        <v>420</v>
      </c>
      <c r="K30" s="108">
        <f t="shared" si="5"/>
        <v>448</v>
      </c>
      <c r="L30" s="108" t="s">
        <v>768</v>
      </c>
      <c r="M30" s="207">
        <v>50</v>
      </c>
      <c r="N30" s="214"/>
      <c r="O30" s="108">
        <f>IF($B30="","",SUMIF('13M'!$AS:$AS,'EFICIÊNCIA 1º ETAPA'!$B30,'13M'!$AU:$AU))</f>
        <v>0</v>
      </c>
      <c r="P30" s="108">
        <f>IF($B30="","",SUMIF('13F'!$AS:$AS,'EFICIÊNCIA 1º ETAPA'!$B30,'13F'!$AU:$AU))</f>
        <v>0</v>
      </c>
      <c r="Q30" s="108">
        <f t="shared" si="6"/>
        <v>0</v>
      </c>
      <c r="R30" s="108"/>
      <c r="S30" s="207"/>
      <c r="T30" s="214"/>
      <c r="U30" s="108">
        <f>IF($B30="","",SUMIF('15M'!$AS:$AS,'EFICIÊNCIA 1º ETAPA'!$B30,'15M'!$AU:$AU))</f>
        <v>0</v>
      </c>
      <c r="V30" s="108">
        <f>IF($B30="","",SUMIF('15F'!$AS:$AS,'EFICIÊNCIA 1º ETAPA'!$B30,'15F'!$AU:$AU))</f>
        <v>0</v>
      </c>
      <c r="W30" s="108">
        <f t="shared" si="7"/>
        <v>0</v>
      </c>
      <c r="X30" s="108"/>
      <c r="Y30" s="207"/>
      <c r="Z30" s="214"/>
      <c r="AA30" s="108">
        <f>IF($B30="","",SUMIF('17M'!$AS:$AS,'EFICIÊNCIA 1º ETAPA'!$B30,'17M'!$AU:$AU))</f>
        <v>0</v>
      </c>
      <c r="AB30" s="108">
        <f>IF($B30="","",SUMIF('17F'!$AS:$AS,'EFICIÊNCIA 1º ETAPA'!$B30,'17F'!$AU:$AU))</f>
        <v>0</v>
      </c>
      <c r="AC30" s="108">
        <f t="shared" si="8"/>
        <v>0</v>
      </c>
      <c r="AD30" s="108"/>
      <c r="AE30" s="207"/>
      <c r="AF30" s="214"/>
      <c r="AG30" s="108"/>
      <c r="AH30" s="108"/>
      <c r="AI30" s="108">
        <f t="shared" si="9"/>
        <v>0</v>
      </c>
      <c r="AJ30" s="207"/>
      <c r="AK30" s="207"/>
      <c r="AL30" s="211"/>
      <c r="AM30" s="211"/>
      <c r="AN30" s="211"/>
      <c r="AO30" s="211"/>
      <c r="AP30" s="46">
        <f t="shared" si="12"/>
        <v>1163.3</v>
      </c>
      <c r="AQ30" s="46" t="str">
        <f>IF(AR30="","",B30)</f>
        <v>IEBURIX -SBC</v>
      </c>
      <c r="AR30" s="109">
        <f>IF(B30="","",SUM(C30:AB30))</f>
        <v>1163</v>
      </c>
      <c r="AS30" s="46">
        <f t="shared" si="11"/>
        <v>0.36</v>
      </c>
      <c r="AT30" s="46">
        <v>24</v>
      </c>
      <c r="AU30" s="45"/>
      <c r="AV30" s="47" t="e">
        <f>IF(B30&lt;&gt;"",_xlfn.RANK.EQ(AY30,$AY$7:$AY$46,0),"")</f>
        <v>#NUM!</v>
      </c>
      <c r="AW30" s="48" t="e">
        <f t="shared" si="13"/>
        <v>#NUM!</v>
      </c>
      <c r="AX30" s="49" t="str">
        <f t="shared" si="14"/>
        <v>ESCOLA PINHEIRO</v>
      </c>
      <c r="AY30" s="110">
        <f t="shared" si="15"/>
        <v>0</v>
      </c>
    </row>
    <row r="31" spans="2:51" ht="24.75" customHeight="1" x14ac:dyDescent="0.25">
      <c r="B31" s="44" t="s">
        <v>129</v>
      </c>
      <c r="C31" s="108">
        <f>IF($B31="","",SUMIF('09M'!$AS:$AS,'EFICIÊNCIA 1º ETAPA'!$B31,'09M'!$AU:$AU))</f>
        <v>210</v>
      </c>
      <c r="D31" s="108">
        <f>IF($B31="","",SUMIF('09F'!$AS:$AS,'EFICIÊNCIA 1º ETAPA'!$B31,'09F'!$AU:$AU))</f>
        <v>570</v>
      </c>
      <c r="E31" s="108">
        <f t="shared" si="4"/>
        <v>780</v>
      </c>
      <c r="F31" s="108" t="s">
        <v>762</v>
      </c>
      <c r="G31" s="207">
        <v>700</v>
      </c>
      <c r="H31" s="214"/>
      <c r="I31" s="108">
        <f>IF($B31="","",SUMIF('11M'!$AS:$AS,'EFICIÊNCIA 1º ETAPA'!$B31,'11M'!$AU:$AU))</f>
        <v>370</v>
      </c>
      <c r="J31" s="108">
        <f>IF($B31="","",SUMIF('11F'!$AS:$AS,'EFICIÊNCIA 1º ETAPA'!$B31,'11F'!$AU:$AU))</f>
        <v>470</v>
      </c>
      <c r="K31" s="108">
        <f t="shared" si="5"/>
        <v>840</v>
      </c>
      <c r="L31" s="108" t="s">
        <v>765</v>
      </c>
      <c r="M31" s="207">
        <v>400</v>
      </c>
      <c r="N31" s="214"/>
      <c r="O31" s="108">
        <f>IF($B31="","",SUMIF('13M'!$AS:$AS,'EFICIÊNCIA 1º ETAPA'!$B31,'13M'!$AU:$AU))</f>
        <v>0</v>
      </c>
      <c r="P31" s="108">
        <f>IF($B31="","",SUMIF('13F'!$AS:$AS,'EFICIÊNCIA 1º ETAPA'!$B31,'13F'!$AU:$AU))</f>
        <v>810</v>
      </c>
      <c r="Q31" s="108">
        <f t="shared" si="6"/>
        <v>810</v>
      </c>
      <c r="R31" s="108" t="s">
        <v>764</v>
      </c>
      <c r="S31" s="207">
        <v>500</v>
      </c>
      <c r="T31" s="214"/>
      <c r="U31" s="108">
        <f>IF($B31="","",SUMIF('15M'!$AS:$AS,'EFICIÊNCIA 1º ETAPA'!$B31,'15M'!$AU:$AU))</f>
        <v>178</v>
      </c>
      <c r="V31" s="108">
        <f>IF($B31="","",SUMIF('15F'!$AS:$AS,'EFICIÊNCIA 1º ETAPA'!$B31,'15F'!$AU:$AU))</f>
        <v>80</v>
      </c>
      <c r="W31" s="108">
        <f t="shared" si="7"/>
        <v>258</v>
      </c>
      <c r="X31" s="108" t="s">
        <v>768</v>
      </c>
      <c r="Y31" s="207">
        <v>50</v>
      </c>
      <c r="Z31" s="214"/>
      <c r="AA31" s="108">
        <f>IF($B31="","",SUMIF('17M'!$AS:$AS,'EFICIÊNCIA 1º ETAPA'!$B31,'17M'!$AU:$AU))</f>
        <v>400</v>
      </c>
      <c r="AB31" s="108">
        <f>IF($B31="","",SUMIF('17F'!$AS:$AS,'EFICIÊNCIA 1º ETAPA'!$B31,'17F'!$AU:$AU))</f>
        <v>270</v>
      </c>
      <c r="AC31" s="108">
        <f t="shared" si="8"/>
        <v>670</v>
      </c>
      <c r="AD31" s="108" t="s">
        <v>763</v>
      </c>
      <c r="AE31" s="207">
        <v>600</v>
      </c>
      <c r="AF31" s="214"/>
      <c r="AG31" s="108">
        <v>170</v>
      </c>
      <c r="AH31" s="108"/>
      <c r="AI31" s="108">
        <f t="shared" si="9"/>
        <v>170</v>
      </c>
      <c r="AJ31" s="207" t="s">
        <v>762</v>
      </c>
      <c r="AK31" s="207">
        <v>400</v>
      </c>
      <c r="AL31" s="211"/>
      <c r="AM31" s="211"/>
      <c r="AN31" s="211"/>
      <c r="AO31" s="211"/>
      <c r="AP31" s="46">
        <f t="shared" si="12"/>
        <v>7696.31</v>
      </c>
      <c r="AQ31" s="46" t="str">
        <f>IF(AR31="","",B31)</f>
        <v>LICEU JARDIM</v>
      </c>
      <c r="AR31" s="109">
        <f>IF(B31="","",SUM(C31:AB31))</f>
        <v>7696</v>
      </c>
      <c r="AS31" s="46">
        <f t="shared" si="11"/>
        <v>0.28000000000000003</v>
      </c>
      <c r="AT31" s="46">
        <v>25</v>
      </c>
      <c r="AU31" s="45"/>
      <c r="AV31" s="47" t="e">
        <f>IF(B31&lt;&gt;"",_xlfn.RANK.EQ(AY31,$AY$7:$AY$46,0),"")</f>
        <v>#NUM!</v>
      </c>
      <c r="AW31" s="48" t="e">
        <f t="shared" si="13"/>
        <v>#NUM!</v>
      </c>
      <c r="AX31" s="49" t="str">
        <f t="shared" si="14"/>
        <v>EVOLUTION TEENS</v>
      </c>
      <c r="AY31" s="110">
        <f t="shared" si="15"/>
        <v>0</v>
      </c>
    </row>
    <row r="32" spans="2:51" ht="24.75" customHeight="1" x14ac:dyDescent="0.25">
      <c r="B32" s="44" t="s">
        <v>122</v>
      </c>
      <c r="C32" s="108">
        <f>IF($B32="","",SUMIF('09M'!$AS:$AS,'EFICIÊNCIA 1º ETAPA'!$B32,'09M'!$AU:$AU))</f>
        <v>1135</v>
      </c>
      <c r="D32" s="108">
        <f>IF($B32="","",SUMIF('09F'!$AS:$AS,'EFICIÊNCIA 1º ETAPA'!$B32,'09F'!$AU:$AU))</f>
        <v>100</v>
      </c>
      <c r="E32" s="108">
        <f t="shared" si="4"/>
        <v>1235</v>
      </c>
      <c r="F32" s="108" t="s">
        <v>761</v>
      </c>
      <c r="G32" s="207">
        <v>800</v>
      </c>
      <c r="H32" s="214"/>
      <c r="I32" s="108">
        <f>IF($B32="","",SUMIF('11M'!$AS:$AS,'EFICIÊNCIA 1º ETAPA'!$B32,'11M'!$AU:$AU))</f>
        <v>608</v>
      </c>
      <c r="J32" s="108">
        <f>IF($B32="","",SUMIF('11F'!$AS:$AS,'EFICIÊNCIA 1º ETAPA'!$B32,'11F'!$AU:$AU))</f>
        <v>0</v>
      </c>
      <c r="K32" s="108">
        <f t="shared" si="5"/>
        <v>608</v>
      </c>
      <c r="L32" s="108" t="s">
        <v>766</v>
      </c>
      <c r="M32" s="207">
        <v>200</v>
      </c>
      <c r="N32" s="214"/>
      <c r="O32" s="108">
        <f>IF($B32="","",SUMIF('13M'!$AS:$AS,'EFICIÊNCIA 1º ETAPA'!$B32,'13M'!$AU:$AU))</f>
        <v>0</v>
      </c>
      <c r="P32" s="108">
        <f>IF($B32="","",SUMIF('13F'!$AS:$AS,'EFICIÊNCIA 1º ETAPA'!$B32,'13F'!$AU:$AU))</f>
        <v>0</v>
      </c>
      <c r="Q32" s="108">
        <f t="shared" si="6"/>
        <v>0</v>
      </c>
      <c r="R32" s="108"/>
      <c r="S32" s="207"/>
      <c r="T32" s="214"/>
      <c r="U32" s="108">
        <f>IF($B32="","",SUMIF('15M'!$AS:$AS,'EFICIÊNCIA 1º ETAPA'!$B32,'15M'!$AU:$AU))</f>
        <v>0</v>
      </c>
      <c r="V32" s="108">
        <f>IF($B32="","",SUMIF('15F'!$AS:$AS,'EFICIÊNCIA 1º ETAPA'!$B32,'15F'!$AU:$AU))</f>
        <v>0</v>
      </c>
      <c r="W32" s="108">
        <f t="shared" si="7"/>
        <v>0</v>
      </c>
      <c r="X32" s="108"/>
      <c r="Y32" s="207"/>
      <c r="Z32" s="214"/>
      <c r="AA32" s="108">
        <f>IF($B32="","",SUMIF('17M'!$AS:$AS,'EFICIÊNCIA 1º ETAPA'!$B32,'17M'!$AU:$AU))</f>
        <v>0</v>
      </c>
      <c r="AB32" s="108">
        <f>IF($B32="","",SUMIF('17F'!$AS:$AS,'EFICIÊNCIA 1º ETAPA'!$B32,'17F'!$AU:$AU))</f>
        <v>0</v>
      </c>
      <c r="AC32" s="108">
        <f t="shared" si="8"/>
        <v>0</v>
      </c>
      <c r="AD32" s="108"/>
      <c r="AE32" s="207"/>
      <c r="AF32" s="214"/>
      <c r="AG32" s="108"/>
      <c r="AH32" s="108"/>
      <c r="AI32" s="108">
        <f t="shared" si="9"/>
        <v>0</v>
      </c>
      <c r="AJ32" s="207"/>
      <c r="AK32" s="207"/>
      <c r="AL32" s="211"/>
      <c r="AM32" s="211"/>
      <c r="AN32" s="211"/>
      <c r="AO32" s="211"/>
      <c r="AP32" s="46">
        <f t="shared" si="12"/>
        <v>4686.32</v>
      </c>
      <c r="AQ32" s="46" t="str">
        <f>IF(AR32="","",B32)</f>
        <v>PEN LIFE</v>
      </c>
      <c r="AR32" s="109">
        <f>IF(B32="","",SUM(C32:AB32))</f>
        <v>4686</v>
      </c>
      <c r="AS32" s="46" t="e">
        <f t="shared" si="11"/>
        <v>#NUM!</v>
      </c>
      <c r="AT32" s="46">
        <v>26</v>
      </c>
      <c r="AU32" s="45"/>
      <c r="AV32" s="47" t="e">
        <f>IF(B32&lt;&gt;"",_xlfn.RANK.EQ(AY32,$AY$7:$AY$46,0),"")</f>
        <v>#NUM!</v>
      </c>
      <c r="AW32" s="48" t="e">
        <f t="shared" si="13"/>
        <v>#NUM!</v>
      </c>
      <c r="AX32" s="49" t="e">
        <f t="shared" si="14"/>
        <v>#NUM!</v>
      </c>
      <c r="AY32" s="110" t="e">
        <f t="shared" si="15"/>
        <v>#NUM!</v>
      </c>
    </row>
    <row r="33" spans="2:51" ht="24.75" customHeight="1" x14ac:dyDescent="0.25">
      <c r="B33" s="44" t="s">
        <v>124</v>
      </c>
      <c r="C33" s="108">
        <f>IF($B33="","",SUMIF('09M'!$AS:$AS,'EFICIÊNCIA 1º ETAPA'!$B33,'09M'!$AU:$AU))</f>
        <v>200</v>
      </c>
      <c r="D33" s="108">
        <f>IF($B33="","",SUMIF('09F'!$AS:$AS,'EFICIÊNCIA 1º ETAPA'!$B33,'09F'!$AU:$AU))</f>
        <v>0</v>
      </c>
      <c r="E33" s="108">
        <f t="shared" si="4"/>
        <v>200</v>
      </c>
      <c r="F33" s="108" t="s">
        <v>771</v>
      </c>
      <c r="G33" s="207">
        <v>25</v>
      </c>
      <c r="H33" s="214"/>
      <c r="I33" s="108">
        <f>IF($B33="","",SUMIF('11M'!$AS:$AS,'EFICIÊNCIA 1º ETAPA'!$B33,'11M'!$AU:$AU))</f>
        <v>0</v>
      </c>
      <c r="J33" s="108">
        <f>IF($B33="","",SUMIF('11F'!$AS:$AS,'EFICIÊNCIA 1º ETAPA'!$B33,'11F'!$AU:$AU))</f>
        <v>0</v>
      </c>
      <c r="K33" s="108">
        <f t="shared" si="5"/>
        <v>0</v>
      </c>
      <c r="L33" s="108"/>
      <c r="M33" s="207"/>
      <c r="N33" s="214"/>
      <c r="O33" s="108">
        <f>IF($B33="","",SUMIF('13M'!$AS:$AS,'EFICIÊNCIA 1º ETAPA'!$B33,'13M'!$AU:$AU))</f>
        <v>0</v>
      </c>
      <c r="P33" s="108">
        <f>IF($B33="","",SUMIF('13F'!$AS:$AS,'EFICIÊNCIA 1º ETAPA'!$B33,'13F'!$AU:$AU))</f>
        <v>0</v>
      </c>
      <c r="Q33" s="108">
        <f t="shared" si="6"/>
        <v>0</v>
      </c>
      <c r="R33" s="108"/>
      <c r="S33" s="207"/>
      <c r="T33" s="214"/>
      <c r="U33" s="108">
        <f>IF($B33="","",SUMIF('15M'!$AS:$AS,'EFICIÊNCIA 1º ETAPA'!$B33,'15M'!$AU:$AU))</f>
        <v>230</v>
      </c>
      <c r="V33" s="108">
        <f>IF($B33="","",SUMIF('15F'!$AS:$AS,'EFICIÊNCIA 1º ETAPA'!$B33,'15F'!$AU:$AU))</f>
        <v>0</v>
      </c>
      <c r="W33" s="108">
        <f t="shared" si="7"/>
        <v>230</v>
      </c>
      <c r="X33" s="108" t="s">
        <v>770</v>
      </c>
      <c r="Y33" s="207">
        <v>25</v>
      </c>
      <c r="Z33" s="214"/>
      <c r="AA33" s="108">
        <f>IF($B33="","",SUMIF('17M'!$AS:$AS,'EFICIÊNCIA 1º ETAPA'!$B33,'17M'!$AU:$AU))</f>
        <v>0</v>
      </c>
      <c r="AB33" s="108">
        <f>IF($B33="","",SUMIF('17F'!$AS:$AS,'EFICIÊNCIA 1º ETAPA'!$B33,'17F'!$AU:$AU))</f>
        <v>0</v>
      </c>
      <c r="AC33" s="108">
        <f t="shared" si="8"/>
        <v>0</v>
      </c>
      <c r="AD33" s="108"/>
      <c r="AE33" s="207"/>
      <c r="AF33" s="214"/>
      <c r="AG33" s="108"/>
      <c r="AH33" s="108"/>
      <c r="AI33" s="108">
        <f t="shared" si="9"/>
        <v>0</v>
      </c>
      <c r="AJ33" s="207"/>
      <c r="AK33" s="207"/>
      <c r="AL33" s="211"/>
      <c r="AM33" s="211"/>
      <c r="AN33" s="211"/>
      <c r="AO33" s="211"/>
      <c r="AP33" s="46">
        <f t="shared" si="12"/>
        <v>910.33</v>
      </c>
      <c r="AQ33" s="46" t="str">
        <f>IF(AR33="","",B33)</f>
        <v>RIO BRANCO - SBC</v>
      </c>
      <c r="AR33" s="109">
        <f>IF(B33="","",SUM(C33:AB33))</f>
        <v>910</v>
      </c>
      <c r="AS33" s="46" t="e">
        <f t="shared" si="11"/>
        <v>#NUM!</v>
      </c>
      <c r="AT33" s="46">
        <v>27</v>
      </c>
      <c r="AU33" s="45"/>
      <c r="AV33" s="47" t="e">
        <f>IF(B33&lt;&gt;"",_xlfn.RANK.EQ(AY33,$AY$7:$AY$46,0),"")</f>
        <v>#NUM!</v>
      </c>
      <c r="AW33" s="48" t="e">
        <f t="shared" si="13"/>
        <v>#NUM!</v>
      </c>
      <c r="AX33" s="49" t="e">
        <f t="shared" si="14"/>
        <v>#NUM!</v>
      </c>
      <c r="AY33" s="110" t="e">
        <f t="shared" si="15"/>
        <v>#NUM!</v>
      </c>
    </row>
    <row r="34" spans="2:51" ht="24.75" customHeight="1" x14ac:dyDescent="0.25">
      <c r="B34" s="44" t="s">
        <v>621</v>
      </c>
      <c r="C34" s="108">
        <f>IF($B34="","",SUMIF('09M'!$AS:$AS,'EFICIÊNCIA 1º ETAPA'!$B34,'09M'!$AU:$AU))</f>
        <v>200</v>
      </c>
      <c r="D34" s="108">
        <f>IF($B34="","",SUMIF('09F'!$AS:$AS,'EFICIÊNCIA 1º ETAPA'!$B34,'09F'!$AU:$AU))</f>
        <v>0</v>
      </c>
      <c r="E34" s="108">
        <f t="shared" si="4"/>
        <v>200</v>
      </c>
      <c r="F34" s="108" t="s">
        <v>771</v>
      </c>
      <c r="G34" s="207">
        <v>25</v>
      </c>
      <c r="H34" s="214"/>
      <c r="I34" s="108">
        <f>IF($B34="","",SUMIF('11M'!$AS:$AS,'EFICIÊNCIA 1º ETAPA'!$B34,'11M'!$AU:$AU))</f>
        <v>163</v>
      </c>
      <c r="J34" s="108">
        <f>IF($B34="","",SUMIF('11F'!$AS:$AS,'EFICIÊNCIA 1º ETAPA'!$B34,'11F'!$AU:$AU))</f>
        <v>100</v>
      </c>
      <c r="K34" s="108">
        <f t="shared" si="5"/>
        <v>263</v>
      </c>
      <c r="L34" s="108" t="s">
        <v>776</v>
      </c>
      <c r="M34" s="207">
        <v>25</v>
      </c>
      <c r="N34" s="214"/>
      <c r="O34" s="108">
        <f>IF($B34="","",SUMIF('13M'!$AS:$AS,'EFICIÊNCIA 1º ETAPA'!$B34,'13M'!$AU:$AU))</f>
        <v>267</v>
      </c>
      <c r="P34" s="108">
        <f>IF($B34="","",SUMIF('13F'!$AS:$AS,'EFICIÊNCIA 1º ETAPA'!$B34,'13F'!$AU:$AU))</f>
        <v>0</v>
      </c>
      <c r="Q34" s="108">
        <f t="shared" si="6"/>
        <v>267</v>
      </c>
      <c r="R34" s="108" t="s">
        <v>770</v>
      </c>
      <c r="S34" s="207">
        <v>25</v>
      </c>
      <c r="T34" s="214"/>
      <c r="U34" s="108">
        <f>IF($B34="","",SUMIF('15M'!$AS:$AS,'EFICIÊNCIA 1º ETAPA'!$B34,'15M'!$AU:$AU))</f>
        <v>40</v>
      </c>
      <c r="V34" s="108">
        <f>IF($B34="","",SUMIF('15F'!$AS:$AS,'EFICIÊNCIA 1º ETAPA'!$B34,'15F'!$AU:$AU))</f>
        <v>0</v>
      </c>
      <c r="W34" s="108">
        <f t="shared" si="7"/>
        <v>40</v>
      </c>
      <c r="X34" s="108" t="s">
        <v>779</v>
      </c>
      <c r="Y34" s="207">
        <v>25</v>
      </c>
      <c r="Z34" s="214"/>
      <c r="AA34" s="108">
        <f>IF($B34="","",SUMIF('17M'!$AS:$AS,'EFICIÊNCIA 1º ETAPA'!$B34,'17M'!$AU:$AU))</f>
        <v>0</v>
      </c>
      <c r="AB34" s="108">
        <f>IF($B34="","",SUMIF('17F'!$AS:$AS,'EFICIÊNCIA 1º ETAPA'!$B34,'17F'!$AU:$AU))</f>
        <v>0</v>
      </c>
      <c r="AC34" s="108">
        <f t="shared" si="8"/>
        <v>0</v>
      </c>
      <c r="AD34" s="108"/>
      <c r="AE34" s="207"/>
      <c r="AF34" s="214"/>
      <c r="AG34" s="108"/>
      <c r="AH34" s="108"/>
      <c r="AI34" s="108">
        <f t="shared" si="9"/>
        <v>0</v>
      </c>
      <c r="AJ34" s="207"/>
      <c r="AK34" s="207"/>
      <c r="AL34" s="211"/>
      <c r="AM34" s="211"/>
      <c r="AN34" s="211"/>
      <c r="AO34" s="211"/>
      <c r="AP34" s="46">
        <f t="shared" si="12"/>
        <v>1640.34</v>
      </c>
      <c r="AQ34" s="46" t="str">
        <f>IF(AR34="","",B34)</f>
        <v>ESCOLA INTERAÇÃO</v>
      </c>
      <c r="AR34" s="109">
        <f>IF(B34="","",SUM(C34:AB34))</f>
        <v>1640</v>
      </c>
      <c r="AS34" s="46" t="e">
        <f t="shared" si="11"/>
        <v>#NUM!</v>
      </c>
      <c r="AT34" s="46">
        <v>28</v>
      </c>
      <c r="AU34" s="45"/>
      <c r="AV34" s="47" t="e">
        <f>IF(B34&lt;&gt;"",_xlfn.RANK.EQ(AY34,$AY$7:$AY$46,0),"")</f>
        <v>#NUM!</v>
      </c>
      <c r="AW34" s="48" t="e">
        <f t="shared" si="13"/>
        <v>#NUM!</v>
      </c>
      <c r="AX34" s="49" t="e">
        <f t="shared" si="14"/>
        <v>#NUM!</v>
      </c>
      <c r="AY34" s="110" t="e">
        <f t="shared" si="15"/>
        <v>#NUM!</v>
      </c>
    </row>
    <row r="35" spans="2:51" ht="24.75" customHeight="1" x14ac:dyDescent="0.25">
      <c r="B35" s="44" t="s">
        <v>651</v>
      </c>
      <c r="C35" s="108">
        <f>IF($B35="","",SUMIF('09M'!$AS:$AS,'EFICIÊNCIA 1º ETAPA'!$B35,'09M'!$AU:$AU))</f>
        <v>340</v>
      </c>
      <c r="D35" s="108">
        <f>IF($B35="","",SUMIF('09F'!$AS:$AS,'EFICIÊNCIA 1º ETAPA'!$B35,'09F'!$AU:$AU))</f>
        <v>0</v>
      </c>
      <c r="E35" s="108">
        <f t="shared" si="4"/>
        <v>340</v>
      </c>
      <c r="F35" s="108" t="s">
        <v>769</v>
      </c>
      <c r="G35" s="207">
        <v>25</v>
      </c>
      <c r="H35" s="214"/>
      <c r="I35" s="108">
        <f>IF($B35="","",SUMIF('11M'!$AS:$AS,'EFICIÊNCIA 1º ETAPA'!$B35,'11M'!$AU:$AU))</f>
        <v>105</v>
      </c>
      <c r="J35" s="108">
        <f>IF($B35="","",SUMIF('11F'!$AS:$AS,'EFICIÊNCIA 1º ETAPA'!$B35,'11F'!$AU:$AU))</f>
        <v>0</v>
      </c>
      <c r="K35" s="108">
        <f t="shared" si="5"/>
        <v>105</v>
      </c>
      <c r="L35" s="108" t="s">
        <v>774</v>
      </c>
      <c r="M35" s="207">
        <v>25</v>
      </c>
      <c r="N35" s="214"/>
      <c r="O35" s="108">
        <f>IF($B35="","",SUMIF('13M'!$AS:$AS,'EFICIÊNCIA 1º ETAPA'!$B35,'13M'!$AU:$AU))</f>
        <v>260</v>
      </c>
      <c r="P35" s="108">
        <f>IF($B35="","",SUMIF('13F'!$AS:$AS,'EFICIÊNCIA 1º ETAPA'!$B35,'13F'!$AU:$AU))</f>
        <v>0</v>
      </c>
      <c r="Q35" s="108">
        <f t="shared" si="6"/>
        <v>260</v>
      </c>
      <c r="R35" s="108" t="s">
        <v>771</v>
      </c>
      <c r="S35" s="207">
        <v>25</v>
      </c>
      <c r="T35" s="214"/>
      <c r="U35" s="108">
        <f>IF($B35="","",SUMIF('15M'!$AS:$AS,'EFICIÊNCIA 1º ETAPA'!$B35,'15M'!$AU:$AU))</f>
        <v>100</v>
      </c>
      <c r="V35" s="108">
        <f>IF($B35="","",SUMIF('15F'!$AS:$AS,'EFICIÊNCIA 1º ETAPA'!$B35,'15F'!$AU:$AU))</f>
        <v>0</v>
      </c>
      <c r="W35" s="108">
        <f t="shared" si="7"/>
        <v>100</v>
      </c>
      <c r="X35" s="108" t="s">
        <v>777</v>
      </c>
      <c r="Y35" s="207">
        <v>25</v>
      </c>
      <c r="Z35" s="214"/>
      <c r="AA35" s="108">
        <f>IF($B35="","",SUMIF('17M'!$AS:$AS,'EFICIÊNCIA 1º ETAPA'!$B35,'17M'!$AU:$AU))</f>
        <v>158</v>
      </c>
      <c r="AB35" s="108">
        <f>IF($B35="","",SUMIF('17F'!$AS:$AS,'EFICIÊNCIA 1º ETAPA'!$B35,'17F'!$AU:$AU))</f>
        <v>0</v>
      </c>
      <c r="AC35" s="108">
        <f t="shared" si="8"/>
        <v>158</v>
      </c>
      <c r="AD35" s="108" t="s">
        <v>767</v>
      </c>
      <c r="AE35" s="207">
        <v>100</v>
      </c>
      <c r="AF35" s="214"/>
      <c r="AG35" s="108"/>
      <c r="AH35" s="108"/>
      <c r="AI35" s="108">
        <f t="shared" si="9"/>
        <v>0</v>
      </c>
      <c r="AJ35" s="207"/>
      <c r="AK35" s="207"/>
      <c r="AL35" s="211"/>
      <c r="AM35" s="211"/>
      <c r="AN35" s="211"/>
      <c r="AO35" s="211"/>
      <c r="AP35" s="46">
        <f t="shared" si="12"/>
        <v>1868.35</v>
      </c>
      <c r="AQ35" s="46" t="str">
        <f>IF(AR35="","",B35)</f>
        <v>EDUCANDÁRIO - S.A</v>
      </c>
      <c r="AR35" s="109">
        <f>IF(B35="","",SUM(C35:AB35))</f>
        <v>1868</v>
      </c>
      <c r="AS35" s="46" t="e">
        <f t="shared" si="11"/>
        <v>#NUM!</v>
      </c>
      <c r="AT35" s="46">
        <v>29</v>
      </c>
      <c r="AU35" s="45"/>
      <c r="AV35" s="47" t="e">
        <f>IF(B35&lt;&gt;"",_xlfn.RANK.EQ(AY35,$AY$7:$AY$46,0),"")</f>
        <v>#NUM!</v>
      </c>
      <c r="AW35" s="48" t="e">
        <f t="shared" si="13"/>
        <v>#NUM!</v>
      </c>
      <c r="AX35" s="49" t="e">
        <f t="shared" si="14"/>
        <v>#NUM!</v>
      </c>
      <c r="AY35" s="110" t="e">
        <f t="shared" si="15"/>
        <v>#NUM!</v>
      </c>
    </row>
    <row r="36" spans="2:51" ht="24.75" customHeight="1" x14ac:dyDescent="0.25">
      <c r="B36" s="44" t="s">
        <v>661</v>
      </c>
      <c r="C36" s="108">
        <f>IF($B36="","",SUMIF('09M'!$AS:$AS,'EFICIÊNCIA 1º ETAPA'!$B36,'09M'!$AU:$AU))</f>
        <v>0</v>
      </c>
      <c r="D36" s="108">
        <f>IF($B36="","",SUMIF('09F'!$AS:$AS,'EFICIÊNCIA 1º ETAPA'!$B36,'09F'!$AU:$AU))</f>
        <v>0</v>
      </c>
      <c r="E36" s="108">
        <f t="shared" si="4"/>
        <v>0</v>
      </c>
      <c r="F36" s="108"/>
      <c r="G36" s="207"/>
      <c r="H36" s="214"/>
      <c r="I36" s="108">
        <f>IF($B36="","",SUMIF('11M'!$AS:$AS,'EFICIÊNCIA 1º ETAPA'!$B36,'11M'!$AU:$AU))</f>
        <v>0</v>
      </c>
      <c r="J36" s="108">
        <f>IF($B36="","",SUMIF('11F'!$AS:$AS,'EFICIÊNCIA 1º ETAPA'!$B36,'11F'!$AU:$AU))</f>
        <v>0</v>
      </c>
      <c r="K36" s="108">
        <f t="shared" si="5"/>
        <v>0</v>
      </c>
      <c r="L36" s="108"/>
      <c r="M36" s="207"/>
      <c r="N36" s="214"/>
      <c r="O36" s="108">
        <f>IF($B36="","",SUMIF('13M'!$AS:$AS,'EFICIÊNCIA 1º ETAPA'!$B36,'13M'!$AU:$AU))</f>
        <v>0</v>
      </c>
      <c r="P36" s="108">
        <f>IF($B36="","",SUMIF('13F'!$AS:$AS,'EFICIÊNCIA 1º ETAPA'!$B36,'13F'!$AU:$AU))</f>
        <v>0</v>
      </c>
      <c r="Q36" s="108">
        <f t="shared" si="6"/>
        <v>0</v>
      </c>
      <c r="R36" s="108"/>
      <c r="S36" s="207"/>
      <c r="T36" s="214"/>
      <c r="U36" s="108">
        <f>IF($B36="","",SUMIF('15M'!$AS:$AS,'EFICIÊNCIA 1º ETAPA'!$B36,'15M'!$AU:$AU))</f>
        <v>0</v>
      </c>
      <c r="V36" s="108">
        <f>IF($B36="","",SUMIF('15F'!$AS:$AS,'EFICIÊNCIA 1º ETAPA'!$B36,'15F'!$AU:$AU))</f>
        <v>0</v>
      </c>
      <c r="W36" s="108">
        <f t="shared" si="7"/>
        <v>0</v>
      </c>
      <c r="X36" s="108"/>
      <c r="Y36" s="207"/>
      <c r="Z36" s="214"/>
      <c r="AA36" s="108">
        <f>IF($B36="","",SUMIF('17M'!$AS:$AS,'EFICIÊNCIA 1º ETAPA'!$B36,'17M'!$AU:$AU))</f>
        <v>0</v>
      </c>
      <c r="AB36" s="108">
        <f>IF($B36="","",SUMIF('17F'!$AS:$AS,'EFICIÊNCIA 1º ETAPA'!$B36,'17F'!$AU:$AU))</f>
        <v>0</v>
      </c>
      <c r="AC36" s="108">
        <f t="shared" si="8"/>
        <v>0</v>
      </c>
      <c r="AD36" s="108"/>
      <c r="AE36" s="207"/>
      <c r="AF36" s="214"/>
      <c r="AG36" s="108"/>
      <c r="AH36" s="108"/>
      <c r="AI36" s="108">
        <f t="shared" si="9"/>
        <v>0</v>
      </c>
      <c r="AJ36" s="207"/>
      <c r="AK36" s="207"/>
      <c r="AL36" s="211"/>
      <c r="AM36" s="211"/>
      <c r="AN36" s="211"/>
      <c r="AO36" s="211"/>
      <c r="AP36" s="46">
        <f t="shared" si="12"/>
        <v>0.36</v>
      </c>
      <c r="AQ36" s="46" t="str">
        <f>IF(AR36="","",B36)</f>
        <v>ESCOLA PINHEIRO</v>
      </c>
      <c r="AR36" s="109">
        <f>IF(B36="","",SUM(C36:AB36))</f>
        <v>0</v>
      </c>
      <c r="AS36" s="46" t="e">
        <f t="shared" si="11"/>
        <v>#NUM!</v>
      </c>
      <c r="AT36" s="46">
        <v>30</v>
      </c>
      <c r="AU36" s="45"/>
      <c r="AV36" s="47" t="e">
        <f>IF(B36&lt;&gt;"",_xlfn.RANK.EQ(AY36,$AY$7:$AY$46,0),"")</f>
        <v>#NUM!</v>
      </c>
      <c r="AW36" s="48" t="e">
        <f t="shared" si="13"/>
        <v>#NUM!</v>
      </c>
      <c r="AX36" s="49" t="e">
        <f t="shared" si="14"/>
        <v>#NUM!</v>
      </c>
      <c r="AY36" s="110" t="e">
        <f t="shared" si="15"/>
        <v>#NUM!</v>
      </c>
    </row>
    <row r="37" spans="2:51" ht="24.75" customHeight="1" x14ac:dyDescent="0.25">
      <c r="B37" s="44"/>
      <c r="C37" s="108" t="str">
        <f>IF($B37="","",SUMIF('09M'!$AS:$AS,'EFICIÊNCIA 1º ETAPA'!$B37,'09M'!$AU:$AU))</f>
        <v/>
      </c>
      <c r="D37" s="108" t="str">
        <f>IF($B37="","",SUMIF('09F'!$AS:$AS,'EFICIÊNCIA 1º ETAPA'!$B37,'09F'!$AU:$AU))</f>
        <v/>
      </c>
      <c r="E37" s="108">
        <f t="shared" si="4"/>
        <v>0</v>
      </c>
      <c r="F37" s="108"/>
      <c r="G37" s="207"/>
      <c r="H37" s="214"/>
      <c r="I37" s="108" t="str">
        <f>IF($B37="","",SUMIF('11M'!$AS:$AS,'EFICIÊNCIA 1º ETAPA'!$B37,'11M'!$AU:$AU))</f>
        <v/>
      </c>
      <c r="J37" s="108" t="str">
        <f>IF($B37="","",SUMIF('11F'!$AS:$AS,'EFICIÊNCIA 1º ETAPA'!$B37,'11F'!$AU:$AU))</f>
        <v/>
      </c>
      <c r="K37" s="108">
        <f t="shared" si="5"/>
        <v>0</v>
      </c>
      <c r="L37" s="108"/>
      <c r="M37" s="207"/>
      <c r="N37" s="214"/>
      <c r="O37" s="108" t="str">
        <f>IF($B37="","",SUMIF('13M'!$AS:$AS,'EFICIÊNCIA 1º ETAPA'!$B37,'13M'!$AU:$AU))</f>
        <v/>
      </c>
      <c r="P37" s="108" t="str">
        <f>IF($B37="","",SUMIF('13F'!$AS:$AS,'EFICIÊNCIA 1º ETAPA'!$B37,'13F'!$AU:$AU))</f>
        <v/>
      </c>
      <c r="Q37" s="108">
        <f t="shared" si="6"/>
        <v>0</v>
      </c>
      <c r="R37" s="108"/>
      <c r="S37" s="207"/>
      <c r="T37" s="214"/>
      <c r="U37" s="108" t="str">
        <f>IF($B37="","",SUMIF('15M'!$AS:$AS,'EFICIÊNCIA 1º ETAPA'!$B37,'15M'!$AU:$AU))</f>
        <v/>
      </c>
      <c r="V37" s="108" t="str">
        <f>IF($B37="","",SUMIF('15F'!$AS:$AS,'EFICIÊNCIA 1º ETAPA'!$B37,'15F'!$AU:$AU))</f>
        <v/>
      </c>
      <c r="W37" s="108">
        <f t="shared" si="7"/>
        <v>0</v>
      </c>
      <c r="X37" s="108"/>
      <c r="Y37" s="207"/>
      <c r="Z37" s="214"/>
      <c r="AA37" s="108" t="str">
        <f>IF($B37="","",SUMIF('17M'!$AS:$AS,'EFICIÊNCIA 1º ETAPA'!$B37,'17M'!$AU:$AU))</f>
        <v/>
      </c>
      <c r="AB37" s="108" t="str">
        <f>IF($B37="","",SUMIF('17F'!$AS:$AS,'EFICIÊNCIA 1º ETAPA'!$B37,'17F'!$AU:$AU))</f>
        <v/>
      </c>
      <c r="AC37" s="108">
        <f t="shared" si="8"/>
        <v>0</v>
      </c>
      <c r="AD37" s="108"/>
      <c r="AE37" s="207"/>
      <c r="AF37" s="214"/>
      <c r="AG37" s="108"/>
      <c r="AH37" s="108"/>
      <c r="AI37" s="108">
        <f t="shared" si="9"/>
        <v>0</v>
      </c>
      <c r="AJ37" s="207"/>
      <c r="AK37" s="207"/>
      <c r="AL37" s="211"/>
      <c r="AM37" s="211"/>
      <c r="AN37" s="211"/>
      <c r="AO37" s="211"/>
      <c r="AP37" s="46" t="str">
        <f t="shared" si="12"/>
        <v/>
      </c>
      <c r="AQ37" s="46" t="str">
        <f>IF(AR37="","",B37)</f>
        <v/>
      </c>
      <c r="AR37" s="109" t="str">
        <f>IF(B37="","",SUM(C37:AB37))</f>
        <v/>
      </c>
      <c r="AS37" s="46" t="str">
        <f t="shared" si="11"/>
        <v/>
      </c>
      <c r="AT37" s="46">
        <v>31</v>
      </c>
      <c r="AU37" s="45"/>
      <c r="AV37" s="47" t="str">
        <f>IF(B37&lt;&gt;"",_xlfn.RANK.EQ(AY37,$AY$7:$AY$46,0),"")</f>
        <v/>
      </c>
      <c r="AW37" s="48" t="str">
        <f t="shared" si="13"/>
        <v/>
      </c>
      <c r="AX37" s="49" t="str">
        <f t="shared" si="14"/>
        <v/>
      </c>
      <c r="AY37" s="110" t="str">
        <f t="shared" si="15"/>
        <v/>
      </c>
    </row>
    <row r="38" spans="2:51" ht="24.75" customHeight="1" x14ac:dyDescent="0.25">
      <c r="B38" s="44"/>
      <c r="C38" s="108" t="str">
        <f>IF($B38="","",SUMIF('09M'!$AS:$AS,'EFICIÊNCIA 1º ETAPA'!$B38,'09M'!$AU:$AU))</f>
        <v/>
      </c>
      <c r="D38" s="108" t="str">
        <f>IF($B38="","",SUMIF('09F'!$AS:$AS,'EFICIÊNCIA 1º ETAPA'!$B38,'09F'!$AU:$AU))</f>
        <v/>
      </c>
      <c r="E38" s="108">
        <f t="shared" si="4"/>
        <v>0</v>
      </c>
      <c r="F38" s="108"/>
      <c r="G38" s="207"/>
      <c r="H38" s="214"/>
      <c r="I38" s="108" t="str">
        <f>IF($B38="","",SUMIF('11M'!$AS:$AS,'EFICIÊNCIA 1º ETAPA'!$B38,'11M'!$AU:$AU))</f>
        <v/>
      </c>
      <c r="J38" s="108" t="str">
        <f>IF($B38="","",SUMIF('11F'!$AS:$AS,'EFICIÊNCIA 1º ETAPA'!$B38,'11F'!$AU:$AU))</f>
        <v/>
      </c>
      <c r="K38" s="108">
        <f t="shared" si="5"/>
        <v>0</v>
      </c>
      <c r="L38" s="108"/>
      <c r="M38" s="207"/>
      <c r="N38" s="214"/>
      <c r="O38" s="108" t="str">
        <f>IF($B38="","",SUMIF('13M'!$AS:$AS,'EFICIÊNCIA 1º ETAPA'!$B38,'13M'!$AU:$AU))</f>
        <v/>
      </c>
      <c r="P38" s="108" t="str">
        <f>IF($B38="","",SUMIF('13F'!$AS:$AS,'EFICIÊNCIA 1º ETAPA'!$B38,'13F'!$AU:$AU))</f>
        <v/>
      </c>
      <c r="Q38" s="108">
        <f t="shared" si="6"/>
        <v>0</v>
      </c>
      <c r="R38" s="108"/>
      <c r="S38" s="207"/>
      <c r="T38" s="214"/>
      <c r="U38" s="108" t="str">
        <f>IF($B38="","",SUMIF('15M'!$AS:$AS,'EFICIÊNCIA 1º ETAPA'!$B38,'15M'!$AU:$AU))</f>
        <v/>
      </c>
      <c r="V38" s="108" t="str">
        <f>IF($B38="","",SUMIF('15F'!$AS:$AS,'EFICIÊNCIA 1º ETAPA'!$B38,'15F'!$AU:$AU))</f>
        <v/>
      </c>
      <c r="W38" s="108">
        <f t="shared" si="7"/>
        <v>0</v>
      </c>
      <c r="X38" s="108"/>
      <c r="Y38" s="207"/>
      <c r="Z38" s="214"/>
      <c r="AA38" s="108" t="str">
        <f>IF($B38="","",SUMIF('17M'!$AS:$AS,'EFICIÊNCIA 1º ETAPA'!$B38,'17M'!$AU:$AU))</f>
        <v/>
      </c>
      <c r="AB38" s="108" t="str">
        <f>IF($B38="","",SUMIF('17F'!$AS:$AS,'EFICIÊNCIA 1º ETAPA'!$B38,'17F'!$AU:$AU))</f>
        <v/>
      </c>
      <c r="AC38" s="108">
        <f t="shared" si="8"/>
        <v>0</v>
      </c>
      <c r="AD38" s="108"/>
      <c r="AE38" s="207"/>
      <c r="AF38" s="214"/>
      <c r="AG38" s="108"/>
      <c r="AH38" s="108"/>
      <c r="AI38" s="108">
        <f t="shared" si="9"/>
        <v>0</v>
      </c>
      <c r="AJ38" s="207"/>
      <c r="AK38" s="207"/>
      <c r="AL38" s="211"/>
      <c r="AM38" s="211"/>
      <c r="AN38" s="211"/>
      <c r="AO38" s="211"/>
      <c r="AP38" s="46" t="str">
        <f t="shared" si="12"/>
        <v/>
      </c>
      <c r="AQ38" s="46" t="str">
        <f>IF(AR38="","",B38)</f>
        <v/>
      </c>
      <c r="AR38" s="109" t="str">
        <f>IF(B38="","",SUM(C38:AB38))</f>
        <v/>
      </c>
      <c r="AS38" s="46" t="str">
        <f t="shared" si="11"/>
        <v/>
      </c>
      <c r="AT38" s="46">
        <v>32</v>
      </c>
      <c r="AU38" s="45"/>
      <c r="AV38" s="47" t="str">
        <f>IF(B38&lt;&gt;"",_xlfn.RANK.EQ(AY38,$AY$7:$AY$46,0),"")</f>
        <v/>
      </c>
      <c r="AW38" s="48" t="str">
        <f t="shared" si="13"/>
        <v/>
      </c>
      <c r="AX38" s="49" t="str">
        <f t="shared" si="14"/>
        <v/>
      </c>
      <c r="AY38" s="110" t="str">
        <f t="shared" si="15"/>
        <v/>
      </c>
    </row>
    <row r="39" spans="2:51" ht="24.75" customHeight="1" x14ac:dyDescent="0.25">
      <c r="B39" s="44"/>
      <c r="C39" s="108" t="str">
        <f>IF($B39="","",SUMIF('09M'!$AS:$AS,'EFICIÊNCIA 1º ETAPA'!$B39,'09M'!$AU:$AU))</f>
        <v/>
      </c>
      <c r="D39" s="108" t="str">
        <f>IF($B39="","",SUMIF('09F'!$AS:$AS,'EFICIÊNCIA 1º ETAPA'!$B39,'09F'!$AU:$AU))</f>
        <v/>
      </c>
      <c r="E39" s="108">
        <f t="shared" si="4"/>
        <v>0</v>
      </c>
      <c r="F39" s="108"/>
      <c r="G39" s="207"/>
      <c r="H39" s="214"/>
      <c r="I39" s="108" t="str">
        <f>IF($B39="","",SUMIF('11M'!$AS:$AS,'EFICIÊNCIA 1º ETAPA'!$B39,'11M'!$AU:$AU))</f>
        <v/>
      </c>
      <c r="J39" s="108" t="str">
        <f>IF($B39="","",SUMIF('11F'!$AS:$AS,'EFICIÊNCIA 1º ETAPA'!$B39,'11F'!$AU:$AU))</f>
        <v/>
      </c>
      <c r="K39" s="108">
        <f t="shared" si="5"/>
        <v>0</v>
      </c>
      <c r="L39" s="108"/>
      <c r="M39" s="207"/>
      <c r="N39" s="214"/>
      <c r="O39" s="108" t="str">
        <f>IF($B39="","",SUMIF('13M'!$AS:$AS,'EFICIÊNCIA 1º ETAPA'!$B39,'13M'!$AU:$AU))</f>
        <v/>
      </c>
      <c r="P39" s="108" t="str">
        <f>IF($B39="","",SUMIF('13F'!$AS:$AS,'EFICIÊNCIA 1º ETAPA'!$B39,'13F'!$AU:$AU))</f>
        <v/>
      </c>
      <c r="Q39" s="108">
        <f t="shared" si="6"/>
        <v>0</v>
      </c>
      <c r="R39" s="108"/>
      <c r="S39" s="207"/>
      <c r="T39" s="214"/>
      <c r="U39" s="108" t="str">
        <f>IF($B39="","",SUMIF('15M'!$AS:$AS,'EFICIÊNCIA 1º ETAPA'!$B39,'15M'!$AU:$AU))</f>
        <v/>
      </c>
      <c r="V39" s="108" t="str">
        <f>IF($B39="","",SUMIF('15F'!$AS:$AS,'EFICIÊNCIA 1º ETAPA'!$B39,'15F'!$AU:$AU))</f>
        <v/>
      </c>
      <c r="W39" s="108">
        <f t="shared" si="7"/>
        <v>0</v>
      </c>
      <c r="X39" s="108"/>
      <c r="Y39" s="207"/>
      <c r="Z39" s="214"/>
      <c r="AA39" s="108" t="str">
        <f>IF($B39="","",SUMIF('17M'!$AS:$AS,'EFICIÊNCIA 1º ETAPA'!$B39,'17M'!$AU:$AU))</f>
        <v/>
      </c>
      <c r="AB39" s="108" t="str">
        <f>IF($B39="","",SUMIF('17F'!$AS:$AS,'EFICIÊNCIA 1º ETAPA'!$B39,'17F'!$AU:$AU))</f>
        <v/>
      </c>
      <c r="AC39" s="108">
        <f t="shared" si="8"/>
        <v>0</v>
      </c>
      <c r="AD39" s="108"/>
      <c r="AE39" s="207"/>
      <c r="AF39" s="214"/>
      <c r="AG39" s="108"/>
      <c r="AH39" s="108"/>
      <c r="AI39" s="108">
        <f t="shared" si="9"/>
        <v>0</v>
      </c>
      <c r="AJ39" s="207"/>
      <c r="AK39" s="207"/>
      <c r="AL39" s="211"/>
      <c r="AM39" s="211"/>
      <c r="AN39" s="211"/>
      <c r="AO39" s="211"/>
      <c r="AP39" s="46" t="str">
        <f t="shared" si="12"/>
        <v/>
      </c>
      <c r="AQ39" s="46" t="str">
        <f>IF(AR39="","",B39)</f>
        <v/>
      </c>
      <c r="AR39" s="109" t="str">
        <f>IF(B39="","",SUM(C39:AB39))</f>
        <v/>
      </c>
      <c r="AS39" s="46" t="str">
        <f t="shared" si="11"/>
        <v/>
      </c>
      <c r="AT39" s="46">
        <v>33</v>
      </c>
      <c r="AU39" s="45"/>
      <c r="AV39" s="47" t="str">
        <f>IF(B39&lt;&gt;"",_xlfn.RANK.EQ(AY39,$AY$7:$AY$46,0),"")</f>
        <v/>
      </c>
      <c r="AW39" s="48" t="str">
        <f t="shared" si="13"/>
        <v/>
      </c>
      <c r="AX39" s="49" t="str">
        <f t="shared" si="14"/>
        <v/>
      </c>
      <c r="AY39" s="110" t="str">
        <f t="shared" si="15"/>
        <v/>
      </c>
    </row>
    <row r="40" spans="2:51" ht="24.75" customHeight="1" x14ac:dyDescent="0.25">
      <c r="B40" s="44"/>
      <c r="C40" s="108" t="str">
        <f>IF($B40="","",SUMIF('09M'!$AS:$AS,'EFICIÊNCIA 1º ETAPA'!$B40,'09M'!$AU:$AU))</f>
        <v/>
      </c>
      <c r="D40" s="108" t="str">
        <f>IF($B40="","",SUMIF('09F'!$AS:$AS,'EFICIÊNCIA 1º ETAPA'!$B40,'09F'!$AU:$AU))</f>
        <v/>
      </c>
      <c r="E40" s="108">
        <f t="shared" si="4"/>
        <v>0</v>
      </c>
      <c r="F40" s="108"/>
      <c r="G40" s="207"/>
      <c r="H40" s="214"/>
      <c r="I40" s="108" t="str">
        <f>IF($B40="","",SUMIF('11M'!$AS:$AS,'EFICIÊNCIA 1º ETAPA'!$B40,'11M'!$AU:$AU))</f>
        <v/>
      </c>
      <c r="J40" s="108" t="str">
        <f>IF($B40="","",SUMIF('11F'!$AS:$AS,'EFICIÊNCIA 1º ETAPA'!$B40,'11F'!$AU:$AU))</f>
        <v/>
      </c>
      <c r="K40" s="108">
        <f t="shared" si="5"/>
        <v>0</v>
      </c>
      <c r="L40" s="108"/>
      <c r="M40" s="207"/>
      <c r="N40" s="214"/>
      <c r="O40" s="108" t="str">
        <f>IF($B40="","",SUMIF('13M'!$AS:$AS,'EFICIÊNCIA 1º ETAPA'!$B40,'13M'!$AU:$AU))</f>
        <v/>
      </c>
      <c r="P40" s="108" t="str">
        <f>IF($B40="","",SUMIF('13F'!$AS:$AS,'EFICIÊNCIA 1º ETAPA'!$B40,'13F'!$AU:$AU))</f>
        <v/>
      </c>
      <c r="Q40" s="108">
        <f t="shared" si="6"/>
        <v>0</v>
      </c>
      <c r="R40" s="108"/>
      <c r="S40" s="207"/>
      <c r="T40" s="214"/>
      <c r="U40" s="108" t="str">
        <f>IF($B40="","",SUMIF('15M'!$AS:$AS,'EFICIÊNCIA 1º ETAPA'!$B40,'15M'!$AU:$AU))</f>
        <v/>
      </c>
      <c r="V40" s="108" t="str">
        <f>IF($B40="","",SUMIF('15F'!$AS:$AS,'EFICIÊNCIA 1º ETAPA'!$B40,'15F'!$AU:$AU))</f>
        <v/>
      </c>
      <c r="W40" s="108">
        <f t="shared" si="7"/>
        <v>0</v>
      </c>
      <c r="X40" s="108"/>
      <c r="Y40" s="207"/>
      <c r="Z40" s="214"/>
      <c r="AA40" s="108" t="str">
        <f>IF($B40="","",SUMIF('17M'!$AS:$AS,'EFICIÊNCIA 1º ETAPA'!$B40,'17M'!$AU:$AU))</f>
        <v/>
      </c>
      <c r="AB40" s="108" t="str">
        <f>IF($B40="","",SUMIF('17F'!$AS:$AS,'EFICIÊNCIA 1º ETAPA'!$B40,'17F'!$AU:$AU))</f>
        <v/>
      </c>
      <c r="AC40" s="108">
        <f t="shared" si="8"/>
        <v>0</v>
      </c>
      <c r="AD40" s="108"/>
      <c r="AE40" s="207"/>
      <c r="AF40" s="214"/>
      <c r="AG40" s="108"/>
      <c r="AH40" s="108"/>
      <c r="AI40" s="108">
        <f t="shared" si="9"/>
        <v>0</v>
      </c>
      <c r="AJ40" s="207"/>
      <c r="AK40" s="207"/>
      <c r="AL40" s="211"/>
      <c r="AM40" s="211"/>
      <c r="AN40" s="211"/>
      <c r="AO40" s="211"/>
      <c r="AP40" s="46" t="str">
        <f t="shared" si="12"/>
        <v/>
      </c>
      <c r="AQ40" s="46" t="str">
        <f>IF(AR40="","",B40)</f>
        <v/>
      </c>
      <c r="AR40" s="109" t="str">
        <f>IF(B40="","",SUM(C40:AB40))</f>
        <v/>
      </c>
      <c r="AS40" s="46" t="str">
        <f t="shared" si="11"/>
        <v/>
      </c>
      <c r="AT40" s="46">
        <v>34</v>
      </c>
      <c r="AU40" s="45"/>
      <c r="AV40" s="47" t="str">
        <f>IF(B40&lt;&gt;"",_xlfn.RANK.EQ(AY40,$AY$7:$AY$46,0),"")</f>
        <v/>
      </c>
      <c r="AW40" s="48" t="str">
        <f t="shared" si="13"/>
        <v/>
      </c>
      <c r="AX40" s="49" t="str">
        <f t="shared" si="14"/>
        <v/>
      </c>
      <c r="AY40" s="110" t="str">
        <f t="shared" si="15"/>
        <v/>
      </c>
    </row>
    <row r="41" spans="2:51" ht="24.75" customHeight="1" x14ac:dyDescent="0.25">
      <c r="B41" s="44"/>
      <c r="C41" s="108" t="str">
        <f>IF($B41="","",SUMIF('09M'!$AS:$AS,'EFICIÊNCIA 1º ETAPA'!$B41,'09M'!$AU:$AU))</f>
        <v/>
      </c>
      <c r="D41" s="108" t="str">
        <f>IF($B41="","",SUMIF('09F'!$AS:$AS,'EFICIÊNCIA 1º ETAPA'!$B41,'09F'!$AU:$AU))</f>
        <v/>
      </c>
      <c r="E41" s="108">
        <f t="shared" si="4"/>
        <v>0</v>
      </c>
      <c r="F41" s="108"/>
      <c r="G41" s="207"/>
      <c r="H41" s="214"/>
      <c r="I41" s="108" t="str">
        <f>IF($B41="","",SUMIF('11M'!$AS:$AS,'EFICIÊNCIA 1º ETAPA'!$B41,'11M'!$AU:$AU))</f>
        <v/>
      </c>
      <c r="J41" s="108" t="str">
        <f>IF($B41="","",SUMIF('11F'!$AS:$AS,'EFICIÊNCIA 1º ETAPA'!$B41,'11F'!$AU:$AU))</f>
        <v/>
      </c>
      <c r="K41" s="108">
        <f t="shared" si="5"/>
        <v>0</v>
      </c>
      <c r="L41" s="108"/>
      <c r="M41" s="207"/>
      <c r="N41" s="214"/>
      <c r="O41" s="108" t="str">
        <f>IF($B41="","",SUMIF('13M'!$AS:$AS,'EFICIÊNCIA 1º ETAPA'!$B41,'13M'!$AU:$AU))</f>
        <v/>
      </c>
      <c r="P41" s="108" t="str">
        <f>IF($B41="","",SUMIF('13F'!$AS:$AS,'EFICIÊNCIA 1º ETAPA'!$B41,'13F'!$AU:$AU))</f>
        <v/>
      </c>
      <c r="Q41" s="108">
        <f t="shared" si="6"/>
        <v>0</v>
      </c>
      <c r="R41" s="108"/>
      <c r="S41" s="207"/>
      <c r="T41" s="214"/>
      <c r="U41" s="108" t="str">
        <f>IF($B41="","",SUMIF('15M'!$AS:$AS,'EFICIÊNCIA 1º ETAPA'!$B41,'15M'!$AU:$AU))</f>
        <v/>
      </c>
      <c r="V41" s="108" t="str">
        <f>IF($B41="","",SUMIF('15F'!$AS:$AS,'EFICIÊNCIA 1º ETAPA'!$B41,'15F'!$AU:$AU))</f>
        <v/>
      </c>
      <c r="W41" s="108">
        <f t="shared" si="7"/>
        <v>0</v>
      </c>
      <c r="X41" s="108"/>
      <c r="Y41" s="207"/>
      <c r="Z41" s="214"/>
      <c r="AA41" s="108" t="str">
        <f>IF($B41="","",SUMIF('17M'!$AS:$AS,'EFICIÊNCIA 1º ETAPA'!$B41,'17M'!$AU:$AU))</f>
        <v/>
      </c>
      <c r="AB41" s="108" t="str">
        <f>IF($B41="","",SUMIF('17F'!$AS:$AS,'EFICIÊNCIA 1º ETAPA'!$B41,'17F'!$AU:$AU))</f>
        <v/>
      </c>
      <c r="AC41" s="108">
        <f t="shared" si="8"/>
        <v>0</v>
      </c>
      <c r="AD41" s="108"/>
      <c r="AE41" s="207"/>
      <c r="AF41" s="214"/>
      <c r="AG41" s="108"/>
      <c r="AH41" s="108"/>
      <c r="AI41" s="108">
        <f t="shared" si="9"/>
        <v>0</v>
      </c>
      <c r="AJ41" s="207"/>
      <c r="AK41" s="207"/>
      <c r="AL41" s="211"/>
      <c r="AM41" s="211"/>
      <c r="AN41" s="211"/>
      <c r="AO41" s="211"/>
      <c r="AP41" s="46" t="str">
        <f t="shared" si="12"/>
        <v/>
      </c>
      <c r="AQ41" s="46" t="str">
        <f>IF(AR41="","",B41)</f>
        <v/>
      </c>
      <c r="AR41" s="109" t="str">
        <f>IF(B41="","",SUM(C41:AB41))</f>
        <v/>
      </c>
      <c r="AS41" s="46" t="str">
        <f t="shared" si="11"/>
        <v/>
      </c>
      <c r="AT41" s="46">
        <v>35</v>
      </c>
      <c r="AU41" s="45"/>
      <c r="AV41" s="47" t="str">
        <f>IF(B41&lt;&gt;"",_xlfn.RANK.EQ(AY41,$AY$7:$AY$46,0),"")</f>
        <v/>
      </c>
      <c r="AW41" s="48" t="str">
        <f t="shared" si="13"/>
        <v/>
      </c>
      <c r="AX41" s="49" t="str">
        <f t="shared" si="14"/>
        <v/>
      </c>
      <c r="AY41" s="110" t="str">
        <f t="shared" si="15"/>
        <v/>
      </c>
    </row>
    <row r="42" spans="2:51" ht="24.75" customHeight="1" x14ac:dyDescent="0.25">
      <c r="B42" s="44"/>
      <c r="C42" s="108" t="str">
        <f>IF($B42="","",SUMIF('09M'!$AS:$AS,'EFICIÊNCIA 1º ETAPA'!$B42,'09M'!$AU:$AU))</f>
        <v/>
      </c>
      <c r="D42" s="108" t="str">
        <f>IF($B42="","",SUMIF('09F'!$AS:$AS,'EFICIÊNCIA 1º ETAPA'!$B42,'09F'!$AU:$AU))</f>
        <v/>
      </c>
      <c r="E42" s="108">
        <f t="shared" si="4"/>
        <v>0</v>
      </c>
      <c r="F42" s="108"/>
      <c r="G42" s="207"/>
      <c r="H42" s="214"/>
      <c r="I42" s="108" t="str">
        <f>IF($B42="","",SUMIF('11M'!$AS:$AS,'EFICIÊNCIA 1º ETAPA'!$B42,'11M'!$AU:$AU))</f>
        <v/>
      </c>
      <c r="J42" s="108" t="str">
        <f>IF($B42="","",SUMIF('11F'!$AS:$AS,'EFICIÊNCIA 1º ETAPA'!$B42,'11F'!$AU:$AU))</f>
        <v/>
      </c>
      <c r="K42" s="108">
        <f t="shared" si="5"/>
        <v>0</v>
      </c>
      <c r="L42" s="108"/>
      <c r="M42" s="207"/>
      <c r="N42" s="214"/>
      <c r="O42" s="108" t="str">
        <f>IF($B42="","",SUMIF('13M'!$AS:$AS,'EFICIÊNCIA 1º ETAPA'!$B42,'13M'!$AU:$AU))</f>
        <v/>
      </c>
      <c r="P42" s="108" t="str">
        <f>IF($B42="","",SUMIF('13F'!$AS:$AS,'EFICIÊNCIA 1º ETAPA'!$B42,'13F'!$AU:$AU))</f>
        <v/>
      </c>
      <c r="Q42" s="108">
        <f t="shared" si="6"/>
        <v>0</v>
      </c>
      <c r="R42" s="108"/>
      <c r="S42" s="207"/>
      <c r="T42" s="214"/>
      <c r="U42" s="108" t="str">
        <f>IF($B42="","",SUMIF('15M'!$AS:$AS,'EFICIÊNCIA 1º ETAPA'!$B42,'15M'!$AU:$AU))</f>
        <v/>
      </c>
      <c r="V42" s="108" t="str">
        <f>IF($B42="","",SUMIF('15F'!$AS:$AS,'EFICIÊNCIA 1º ETAPA'!$B42,'15F'!$AU:$AU))</f>
        <v/>
      </c>
      <c r="W42" s="108">
        <f t="shared" si="7"/>
        <v>0</v>
      </c>
      <c r="X42" s="108"/>
      <c r="Y42" s="207"/>
      <c r="Z42" s="214"/>
      <c r="AA42" s="108" t="str">
        <f>IF($B42="","",SUMIF('17M'!$AS:$AS,'EFICIÊNCIA 1º ETAPA'!$B42,'17M'!$AU:$AU))</f>
        <v/>
      </c>
      <c r="AB42" s="108" t="str">
        <f>IF($B42="","",SUMIF('17F'!$AS:$AS,'EFICIÊNCIA 1º ETAPA'!$B42,'17F'!$AU:$AU))</f>
        <v/>
      </c>
      <c r="AC42" s="108">
        <f t="shared" si="8"/>
        <v>0</v>
      </c>
      <c r="AD42" s="108"/>
      <c r="AE42" s="207"/>
      <c r="AF42" s="214"/>
      <c r="AG42" s="108"/>
      <c r="AH42" s="108"/>
      <c r="AI42" s="108">
        <f t="shared" si="9"/>
        <v>0</v>
      </c>
      <c r="AJ42" s="207"/>
      <c r="AK42" s="207"/>
      <c r="AL42" s="211"/>
      <c r="AM42" s="211"/>
      <c r="AN42" s="211"/>
      <c r="AO42" s="211"/>
      <c r="AP42" s="46" t="str">
        <f t="shared" si="12"/>
        <v/>
      </c>
      <c r="AQ42" s="46" t="str">
        <f>IF(AR42="","",B42)</f>
        <v/>
      </c>
      <c r="AR42" s="109" t="str">
        <f>IF(B42="","",SUM(C42:AB42))</f>
        <v/>
      </c>
      <c r="AS42" s="46" t="str">
        <f t="shared" si="11"/>
        <v/>
      </c>
      <c r="AT42" s="46">
        <v>36</v>
      </c>
      <c r="AU42" s="45"/>
      <c r="AV42" s="47" t="str">
        <f>IF(B42&lt;&gt;"",_xlfn.RANK.EQ(AY42,$AY$7:$AY$46,0),"")</f>
        <v/>
      </c>
      <c r="AW42" s="48" t="str">
        <f t="shared" si="13"/>
        <v/>
      </c>
      <c r="AX42" s="49" t="str">
        <f t="shared" si="14"/>
        <v/>
      </c>
      <c r="AY42" s="110" t="str">
        <f t="shared" si="15"/>
        <v/>
      </c>
    </row>
    <row r="43" spans="2:51" ht="24.75" customHeight="1" x14ac:dyDescent="0.25">
      <c r="B43" s="44"/>
      <c r="C43" s="108" t="str">
        <f>IF($B43="","",SUMIF('09M'!$AS:$AS,'EFICIÊNCIA 1º ETAPA'!$B43,'09M'!$AU:$AU))</f>
        <v/>
      </c>
      <c r="D43" s="108" t="str">
        <f>IF($B43="","",SUMIF('09F'!$AS:$AS,'EFICIÊNCIA 1º ETAPA'!$B43,'09F'!$AU:$AU))</f>
        <v/>
      </c>
      <c r="E43" s="108">
        <f t="shared" si="4"/>
        <v>0</v>
      </c>
      <c r="F43" s="108"/>
      <c r="G43" s="207"/>
      <c r="H43" s="214"/>
      <c r="I43" s="108" t="str">
        <f>IF($B43="","",SUMIF('11M'!$AS:$AS,'EFICIÊNCIA 1º ETAPA'!$B43,'11M'!$AU:$AU))</f>
        <v/>
      </c>
      <c r="J43" s="108" t="str">
        <f>IF($B43="","",SUMIF('11F'!$AS:$AS,'EFICIÊNCIA 1º ETAPA'!$B43,'11F'!$AU:$AU))</f>
        <v/>
      </c>
      <c r="K43" s="108">
        <f t="shared" si="5"/>
        <v>0</v>
      </c>
      <c r="L43" s="108"/>
      <c r="M43" s="207"/>
      <c r="N43" s="214"/>
      <c r="O43" s="108" t="str">
        <f>IF($B43="","",SUMIF('13M'!$AS:$AS,'EFICIÊNCIA 1º ETAPA'!$B43,'13M'!$AU:$AU))</f>
        <v/>
      </c>
      <c r="P43" s="108" t="str">
        <f>IF($B43="","",SUMIF('13F'!$AS:$AS,'EFICIÊNCIA 1º ETAPA'!$B43,'13F'!$AU:$AU))</f>
        <v/>
      </c>
      <c r="Q43" s="108">
        <f t="shared" si="6"/>
        <v>0</v>
      </c>
      <c r="R43" s="108"/>
      <c r="S43" s="207"/>
      <c r="T43" s="214"/>
      <c r="U43" s="108" t="str">
        <f>IF($B43="","",SUMIF('15M'!$AS:$AS,'EFICIÊNCIA 1º ETAPA'!$B43,'15M'!$AU:$AU))</f>
        <v/>
      </c>
      <c r="V43" s="108" t="str">
        <f>IF($B43="","",SUMIF('15F'!$AS:$AS,'EFICIÊNCIA 1º ETAPA'!$B43,'15F'!$AU:$AU))</f>
        <v/>
      </c>
      <c r="W43" s="108">
        <f t="shared" si="7"/>
        <v>0</v>
      </c>
      <c r="X43" s="108"/>
      <c r="Y43" s="207"/>
      <c r="Z43" s="214"/>
      <c r="AA43" s="108" t="str">
        <f>IF($B43="","",SUMIF('17M'!$AS:$AS,'EFICIÊNCIA 1º ETAPA'!$B43,'17M'!$AU:$AU))</f>
        <v/>
      </c>
      <c r="AB43" s="108" t="str">
        <f>IF($B43="","",SUMIF('17F'!$AS:$AS,'EFICIÊNCIA 1º ETAPA'!$B43,'17F'!$AU:$AU))</f>
        <v/>
      </c>
      <c r="AC43" s="108">
        <f t="shared" si="8"/>
        <v>0</v>
      </c>
      <c r="AD43" s="108"/>
      <c r="AE43" s="207"/>
      <c r="AF43" s="214"/>
      <c r="AG43" s="108"/>
      <c r="AH43" s="108"/>
      <c r="AI43" s="108">
        <f t="shared" si="9"/>
        <v>0</v>
      </c>
      <c r="AJ43" s="207"/>
      <c r="AK43" s="207"/>
      <c r="AL43" s="211"/>
      <c r="AM43" s="211"/>
      <c r="AN43" s="211"/>
      <c r="AO43" s="211"/>
      <c r="AP43" s="46" t="str">
        <f t="shared" si="12"/>
        <v/>
      </c>
      <c r="AQ43" s="46" t="str">
        <f>IF(AR43="","",B43)</f>
        <v/>
      </c>
      <c r="AR43" s="109" t="str">
        <f>IF(B43="","",SUM(C43:AB43))</f>
        <v/>
      </c>
      <c r="AS43" s="46" t="str">
        <f t="shared" si="11"/>
        <v/>
      </c>
      <c r="AT43" s="46">
        <v>37</v>
      </c>
      <c r="AU43" s="45"/>
      <c r="AV43" s="47" t="str">
        <f>IF(B43&lt;&gt;"",_xlfn.RANK.EQ(AY43,$AY$7:$AY$46,0),"")</f>
        <v/>
      </c>
      <c r="AW43" s="48" t="str">
        <f t="shared" si="13"/>
        <v/>
      </c>
      <c r="AX43" s="49" t="str">
        <f t="shared" si="14"/>
        <v/>
      </c>
      <c r="AY43" s="110" t="str">
        <f t="shared" si="15"/>
        <v/>
      </c>
    </row>
    <row r="44" spans="2:51" ht="24.75" customHeight="1" x14ac:dyDescent="0.25">
      <c r="B44" s="44"/>
      <c r="C44" s="108" t="str">
        <f>IF($B44="","",SUMIF('09M'!$AS:$AS,'EFICIÊNCIA 1º ETAPA'!$B44,'09M'!$AU:$AU))</f>
        <v/>
      </c>
      <c r="D44" s="108" t="str">
        <f>IF($B44="","",SUMIF('09F'!$AS:$AS,'EFICIÊNCIA 1º ETAPA'!$B44,'09F'!$AU:$AU))</f>
        <v/>
      </c>
      <c r="E44" s="108">
        <f t="shared" si="4"/>
        <v>0</v>
      </c>
      <c r="F44" s="108"/>
      <c r="G44" s="207"/>
      <c r="H44" s="214"/>
      <c r="I44" s="108" t="str">
        <f>IF($B44="","",SUMIF('11M'!$AS:$AS,'EFICIÊNCIA 1º ETAPA'!$B44,'11M'!$AU:$AU))</f>
        <v/>
      </c>
      <c r="J44" s="108" t="str">
        <f>IF($B44="","",SUMIF('11F'!$AS:$AS,'EFICIÊNCIA 1º ETAPA'!$B44,'11F'!$AU:$AU))</f>
        <v/>
      </c>
      <c r="K44" s="108">
        <f t="shared" si="5"/>
        <v>0</v>
      </c>
      <c r="L44" s="108"/>
      <c r="M44" s="207"/>
      <c r="N44" s="214"/>
      <c r="O44" s="108" t="str">
        <f>IF($B44="","",SUMIF('13M'!$AS:$AS,'EFICIÊNCIA 1º ETAPA'!$B44,'13M'!$AU:$AU))</f>
        <v/>
      </c>
      <c r="P44" s="108" t="str">
        <f>IF($B44="","",SUMIF('13F'!$AS:$AS,'EFICIÊNCIA 1º ETAPA'!$B44,'13F'!$AU:$AU))</f>
        <v/>
      </c>
      <c r="Q44" s="108">
        <f t="shared" si="6"/>
        <v>0</v>
      </c>
      <c r="R44" s="108"/>
      <c r="S44" s="207"/>
      <c r="T44" s="214"/>
      <c r="U44" s="108" t="str">
        <f>IF($B44="","",SUMIF('15M'!$AS:$AS,'EFICIÊNCIA 1º ETAPA'!$B44,'15M'!$AU:$AU))</f>
        <v/>
      </c>
      <c r="V44" s="108" t="str">
        <f>IF($B44="","",SUMIF('15F'!$AS:$AS,'EFICIÊNCIA 1º ETAPA'!$B44,'15F'!$AU:$AU))</f>
        <v/>
      </c>
      <c r="W44" s="108">
        <f t="shared" si="7"/>
        <v>0</v>
      </c>
      <c r="X44" s="108"/>
      <c r="Y44" s="207"/>
      <c r="Z44" s="214"/>
      <c r="AA44" s="108" t="str">
        <f>IF($B44="","",SUMIF('17M'!$AS:$AS,'EFICIÊNCIA 1º ETAPA'!$B44,'17M'!$AU:$AU))</f>
        <v/>
      </c>
      <c r="AB44" s="108" t="str">
        <f>IF($B44="","",SUMIF('17F'!$AS:$AS,'EFICIÊNCIA 1º ETAPA'!$B44,'17F'!$AU:$AU))</f>
        <v/>
      </c>
      <c r="AC44" s="108">
        <f t="shared" si="8"/>
        <v>0</v>
      </c>
      <c r="AD44" s="108"/>
      <c r="AE44" s="207"/>
      <c r="AF44" s="214"/>
      <c r="AG44" s="108"/>
      <c r="AH44" s="108"/>
      <c r="AI44" s="108">
        <f t="shared" si="9"/>
        <v>0</v>
      </c>
      <c r="AJ44" s="207"/>
      <c r="AK44" s="207"/>
      <c r="AL44" s="211"/>
      <c r="AM44" s="211"/>
      <c r="AN44" s="211"/>
      <c r="AO44" s="211"/>
      <c r="AP44" s="46" t="str">
        <f t="shared" si="12"/>
        <v/>
      </c>
      <c r="AQ44" s="46" t="str">
        <f>IF(AR44="","",B44)</f>
        <v/>
      </c>
      <c r="AR44" s="109" t="str">
        <f>IF(B44="","",SUM(C44:AB44))</f>
        <v/>
      </c>
      <c r="AS44" s="46" t="str">
        <f t="shared" si="11"/>
        <v/>
      </c>
      <c r="AT44" s="46">
        <v>38</v>
      </c>
      <c r="AU44" s="45"/>
      <c r="AV44" s="47" t="str">
        <f>IF(B44&lt;&gt;"",_xlfn.RANK.EQ(AY44,$AY$7:$AY$46,0),"")</f>
        <v/>
      </c>
      <c r="AW44" s="48" t="str">
        <f t="shared" si="13"/>
        <v/>
      </c>
      <c r="AX44" s="49" t="str">
        <f t="shared" si="14"/>
        <v/>
      </c>
      <c r="AY44" s="110" t="str">
        <f t="shared" si="15"/>
        <v/>
      </c>
    </row>
    <row r="45" spans="2:51" ht="24.75" customHeight="1" x14ac:dyDescent="0.25">
      <c r="B45" s="44"/>
      <c r="C45" s="108" t="str">
        <f>IF($B45="","",SUMIF('09M'!$AS:$AS,'EFICIÊNCIA 1º ETAPA'!$B45,'09M'!$AU:$AU))</f>
        <v/>
      </c>
      <c r="D45" s="108" t="str">
        <f>IF($B45="","",SUMIF('09F'!$AS:$AS,'EFICIÊNCIA 1º ETAPA'!$B45,'09F'!$AU:$AU))</f>
        <v/>
      </c>
      <c r="E45" s="108">
        <f t="shared" si="4"/>
        <v>0</v>
      </c>
      <c r="F45" s="108"/>
      <c r="G45" s="207"/>
      <c r="H45" s="214"/>
      <c r="I45" s="108" t="str">
        <f>IF($B45="","",SUMIF('11M'!$AS:$AS,'EFICIÊNCIA 1º ETAPA'!$B45,'11M'!$AU:$AU))</f>
        <v/>
      </c>
      <c r="J45" s="108" t="str">
        <f>IF($B45="","",SUMIF('11F'!$AS:$AS,'EFICIÊNCIA 1º ETAPA'!$B45,'11F'!$AU:$AU))</f>
        <v/>
      </c>
      <c r="K45" s="108">
        <f t="shared" si="5"/>
        <v>0</v>
      </c>
      <c r="L45" s="108"/>
      <c r="M45" s="207"/>
      <c r="N45" s="214"/>
      <c r="O45" s="108" t="str">
        <f>IF($B45="","",SUMIF('13M'!$AS:$AS,'EFICIÊNCIA 1º ETAPA'!$B45,'13M'!$AU:$AU))</f>
        <v/>
      </c>
      <c r="P45" s="108" t="str">
        <f>IF($B45="","",SUMIF('13F'!$AS:$AS,'EFICIÊNCIA 1º ETAPA'!$B45,'13F'!$AU:$AU))</f>
        <v/>
      </c>
      <c r="Q45" s="108">
        <f t="shared" si="6"/>
        <v>0</v>
      </c>
      <c r="R45" s="108"/>
      <c r="S45" s="207"/>
      <c r="T45" s="214"/>
      <c r="U45" s="108" t="str">
        <f>IF($B45="","",SUMIF('15M'!$AS:$AS,'EFICIÊNCIA 1º ETAPA'!$B45,'15M'!$AU:$AU))</f>
        <v/>
      </c>
      <c r="V45" s="108" t="str">
        <f>IF($B45="","",SUMIF('15F'!$AS:$AS,'EFICIÊNCIA 1º ETAPA'!$B45,'15F'!$AU:$AU))</f>
        <v/>
      </c>
      <c r="W45" s="108">
        <f t="shared" si="7"/>
        <v>0</v>
      </c>
      <c r="X45" s="108"/>
      <c r="Y45" s="207"/>
      <c r="Z45" s="214"/>
      <c r="AA45" s="108" t="str">
        <f>IF($B45="","",SUMIF('17M'!$AS:$AS,'EFICIÊNCIA 1º ETAPA'!$B45,'17M'!$AU:$AU))</f>
        <v/>
      </c>
      <c r="AB45" s="108" t="str">
        <f>IF($B45="","",SUMIF('17F'!$AS:$AS,'EFICIÊNCIA 1º ETAPA'!$B45,'17F'!$AU:$AU))</f>
        <v/>
      </c>
      <c r="AC45" s="108">
        <f t="shared" si="8"/>
        <v>0</v>
      </c>
      <c r="AD45" s="108"/>
      <c r="AE45" s="207"/>
      <c r="AF45" s="214"/>
      <c r="AG45" s="108"/>
      <c r="AH45" s="108"/>
      <c r="AI45" s="108">
        <f t="shared" si="9"/>
        <v>0</v>
      </c>
      <c r="AJ45" s="207"/>
      <c r="AK45" s="207"/>
      <c r="AL45" s="211"/>
      <c r="AM45" s="211"/>
      <c r="AN45" s="211"/>
      <c r="AO45" s="211"/>
      <c r="AP45" s="46" t="str">
        <f t="shared" si="12"/>
        <v/>
      </c>
      <c r="AQ45" s="46" t="str">
        <f>IF(AR45="","",B45)</f>
        <v/>
      </c>
      <c r="AR45" s="109" t="str">
        <f>IF(B45="","",SUM(C45:AB45))</f>
        <v/>
      </c>
      <c r="AS45" s="46" t="str">
        <f t="shared" si="11"/>
        <v/>
      </c>
      <c r="AT45" s="46">
        <v>39</v>
      </c>
      <c r="AU45" s="45"/>
      <c r="AV45" s="47" t="str">
        <f>IF(B45&lt;&gt;"",_xlfn.RANK.EQ(AY45,$AY$7:$AY$46,0),"")</f>
        <v/>
      </c>
      <c r="AW45" s="48" t="str">
        <f t="shared" si="13"/>
        <v/>
      </c>
      <c r="AX45" s="49" t="str">
        <f t="shared" si="14"/>
        <v/>
      </c>
      <c r="AY45" s="110" t="str">
        <f t="shared" si="15"/>
        <v/>
      </c>
    </row>
    <row r="46" spans="2:51" ht="24.75" customHeight="1" x14ac:dyDescent="0.25">
      <c r="B46" s="44"/>
      <c r="C46" s="108" t="str">
        <f>IF($B46="","",SUMIF('09M'!$AS:$AS,'EFICIÊNCIA 1º ETAPA'!$B46,'09M'!$AU:$AU))</f>
        <v/>
      </c>
      <c r="D46" s="108" t="str">
        <f>IF($B46="","",SUMIF('09F'!$AS:$AS,'EFICIÊNCIA 1º ETAPA'!$B46,'09F'!$AU:$AU))</f>
        <v/>
      </c>
      <c r="E46" s="108">
        <f t="shared" si="4"/>
        <v>0</v>
      </c>
      <c r="F46" s="108"/>
      <c r="G46" s="207"/>
      <c r="H46" s="214"/>
      <c r="I46" s="108" t="str">
        <f>IF($B46="","",SUMIF('11M'!$AS:$AS,'EFICIÊNCIA 1º ETAPA'!$B46,'11M'!$AU:$AU))</f>
        <v/>
      </c>
      <c r="J46" s="108" t="str">
        <f>IF($B46="","",SUMIF('11F'!$AS:$AS,'EFICIÊNCIA 1º ETAPA'!$B46,'11F'!$AU:$AU))</f>
        <v/>
      </c>
      <c r="K46" s="108">
        <f t="shared" si="5"/>
        <v>0</v>
      </c>
      <c r="L46" s="108"/>
      <c r="M46" s="207"/>
      <c r="N46" s="214"/>
      <c r="O46" s="108" t="str">
        <f>IF($B46="","",SUMIF('13M'!$AS:$AS,'EFICIÊNCIA 1º ETAPA'!$B46,'13M'!$AU:$AU))</f>
        <v/>
      </c>
      <c r="P46" s="108" t="str">
        <f>IF($B46="","",SUMIF('13F'!$AS:$AS,'EFICIÊNCIA 1º ETAPA'!$B46,'13F'!$AU:$AU))</f>
        <v/>
      </c>
      <c r="Q46" s="108">
        <f t="shared" si="6"/>
        <v>0</v>
      </c>
      <c r="R46" s="108"/>
      <c r="S46" s="207"/>
      <c r="T46" s="214"/>
      <c r="U46" s="108" t="str">
        <f>IF($B46="","",SUMIF('15M'!$AS:$AS,'EFICIÊNCIA 1º ETAPA'!$B46,'15M'!$AU:$AU))</f>
        <v/>
      </c>
      <c r="V46" s="108" t="str">
        <f>IF($B46="","",SUMIF('15F'!$AS:$AS,'EFICIÊNCIA 1º ETAPA'!$B46,'15F'!$AU:$AU))</f>
        <v/>
      </c>
      <c r="W46" s="108">
        <f t="shared" si="7"/>
        <v>0</v>
      </c>
      <c r="X46" s="108"/>
      <c r="Y46" s="207"/>
      <c r="Z46" s="214"/>
      <c r="AA46" s="108" t="str">
        <f>IF($B46="","",SUMIF('17M'!$AS:$AS,'EFICIÊNCIA 1º ETAPA'!$B46,'17M'!$AU:$AU))</f>
        <v/>
      </c>
      <c r="AB46" s="108" t="str">
        <f>IF($B46="","",SUMIF('17F'!$AS:$AS,'EFICIÊNCIA 1º ETAPA'!$B46,'17F'!$AU:$AU))</f>
        <v/>
      </c>
      <c r="AC46" s="108">
        <f t="shared" si="8"/>
        <v>0</v>
      </c>
      <c r="AD46" s="108"/>
      <c r="AE46" s="207"/>
      <c r="AF46" s="214"/>
      <c r="AG46" s="108"/>
      <c r="AH46" s="108"/>
      <c r="AI46" s="108">
        <f t="shared" si="9"/>
        <v>0</v>
      </c>
      <c r="AJ46" s="207"/>
      <c r="AK46" s="207"/>
      <c r="AL46" s="211"/>
      <c r="AM46" s="211"/>
      <c r="AN46" s="211"/>
      <c r="AO46" s="211"/>
      <c r="AP46" s="46" t="str">
        <f t="shared" si="12"/>
        <v/>
      </c>
      <c r="AQ46" s="46" t="str">
        <f>IF(AR46="","",B46)</f>
        <v/>
      </c>
      <c r="AR46" s="109" t="str">
        <f>IF(B46="","",SUM(C46:AB46))</f>
        <v/>
      </c>
      <c r="AS46" s="46" t="str">
        <f>IF(AR46="","",LARGE(AP:AP,AT46))</f>
        <v/>
      </c>
      <c r="AT46" s="46">
        <v>40</v>
      </c>
      <c r="AU46" s="45"/>
      <c r="AV46" s="47" t="str">
        <f>IF(B46&lt;&gt;"",_xlfn.RANK.EQ(AY46,$AY$7:$AY$46,0),"")</f>
        <v/>
      </c>
      <c r="AW46" s="48" t="str">
        <f t="shared" si="13"/>
        <v/>
      </c>
      <c r="AX46" s="49" t="str">
        <f t="shared" si="14"/>
        <v/>
      </c>
      <c r="AY46" s="110" t="str">
        <f t="shared" si="15"/>
        <v/>
      </c>
    </row>
  </sheetData>
  <sortState xmlns:xlrd2="http://schemas.microsoft.com/office/spreadsheetml/2017/richdata2" ref="B6:AQ13">
    <sortCondition descending="1" ref="AQ6:AQ13"/>
  </sortState>
  <mergeCells count="10">
    <mergeCell ref="AV4:AY5"/>
    <mergeCell ref="C4:D4"/>
    <mergeCell ref="B2:AY3"/>
    <mergeCell ref="B4:B5"/>
    <mergeCell ref="I4:J4"/>
    <mergeCell ref="O4:P4"/>
    <mergeCell ref="U4:V4"/>
    <mergeCell ref="AA4:AB4"/>
    <mergeCell ref="AR4:AR5"/>
    <mergeCell ref="AG4:AH4"/>
  </mergeCells>
  <phoneticPr fontId="2" type="noConversion"/>
  <pageMargins left="0.51181102362204722" right="0.51181102362204722" top="0.78740157480314965" bottom="0.78740157480314965" header="0.31496062992125984" footer="0.31496062992125984"/>
  <pageSetup paperSize="9" scale="80" orientation="landscape" verticalDpi="300"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500-000000000000}">
          <x14:formula1>
            <xm:f>LISTAS!$B$5:$B$100</xm:f>
          </x14:formula1>
          <xm:sqref>B7:B46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7">
    <tabColor theme="4" tint="0.39997558519241921"/>
  </sheetPr>
  <dimension ref="B1:Q432"/>
  <sheetViews>
    <sheetView showGridLines="0" topLeftCell="A338" zoomScale="85" zoomScaleNormal="85" workbookViewId="0">
      <selection activeCell="D346" sqref="D346"/>
    </sheetView>
  </sheetViews>
  <sheetFormatPr defaultColWidth="25.28515625" defaultRowHeight="16.5" x14ac:dyDescent="0.25"/>
  <cols>
    <col min="1" max="1" width="1.140625" style="1" customWidth="1"/>
    <col min="2" max="2" width="49.7109375" style="1" customWidth="1"/>
    <col min="3" max="3" width="41.140625" style="2" bestFit="1" customWidth="1"/>
    <col min="4" max="8" width="8" style="1" customWidth="1"/>
    <col min="9" max="9" width="8.140625" style="1" customWidth="1"/>
    <col min="10" max="10" width="49.85546875" style="1" customWidth="1"/>
    <col min="11" max="11" width="21.42578125" style="1" customWidth="1"/>
    <col min="12" max="12" width="14.42578125" style="1" customWidth="1"/>
    <col min="13" max="13" width="7" style="20" bestFit="1" customWidth="1"/>
    <col min="14" max="14" width="10.42578125" style="20" bestFit="1" customWidth="1"/>
    <col min="15" max="15" width="8.42578125" style="20" bestFit="1" customWidth="1"/>
    <col min="16" max="16" width="10.42578125" style="20" bestFit="1" customWidth="1"/>
    <col min="17" max="17" width="25.28515625" style="20"/>
    <col min="18" max="16384" width="25.28515625" style="1"/>
  </cols>
  <sheetData>
    <row r="1" spans="2:17" ht="6" customHeight="1" x14ac:dyDescent="0.25"/>
    <row r="2" spans="2:17" s="3" customFormat="1" ht="60.75" customHeight="1" x14ac:dyDescent="0.25">
      <c r="B2" s="233"/>
      <c r="C2" s="233"/>
      <c r="D2" s="233"/>
      <c r="E2" s="233"/>
      <c r="F2" s="233"/>
      <c r="G2" s="233"/>
      <c r="H2" s="233"/>
      <c r="I2" s="233"/>
      <c r="J2" s="233"/>
      <c r="K2" s="233"/>
      <c r="L2" s="233"/>
      <c r="M2" s="25"/>
      <c r="N2" s="25"/>
      <c r="O2" s="25"/>
      <c r="P2" s="25"/>
      <c r="Q2" s="25"/>
    </row>
    <row r="3" spans="2:17" s="3" customFormat="1" ht="60.75" customHeight="1" x14ac:dyDescent="0.25">
      <c r="B3" s="233"/>
      <c r="C3" s="233"/>
      <c r="D3" s="233"/>
      <c r="E3" s="233"/>
      <c r="F3" s="233"/>
      <c r="G3" s="233"/>
      <c r="H3" s="233"/>
      <c r="I3" s="233"/>
      <c r="J3" s="233"/>
      <c r="K3" s="233"/>
      <c r="L3" s="233"/>
      <c r="M3" s="25"/>
      <c r="N3" s="25"/>
      <c r="O3" s="25"/>
      <c r="P3" s="25"/>
      <c r="Q3" s="25"/>
    </row>
    <row r="4" spans="2:17" s="3" customFormat="1" ht="13.5" customHeight="1" x14ac:dyDescent="0.25">
      <c r="B4" s="233"/>
      <c r="C4" s="233"/>
      <c r="D4" s="233"/>
      <c r="E4" s="233"/>
      <c r="F4" s="233"/>
      <c r="G4" s="233"/>
      <c r="H4" s="233"/>
      <c r="I4" s="233"/>
      <c r="J4" s="233"/>
      <c r="K4" s="233"/>
      <c r="L4" s="233"/>
      <c r="M4" s="25"/>
      <c r="N4" s="25"/>
      <c r="O4" s="25"/>
      <c r="P4" s="25"/>
      <c r="Q4" s="25"/>
    </row>
    <row r="5" spans="2:17" s="3" customFormat="1" ht="30" customHeight="1" x14ac:dyDescent="0.25">
      <c r="B5" s="59" t="s">
        <v>25</v>
      </c>
      <c r="C5" s="221" t="s">
        <v>82</v>
      </c>
      <c r="D5" s="222"/>
      <c r="E5" s="222"/>
      <c r="F5" s="222"/>
      <c r="G5" s="120">
        <v>24</v>
      </c>
      <c r="I5" s="4"/>
      <c r="J5" s="4"/>
      <c r="M5" s="25"/>
      <c r="N5" s="25"/>
      <c r="O5" s="25"/>
      <c r="P5" s="25"/>
      <c r="Q5" s="25"/>
    </row>
    <row r="6" spans="2:17" ht="30" customHeight="1" x14ac:dyDescent="0.25">
      <c r="B6" s="161" t="s">
        <v>39</v>
      </c>
      <c r="C6" s="79"/>
      <c r="D6" s="263" t="s">
        <v>42</v>
      </c>
      <c r="E6" s="264"/>
      <c r="F6" s="264"/>
      <c r="G6" s="265"/>
      <c r="H6" s="113"/>
      <c r="I6" s="263" t="s">
        <v>3</v>
      </c>
      <c r="J6" s="264"/>
      <c r="K6" s="264"/>
      <c r="L6" s="265"/>
    </row>
    <row r="7" spans="2:17" ht="18" customHeight="1" x14ac:dyDescent="0.25">
      <c r="B7" s="131" t="s">
        <v>15</v>
      </c>
      <c r="C7" s="28" t="s">
        <v>0</v>
      </c>
      <c r="D7" s="28" t="s">
        <v>43</v>
      </c>
      <c r="E7" s="28" t="s">
        <v>44</v>
      </c>
      <c r="F7" s="28" t="s">
        <v>77</v>
      </c>
      <c r="G7" s="28" t="s">
        <v>78</v>
      </c>
      <c r="H7" s="114"/>
      <c r="I7" s="28" t="s">
        <v>18</v>
      </c>
      <c r="J7" s="28" t="s">
        <v>15</v>
      </c>
      <c r="K7" s="28" t="s">
        <v>0</v>
      </c>
      <c r="L7" s="28" t="s">
        <v>45</v>
      </c>
    </row>
    <row r="8" spans="2:17" ht="18" customHeight="1" x14ac:dyDescent="0.25">
      <c r="B8" s="33" t="s">
        <v>126</v>
      </c>
      <c r="C8" s="33" t="str">
        <f>IFERROR(IF(B8="","",VLOOKUP(B8,LISTAS!$F$5:$G$1004,2,0)),"0")</f>
        <v>ABACO IPIRANGA</v>
      </c>
      <c r="D8" s="33" t="str">
        <f>IF(H8&lt;3,"",IF(H8=3,IF(D16&lt;&gt;"",IF(H16&lt;&gt;"",IF(D16&lt;&gt;H16,IF(D16&gt;H16,"V","D"),""),""),""),IF(H8=4,IF(D16&lt;&gt;"",IF(H16&lt;&gt;"",IF(D16&lt;&gt;H16,IF(D16&gt;H16,"V","D"),""),""),""),IF(H8=5,IF(D16&lt;&gt;"",IF(H16&lt;&gt;"",IF(D16&lt;&gt;H16,IF(D16&gt;H16,"V","D"),""),""),"")))))</f>
        <v>D</v>
      </c>
      <c r="E8" s="33" t="str">
        <f>IF(H8&lt;3,"",IF(H8=3,IF(D18&lt;&gt;"",IF(H18&lt;&gt;"",IF(D18&lt;&gt;H18,IF(D18&gt;H18,"V","D"),""),""),""),IF(H8=4,IF(D18&lt;&gt;"",IF(H18&lt;&gt;"",IF(D18&lt;&gt;H18,IF(D18&gt;H18,"V","D"),""),""),""),IF(H8=5,IF(D20&lt;&gt;"",IF(H20&lt;&gt;"",IF(D20&lt;&gt;H20,IF(D18&gt;H18,"D","V"),""),""),"")))))</f>
        <v>D</v>
      </c>
      <c r="F8" s="33" t="str">
        <f>IF(H8&lt;4,"-",IF(H8=3,"",IF(H8=4,IF(D21&lt;&gt;"",IF(H21&lt;&gt;"",IF(D21&lt;&gt;H21,IF(D21&gt;H21,"V","D"),""),""),""),IF(H8=5,IF(D23&lt;&gt;"",IF(H23&lt;&gt;"",IF(D23&lt;&gt;H23,IF(D23&gt;H23,"D","V"),""),""),"")))))</f>
        <v>-</v>
      </c>
      <c r="G8" s="33" t="str">
        <f>IF(H8&lt;5,"-",IF(H8=3,"",IF(H8=4,"",IF(H8=5,IF(D25&lt;&gt;"",IF(H25&lt;&gt;"",IF(D25&lt;&gt;H25,IF(D25&gt;H25,"D","V"),""),""),"")))))</f>
        <v>-</v>
      </c>
      <c r="H8" s="117">
        <f>COUNTA(B8:B12)</f>
        <v>3</v>
      </c>
      <c r="I8" s="33">
        <f>IF(B8&lt;&gt;"",1,"")</f>
        <v>1</v>
      </c>
      <c r="J8" s="33" t="str">
        <f>IF(I8&lt;&gt;"",P8,"")</f>
        <v xml:space="preserve">MATHEUS KAYO </v>
      </c>
      <c r="K8" s="33" t="str">
        <f>IFERROR(IF(J8="","",VLOOKUP(J8,LISTAS!$F$5:$G$1004,2,0)),"0")</f>
        <v>ESCOLA INTERAÇÃO</v>
      </c>
      <c r="L8" s="130" t="str">
        <f>IF(B8&lt;&gt;"",IF(G5=1,"OURO",IF(G5=2,IF(H8&lt;3,"",IF(H8&gt;4,"",IF(H8=3,"OURO",IF(H8=4,"OURO")))),IF(G5&gt;=3,"OURO",""))),"")</f>
        <v>OURO</v>
      </c>
      <c r="M8" s="20">
        <f>IF(B8&lt;&gt;"",COUNTIF(D8:G8,"V")+(SUMIF(B16:B25,B8,D16:E25)/1000)+(SUMIF(J16:J25,B8,H16:I25)/1000)-(SUMIF(B16:B25,B8,H16:I25)/1000)-(SUMIF(J16:J25,B8,D16:E25)/1000)+0.005,"")</f>
        <v>1E-3</v>
      </c>
      <c r="N8" s="20" t="str">
        <f>IF(B8="","",B8)</f>
        <v>BERNARDO DE BRITO BANDEIRA</v>
      </c>
      <c r="O8" s="20">
        <f>IF(B8&lt;&gt;"",LARGE(M8:M12,1),"")</f>
        <v>2.0060000000000002</v>
      </c>
      <c r="P8" s="20" t="str">
        <f>VLOOKUP(O8,M8:N12,2,0)</f>
        <v xml:space="preserve">MATHEUS KAYO </v>
      </c>
    </row>
    <row r="9" spans="2:17" ht="18" customHeight="1" x14ac:dyDescent="0.25">
      <c r="B9" s="33" t="s">
        <v>114</v>
      </c>
      <c r="C9" s="33" t="str">
        <f>IFERROR(IF(B9="","",VLOOKUP(B9,LISTAS!$F$5:$G$1004,2,0)),"0")</f>
        <v>COLÉGIO ARBOS - UNIDADE SANTO ANDRÉ</v>
      </c>
      <c r="D9" s="33" t="str">
        <f>IF(H8&lt;3,"",IF(H8=3,IF(D17&lt;&gt;"",IF(H17&lt;&gt;"",IF(D17&lt;&gt;H17,IF(D17&gt;H17,"V","D"),""),""),""),IF(H8=4,IF(D17&lt;&gt;"",IF(H17&lt;&gt;"",IF(D17&lt;&gt;H17,IF(D17&gt;H17,"V","D"),""),""),""),IF(H8=5,IF(D17&lt;&gt;"",IF(H17&lt;&gt;"",IF(D17&lt;&gt;H17,IF(D17&gt;H17,"V","D"),""),""),"")))))</f>
        <v>D</v>
      </c>
      <c r="E9" s="33" t="str">
        <f>IF(H8&lt;3,"",IF(H8=3,IF(D18&lt;&gt;"",IF(H18&lt;&gt;"",IF(D18&lt;&gt;H18,IF(D18&gt;H18,"D","V"),""),""),""),IF(H8=4,IF(D19&lt;&gt;"",IF(H19&lt;&gt;"",IF(D19&lt;&gt;H19,IF(D19&gt;H19,"V","D"),""),""),""),IF(H8=5,IF(D18&lt;&gt;"",IF(H18&lt;&gt;"",IF(D18&lt;&gt;H18,IF(D18&gt;H18,"V","D"),""),""),"")))))</f>
        <v>V</v>
      </c>
      <c r="F9" s="33" t="str">
        <f>IF(H8&lt;4,"-",IF(H8=3,"",IF(H8=4,IF(D21&lt;&gt;"",IF(H21&lt;&gt;"",IF(D21&lt;&gt;H21,IF(D21&gt;H21,"D","V"),""),""),""),IF(H8=5,IF(D22&lt;&gt;"",IF(H22&lt;&gt;"",IF(D22&lt;&gt;H22,IF(D22&gt;H22,"D","V"),""),""),"")))))</f>
        <v>-</v>
      </c>
      <c r="G9" s="33" t="str">
        <f>IF(H8&lt;5,"-",IF(H8=3,"",IF(H8=4,"",IF(H8=5,IF(D25&lt;&gt;"",IF(H25&lt;&gt;"",IF(D25&lt;&gt;H25,IF(D25&gt;H25,"V","D"),""),""),"")))))</f>
        <v>-</v>
      </c>
      <c r="H9" s="115"/>
      <c r="I9" s="33">
        <f>IF(B9&lt;&gt;"",2,"")</f>
        <v>2</v>
      </c>
      <c r="J9" s="33" t="str">
        <f>IF(I9&lt;&gt;"",P9,"")</f>
        <v>ARTHUR DAMIANI DANTAS</v>
      </c>
      <c r="K9" s="33" t="str">
        <f>IFERROR(IF(J9="","",VLOOKUP(J9,LISTAS!$F$5:$G$1004,2,0)),"0")</f>
        <v>COLÉGIO ARBOS - UNIDADE SANTO ANDRÉ</v>
      </c>
      <c r="L9" s="130" t="str">
        <f>IF(B9&lt;&gt;"",IF(G5=1,"OURO",IF(G5=2,IF(H8&lt;3,"",IF(H8&gt;4,"",IF(H8=3,"PRATA",IF(H8=4,"OURO")))),IF(G5&gt;=3,"PRATA",""))),"")</f>
        <v>PRATA</v>
      </c>
      <c r="M9" s="118">
        <f>IF(B9&lt;&gt;"",COUNTIF(D9:G9,"V")+(SUMIF(B16:B25,B9,D16:E25)/1000)+(SUMIF(J16:J25,B9,H16:I25)/1000)-(SUMIF(B16:B25,B9,H16:I25)/1000)-(SUMIF(J16:J25,B9,D16:E25)/1000)+0.004,"")</f>
        <v>1.0049999999999999</v>
      </c>
      <c r="N9" s="20" t="str">
        <f t="shared" ref="N9" si="0">IF(B9="","",B9)</f>
        <v>ARTHUR DAMIANI DANTAS</v>
      </c>
      <c r="O9" s="20">
        <f>IF(B9&lt;&gt;"",LARGE(M8:M12,2),"")</f>
        <v>1.0049999999999999</v>
      </c>
      <c r="P9" s="20" t="str">
        <f>VLOOKUP(O9,M8:N12,2,0)</f>
        <v>ARTHUR DAMIANI DANTAS</v>
      </c>
    </row>
    <row r="10" spans="2:17" ht="18" customHeight="1" x14ac:dyDescent="0.25">
      <c r="B10" s="33" t="s">
        <v>620</v>
      </c>
      <c r="C10" s="33" t="str">
        <f>IFERROR(IF(B10="","",VLOOKUP(B10,LISTAS!$F$5:$G$1004,2,0)),"0")</f>
        <v>ESCOLA INTERAÇÃO</v>
      </c>
      <c r="D10" s="33" t="str">
        <f>IF(H8&lt;3,"",IF(H8=3,IF(D16&lt;&gt;"",IF(H16&lt;&gt;"",IF(D16&lt;&gt;H16,IF(D16&gt;H16,"D","V"),""),""),""),IF(H8=4,IF(D17&lt;&gt;"",IF(H17&lt;&gt;"",IF(D17&lt;&gt;H17,IF(D17&gt;H17,"D","V"),""),""),""),IF(H8=5,IF(D18&lt;&gt;"",IF(H18&lt;&gt;"",IF(D18&lt;&gt;H18,IF(D18&gt;H18,"D","V"),""),""),"")))))</f>
        <v>V</v>
      </c>
      <c r="E10" s="33" t="str">
        <f>IF(H8&lt;3,"",IF(H8=3,IF(D17&lt;&gt;"",IF(H17&lt;&gt;"",IF(D17&lt;&gt;H17,IF(D17&gt;H17,"D","V"),""),""),""),IF(H8=4,IF(D18&lt;&gt;"",IF(H18&lt;&gt;"",IF(D18&lt;&gt;H18,IF(D18&gt;H18,"D","V"),""),""),""),IF(H8=5,IF(D21&lt;&gt;"",IF(H21&lt;&gt;"",IF(D21&lt;&gt;H21,IF(D21&gt;H21,"D","V"),""),""),"")))))</f>
        <v>V</v>
      </c>
      <c r="F10" s="33" t="str">
        <f>IF(H8&lt;4,"-",IF(H8=3,"",IF(H8=4,IF(D20&lt;&gt;"",IF(H20&lt;&gt;"",IF(D20&lt;&gt;H20,IF(D20&gt;H20,"V","D"),""),""),""),IF(H8=5,IF(D23&lt;&gt;"",IF(H23&lt;&gt;"",IF(D23&lt;&gt;H23,IF(D23&gt;H23,"V","D"),""),""),"")))))</f>
        <v>-</v>
      </c>
      <c r="G10" s="33" t="str">
        <f>IF(H8&lt;5,"-",IF(H8=3,"",IF(H8=4,"",IF(H8=5,IF(D24&lt;&gt;"",IF(H24&lt;&gt;"",IF(D24&lt;&gt;H24,IF(D24&gt;H24,"V","D"),""),""),"")))))</f>
        <v>-</v>
      </c>
      <c r="H10" s="115"/>
      <c r="I10" s="33">
        <f>IF(B10&lt;&gt;"",3,"")</f>
        <v>3</v>
      </c>
      <c r="J10" s="33" t="str">
        <f>IF(I10&lt;&gt;"",P10,"")</f>
        <v>BERNARDO DE BRITO BANDEIRA</v>
      </c>
      <c r="K10" s="33" t="str">
        <f>IFERROR(IF(J10="","",VLOOKUP(J10,LISTAS!$F$5:$G$1004,2,0)),"0")</f>
        <v>ABACO IPIRANGA</v>
      </c>
      <c r="L10" s="130" t="str">
        <f>IF(B10&lt;&gt;"",IF(G5=1,"OURO",IF(G5=2,IF(H8&lt;3,"",IF(H8&gt;4,"",IF(H8=3,"BRONZE",IF(H8=4,"PRATA")))),IF(G5&gt;=3,"BRONZE",""))),"")</f>
        <v>BRONZE</v>
      </c>
      <c r="M10" s="118">
        <f>IF(B10&lt;&gt;"",COUNTIF(D10:G10,"V")+(SUMIF(B16:B25,B10,D16:E25)/1000)+(SUMIF(J16:J25,B10,H16:I25)/1000)-(SUMIF(B16:B25,B10,H16:I25)/1000)-(SUMIF(J16:J25,B10,D16:E25)/1000)+0.003,"")</f>
        <v>2.0060000000000002</v>
      </c>
      <c r="N10" s="20" t="str">
        <f>IF(B10="","",B10)</f>
        <v xml:space="preserve">MATHEUS KAYO </v>
      </c>
      <c r="O10" s="20">
        <f>IF(B10&lt;&gt;"",LARGE(M8:M12,3),"")</f>
        <v>1E-3</v>
      </c>
      <c r="P10" s="20" t="str">
        <f>VLOOKUP(O10,M8:N12,2,0)</f>
        <v>BERNARDO DE BRITO BANDEIRA</v>
      </c>
    </row>
    <row r="11" spans="2:17" ht="18" customHeight="1" x14ac:dyDescent="0.25">
      <c r="B11" s="33"/>
      <c r="C11" s="33" t="str">
        <f>IFERROR(IF(B11="","",VLOOKUP(B11,LISTAS!$F$5:$G$1004,2,0)),"0")</f>
        <v/>
      </c>
      <c r="D11" s="33" t="str">
        <f>IF(H8&lt;3,"",IF(H8=3,"",IF(H8=4,IF(D16&lt;&gt;"",IF(H16&lt;&gt;"",IF(D16&lt;&gt;H16,IF(D16&gt;H16,"D","V"),""),""),""),IF(H8=5,IF(D17&lt;&gt;"",IF(H17&lt;&gt;"",IF(D17&lt;&gt;H17,IF(D17&gt;H17,"D","V"),""),""),"")))))</f>
        <v/>
      </c>
      <c r="E11" s="33" t="str">
        <f>IF(H8&lt;3,"",IF(H8=3,"",IF(H8=4,IF(D19&lt;&gt;"",IF(H19&lt;&gt;"",IF(D19&lt;&gt;H19,IF(D19&gt;H19,"D","V"),""),""),""),IF(H8=5,IF(D19&lt;&gt;"",IF(H19&lt;&gt;"",IF(D19&lt;&gt;H19,IF(D19&gt;H19,"V","D"),""),""),"")))))</f>
        <v/>
      </c>
      <c r="F11" s="33" t="str">
        <f>IF(H8&lt;4,"-",IF(H8=3,"",IF(H8=4,IF(D20&lt;&gt;"",IF(H20&lt;&gt;"",IF(D20&lt;&gt;H20,IF(D20&gt;H20,"D","V"),""),""),""),IF(H8=5,IF(D20&lt;&gt;"",IF(H20&lt;&gt;"",IF(D20&lt;&gt;H20,IF(D20&gt;H20,"V","D"),""),""),"")))))</f>
        <v>-</v>
      </c>
      <c r="G11" s="33" t="str">
        <f>IF(H8&lt;5,"-",IF(H8=3,"",IF(H8=4,"",IF(H8=5,IF(D24&lt;&gt;"",IF(H24&lt;&gt;"",IF(D24&lt;&gt;H24,IF(D24&gt;H24,"D","V"),""),""),"")))))</f>
        <v>-</v>
      </c>
      <c r="H11" s="115"/>
      <c r="I11" s="33" t="str">
        <f>IF(B11&lt;&gt;"",4,"")</f>
        <v/>
      </c>
      <c r="J11" s="33" t="str">
        <f>IF(I11&lt;&gt;"",P11,"")</f>
        <v/>
      </c>
      <c r="K11" s="33" t="str">
        <f>IFERROR(IF(J11="","",VLOOKUP(J11,LISTAS!$F$5:$G$1004,2,0)),"0")</f>
        <v/>
      </c>
      <c r="L11" s="130" t="str">
        <f>IF(B11&lt;&gt;"",IF(G5=1,"OURO",IF(G5=2,IF(H8&lt;3,"",IF(H8&gt;4,"",IF(H8=3,"",IF(H8=4,"PRATA")))),IF(G5&gt;=3,"",""))),"")</f>
        <v/>
      </c>
      <c r="M11" s="20" t="str">
        <f>IF(B11&lt;&gt;"",COUNTIF(D11:G11,"V")+(SUMIF(B16:B25,B11,D16:E25)/1000)+(SUMIF(J16:J25,B11,H16:I25)/1000)-(SUMIF(B16:B25,B11,H16:I25)/1000)-(SUMIF(J16:J25,B11,D16:E25)/1000)+0.002,"")</f>
        <v/>
      </c>
      <c r="N11" s="20" t="str">
        <f>IF(B11="","",B11)</f>
        <v/>
      </c>
      <c r="O11" s="20" t="str">
        <f>IF(B11&lt;&gt;"",LARGE(M8:M12,4),"")</f>
        <v/>
      </c>
      <c r="P11" s="20" t="str">
        <f>VLOOKUP(O11,M8:N12,2,0)</f>
        <v/>
      </c>
    </row>
    <row r="12" spans="2:17" ht="18" customHeight="1" x14ac:dyDescent="0.25">
      <c r="B12" s="33"/>
      <c r="C12" s="33" t="str">
        <f>IFERROR(IF(B12="","",VLOOKUP(B12,LISTAS!$F$5:$G$1004,2,0)),"0")</f>
        <v/>
      </c>
      <c r="D12" s="33" t="str">
        <f>IF(H8&lt;3,"",IF(H8=3,"",IF(H8=4,"",IF(H8=5,IF(D16&lt;&gt;"",IF(H16&lt;&gt;"",IF(D16&lt;&gt;H16,IF(D16&gt;H16,"D","V"),""),""),"")))))</f>
        <v/>
      </c>
      <c r="E12" s="33" t="str">
        <f>IF(H8&lt;3,"",IF(H8=3,"",IF(H8=4,"",IF(H8=5,IF(D19&lt;&gt;"",IF(H19&lt;&gt;"",IF(D19&lt;&gt;H19,IF(D19&gt;H19,"D","V"),""),""),"")))))</f>
        <v/>
      </c>
      <c r="F12" s="33" t="str">
        <f>IF(H8&lt;4,"-",IF(H8=3,"",IF(H8=4,"",IF(H8=5,IF(D21&lt;&gt;"",IF(H21&lt;&gt;"",IF(D21&lt;&gt;H21,IF(D21&gt;H21,"V","D"),""),""),"")))))</f>
        <v>-</v>
      </c>
      <c r="G12" s="33" t="str">
        <f>IF(H8&lt;5,"-",IF(H8=3,"",IF(H8=4,"",IF(H8=5,IF(D22&lt;&gt;"",IF(H22&lt;&gt;"",IF(D22&lt;&gt;H22,IF(D22&gt;H22,"V","D"),""),""),"")))))</f>
        <v>-</v>
      </c>
      <c r="H12" s="116"/>
      <c r="I12" s="33" t="str">
        <f>IF(B12&lt;&gt;"",5,"")</f>
        <v/>
      </c>
      <c r="J12" s="33" t="str">
        <f>IF(I12&lt;&gt;"",P12,"")</f>
        <v/>
      </c>
      <c r="K12" s="33" t="str">
        <f>IFERROR(IF(J12="","",VLOOKUP(J12,LISTAS!$F$5:$G$1004,2,0)),"0")</f>
        <v/>
      </c>
      <c r="L12" s="130" t="str">
        <f>IF(B12&lt;&gt;"",IF(G5=1,"OURO",IF(G5=2,IF(H8&lt;3,"",IF(H8&gt;4,"",IF(H8=3,"",IF(H8=4,"")))),IF(G5&gt;=3,"",""))),"")</f>
        <v/>
      </c>
      <c r="M12" s="20" t="str">
        <f>IF(B12&lt;&gt;"",COUNTIF(D12:G12,"V")+(SUMIF(B16:B25,B12,D16:E25)/1000)+(SUMIF(J16:J25,B12,H16:I25)/1000)-(SUMIF(B16:B25,B12,H16:I25)/1000)-(SUMIF(J16:J25,B12,D16:E25)/1000)+0.001,"")</f>
        <v/>
      </c>
      <c r="N12" s="20" t="str">
        <f>IF(B12="","",B12)</f>
        <v/>
      </c>
      <c r="O12" s="20" t="str">
        <f>IF(B12&lt;&gt;"",LARGE(M8:M12,5),"")</f>
        <v/>
      </c>
      <c r="P12" s="20" t="str">
        <f>VLOOKUP(O12,M8:N12,2,0)</f>
        <v/>
      </c>
    </row>
    <row r="13" spans="2:17" ht="18" customHeight="1" x14ac:dyDescent="0.25">
      <c r="B13" s="79"/>
      <c r="C13" s="79"/>
      <c r="D13" s="79"/>
      <c r="E13" s="79"/>
      <c r="F13" s="79"/>
      <c r="G13" s="79"/>
      <c r="I13" s="80"/>
      <c r="J13" s="79"/>
      <c r="K13" s="81"/>
      <c r="L13" s="81"/>
    </row>
    <row r="14" spans="2:17" ht="23.25" customHeight="1" x14ac:dyDescent="0.25">
      <c r="B14" s="82" t="s">
        <v>40</v>
      </c>
      <c r="C14" s="79"/>
      <c r="D14" s="79"/>
      <c r="E14" s="79"/>
      <c r="F14" s="79"/>
      <c r="G14" s="79"/>
      <c r="H14" s="79"/>
      <c r="I14" s="79"/>
      <c r="J14" s="79"/>
      <c r="K14" s="79"/>
      <c r="L14" s="79"/>
    </row>
    <row r="15" spans="2:17" ht="18" customHeight="1" x14ac:dyDescent="0.25">
      <c r="B15" s="132" t="s">
        <v>15</v>
      </c>
      <c r="C15" s="132" t="s">
        <v>0</v>
      </c>
      <c r="D15" s="258" t="s">
        <v>41</v>
      </c>
      <c r="E15" s="259"/>
      <c r="F15" s="259"/>
      <c r="G15" s="259"/>
      <c r="H15" s="259"/>
      <c r="I15" s="260"/>
      <c r="J15" s="132" t="s">
        <v>15</v>
      </c>
      <c r="K15" s="132" t="s">
        <v>0</v>
      </c>
      <c r="L15" s="79"/>
    </row>
    <row r="16" spans="2:17" ht="18" customHeight="1" x14ac:dyDescent="0.25">
      <c r="B16" s="33" t="str">
        <f>IF(H8=3,B8,IF(H8=4,B8,IF(H8=5,B8,"")))</f>
        <v>BERNARDO DE BRITO BANDEIRA</v>
      </c>
      <c r="C16" s="33" t="str">
        <f>IFERROR(IF(B16="","",VLOOKUP(B16,LISTAS!$F$5:$G$1004,2,0)),"0")</f>
        <v>ABACO IPIRANGA</v>
      </c>
      <c r="D16" s="253">
        <v>0</v>
      </c>
      <c r="E16" s="254"/>
      <c r="F16" s="253" t="s">
        <v>38</v>
      </c>
      <c r="G16" s="254"/>
      <c r="H16" s="253">
        <v>2</v>
      </c>
      <c r="I16" s="254"/>
      <c r="J16" s="111" t="str">
        <f>IF(H8=3,B10,IF(H8=4,B11,IF(H8=5,B12,"")))</f>
        <v xml:space="preserve">MATHEUS KAYO </v>
      </c>
      <c r="K16" s="33" t="str">
        <f>IFERROR(IF(J16="","",VLOOKUP(J16,LISTAS!$F$5:$G$1004,2,0)),"0")</f>
        <v>ESCOLA INTERAÇÃO</v>
      </c>
      <c r="L16" s="81"/>
    </row>
    <row r="17" spans="2:16" ht="18" customHeight="1" x14ac:dyDescent="0.25">
      <c r="B17" s="33" t="str">
        <f>IF(H8=3,B9,IF(H8=4,B9,IF(H8=5,B9,"")))</f>
        <v>ARTHUR DAMIANI DANTAS</v>
      </c>
      <c r="C17" s="33" t="str">
        <f>IFERROR(IF(B17="","",VLOOKUP(B17,LISTAS!$F$5:$G$1004,2,0)),"0")</f>
        <v>COLÉGIO ARBOS - UNIDADE SANTO ANDRÉ</v>
      </c>
      <c r="D17" s="253">
        <v>1</v>
      </c>
      <c r="E17" s="254"/>
      <c r="F17" s="253" t="s">
        <v>38</v>
      </c>
      <c r="G17" s="254"/>
      <c r="H17" s="253">
        <v>2</v>
      </c>
      <c r="I17" s="254"/>
      <c r="J17" s="111" t="str">
        <f>IF(H8=3,B10,IF(H8=4,B10,IF(H8=5,B11,"")))</f>
        <v xml:space="preserve">MATHEUS KAYO </v>
      </c>
      <c r="K17" s="33" t="str">
        <f>IFERROR(IF(J17="","",VLOOKUP(J17,LISTAS!$F$5:$G$1004,2,0)),"0")</f>
        <v>ESCOLA INTERAÇÃO</v>
      </c>
      <c r="L17" s="79"/>
    </row>
    <row r="18" spans="2:16" ht="18" customHeight="1" x14ac:dyDescent="0.25">
      <c r="B18" s="33" t="str">
        <f>IF(H8=3,B8,IF(H8=4,B8,IF(H8=5,B9,"")))</f>
        <v>BERNARDO DE BRITO BANDEIRA</v>
      </c>
      <c r="C18" s="33" t="str">
        <f>IFERROR(IF(B18="","",VLOOKUP(B18,LISTAS!$F$5:$G$1004,2,0)),"0")</f>
        <v>ABACO IPIRANGA</v>
      </c>
      <c r="D18" s="253">
        <v>0</v>
      </c>
      <c r="E18" s="254"/>
      <c r="F18" s="253" t="s">
        <v>38</v>
      </c>
      <c r="G18" s="254"/>
      <c r="H18" s="253">
        <v>2</v>
      </c>
      <c r="I18" s="254"/>
      <c r="J18" s="111" t="str">
        <f>IF(H8=3,B9,IF(H8=4,B10,IF(H8=5,B10,"")))</f>
        <v>ARTHUR DAMIANI DANTAS</v>
      </c>
      <c r="K18" s="33" t="str">
        <f>IFERROR(IF(J18="","",VLOOKUP(J18,LISTAS!$F$5:$G$1004,2,0)),"0")</f>
        <v>COLÉGIO ARBOS - UNIDADE SANTO ANDRÉ</v>
      </c>
      <c r="L18" s="81"/>
    </row>
    <row r="19" spans="2:16" ht="18" customHeight="1" x14ac:dyDescent="0.25">
      <c r="B19" s="33" t="str">
        <f>IF(H8=3,"",IF(H8=4,B9,IF(H8=5,B11,"")))</f>
        <v/>
      </c>
      <c r="C19" s="33" t="str">
        <f>IFERROR(IF(B19="","",VLOOKUP(B19,LISTAS!$F$5:$G$1004,2,0)),"0")</f>
        <v/>
      </c>
      <c r="D19" s="253"/>
      <c r="E19" s="254"/>
      <c r="F19" s="253" t="s">
        <v>38</v>
      </c>
      <c r="G19" s="254"/>
      <c r="H19" s="253"/>
      <c r="I19" s="254"/>
      <c r="J19" s="111" t="str">
        <f>IF(H8=3,"",IF(H8=4,B11,IF(H8=5,B12,"")))</f>
        <v/>
      </c>
      <c r="K19" s="33" t="str">
        <f>IFERROR(IF(J19="","",VLOOKUP(J19,LISTAS!$F$5:$G$1004,2,0)),"0")</f>
        <v/>
      </c>
      <c r="L19" s="81"/>
    </row>
    <row r="20" spans="2:16" ht="18" customHeight="1" x14ac:dyDescent="0.25">
      <c r="B20" s="33" t="str">
        <f>IF(H8=3,"",IF(H8=4,B10,IF(H8=5,B11,"")))</f>
        <v/>
      </c>
      <c r="C20" s="33" t="str">
        <f>IFERROR(IF(B20="","",VLOOKUP(B20,LISTAS!$F$5:$G$1004,2,0)),"0")</f>
        <v/>
      </c>
      <c r="D20" s="253"/>
      <c r="E20" s="254"/>
      <c r="F20" s="253" t="s">
        <v>38</v>
      </c>
      <c r="G20" s="254"/>
      <c r="H20" s="253"/>
      <c r="I20" s="254"/>
      <c r="J20" s="111" t="str">
        <f>IF(H8=3,"",IF(H8=4,B11,IF(H8=5,B8,"")))</f>
        <v/>
      </c>
      <c r="K20" s="33" t="str">
        <f>IFERROR(IF(J20="","",VLOOKUP(J20,LISTAS!$F$5:$G$1004,2,0)),"0")</f>
        <v/>
      </c>
      <c r="L20" s="81"/>
    </row>
    <row r="21" spans="2:16" ht="18" customHeight="1" x14ac:dyDescent="0.25">
      <c r="B21" s="33" t="str">
        <f>IF(H8=3,"",IF(H8=4,B8,IF(H8=5,B12,"")))</f>
        <v/>
      </c>
      <c r="C21" s="33" t="str">
        <f>IFERROR(IF(B21="","",VLOOKUP(B21,LISTAS!$F$5:$G$1004,2,0)),"0")</f>
        <v/>
      </c>
      <c r="D21" s="253"/>
      <c r="E21" s="254"/>
      <c r="F21" s="253" t="s">
        <v>38</v>
      </c>
      <c r="G21" s="254"/>
      <c r="H21" s="253"/>
      <c r="I21" s="254"/>
      <c r="J21" s="111" t="str">
        <f>IF(H8=3,"",IF(H8=4,B9,IF(H8=5,B10,"")))</f>
        <v/>
      </c>
      <c r="K21" s="33" t="str">
        <f>IFERROR(IF(J21="","",VLOOKUP(J21,LISTAS!$F$5:$G$1004,2,0)),"0")</f>
        <v/>
      </c>
      <c r="L21" s="81"/>
    </row>
    <row r="22" spans="2:16" ht="18" customHeight="1" x14ac:dyDescent="0.25">
      <c r="B22" s="33" t="str">
        <f>IF(H8=3,"",IF(H8=4,"",IF(H8=5,B12,"")))</f>
        <v/>
      </c>
      <c r="C22" s="33" t="str">
        <f>IFERROR(IF(B22="","",VLOOKUP(B22,LISTAS!$F$5:$G$1004,2,0)),"0")</f>
        <v/>
      </c>
      <c r="D22" s="253"/>
      <c r="E22" s="254"/>
      <c r="F22" s="253" t="s">
        <v>38</v>
      </c>
      <c r="G22" s="254"/>
      <c r="H22" s="253"/>
      <c r="I22" s="254"/>
      <c r="J22" s="111" t="str">
        <f>IF(H8=3,"",IF(H8=4,"",IF(H8=5,B9,"")))</f>
        <v/>
      </c>
      <c r="K22" s="33" t="str">
        <f>IFERROR(IF(J22="","",VLOOKUP(J22,LISTAS!$F$5:$G$1004,2,0)),"0")</f>
        <v/>
      </c>
      <c r="L22" s="81"/>
    </row>
    <row r="23" spans="2:16" ht="18" customHeight="1" x14ac:dyDescent="0.25">
      <c r="B23" s="99" t="str">
        <f>IF(H8=3,"",IF(H8=4,"",IF(H8=5,B10,"")))</f>
        <v/>
      </c>
      <c r="C23" s="33" t="str">
        <f>IFERROR(IF(B23="","",VLOOKUP(B23,LISTAS!$F$5:$G$1004,2,0)),"0")</f>
        <v/>
      </c>
      <c r="D23" s="253"/>
      <c r="E23" s="254"/>
      <c r="F23" s="253" t="s">
        <v>38</v>
      </c>
      <c r="G23" s="254"/>
      <c r="H23" s="253"/>
      <c r="I23" s="254"/>
      <c r="J23" s="111" t="str">
        <f>IF(H8=3,"",IF(H8=4,"",IF(H8=5,B8,"")))</f>
        <v/>
      </c>
      <c r="K23" s="33" t="str">
        <f>IFERROR(IF(J23="","",VLOOKUP(J23,LISTAS!$F$5:$G$1004,2,0)),"0")</f>
        <v/>
      </c>
      <c r="L23" s="81"/>
    </row>
    <row r="24" spans="2:16" ht="18" customHeight="1" x14ac:dyDescent="0.25">
      <c r="B24" s="33" t="str">
        <f>IF(H8=3,"",IF(H8=4,"",IF(H8=5,B10,"")))</f>
        <v/>
      </c>
      <c r="C24" s="33" t="str">
        <f>IFERROR(IF(B24="","",VLOOKUP(B24,LISTAS!$F$5:$G$1004,2,0)),"0")</f>
        <v/>
      </c>
      <c r="D24" s="253"/>
      <c r="E24" s="254"/>
      <c r="F24" s="253" t="s">
        <v>38</v>
      </c>
      <c r="G24" s="254"/>
      <c r="H24" s="253"/>
      <c r="I24" s="254"/>
      <c r="J24" s="111" t="str">
        <f>IF(H8=3,"",IF(H8=4,"",IF(H8=5,B11,"")))</f>
        <v/>
      </c>
      <c r="K24" s="33" t="str">
        <f>IFERROR(IF(J24="","",VLOOKUP(J24,LISTAS!$F$5:$G$1004,2,0)),"0")</f>
        <v/>
      </c>
      <c r="L24" s="81"/>
    </row>
    <row r="25" spans="2:16" ht="18" customHeight="1" x14ac:dyDescent="0.25">
      <c r="B25" s="99" t="str">
        <f>IF(H8=3,"",IF(H8=4,"",IF(H8=5,B9,"")))</f>
        <v/>
      </c>
      <c r="C25" s="33" t="str">
        <f>IFERROR(IF(B25="","",VLOOKUP(B25,LISTAS!$F$5:$G$1004,2,0)),"0")</f>
        <v/>
      </c>
      <c r="D25" s="253"/>
      <c r="E25" s="254"/>
      <c r="F25" s="261" t="s">
        <v>38</v>
      </c>
      <c r="G25" s="262"/>
      <c r="H25" s="253"/>
      <c r="I25" s="254"/>
      <c r="J25" s="111" t="str">
        <f>IF(H8=3,"",IF(H8=4,"",IF(H8=5,B8,"")))</f>
        <v/>
      </c>
      <c r="K25" s="33" t="str">
        <f>IFERROR(IF(J25="","",VLOOKUP(J25,LISTAS!$F$5:$G$1004,2,0)),"0")</f>
        <v/>
      </c>
      <c r="L25" s="81"/>
    </row>
    <row r="28" spans="2:16" ht="30" customHeight="1" x14ac:dyDescent="0.25">
      <c r="B28" s="161" t="s">
        <v>46</v>
      </c>
      <c r="C28" s="79"/>
      <c r="D28" s="255" t="s">
        <v>42</v>
      </c>
      <c r="E28" s="256"/>
      <c r="F28" s="256"/>
      <c r="G28" s="257"/>
      <c r="H28" s="113"/>
      <c r="I28" s="255" t="s">
        <v>3</v>
      </c>
      <c r="J28" s="256"/>
      <c r="K28" s="256"/>
      <c r="L28" s="256"/>
    </row>
    <row r="29" spans="2:16" ht="18" customHeight="1" x14ac:dyDescent="0.25">
      <c r="B29" s="132" t="s">
        <v>15</v>
      </c>
      <c r="C29" s="132" t="s">
        <v>0</v>
      </c>
      <c r="D29" s="132" t="s">
        <v>43</v>
      </c>
      <c r="E29" s="132" t="s">
        <v>44</v>
      </c>
      <c r="F29" s="132" t="s">
        <v>77</v>
      </c>
      <c r="G29" s="132" t="s">
        <v>78</v>
      </c>
      <c r="H29" s="114"/>
      <c r="I29" s="132" t="s">
        <v>18</v>
      </c>
      <c r="J29" s="132" t="s">
        <v>15</v>
      </c>
      <c r="K29" s="132" t="s">
        <v>0</v>
      </c>
      <c r="L29" s="132" t="s">
        <v>45</v>
      </c>
    </row>
    <row r="30" spans="2:16" ht="18" customHeight="1" x14ac:dyDescent="0.25">
      <c r="B30" s="33" t="s">
        <v>134</v>
      </c>
      <c r="C30" s="33" t="str">
        <f>IFERROR(IF(B30="","",VLOOKUP(B30,LISTAS!$F$5:$G$1004,2,0)),"0")</f>
        <v>COLÉGIO ARBOS - UNIDADE SANTO ANDRÉ</v>
      </c>
      <c r="D30" s="33" t="str">
        <f>IF(H30&lt;3,"",IF(H30=3,IF(D37&lt;&gt;"",IF(H37&lt;&gt;"",IF(D37&lt;&gt;H37,IF(D37&gt;H37,"V","D"),""),""),""),IF(H30=4,IF(D37&lt;&gt;"",IF(H37&lt;&gt;"",IF(D37&lt;&gt;H37,IF(D37&gt;H37,"V","D"),""),""),""))))</f>
        <v>D</v>
      </c>
      <c r="E30" s="33" t="str">
        <f>IF(H30&lt;3,"",IF(H30=3,IF(D39&lt;&gt;"",IF(H39&lt;&gt;"",IF(D39&lt;&gt;H39,IF(D39&gt;H39,"V","D"),""),""),""),IF(H30=4,IF(D39&lt;&gt;"",IF(H39&lt;&gt;"",IF(D39&lt;&gt;H39,IF(D39&gt;H39,"V","D"),""),""),""))))</f>
        <v>D</v>
      </c>
      <c r="F30" s="33" t="str">
        <f>IF(H30&lt;4,"-",IF(H30=3,"",IF(H30=4,IF(D42&lt;&gt;"",IF(H42&lt;&gt;"",IF(D42&lt;&gt;H42,IF(D42&gt;H42,"V","D"),""),""),""))))</f>
        <v>-</v>
      </c>
      <c r="G30" s="33" t="s">
        <v>81</v>
      </c>
      <c r="H30" s="117">
        <f>COUNTA(B30:B33)</f>
        <v>3</v>
      </c>
      <c r="I30" s="33">
        <f>IF(B30&lt;&gt;"",1,"")</f>
        <v>1</v>
      </c>
      <c r="J30" s="33" t="str">
        <f>IF(I30&lt;&gt;"",P30,"")</f>
        <v>BENICIO V. LIMA</v>
      </c>
      <c r="K30" s="33" t="str">
        <f>IFERROR(IF(J30="","",VLOOKUP(J30,LISTAS!$F$5:$G$1004,2,0)),"0")</f>
        <v>RIO BRANCO - SBC</v>
      </c>
      <c r="L30" s="130" t="str">
        <f>IF(B30&lt;&gt;"",IF(G5=1,"OURO",IF(G5=2,IF(H8&lt;3,"",IF(H8=3,"OURO",IF(H8=4,"OURO"))),IF(G5&gt;=3,"OURO",""))),"")</f>
        <v>OURO</v>
      </c>
      <c r="M30" s="20">
        <f>IF(B30&lt;&gt;"",COUNTIF(D30:G30,"V")+(SUMIF(B37:B42,B30,D37:E42)/1000)+(SUMIF(J37:J42,B30,H37:I42)/1000)-(SUMIF(B37:B42,B30,H37:I42)/1000)-(SUMIF(J37:J42,B30,D37:E42)/1000)+0.005,"")</f>
        <v>1E-3</v>
      </c>
      <c r="N30" s="20" t="str">
        <f>IF(B30="","",B30)</f>
        <v>DAVI SIMOYAMA BLASSIOLI ARCANJO</v>
      </c>
      <c r="O30" s="20">
        <f>IF(B30&lt;&gt;"",LARGE(M30:M33,1),"")</f>
        <v>2.0070000000000001</v>
      </c>
      <c r="P30" s="20" t="str">
        <f>VLOOKUP(O30,M30:N33,2,0)</f>
        <v>BENICIO V. LIMA</v>
      </c>
    </row>
    <row r="31" spans="2:16" ht="18" customHeight="1" x14ac:dyDescent="0.25">
      <c r="B31" s="33" t="s">
        <v>119</v>
      </c>
      <c r="C31" s="33" t="str">
        <f>IFERROR(IF(B31="","",VLOOKUP(B31,LISTAS!$F$5:$G$1004,2,0)),"0")</f>
        <v>COLÉGIO ATENEU</v>
      </c>
      <c r="D31" s="33" t="str">
        <f>IF(H30&lt;3,"",IF(H30=3,IF(D38&lt;&gt;"",IF(H38&lt;&gt;"",IF(D38&lt;&gt;H38,IF(D38&gt;H38,"V","D"),""),""),""),IF(H30=4,IF(D38&lt;&gt;"",IF(H38&lt;&gt;"",IF(D38&lt;&gt;H38,IF(D38&gt;H38,"V","D"),""),""),""))))</f>
        <v>D</v>
      </c>
      <c r="E31" s="33" t="str">
        <f>IF(H30&lt;3,"",IF(H30=3,IF(D39&lt;&gt;"",IF(H39&lt;&gt;"",IF(D39&lt;&gt;H39,IF(D39&gt;H39,"D","V"),""),""),""),IF(H30=4,IF(D40&lt;&gt;"",IF(H40&lt;&gt;"",IF(D40&lt;&gt;H40,IF(D40&gt;H40,"V","D"),""),""),""))))</f>
        <v>V</v>
      </c>
      <c r="F31" s="33" t="str">
        <f>IF(H30&lt;4,"-",IF(H30=3,"",IF(H30=4,IF(D42&lt;&gt;"",IF(H42&lt;&gt;"",IF(D42&lt;&gt;H42,IF(D42&gt;H42,"D","V"),""),""),""))))</f>
        <v>-</v>
      </c>
      <c r="G31" s="33" t="s">
        <v>81</v>
      </c>
      <c r="H31" s="117"/>
      <c r="I31" s="33">
        <f>IF(B31&lt;&gt;"",2,"")</f>
        <v>2</v>
      </c>
      <c r="J31" s="33" t="str">
        <f>IF(I31&lt;&gt;"",P31,"")</f>
        <v>ARTHUR PULIDO CARMONA</v>
      </c>
      <c r="K31" s="33" t="str">
        <f>IFERROR(IF(J31="","",VLOOKUP(J31,LISTAS!$F$5:$G$1004,2,0)),"0")</f>
        <v>COLÉGIO ATENEU</v>
      </c>
      <c r="L31" s="130" t="str">
        <f>IF(B31&lt;&gt;"",IF(G5=1,"OURO",IF(G5=2,IF(H8&lt;3,"",IF(H8=3,"PRATA",IF(H8=4,"OURO"))),IF(G5&gt;=3,"PRATA",""))),"")</f>
        <v>PRATA</v>
      </c>
      <c r="M31" s="118">
        <f>IF(B31&lt;&gt;"",COUNTIF(D31:G31,"V")+(SUMIF(B37:B42,B31,D37:E42)/1000)+(SUMIF(J37:J42,B31,H37:I42)/1000)-(SUMIF(B37:B42,B31,H37:I42)/1000)-(SUMIF(J37:J42,B31,D37:E42)/1000)+0.004,"")</f>
        <v>1.004</v>
      </c>
      <c r="N31" s="20" t="str">
        <f t="shared" ref="N31" si="1">IF(B31="","",B31)</f>
        <v>ARTHUR PULIDO CARMONA</v>
      </c>
      <c r="O31" s="20">
        <f>IF(B31&lt;&gt;"",LARGE(M30:M33,2),"")</f>
        <v>1.004</v>
      </c>
      <c r="P31" s="20" t="str">
        <f>VLOOKUP(O31,M30:N33,2,0)</f>
        <v>ARTHUR PULIDO CARMONA</v>
      </c>
    </row>
    <row r="32" spans="2:16" ht="18" customHeight="1" x14ac:dyDescent="0.25">
      <c r="B32" s="33" t="s">
        <v>123</v>
      </c>
      <c r="C32" s="33" t="str">
        <f>IFERROR(IF(B32="","",VLOOKUP(B32,LISTAS!$F$5:$G$1004,2,0)),"0")</f>
        <v>RIO BRANCO - SBC</v>
      </c>
      <c r="D32" s="33" t="str">
        <f>IF(H30&lt;3,"",IF(H30=3,IF(D37&lt;&gt;"",IF(H37&lt;&gt;"",IF(D37&lt;&gt;H37,IF(D37&gt;H37,"D","V"),""),""),""),IF(H30=4,IF(D38&lt;&gt;"",IF(H38&lt;&gt;"",IF(D38&lt;&gt;H38,IF(D38&gt;H38,"D","V"),""),""),""))))</f>
        <v>V</v>
      </c>
      <c r="E32" s="33" t="str">
        <f>IF(H30&lt;3,"",IF(H30=3,IF(D38&lt;&gt;"",IF(H38&lt;&gt;"",IF(D38&lt;&gt;H38,IF(D38&gt;H38,"D","V"),""),""),""),IF(H30=4,IF(D39&lt;&gt;"",IF(H39&lt;&gt;"",IF(D39&lt;&gt;H39,IF(D39&gt;H39,"D","V"),""),""),""))))</f>
        <v>V</v>
      </c>
      <c r="F32" s="33" t="str">
        <f>IF(H30&lt;4,"-",IF(H30=3,"-",IF(H30=4,IF(D41&lt;&gt;"",IF(H41&lt;&gt;"",IF(D41&lt;&gt;H41,IF(D41&gt;H41,"V","D"),""),""),""))))</f>
        <v>-</v>
      </c>
      <c r="G32" s="33" t="s">
        <v>81</v>
      </c>
      <c r="H32" s="117"/>
      <c r="I32" s="33">
        <f>IF(B32&lt;&gt;"",3,"")</f>
        <v>3</v>
      </c>
      <c r="J32" s="33" t="str">
        <f>IF(I32&lt;&gt;"",P32,"")</f>
        <v>DAVI SIMOYAMA BLASSIOLI ARCANJO</v>
      </c>
      <c r="K32" s="33" t="str">
        <f>IFERROR(IF(J32="","",VLOOKUP(J32,LISTAS!$F$5:$G$1004,2,0)),"0")</f>
        <v>COLÉGIO ARBOS - UNIDADE SANTO ANDRÉ</v>
      </c>
      <c r="L32" s="130" t="str">
        <f>IF(B32&lt;&gt;"",IF(G5=1,"OURO",IF(G5=2,IF(H8&lt;3,"",IF(H8=3,"BRONZE",IF(H8=4,"PRATA"))),IF(G5&gt;=3,"BRONZE",""))),"")</f>
        <v>BRONZE</v>
      </c>
      <c r="M32" s="118">
        <f>IF(B32&lt;&gt;"",COUNTIF(D32:G32,"V")+(SUMIF(B37:B42,B32,D37:E42)/1000)+(SUMIF(J37:J42,B32,H37:I42)/1000)-(SUMIF(B37:B42,B32,H37:I42)/1000)-(SUMIF(J37:J42,B32,D37:E42)/1000)+0.003,"")</f>
        <v>2.0070000000000001</v>
      </c>
      <c r="N32" s="20" t="str">
        <f>IF(B32="","",B32)</f>
        <v>BENICIO V. LIMA</v>
      </c>
      <c r="O32" s="20">
        <f>IF(B32&lt;&gt;"",LARGE(M30:M33,3),"")</f>
        <v>1E-3</v>
      </c>
      <c r="P32" s="20" t="str">
        <f>VLOOKUP(O32,M30:N33,2,0)</f>
        <v>DAVI SIMOYAMA BLASSIOLI ARCANJO</v>
      </c>
    </row>
    <row r="33" spans="2:16" ht="18" customHeight="1" x14ac:dyDescent="0.25">
      <c r="B33" s="33"/>
      <c r="C33" s="33" t="str">
        <f>IFERROR(IF(B33="","",VLOOKUP(B33,LISTAS!$F$5:$G$1004,2,0)),"0")</f>
        <v/>
      </c>
      <c r="D33" s="33" t="str">
        <f>IF(H30&lt;3,"",IF(H30=3,"",IF(H30=4,IF(D37&lt;&gt;"",IF(H37&lt;&gt;"",IF(D37&lt;&gt;H37,IF(D37&gt;H37,"D","V"),""),""),""))))</f>
        <v/>
      </c>
      <c r="E33" s="33" t="str">
        <f>IF(H30&lt;3,"",IF(H30=3,"",IF(H30=4,IF(D40&lt;&gt;"",IF(H40&lt;&gt;"",IF(D40&lt;&gt;H40,IF(D40&gt;H40,"D","V"),""),""),""))))</f>
        <v/>
      </c>
      <c r="F33" s="33" t="str">
        <f>IF(H30&lt;4,"-",IF(H30=3,"",IF(H30=4,IF(D41&lt;&gt;"",IF(H41&lt;&gt;"",IF(D41&lt;&gt;H41,IF(D41&gt;H41,"D","V"),""),""),""))))</f>
        <v>-</v>
      </c>
      <c r="G33" s="33" t="s">
        <v>81</v>
      </c>
      <c r="H33" s="117"/>
      <c r="I33" s="33" t="str">
        <f>IF(B33&lt;&gt;"",4,"")</f>
        <v/>
      </c>
      <c r="J33" s="33" t="str">
        <f>IF(I33&lt;&gt;"",P33,"")</f>
        <v/>
      </c>
      <c r="K33" s="33" t="str">
        <f>IFERROR(IF(J33="","",VLOOKUP(J33,LISTAS!$F$5:$G$1004,2,0)),"0")</f>
        <v/>
      </c>
      <c r="L33" s="130" t="str">
        <f>IF(B33&lt;&gt;"",IF(G5=1,"OURO",IF(G5=2,IF(H8&lt;3,"",IF(H8=3,"",IF(H8=4,"PRATA"))),IF(G5&gt;=3,"",""))),"")</f>
        <v/>
      </c>
      <c r="M33" s="20" t="str">
        <f>IF(B33&lt;&gt;"",COUNTIF(D33:G33,"V")+(SUMIF(B37:B42,B33,D37:E42)/1000)+(SUMIF(J37:J42,B33,H37:I42)/1000)-(SUMIF(B37:B42,B33,H37:I42)/1000)-(SUMIF(J37:J42,B33,D37:E42)/1000)+0.002,"")</f>
        <v/>
      </c>
      <c r="N33" s="20" t="str">
        <f>IF(B33="","",B33)</f>
        <v/>
      </c>
      <c r="O33" s="20" t="str">
        <f>IF(B33&lt;&gt;"",LARGE(M30:M33,4),"")</f>
        <v/>
      </c>
      <c r="P33" s="20" t="str">
        <f>VLOOKUP(O33,M30:N33,2,0)</f>
        <v/>
      </c>
    </row>
    <row r="34" spans="2:16" ht="18" customHeight="1" x14ac:dyDescent="0.25">
      <c r="B34" s="79"/>
      <c r="C34" s="79"/>
      <c r="D34" s="79"/>
      <c r="E34" s="79"/>
      <c r="F34" s="79"/>
      <c r="G34" s="79"/>
      <c r="I34" s="80"/>
      <c r="J34" s="79"/>
      <c r="K34" s="81"/>
      <c r="L34" s="81"/>
    </row>
    <row r="35" spans="2:16" ht="23.25" customHeight="1" x14ac:dyDescent="0.25">
      <c r="B35" s="82" t="s">
        <v>40</v>
      </c>
      <c r="C35" s="79"/>
      <c r="D35" s="79"/>
      <c r="E35" s="79"/>
      <c r="F35" s="79"/>
      <c r="G35" s="79"/>
      <c r="H35" s="79"/>
      <c r="I35" s="79"/>
      <c r="J35" s="79"/>
      <c r="K35" s="79"/>
      <c r="L35" s="79"/>
    </row>
    <row r="36" spans="2:16" ht="18" customHeight="1" x14ac:dyDescent="0.25">
      <c r="B36" s="132" t="s">
        <v>15</v>
      </c>
      <c r="C36" s="132" t="s">
        <v>0</v>
      </c>
      <c r="D36" s="258" t="s">
        <v>41</v>
      </c>
      <c r="E36" s="259"/>
      <c r="F36" s="259"/>
      <c r="G36" s="259"/>
      <c r="H36" s="259"/>
      <c r="I36" s="260"/>
      <c r="J36" s="132" t="s">
        <v>15</v>
      </c>
      <c r="K36" s="132" t="s">
        <v>0</v>
      </c>
      <c r="L36" s="79"/>
    </row>
    <row r="37" spans="2:16" ht="18" customHeight="1" x14ac:dyDescent="0.25">
      <c r="B37" s="33" t="str">
        <f>IF(H30=3,B30,IF(H30=4,B30,""))</f>
        <v>DAVI SIMOYAMA BLASSIOLI ARCANJO</v>
      </c>
      <c r="C37" s="33" t="str">
        <f>IFERROR(IF(B37="","",VLOOKUP(B37,LISTAS!$F$5:$G$1004,2,0)),"0")</f>
        <v>COLÉGIO ARBOS - UNIDADE SANTO ANDRÉ</v>
      </c>
      <c r="D37" s="253">
        <v>0</v>
      </c>
      <c r="E37" s="254"/>
      <c r="F37" s="253" t="s">
        <v>38</v>
      </c>
      <c r="G37" s="254"/>
      <c r="H37" s="253">
        <v>2</v>
      </c>
      <c r="I37" s="254"/>
      <c r="J37" s="111" t="str">
        <f>IF(H30=3,B32,IF(H30=4,B33,""))</f>
        <v>BENICIO V. LIMA</v>
      </c>
      <c r="K37" s="33" t="str">
        <f>IFERROR(IF(J37="","",VLOOKUP(J37,LISTAS!$F$5:$G$1004,2,0)),"0")</f>
        <v>RIO BRANCO - SBC</v>
      </c>
      <c r="L37" s="81"/>
    </row>
    <row r="38" spans="2:16" ht="18" customHeight="1" x14ac:dyDescent="0.25">
      <c r="B38" s="33" t="str">
        <f>IF(H30=3,B31,IF(H30=4,B31,""))</f>
        <v>ARTHUR PULIDO CARMONA</v>
      </c>
      <c r="C38" s="33" t="str">
        <f>IFERROR(IF(B38="","",VLOOKUP(B38,LISTAS!$F$5:$G$1004,2,0)),"0")</f>
        <v>COLÉGIO ATENEU</v>
      </c>
      <c r="D38" s="253">
        <v>0</v>
      </c>
      <c r="E38" s="254"/>
      <c r="F38" s="253" t="s">
        <v>38</v>
      </c>
      <c r="G38" s="254"/>
      <c r="H38" s="253">
        <v>2</v>
      </c>
      <c r="I38" s="254"/>
      <c r="J38" s="111" t="str">
        <f>IF(H30=3,B32,IF(H30=4,B32,""))</f>
        <v>BENICIO V. LIMA</v>
      </c>
      <c r="K38" s="33" t="str">
        <f>IFERROR(IF(J38="","",VLOOKUP(J38,LISTAS!$F$5:$G$1004,2,0)),"0")</f>
        <v>RIO BRANCO - SBC</v>
      </c>
      <c r="L38" s="79"/>
    </row>
    <row r="39" spans="2:16" ht="18" customHeight="1" x14ac:dyDescent="0.25">
      <c r="B39" s="33" t="str">
        <f>IF(H30=3,B30,IF(H30=4,B30,""))</f>
        <v>DAVI SIMOYAMA BLASSIOLI ARCANJO</v>
      </c>
      <c r="C39" s="33" t="str">
        <f>IFERROR(IF(B39="","",VLOOKUP(B39,LISTAS!$F$5:$G$1004,2,0)),"0")</f>
        <v>COLÉGIO ARBOS - UNIDADE SANTO ANDRÉ</v>
      </c>
      <c r="D39" s="253">
        <v>0</v>
      </c>
      <c r="E39" s="254"/>
      <c r="F39" s="253" t="s">
        <v>38</v>
      </c>
      <c r="G39" s="254"/>
      <c r="H39" s="253">
        <v>2</v>
      </c>
      <c r="I39" s="254"/>
      <c r="J39" s="111" t="str">
        <f>IF(H30=3,B31,IF(H30=4,B32,""))</f>
        <v>ARTHUR PULIDO CARMONA</v>
      </c>
      <c r="K39" s="33" t="str">
        <f>IFERROR(IF(J39="","",VLOOKUP(J39,LISTAS!$F$5:$G$1004,2,0)),"0")</f>
        <v>COLÉGIO ATENEU</v>
      </c>
      <c r="L39" s="81"/>
    </row>
    <row r="40" spans="2:16" ht="18" customHeight="1" x14ac:dyDescent="0.25">
      <c r="B40" s="33" t="str">
        <f>IF(H30=3,"",IF(H30=4,B31,""))</f>
        <v/>
      </c>
      <c r="C40" s="33" t="str">
        <f>IFERROR(IF(B40="","",VLOOKUP(B40,LISTAS!$F$5:$G$1004,2,0)),"0")</f>
        <v/>
      </c>
      <c r="D40" s="253"/>
      <c r="E40" s="254"/>
      <c r="F40" s="253" t="s">
        <v>38</v>
      </c>
      <c r="G40" s="254"/>
      <c r="H40" s="253"/>
      <c r="I40" s="254"/>
      <c r="J40" s="111" t="str">
        <f>IF(H30=3,"",IF(H30=4,B33,""))</f>
        <v/>
      </c>
      <c r="K40" s="33" t="str">
        <f>IFERROR(IF(J40="","",VLOOKUP(J40,LISTAS!$F$5:$G$1004,2,0)),"0")</f>
        <v/>
      </c>
      <c r="L40" s="81"/>
    </row>
    <row r="41" spans="2:16" ht="18" customHeight="1" x14ac:dyDescent="0.25">
      <c r="B41" s="33" t="str">
        <f>IF(H30=3,"",IF(H30=4,B32,""))</f>
        <v/>
      </c>
      <c r="C41" s="33" t="str">
        <f>IFERROR(IF(B41="","",VLOOKUP(B41,LISTAS!$F$5:$G$1004,2,0)),"0")</f>
        <v/>
      </c>
      <c r="D41" s="253"/>
      <c r="E41" s="254"/>
      <c r="F41" s="253" t="s">
        <v>38</v>
      </c>
      <c r="G41" s="254"/>
      <c r="H41" s="253"/>
      <c r="I41" s="254"/>
      <c r="J41" s="111" t="str">
        <f>IF(H30=3,"",IF(H30=4,B33,""))</f>
        <v/>
      </c>
      <c r="K41" s="33" t="str">
        <f>IFERROR(IF(J41="","",VLOOKUP(J41,LISTAS!$F$5:$G$1004,2,0)),"0")</f>
        <v/>
      </c>
      <c r="L41" s="81"/>
    </row>
    <row r="42" spans="2:16" ht="18" customHeight="1" x14ac:dyDescent="0.25">
      <c r="B42" s="33" t="str">
        <f>IF(H30=3,"",IF(H30=4,B30,""))</f>
        <v/>
      </c>
      <c r="C42" s="33" t="str">
        <f>IFERROR(IF(B42="","",VLOOKUP(B42,LISTAS!$F$5:$G$1004,2,0)),"0")</f>
        <v/>
      </c>
      <c r="D42" s="253"/>
      <c r="E42" s="254"/>
      <c r="F42" s="253" t="s">
        <v>38</v>
      </c>
      <c r="G42" s="254"/>
      <c r="H42" s="253"/>
      <c r="I42" s="254"/>
      <c r="J42" s="111" t="str">
        <f>IF(H30=3,"",IF(H30=4,B31,""))</f>
        <v/>
      </c>
      <c r="K42" s="33" t="str">
        <f>IFERROR(IF(J42="","",VLOOKUP(J42,LISTAS!$F$5:$G$1004,2,0)),"0")</f>
        <v/>
      </c>
      <c r="L42" s="81"/>
    </row>
    <row r="45" spans="2:16" ht="30" customHeight="1" x14ac:dyDescent="0.25">
      <c r="B45" s="161" t="s">
        <v>47</v>
      </c>
      <c r="C45" s="79"/>
      <c r="D45" s="255" t="s">
        <v>42</v>
      </c>
      <c r="E45" s="256"/>
      <c r="F45" s="256"/>
      <c r="G45" s="257"/>
      <c r="H45" s="113"/>
      <c r="I45" s="255" t="s">
        <v>3</v>
      </c>
      <c r="J45" s="256"/>
      <c r="K45" s="256"/>
      <c r="L45" s="256"/>
    </row>
    <row r="46" spans="2:16" ht="18" customHeight="1" x14ac:dyDescent="0.25">
      <c r="B46" s="132" t="s">
        <v>15</v>
      </c>
      <c r="C46" s="132" t="s">
        <v>0</v>
      </c>
      <c r="D46" s="132" t="s">
        <v>43</v>
      </c>
      <c r="E46" s="132" t="s">
        <v>44</v>
      </c>
      <c r="F46" s="132" t="s">
        <v>77</v>
      </c>
      <c r="G46" s="132" t="s">
        <v>78</v>
      </c>
      <c r="H46" s="114"/>
      <c r="I46" s="132" t="s">
        <v>18</v>
      </c>
      <c r="J46" s="132" t="s">
        <v>15</v>
      </c>
      <c r="K46" s="132" t="s">
        <v>0</v>
      </c>
      <c r="L46" s="132" t="s">
        <v>45</v>
      </c>
    </row>
    <row r="47" spans="2:16" ht="18" customHeight="1" x14ac:dyDescent="0.25">
      <c r="B47" s="33" t="s">
        <v>153</v>
      </c>
      <c r="C47" s="33" t="str">
        <f>IFERROR(IF(B47="","",VLOOKUP(B47,LISTAS!$F$5:$G$1004,2,0)),"0")</f>
        <v>COLÉGIO MARCONI - GRU</v>
      </c>
      <c r="D47" s="33" t="str">
        <f>IF(H47&lt;3,"",IF(H47=3,IF(D53&lt;&gt;"",IF(H53&lt;&gt;"",IF(D53&lt;&gt;H53,IF(D53&gt;H53,"V","D"),""),""),"")))</f>
        <v>V</v>
      </c>
      <c r="E47" s="33" t="str">
        <f>IF(H47&lt;3,"",IF(H47=3,IF(D55&lt;&gt;"",IF(H55&lt;&gt;"",IF(D55&lt;&gt;H55,IF(D55&gt;H55,"V","D"),""),""),"")))</f>
        <v>V</v>
      </c>
      <c r="F47" s="33" t="s">
        <v>81</v>
      </c>
      <c r="G47" s="33" t="s">
        <v>81</v>
      </c>
      <c r="H47" s="117">
        <f>COUNTA(B47:B49)</f>
        <v>3</v>
      </c>
      <c r="I47" s="33">
        <f>IF(B47&lt;&gt;"",1,"")</f>
        <v>1</v>
      </c>
      <c r="J47" s="33" t="str">
        <f>IF(I47&lt;&gt;"",P47,"")</f>
        <v>HEITOR GUIMARÃES</v>
      </c>
      <c r="K47" s="33" t="str">
        <f>IFERROR(IF(J47="","",VLOOKUP(J47,LISTAS!$F$5:$G$1004,2,0)),"0")</f>
        <v>COLÉGIO MARCONI - GRU</v>
      </c>
      <c r="L47" s="130" t="str">
        <f>IF(H47=3,"OURO",IF(H47=4,"OURO",IF(H47=5,"OURO","")))</f>
        <v>OURO</v>
      </c>
      <c r="M47" s="20">
        <f>IF(B47&lt;&gt;"",COUNTIF(D47:G47,"V")+(SUMIF(B53:B55,B47,D53:E55)/1000)+(SUMIF(J53:J55,B47,H53:I55)/1000)-(SUMIF(B53:B55,B47,H53:I55)/1000)-(SUMIF(J53:J55,B47,D53:E55)/1000)+0.003,"")</f>
        <v>2.0070000000000001</v>
      </c>
      <c r="N47" s="20" t="str">
        <f>IF(B47="","",B47)</f>
        <v>HEITOR GUIMARÃES</v>
      </c>
      <c r="O47" s="20">
        <f>IF(B47&lt;&gt;"",LARGE(M47:M49,1),"")</f>
        <v>2.0070000000000001</v>
      </c>
      <c r="P47" s="20" t="str">
        <f>VLOOKUP(O47,M47:N49,2,0)</f>
        <v>HEITOR GUIMARÃES</v>
      </c>
    </row>
    <row r="48" spans="2:16" ht="18" customHeight="1" x14ac:dyDescent="0.25">
      <c r="B48" s="33" t="s">
        <v>203</v>
      </c>
      <c r="C48" s="33" t="str">
        <f>IFERROR(IF(B48="","",VLOOKUP(B48,LISTAS!$F$5:$G$1004,2,0)),"0")</f>
        <v>PEN LIFE</v>
      </c>
      <c r="D48" s="33" t="str">
        <f>IF(H47&lt;3,"",IF(H47=3,IF(D54&lt;&gt;"",IF(H54&lt;&gt;"",IF(D54&lt;&gt;H54,IF(D54&gt;H54,"V","D"),""),""),"")))</f>
        <v>V</v>
      </c>
      <c r="E48" s="33" t="str">
        <f>IF(H47&lt;3,"",IF(H47=3,IF(D55&lt;&gt;"",IF(H55&lt;&gt;"",IF(D55&lt;&gt;H55,IF(D55&gt;H55,"D","V"),""),""),"")))</f>
        <v>D</v>
      </c>
      <c r="F48" s="33" t="s">
        <v>81</v>
      </c>
      <c r="G48" s="33" t="s">
        <v>81</v>
      </c>
      <c r="H48" s="117"/>
      <c r="I48" s="33">
        <f>IF(B48&lt;&gt;"",2,"")</f>
        <v>2</v>
      </c>
      <c r="J48" s="33" t="str">
        <f>IF(I48&lt;&gt;"",P48,"")</f>
        <v>THEO HENARE MINELLI DE SÁ</v>
      </c>
      <c r="K48" s="33" t="str">
        <f>IFERROR(IF(J48="","",VLOOKUP(J48,LISTAS!$F$5:$G$1004,2,0)),"0")</f>
        <v>PEN LIFE</v>
      </c>
      <c r="L48" s="130" t="str">
        <f>IF(H47=3,"PRATA",IF(H47=4,"OURO",IF(H47=5,"OURO","")))</f>
        <v>PRATA</v>
      </c>
      <c r="M48" s="20">
        <f>IF(B48&lt;&gt;"",COUNTIF(D48:G48,"V")+(SUMIF(B53:B55,B48,D53:E55)/1000)+(SUMIF(J53:J55,B48,H53:I55)/1000)-(SUMIF(B53:B55,B48,H53:I55)/1000)-(SUMIF(J53:J55,B48,D53:E55)/1000)+0.002,"")</f>
        <v>1.0010000000000001</v>
      </c>
      <c r="N48" s="20" t="str">
        <f t="shared" ref="N48" si="2">IF(B48="","",B48)</f>
        <v>THEO HENARE MINELLI DE SÁ</v>
      </c>
      <c r="O48" s="20">
        <f>IF(B48&lt;&gt;"",LARGE(M47:M49,2),"")</f>
        <v>1.0010000000000001</v>
      </c>
      <c r="P48" s="20" t="str">
        <f>VLOOKUP(O48,M47:N49,2,0)</f>
        <v>THEO HENARE MINELLI DE SÁ</v>
      </c>
    </row>
    <row r="49" spans="2:16" ht="18" customHeight="1" x14ac:dyDescent="0.25">
      <c r="B49" s="33" t="s">
        <v>136</v>
      </c>
      <c r="C49" s="33" t="str">
        <f>IFERROR(IF(B49="","",VLOOKUP(B49,LISTAS!$F$5:$G$1004,2,0)),"0")</f>
        <v>COLÉGIO ARBOS - UNIDADE SANTO ANDRÉ</v>
      </c>
      <c r="D49" s="33" t="str">
        <f>IF(H47&lt;3,"",IF(H47=3,IF(D53&lt;&gt;"",IF(H53&lt;&gt;"",IF(D53&lt;&gt;H53,IF(D53&gt;H53,"D","V"),""),""),"")))</f>
        <v>D</v>
      </c>
      <c r="E49" s="33" t="str">
        <f>IF(H47&lt;3,"",IF(H47=3,IF(D54&lt;&gt;"",IF(H54&lt;&gt;"",IF(D54&lt;&gt;H54,IF(D54&gt;H54,"D","V"),""),""),"")))</f>
        <v>D</v>
      </c>
      <c r="F49" s="33" t="s">
        <v>81</v>
      </c>
      <c r="G49" s="33" t="s">
        <v>81</v>
      </c>
      <c r="H49" s="117"/>
      <c r="I49" s="33">
        <f>IF(B49&lt;&gt;"",3,"")</f>
        <v>3</v>
      </c>
      <c r="J49" s="33" t="str">
        <f>IF(I49&lt;&gt;"",P49,"")</f>
        <v>ENRICO FRIAS SIGOLI DE PAULA</v>
      </c>
      <c r="K49" s="33" t="str">
        <f>IFERROR(IF(J49="","",VLOOKUP(J49,LISTAS!$F$5:$G$1004,2,0)),"0")</f>
        <v>COLÉGIO ARBOS - UNIDADE SANTO ANDRÉ</v>
      </c>
      <c r="L49" s="130" t="str">
        <f>IF(H47=3,"BRONZE",IF(H47=4,"PRATA",IF(H47=5,"OURO","")))</f>
        <v>BRONZE</v>
      </c>
      <c r="M49" s="20">
        <f>IF(B49&lt;&gt;"",COUNTIF(D49:G49,"V")+(SUMIF(B53:B55,B49,D53:E55)/1000)+(SUMIF(J53:J55,B49,H53:I55)/1000)-(SUMIF(B53:B55,B49,H53:I55)/1000)-(SUMIF(J53:J55,B49,D53:E55)/1000)+0.001,"")</f>
        <v>-2E-3</v>
      </c>
      <c r="N49" s="20" t="str">
        <f>IF(B49="","",B49)</f>
        <v>ENRICO FRIAS SIGOLI DE PAULA</v>
      </c>
      <c r="O49" s="20">
        <f>IF(B49&lt;&gt;"",LARGE(M47:M49,3),"")</f>
        <v>-2E-3</v>
      </c>
      <c r="P49" s="20" t="str">
        <f>VLOOKUP(O49,M47:N49,2,0)</f>
        <v>ENRICO FRIAS SIGOLI DE PAULA</v>
      </c>
    </row>
    <row r="50" spans="2:16" ht="18" customHeight="1" x14ac:dyDescent="0.25">
      <c r="B50" s="79"/>
      <c r="C50" s="79"/>
      <c r="D50" s="79"/>
      <c r="E50" s="79"/>
      <c r="F50" s="79"/>
      <c r="G50" s="79"/>
      <c r="I50" s="80"/>
      <c r="J50" s="79"/>
      <c r="K50" s="81"/>
      <c r="L50" s="81"/>
    </row>
    <row r="51" spans="2:16" ht="23.25" customHeight="1" x14ac:dyDescent="0.25">
      <c r="B51" s="82" t="s">
        <v>40</v>
      </c>
      <c r="C51" s="79"/>
      <c r="D51" s="79"/>
      <c r="E51" s="79"/>
      <c r="F51" s="79"/>
      <c r="G51" s="79"/>
      <c r="H51" s="79"/>
      <c r="I51" s="79"/>
      <c r="J51" s="79"/>
      <c r="K51" s="79"/>
      <c r="L51" s="79"/>
    </row>
    <row r="52" spans="2:16" ht="18" customHeight="1" x14ac:dyDescent="0.25">
      <c r="B52" s="132" t="s">
        <v>15</v>
      </c>
      <c r="C52" s="132" t="s">
        <v>0</v>
      </c>
      <c r="D52" s="258" t="s">
        <v>41</v>
      </c>
      <c r="E52" s="259"/>
      <c r="F52" s="259"/>
      <c r="G52" s="259"/>
      <c r="H52" s="259"/>
      <c r="I52" s="260"/>
      <c r="J52" s="132" t="s">
        <v>15</v>
      </c>
      <c r="K52" s="132" t="s">
        <v>0</v>
      </c>
      <c r="L52" s="79"/>
    </row>
    <row r="53" spans="2:16" ht="18" customHeight="1" x14ac:dyDescent="0.25">
      <c r="B53" s="33" t="str">
        <f>IF(H47=3,B47,"")</f>
        <v>HEITOR GUIMARÃES</v>
      </c>
      <c r="C53" s="33" t="str">
        <f>IFERROR(IF(B53="","",VLOOKUP(B53,LISTAS!$F$5:$G$1004,2,0)),"0")</f>
        <v>COLÉGIO MARCONI - GRU</v>
      </c>
      <c r="D53" s="253">
        <v>2</v>
      </c>
      <c r="E53" s="254"/>
      <c r="F53" s="253" t="s">
        <v>38</v>
      </c>
      <c r="G53" s="254"/>
      <c r="H53" s="253">
        <v>0</v>
      </c>
      <c r="I53" s="254"/>
      <c r="J53" s="111" t="str">
        <f>IF(H47=3,B49,"")</f>
        <v>ENRICO FRIAS SIGOLI DE PAULA</v>
      </c>
      <c r="K53" s="33" t="str">
        <f>IFERROR(IF(J53="","",VLOOKUP(J53,LISTAS!$F$5:$G$1004,2,0)),"0")</f>
        <v>COLÉGIO ARBOS - UNIDADE SANTO ANDRÉ</v>
      </c>
      <c r="L53" s="81"/>
    </row>
    <row r="54" spans="2:16" ht="18" customHeight="1" x14ac:dyDescent="0.25">
      <c r="B54" s="33" t="str">
        <f>IF(H47=3,B48,"")</f>
        <v>THEO HENARE MINELLI DE SÁ</v>
      </c>
      <c r="C54" s="33" t="str">
        <f>IFERROR(IF(B54="","",VLOOKUP(B54,LISTAS!$F$5:$G$1004,2,0)),"0")</f>
        <v>PEN LIFE</v>
      </c>
      <c r="D54" s="253">
        <v>2</v>
      </c>
      <c r="E54" s="254"/>
      <c r="F54" s="253" t="s">
        <v>38</v>
      </c>
      <c r="G54" s="254"/>
      <c r="H54" s="253">
        <v>1</v>
      </c>
      <c r="I54" s="254"/>
      <c r="J54" s="111" t="str">
        <f>IF(H47=3,B49,"")</f>
        <v>ENRICO FRIAS SIGOLI DE PAULA</v>
      </c>
      <c r="K54" s="33" t="str">
        <f>IFERROR(IF(J54="","",VLOOKUP(J54,LISTAS!$F$5:$G$1004,2,0)),"0")</f>
        <v>COLÉGIO ARBOS - UNIDADE SANTO ANDRÉ</v>
      </c>
      <c r="L54" s="79"/>
    </row>
    <row r="55" spans="2:16" ht="18" customHeight="1" x14ac:dyDescent="0.25">
      <c r="B55" s="33" t="str">
        <f>IF(H47=3,B47,"")</f>
        <v>HEITOR GUIMARÃES</v>
      </c>
      <c r="C55" s="33" t="str">
        <f>IFERROR(IF(B55="","",VLOOKUP(B55,LISTAS!$F$5:$G$1004,2,0)),"0")</f>
        <v>COLÉGIO MARCONI - GRU</v>
      </c>
      <c r="D55" s="253">
        <v>2</v>
      </c>
      <c r="E55" s="254"/>
      <c r="F55" s="253" t="s">
        <v>38</v>
      </c>
      <c r="G55" s="254"/>
      <c r="H55" s="253">
        <v>0</v>
      </c>
      <c r="I55" s="254"/>
      <c r="J55" s="111" t="str">
        <f>IF(H47=3,B48,"")</f>
        <v>THEO HENARE MINELLI DE SÁ</v>
      </c>
      <c r="K55" s="33" t="str">
        <f>IFERROR(IF(J55="","",VLOOKUP(J55,LISTAS!$F$5:$G$1004,2,0)),"0")</f>
        <v>PEN LIFE</v>
      </c>
      <c r="L55" s="81"/>
    </row>
    <row r="58" spans="2:16" ht="30" customHeight="1" x14ac:dyDescent="0.25">
      <c r="B58" s="161" t="s">
        <v>48</v>
      </c>
      <c r="C58" s="79"/>
      <c r="D58" s="255" t="s">
        <v>42</v>
      </c>
      <c r="E58" s="256"/>
      <c r="F58" s="256"/>
      <c r="G58" s="257"/>
      <c r="H58" s="113"/>
      <c r="I58" s="255" t="s">
        <v>3</v>
      </c>
      <c r="J58" s="256"/>
      <c r="K58" s="256"/>
      <c r="L58" s="256"/>
    </row>
    <row r="59" spans="2:16" ht="18" customHeight="1" x14ac:dyDescent="0.25">
      <c r="B59" s="132" t="s">
        <v>15</v>
      </c>
      <c r="C59" s="132" t="s">
        <v>0</v>
      </c>
      <c r="D59" s="132" t="s">
        <v>43</v>
      </c>
      <c r="E59" s="132" t="s">
        <v>44</v>
      </c>
      <c r="F59" s="132" t="s">
        <v>77</v>
      </c>
      <c r="G59" s="132" t="s">
        <v>78</v>
      </c>
      <c r="H59" s="114"/>
      <c r="I59" s="132" t="s">
        <v>18</v>
      </c>
      <c r="J59" s="132" t="s">
        <v>15</v>
      </c>
      <c r="K59" s="132" t="s">
        <v>0</v>
      </c>
      <c r="L59" s="132" t="s">
        <v>45</v>
      </c>
    </row>
    <row r="60" spans="2:16" ht="18" customHeight="1" x14ac:dyDescent="0.25">
      <c r="B60" s="33" t="s">
        <v>144</v>
      </c>
      <c r="C60" s="33" t="str">
        <f>IFERROR(IF(B60="","",VLOOKUP(B60,LISTAS!$F$5:$G$1004,2,0)),"0")</f>
        <v>COLÉGIO ARBOS - UNIDADE SANTO ANDRÉ</v>
      </c>
      <c r="D60" s="33" t="str">
        <f>IF(H60&lt;3,"",IF(H60=3,IF(D66&lt;&gt;"",IF(H66&lt;&gt;"",IF(D66&lt;&gt;H66,IF(D66&gt;H66,"V","D"),""),""),"")))</f>
        <v>D</v>
      </c>
      <c r="E60" s="33" t="str">
        <f>IF(H60&lt;3,"",IF(H60=3,IF(D68&lt;&gt;"",IF(H68&lt;&gt;"",IF(D68&lt;&gt;H68,IF(D68&gt;H68,"V","D"),""),""),"")))</f>
        <v>D</v>
      </c>
      <c r="F60" s="33" t="s">
        <v>81</v>
      </c>
      <c r="G60" s="33" t="s">
        <v>81</v>
      </c>
      <c r="H60" s="117">
        <f>COUNTA(B60:B62)</f>
        <v>3</v>
      </c>
      <c r="I60" s="33">
        <f>IF(B60&lt;&gt;"",1,"")</f>
        <v>1</v>
      </c>
      <c r="J60" s="33" t="str">
        <f>IF(I60&lt;&gt;"",P60,"")</f>
        <v>ENZO BENTO DURANTE DA COSTA</v>
      </c>
      <c r="K60" s="33" t="str">
        <f>IFERROR(IF(J60="","",VLOOKUP(J60,LISTAS!$F$5:$G$1004,2,0)),"0")</f>
        <v>AMERICAN ACADEMY SCHOOL SBC</v>
      </c>
      <c r="L60" s="130" t="str">
        <f>IF(H60=3,"OURO",IF(H60=4,"OURO",IF(H60=5,"OURO","")))</f>
        <v>OURO</v>
      </c>
      <c r="M60" s="20">
        <f>IF(B60&lt;&gt;"",COUNTIF(D60:G60,"V")+(SUMIF(B66:B68,B60,D66:E68)/1000)+(SUMIF(J66:J68,B60,H66:I68)/1000)-(SUMIF(B66:B68,B60,H66:I68)/1000)-(SUMIF(J66:J68,B60,D66:E68)/1000)+0.003,"")</f>
        <v>-1E-3</v>
      </c>
      <c r="N60" s="20" t="str">
        <f>IF(B60="","",B60)</f>
        <v>FELIPE TAMANAGA PORRO</v>
      </c>
      <c r="O60" s="20">
        <f>IF(B60&lt;&gt;"",LARGE(M60:M62,1),"")</f>
        <v>2.0049999999999999</v>
      </c>
      <c r="P60" s="20" t="str">
        <f>VLOOKUP(O60,M60:N62,2,0)</f>
        <v>ENZO BENTO DURANTE DA COSTA</v>
      </c>
    </row>
    <row r="61" spans="2:16" ht="18" customHeight="1" x14ac:dyDescent="0.25">
      <c r="B61" s="33" t="s">
        <v>137</v>
      </c>
      <c r="C61" s="33" t="str">
        <f>IFERROR(IF(B61="","",VLOOKUP(B61,LISTAS!$F$5:$G$1004,2,0)),"0")</f>
        <v>ABACO IPIRANGA</v>
      </c>
      <c r="D61" s="33" t="str">
        <f>IF(H60&lt;3,"",IF(H60=3,IF(D67&lt;&gt;"",IF(H67&lt;&gt;"",IF(D67&lt;&gt;H67,IF(D67&gt;H67,"V","D"),""),""),"")))</f>
        <v>D</v>
      </c>
      <c r="E61" s="33" t="str">
        <f>IF(H60&lt;3,"",IF(H60=3,IF(D68&lt;&gt;"",IF(H68&lt;&gt;"",IF(D68&lt;&gt;H68,IF(D68&gt;H68,"D","V"),""),""),"")))</f>
        <v>V</v>
      </c>
      <c r="F61" s="33" t="s">
        <v>81</v>
      </c>
      <c r="G61" s="33" t="s">
        <v>81</v>
      </c>
      <c r="H61" s="117"/>
      <c r="I61" s="33">
        <f>IF(B61&lt;&gt;"",2,"")</f>
        <v>2</v>
      </c>
      <c r="J61" s="33" t="str">
        <f>IF(I61&lt;&gt;"",P61,"")</f>
        <v>ENRICO LUPINARI PALERMO</v>
      </c>
      <c r="K61" s="33" t="str">
        <f>IFERROR(IF(J61="","",VLOOKUP(J61,LISTAS!$F$5:$G$1004,2,0)),"0")</f>
        <v>ABACO IPIRANGA</v>
      </c>
      <c r="L61" s="130" t="str">
        <f>IF(H60=3,"PRATA",IF(H60=4,"OURO",IF(H60=5,"OURO","")))</f>
        <v>PRATA</v>
      </c>
      <c r="M61" s="20">
        <f>IF(B61&lt;&gt;"",COUNTIF(D61:G61,"V")+(SUMIF(B66:B68,B61,D66:E68)/1000)+(SUMIF(J66:J68,B61,H66:I68)/1000)-(SUMIF(B66:B68,B61,H66:I68)/1000)-(SUMIF(J66:J68,B61,D66:E68)/1000)+0.002,"")</f>
        <v>1.002</v>
      </c>
      <c r="N61" s="20" t="str">
        <f t="shared" ref="N61" si="3">IF(B61="","",B61)</f>
        <v>ENRICO LUPINARI PALERMO</v>
      </c>
      <c r="O61" s="20">
        <f>IF(B61&lt;&gt;"",LARGE(M60:M62,2),"")</f>
        <v>1.002</v>
      </c>
      <c r="P61" s="20" t="str">
        <f>VLOOKUP(O61,M60:N62,2,0)</f>
        <v>ENRICO LUPINARI PALERMO</v>
      </c>
    </row>
    <row r="62" spans="2:16" ht="18" customHeight="1" x14ac:dyDescent="0.25">
      <c r="B62" s="33" t="s">
        <v>138</v>
      </c>
      <c r="C62" s="33" t="str">
        <f>IFERROR(IF(B62="","",VLOOKUP(B62,LISTAS!$F$5:$G$1004,2,0)),"0")</f>
        <v>AMERICAN ACADEMY SCHOOL SBC</v>
      </c>
      <c r="D62" s="33" t="str">
        <f>IF(H60&lt;3,"",IF(H60=3,IF(D66&lt;&gt;"",IF(H66&lt;&gt;"",IF(D66&lt;&gt;H66,IF(D66&gt;H66,"D","V"),""),""),"")))</f>
        <v>V</v>
      </c>
      <c r="E62" s="33" t="str">
        <f>IF(H60&lt;3,"",IF(H60=3,IF(D67&lt;&gt;"",IF(H67&lt;&gt;"",IF(D67&lt;&gt;H67,IF(D67&gt;H67,"D","V"),""),""),"")))</f>
        <v>V</v>
      </c>
      <c r="F62" s="33" t="s">
        <v>81</v>
      </c>
      <c r="G62" s="33" t="s">
        <v>81</v>
      </c>
      <c r="H62" s="117"/>
      <c r="I62" s="33">
        <f>IF(B62&lt;&gt;"",3,"")</f>
        <v>3</v>
      </c>
      <c r="J62" s="33" t="str">
        <f>IF(I62&lt;&gt;"",P62,"")</f>
        <v>FELIPE TAMANAGA PORRO</v>
      </c>
      <c r="K62" s="33" t="str">
        <f>IFERROR(IF(J62="","",VLOOKUP(J62,LISTAS!$F$5:$G$1004,2,0)),"0")</f>
        <v>COLÉGIO ARBOS - UNIDADE SANTO ANDRÉ</v>
      </c>
      <c r="L62" s="130" t="str">
        <f>IF(H60=3,"BRONZE",IF(H60=4,"PRATA",IF(H60=5,"OURO","")))</f>
        <v>BRONZE</v>
      </c>
      <c r="M62" s="20">
        <f>IF(B62&lt;&gt;"",COUNTIF(D62:G62,"V")+(SUMIF(B66:B68,B62,D66:E68)/1000)+(SUMIF(J66:J68,B62,H66:I68)/1000)-(SUMIF(B66:B68,B62,H66:I68)/1000)-(SUMIF(J66:J68,B62,D66:E68)/1000)+0.001,"")</f>
        <v>2.0049999999999999</v>
      </c>
      <c r="N62" s="20" t="str">
        <f>IF(B62="","",B62)</f>
        <v>ENZO BENTO DURANTE DA COSTA</v>
      </c>
      <c r="O62" s="20">
        <f>IF(B62&lt;&gt;"",LARGE(M60:M62,3),"")</f>
        <v>-1E-3</v>
      </c>
      <c r="P62" s="20" t="str">
        <f>VLOOKUP(O62,M60:N62,2,0)</f>
        <v>FELIPE TAMANAGA PORRO</v>
      </c>
    </row>
    <row r="63" spans="2:16" ht="18" customHeight="1" x14ac:dyDescent="0.25">
      <c r="B63" s="79"/>
      <c r="C63" s="79"/>
      <c r="D63" s="79"/>
      <c r="E63" s="79"/>
      <c r="F63" s="79"/>
      <c r="G63" s="79"/>
      <c r="I63" s="80"/>
      <c r="J63" s="79"/>
      <c r="K63" s="81"/>
      <c r="L63" s="81"/>
    </row>
    <row r="64" spans="2:16" ht="23.25" customHeight="1" x14ac:dyDescent="0.25">
      <c r="B64" s="82" t="s">
        <v>40</v>
      </c>
      <c r="C64" s="79"/>
      <c r="D64" s="79"/>
      <c r="E64" s="79"/>
      <c r="F64" s="79"/>
      <c r="G64" s="79"/>
      <c r="H64" s="79"/>
      <c r="I64" s="79"/>
      <c r="J64" s="79"/>
      <c r="K64" s="79"/>
      <c r="L64" s="79"/>
    </row>
    <row r="65" spans="2:16" ht="18" customHeight="1" x14ac:dyDescent="0.25">
      <c r="B65" s="132" t="s">
        <v>15</v>
      </c>
      <c r="C65" s="132" t="s">
        <v>0</v>
      </c>
      <c r="D65" s="258" t="s">
        <v>41</v>
      </c>
      <c r="E65" s="259"/>
      <c r="F65" s="259"/>
      <c r="G65" s="259"/>
      <c r="H65" s="259"/>
      <c r="I65" s="260"/>
      <c r="J65" s="132" t="s">
        <v>15</v>
      </c>
      <c r="K65" s="132" t="s">
        <v>0</v>
      </c>
      <c r="L65" s="79"/>
    </row>
    <row r="66" spans="2:16" ht="18" customHeight="1" x14ac:dyDescent="0.25">
      <c r="B66" s="33" t="str">
        <f>IF(H60=3,B60,"")</f>
        <v>FELIPE TAMANAGA PORRO</v>
      </c>
      <c r="C66" s="33" t="str">
        <f>IFERROR(IF(B66="","",VLOOKUP(B66,LISTAS!$F$5:$G$1004,2,0)),"0")</f>
        <v>COLÉGIO ARBOS - UNIDADE SANTO ANDRÉ</v>
      </c>
      <c r="D66" s="253">
        <v>0</v>
      </c>
      <c r="E66" s="254"/>
      <c r="F66" s="253" t="s">
        <v>38</v>
      </c>
      <c r="G66" s="254"/>
      <c r="H66" s="253">
        <v>2</v>
      </c>
      <c r="I66" s="254"/>
      <c r="J66" s="111" t="str">
        <f>IF(H60=3,B62,"")</f>
        <v>ENZO BENTO DURANTE DA COSTA</v>
      </c>
      <c r="K66" s="33" t="str">
        <f>IFERROR(IF(J66="","",VLOOKUP(J66,LISTAS!$F$5:$G$1004,2,0)),"0")</f>
        <v>AMERICAN ACADEMY SCHOOL SBC</v>
      </c>
      <c r="L66" s="81"/>
    </row>
    <row r="67" spans="2:16" ht="18" customHeight="1" x14ac:dyDescent="0.25">
      <c r="B67" s="33" t="str">
        <f>IF(H60=3,B61,"")</f>
        <v>ENRICO LUPINARI PALERMO</v>
      </c>
      <c r="C67" s="33" t="str">
        <f>IFERROR(IF(B67="","",VLOOKUP(B67,LISTAS!$F$5:$G$1004,2,0)),"0")</f>
        <v>ABACO IPIRANGA</v>
      </c>
      <c r="D67" s="253">
        <v>0</v>
      </c>
      <c r="E67" s="254"/>
      <c r="F67" s="253" t="s">
        <v>38</v>
      </c>
      <c r="G67" s="254"/>
      <c r="H67" s="253">
        <v>2</v>
      </c>
      <c r="I67" s="254"/>
      <c r="J67" s="111" t="str">
        <f>IF(H60=3,B62,"")</f>
        <v>ENZO BENTO DURANTE DA COSTA</v>
      </c>
      <c r="K67" s="33" t="str">
        <f>IFERROR(IF(J67="","",VLOOKUP(J67,LISTAS!$F$5:$G$1004,2,0)),"0")</f>
        <v>AMERICAN ACADEMY SCHOOL SBC</v>
      </c>
      <c r="L67" s="79"/>
    </row>
    <row r="68" spans="2:16" ht="18" customHeight="1" x14ac:dyDescent="0.25">
      <c r="B68" s="33" t="str">
        <f>IF(H60=3,B60,"")</f>
        <v>FELIPE TAMANAGA PORRO</v>
      </c>
      <c r="C68" s="33" t="str">
        <f>IFERROR(IF(B68="","",VLOOKUP(B68,LISTAS!$F$5:$G$1004,2,0)),"0")</f>
        <v>COLÉGIO ARBOS - UNIDADE SANTO ANDRÉ</v>
      </c>
      <c r="D68" s="253">
        <v>0</v>
      </c>
      <c r="E68" s="254"/>
      <c r="F68" s="253" t="s">
        <v>38</v>
      </c>
      <c r="G68" s="254"/>
      <c r="H68" s="253">
        <v>2</v>
      </c>
      <c r="I68" s="254"/>
      <c r="J68" s="111" t="str">
        <f>IF(H60=3,B61,"")</f>
        <v>ENRICO LUPINARI PALERMO</v>
      </c>
      <c r="K68" s="33" t="str">
        <f>IFERROR(IF(J68="","",VLOOKUP(J68,LISTAS!$F$5:$G$1004,2,0)),"0")</f>
        <v>ABACO IPIRANGA</v>
      </c>
      <c r="L68" s="81"/>
    </row>
    <row r="71" spans="2:16" ht="30" customHeight="1" x14ac:dyDescent="0.25">
      <c r="B71" s="161" t="s">
        <v>49</v>
      </c>
      <c r="C71" s="79"/>
      <c r="D71" s="255" t="s">
        <v>42</v>
      </c>
      <c r="E71" s="256"/>
      <c r="F71" s="256"/>
      <c r="G71" s="257"/>
      <c r="H71" s="113"/>
      <c r="I71" s="255" t="s">
        <v>3</v>
      </c>
      <c r="J71" s="256"/>
      <c r="K71" s="256"/>
      <c r="L71" s="256"/>
    </row>
    <row r="72" spans="2:16" ht="18" customHeight="1" x14ac:dyDescent="0.25">
      <c r="B72" s="132" t="s">
        <v>15</v>
      </c>
      <c r="C72" s="132" t="s">
        <v>0</v>
      </c>
      <c r="D72" s="132" t="s">
        <v>43</v>
      </c>
      <c r="E72" s="132" t="s">
        <v>44</v>
      </c>
      <c r="F72" s="132" t="s">
        <v>77</v>
      </c>
      <c r="G72" s="132" t="s">
        <v>78</v>
      </c>
      <c r="H72" s="114"/>
      <c r="I72" s="132" t="s">
        <v>18</v>
      </c>
      <c r="J72" s="132" t="s">
        <v>15</v>
      </c>
      <c r="K72" s="132" t="s">
        <v>0</v>
      </c>
      <c r="L72" s="132" t="s">
        <v>45</v>
      </c>
    </row>
    <row r="73" spans="2:16" ht="18" customHeight="1" x14ac:dyDescent="0.25">
      <c r="B73" s="33" t="s">
        <v>117</v>
      </c>
      <c r="C73" s="33" t="str">
        <f>IFERROR(IF(B73="","",VLOOKUP(B73,LISTAS!$F$5:$G$1004,2,0)),"0")</f>
        <v>COLÉGIO ARBOS DE SÃO BERNARDO DO CAMPO</v>
      </c>
      <c r="D73" s="33" t="str">
        <f>IF(H73&lt;3,"",IF(H73=3,IF(D79&lt;&gt;"",IF(H79&lt;&gt;"",IF(D79&lt;&gt;H79,IF(D79&gt;H79,"V","D"),""),""),"")))</f>
        <v>D</v>
      </c>
      <c r="E73" s="33" t="str">
        <f>IF(H73&lt;3,"",IF(H73=3,IF(D81&lt;&gt;"",IF(H81&lt;&gt;"",IF(D81&lt;&gt;H81,IF(D81&gt;H81,"V","D"),""),""),"")))</f>
        <v>D</v>
      </c>
      <c r="F73" s="33" t="s">
        <v>81</v>
      </c>
      <c r="G73" s="33" t="s">
        <v>81</v>
      </c>
      <c r="H73" s="117">
        <f>COUNTA(B73:B75)</f>
        <v>3</v>
      </c>
      <c r="I73" s="33">
        <f>IF(B73&lt;&gt;"",1,"")</f>
        <v>1</v>
      </c>
      <c r="J73" s="33" t="str">
        <f>IF(I73&lt;&gt;"",P73,"")</f>
        <v>NICOLAS GRILLO HENRIQUE</v>
      </c>
      <c r="K73" s="33" t="str">
        <f>IFERROR(IF(J73="","",VLOOKUP(J73,LISTAS!$F$5:$G$1004,2,0)),"0")</f>
        <v>PEN LIFE</v>
      </c>
      <c r="L73" s="130" t="str">
        <f>IF(H73=3,"OURO",IF(H73=4,"OURO",IF(H73=5,"OURO","")))</f>
        <v>OURO</v>
      </c>
      <c r="M73" s="20">
        <f>IF(B73&lt;&gt;"",COUNTIF(D73:G73,"V")+(SUMIF(B79:B81,B73,D79:E81)/1000)+(SUMIF(J79:J81,B73,H79:I81)/1000)-(SUMIF(B79:B81,B73,H79:I81)/1000)-(SUMIF(J79:J81,B73,D79:E81)/1000)+0.003,"")</f>
        <v>-1E-3</v>
      </c>
      <c r="N73" s="20" t="str">
        <f>IF(B73="","",B73)</f>
        <v>ARTHUR MAZIERI REZENDE</v>
      </c>
      <c r="O73" s="20">
        <f>IF(B73&lt;&gt;"",LARGE(M73:M75,1),"")</f>
        <v>2.0049999999999999</v>
      </c>
      <c r="P73" s="20" t="str">
        <f>VLOOKUP(O73,M73:N75,2,0)</f>
        <v>NICOLAS GRILLO HENRIQUE</v>
      </c>
    </row>
    <row r="74" spans="2:16" ht="18" customHeight="1" x14ac:dyDescent="0.25">
      <c r="B74" s="33" t="s">
        <v>105</v>
      </c>
      <c r="C74" s="33" t="str">
        <f>IFERROR(IF(B74="","",VLOOKUP(B74,LISTAS!$F$5:$G$1004,2,0)),"0")</f>
        <v>ESCOLA VILLARE</v>
      </c>
      <c r="D74" s="33" t="str">
        <f>IF(H73&lt;3,"",IF(H73=3,IF(D80&lt;&gt;"",IF(H80&lt;&gt;"",IF(D80&lt;&gt;H80,IF(D80&gt;H80,"V","D"),""),""),"")))</f>
        <v>D</v>
      </c>
      <c r="E74" s="33" t="str">
        <f>IF(H73&lt;3,"",IF(H73=3,IF(D81&lt;&gt;"",IF(H81&lt;&gt;"",IF(D81&lt;&gt;H81,IF(D81&gt;H81,"D","V"),""),""),"")))</f>
        <v>V</v>
      </c>
      <c r="F74" s="33" t="s">
        <v>81</v>
      </c>
      <c r="G74" s="33" t="s">
        <v>81</v>
      </c>
      <c r="H74" s="117"/>
      <c r="I74" s="33">
        <f>IF(B74&lt;&gt;"",2,"")</f>
        <v>2</v>
      </c>
      <c r="J74" s="33" t="str">
        <f>IF(I74&lt;&gt;"",P74,"")</f>
        <v>ALFREDO KULLIAN DI LIDDO</v>
      </c>
      <c r="K74" s="33" t="str">
        <f>IFERROR(IF(J74="","",VLOOKUP(J74,LISTAS!$F$5:$G$1004,2,0)),"0")</f>
        <v>ESCOLA VILLARE</v>
      </c>
      <c r="L74" s="130" t="str">
        <f>IF(H73=3,"PRATA",IF(H73=4,"OURO",IF(H73=5,"OURO","")))</f>
        <v>PRATA</v>
      </c>
      <c r="M74" s="20">
        <f>IF(B74&lt;&gt;"",COUNTIF(D74:G74,"V")+(SUMIF(B79:B81,B74,D79:E81)/1000)+(SUMIF(J79:J81,B74,H79:I81)/1000)-(SUMIF(B79:B81,B74,H79:I81)/1000)-(SUMIF(J79:J81,B74,D79:E81)/1000)+0.002,"")</f>
        <v>1.002</v>
      </c>
      <c r="N74" s="20" t="str">
        <f t="shared" ref="N74" si="4">IF(B74="","",B74)</f>
        <v>ALFREDO KULLIAN DI LIDDO</v>
      </c>
      <c r="O74" s="20">
        <f>IF(B74&lt;&gt;"",LARGE(M73:M75,2),"")</f>
        <v>1.002</v>
      </c>
      <c r="P74" s="20" t="str">
        <f>VLOOKUP(O74,M73:N75,2,0)</f>
        <v>ALFREDO KULLIAN DI LIDDO</v>
      </c>
    </row>
    <row r="75" spans="2:16" ht="18" customHeight="1" x14ac:dyDescent="0.25">
      <c r="B75" s="33" t="s">
        <v>190</v>
      </c>
      <c r="C75" s="33" t="str">
        <f>IFERROR(IF(B75="","",VLOOKUP(B75,LISTAS!$F$5:$G$1004,2,0)),"0")</f>
        <v>PEN LIFE</v>
      </c>
      <c r="D75" s="33" t="str">
        <f>IF(H73&lt;3,"",IF(H73=3,IF(D79&lt;&gt;"",IF(H79&lt;&gt;"",IF(D79&lt;&gt;H79,IF(D79&gt;H79,"D","V"),""),""),"")))</f>
        <v>V</v>
      </c>
      <c r="E75" s="33" t="str">
        <f>IF(H73&lt;3,"",IF(H73=3,IF(D80&lt;&gt;"",IF(H80&lt;&gt;"",IF(D80&lt;&gt;H80,IF(D80&gt;H80,"D","V"),""),""),"")))</f>
        <v>V</v>
      </c>
      <c r="F75" s="33" t="s">
        <v>81</v>
      </c>
      <c r="G75" s="33" t="s">
        <v>81</v>
      </c>
      <c r="H75" s="117"/>
      <c r="I75" s="33">
        <f>IF(B75&lt;&gt;"",3,"")</f>
        <v>3</v>
      </c>
      <c r="J75" s="33" t="str">
        <f>IF(I75&lt;&gt;"",P75,"")</f>
        <v>ARTHUR MAZIERI REZENDE</v>
      </c>
      <c r="K75" s="33" t="str">
        <f>IFERROR(IF(J75="","",VLOOKUP(J75,LISTAS!$F$5:$G$1004,2,0)),"0")</f>
        <v>COLÉGIO ARBOS DE SÃO BERNARDO DO CAMPO</v>
      </c>
      <c r="L75" s="130" t="str">
        <f>IF(H73=3,"BRONZE",IF(H73=4,"PRATA",IF(H73=5,"OURO","")))</f>
        <v>BRONZE</v>
      </c>
      <c r="M75" s="20">
        <f>IF(B75&lt;&gt;"",COUNTIF(D75:G75,"V")+(SUMIF(B79:B81,B75,D79:E81)/1000)+(SUMIF(J79:J81,B75,H79:I81)/1000)-(SUMIF(B79:B81,B75,H79:I81)/1000)-(SUMIF(J79:J81,B75,D79:E81)/1000)+0.001,"")</f>
        <v>2.0049999999999999</v>
      </c>
      <c r="N75" s="20" t="str">
        <f>IF(B75="","",B75)</f>
        <v>NICOLAS GRILLO HENRIQUE</v>
      </c>
      <c r="O75" s="20">
        <f>IF(B75&lt;&gt;"",LARGE(M73:M75,3),"")</f>
        <v>-1E-3</v>
      </c>
      <c r="P75" s="20" t="str">
        <f>VLOOKUP(O75,M73:N75,2,0)</f>
        <v>ARTHUR MAZIERI REZENDE</v>
      </c>
    </row>
    <row r="76" spans="2:16" ht="18" customHeight="1" x14ac:dyDescent="0.25">
      <c r="B76" s="79"/>
      <c r="C76" s="79"/>
      <c r="D76" s="79"/>
      <c r="E76" s="79"/>
      <c r="F76" s="79"/>
      <c r="G76" s="79"/>
      <c r="I76" s="80"/>
      <c r="J76" s="79"/>
      <c r="K76" s="81"/>
      <c r="L76" s="81"/>
    </row>
    <row r="77" spans="2:16" ht="23.25" customHeight="1" x14ac:dyDescent="0.25">
      <c r="B77" s="82" t="s">
        <v>40</v>
      </c>
      <c r="C77" s="79"/>
      <c r="D77" s="79"/>
      <c r="E77" s="79"/>
      <c r="F77" s="79"/>
      <c r="G77" s="79"/>
      <c r="H77" s="79"/>
      <c r="I77" s="79"/>
      <c r="J77" s="79"/>
      <c r="K77" s="79"/>
      <c r="L77" s="79"/>
    </row>
    <row r="78" spans="2:16" ht="18" customHeight="1" x14ac:dyDescent="0.25">
      <c r="B78" s="132" t="s">
        <v>15</v>
      </c>
      <c r="C78" s="132" t="s">
        <v>0</v>
      </c>
      <c r="D78" s="258" t="s">
        <v>41</v>
      </c>
      <c r="E78" s="259"/>
      <c r="F78" s="259"/>
      <c r="G78" s="259"/>
      <c r="H78" s="259"/>
      <c r="I78" s="260"/>
      <c r="J78" s="132" t="s">
        <v>15</v>
      </c>
      <c r="K78" s="132" t="s">
        <v>0</v>
      </c>
      <c r="L78" s="79"/>
    </row>
    <row r="79" spans="2:16" ht="18" customHeight="1" x14ac:dyDescent="0.25">
      <c r="B79" s="33" t="str">
        <f>IF(H73=3,B73,"")</f>
        <v>ARTHUR MAZIERI REZENDE</v>
      </c>
      <c r="C79" s="33" t="str">
        <f>IFERROR(IF(B79="","",VLOOKUP(B79,LISTAS!$F$5:$G$1004,2,0)),"0")</f>
        <v>COLÉGIO ARBOS DE SÃO BERNARDO DO CAMPO</v>
      </c>
      <c r="D79" s="253">
        <v>0</v>
      </c>
      <c r="E79" s="254"/>
      <c r="F79" s="253" t="s">
        <v>38</v>
      </c>
      <c r="G79" s="254"/>
      <c r="H79" s="253">
        <v>2</v>
      </c>
      <c r="I79" s="254"/>
      <c r="J79" s="111" t="str">
        <f>IF(H73=3,B75,"")</f>
        <v>NICOLAS GRILLO HENRIQUE</v>
      </c>
      <c r="K79" s="33" t="str">
        <f>IFERROR(IF(J79="","",VLOOKUP(J79,LISTAS!$F$5:$G$1004,2,0)),"0")</f>
        <v>PEN LIFE</v>
      </c>
      <c r="L79" s="81"/>
    </row>
    <row r="80" spans="2:16" ht="18" customHeight="1" x14ac:dyDescent="0.25">
      <c r="B80" s="33" t="str">
        <f>IF(H73=3,B74,"")</f>
        <v>ALFREDO KULLIAN DI LIDDO</v>
      </c>
      <c r="C80" s="33" t="str">
        <f>IFERROR(IF(B80="","",VLOOKUP(B80,LISTAS!$F$5:$G$1004,2,0)),"0")</f>
        <v>ESCOLA VILLARE</v>
      </c>
      <c r="D80" s="253">
        <v>0</v>
      </c>
      <c r="E80" s="254"/>
      <c r="F80" s="253" t="s">
        <v>38</v>
      </c>
      <c r="G80" s="254"/>
      <c r="H80" s="253">
        <v>2</v>
      </c>
      <c r="I80" s="254"/>
      <c r="J80" s="111" t="str">
        <f>IF(H73=3,B75,"")</f>
        <v>NICOLAS GRILLO HENRIQUE</v>
      </c>
      <c r="K80" s="33" t="str">
        <f>IFERROR(IF(J80="","",VLOOKUP(J80,LISTAS!$F$5:$G$1004,2,0)),"0")</f>
        <v>PEN LIFE</v>
      </c>
      <c r="L80" s="79"/>
    </row>
    <row r="81" spans="2:16" ht="18" customHeight="1" x14ac:dyDescent="0.25">
      <c r="B81" s="33" t="str">
        <f>IF(H73=3,B73,"")</f>
        <v>ARTHUR MAZIERI REZENDE</v>
      </c>
      <c r="C81" s="33" t="str">
        <f>IFERROR(IF(B81="","",VLOOKUP(B81,LISTAS!$F$5:$G$1004,2,0)),"0")</f>
        <v>COLÉGIO ARBOS DE SÃO BERNARDO DO CAMPO</v>
      </c>
      <c r="D81" s="253">
        <v>0</v>
      </c>
      <c r="E81" s="254"/>
      <c r="F81" s="253" t="s">
        <v>38</v>
      </c>
      <c r="G81" s="254"/>
      <c r="H81" s="253">
        <v>2</v>
      </c>
      <c r="I81" s="254"/>
      <c r="J81" s="111" t="str">
        <f>IF(H73=3,B74,"")</f>
        <v>ALFREDO KULLIAN DI LIDDO</v>
      </c>
      <c r="K81" s="33" t="str">
        <f>IFERROR(IF(J81="","",VLOOKUP(J81,LISTAS!$F$5:$G$1004,2,0)),"0")</f>
        <v>ESCOLA VILLARE</v>
      </c>
      <c r="L81" s="81"/>
    </row>
    <row r="84" spans="2:16" ht="30" customHeight="1" x14ac:dyDescent="0.25">
      <c r="B84" s="161" t="s">
        <v>50</v>
      </c>
      <c r="C84" s="79"/>
      <c r="D84" s="255" t="s">
        <v>42</v>
      </c>
      <c r="E84" s="256"/>
      <c r="F84" s="256"/>
      <c r="G84" s="257"/>
      <c r="H84" s="113"/>
      <c r="I84" s="255" t="s">
        <v>3</v>
      </c>
      <c r="J84" s="256"/>
      <c r="K84" s="256"/>
      <c r="L84" s="256"/>
    </row>
    <row r="85" spans="2:16" ht="18" customHeight="1" x14ac:dyDescent="0.25">
      <c r="B85" s="132" t="s">
        <v>15</v>
      </c>
      <c r="C85" s="132" t="s">
        <v>0</v>
      </c>
      <c r="D85" s="132" t="s">
        <v>43</v>
      </c>
      <c r="E85" s="132" t="s">
        <v>44</v>
      </c>
      <c r="F85" s="132" t="s">
        <v>77</v>
      </c>
      <c r="G85" s="132" t="s">
        <v>78</v>
      </c>
      <c r="H85" s="114"/>
      <c r="I85" s="132" t="s">
        <v>18</v>
      </c>
      <c r="J85" s="132" t="s">
        <v>15</v>
      </c>
      <c r="K85" s="132" t="s">
        <v>0</v>
      </c>
      <c r="L85" s="132" t="s">
        <v>45</v>
      </c>
    </row>
    <row r="86" spans="2:16" ht="18" customHeight="1" x14ac:dyDescent="0.25">
      <c r="B86" s="33" t="s">
        <v>197</v>
      </c>
      <c r="C86" s="33" t="str">
        <f>IFERROR(IF(B86="","",VLOOKUP(B86,LISTAS!$F$5:$G$1004,2,0)),"0")</f>
        <v>COLÉGIO MARCONI - GRU</v>
      </c>
      <c r="D86" s="33" t="str">
        <f>IF(H86&lt;3,"",IF(H86=3,IF(D92&lt;&gt;"",IF(H92&lt;&gt;"",IF(D92&lt;&gt;H92,IF(D92&gt;H92,"V","D"),""),""),"")))</f>
        <v>V</v>
      </c>
      <c r="E86" s="33" t="str">
        <f>IF(H86&lt;3,"",IF(H86=3,IF(D94&lt;&gt;"",IF(H94&lt;&gt;"",IF(D94&lt;&gt;H94,IF(D94&gt;H94,"V","D"),""),""),"")))</f>
        <v>V</v>
      </c>
      <c r="F86" s="33" t="s">
        <v>81</v>
      </c>
      <c r="G86" s="33" t="s">
        <v>81</v>
      </c>
      <c r="H86" s="117">
        <f>COUNTA(B86:B88)</f>
        <v>3</v>
      </c>
      <c r="I86" s="33">
        <f>IF(B86&lt;&gt;"",1,"")</f>
        <v>1</v>
      </c>
      <c r="J86" s="33" t="str">
        <f>IF(I86&lt;&gt;"",P86,"")</f>
        <v>PIETRO TOLEDO</v>
      </c>
      <c r="K86" s="33" t="str">
        <f>IFERROR(IF(J86="","",VLOOKUP(J86,LISTAS!$F$5:$G$1004,2,0)),"0")</f>
        <v>COLÉGIO MARCONI - GRU</v>
      </c>
      <c r="L86" s="130" t="str">
        <f>IF(H86=3,"OURO",IF(H86=4,"OURO",IF(H86=5,"OURO","")))</f>
        <v>OURO</v>
      </c>
      <c r="M86" s="20">
        <f>IF(B86&lt;&gt;"",COUNTIF(D86:G86,"V")+(SUMIF(B92:B94,B86,D92:E94)/1000)+(SUMIF(J92:J94,B86,H92:I94)/1000)-(SUMIF(B92:B94,B86,H92:I94)/1000)-(SUMIF(J92:J94,B86,D92:E94)/1000)+0.003,"")</f>
        <v>2.0070000000000001</v>
      </c>
      <c r="N86" s="20" t="str">
        <f>IF(B86="","",B86)</f>
        <v>PIETRO TOLEDO</v>
      </c>
      <c r="O86" s="20">
        <f>IF(B86&lt;&gt;"",LARGE(M86:M88,1),"")</f>
        <v>2.0070000000000001</v>
      </c>
      <c r="P86" s="20" t="str">
        <f>VLOOKUP(O86,M86:N88,2,0)</f>
        <v>PIETRO TOLEDO</v>
      </c>
    </row>
    <row r="87" spans="2:16" ht="18" customHeight="1" x14ac:dyDescent="0.25">
      <c r="B87" s="33" t="s">
        <v>125</v>
      </c>
      <c r="C87" s="33" t="str">
        <f>IFERROR(IF(B87="","",VLOOKUP(B87,LISTAS!$F$5:$G$1004,2,0)),"0")</f>
        <v>COLÉGIO ARBOS DE SÃO BERNARDO DO CAMPO</v>
      </c>
      <c r="D87" s="33" t="str">
        <f>IF(H86&lt;3,"",IF(H86=3,IF(D93&lt;&gt;"",IF(H93&lt;&gt;"",IF(D93&lt;&gt;H93,IF(D93&gt;H93,"V","D"),""),""),"")))</f>
        <v>V</v>
      </c>
      <c r="E87" s="33" t="str">
        <f>IF(H86&lt;3,"",IF(H86=3,IF(D94&lt;&gt;"",IF(H94&lt;&gt;"",IF(D94&lt;&gt;H94,IF(D94&gt;H94,"D","V"),""),""),"")))</f>
        <v>D</v>
      </c>
      <c r="F87" s="33" t="s">
        <v>81</v>
      </c>
      <c r="G87" s="33" t="s">
        <v>81</v>
      </c>
      <c r="H87" s="117"/>
      <c r="I87" s="33">
        <f>IF(B87&lt;&gt;"",2,"")</f>
        <v>2</v>
      </c>
      <c r="J87" s="33" t="str">
        <f>IF(I87&lt;&gt;"",P87,"")</f>
        <v>BERNARDO AGUILAR MARIN</v>
      </c>
      <c r="K87" s="33" t="str">
        <f>IFERROR(IF(J87="","",VLOOKUP(J87,LISTAS!$F$5:$G$1004,2,0)),"0")</f>
        <v>COLÉGIO ARBOS DE SÃO BERNARDO DO CAMPO</v>
      </c>
      <c r="L87" s="130" t="str">
        <f>IF(H86=3,"PRATA",IF(H86=4,"OURO",IF(H86=5,"OURO","")))</f>
        <v>PRATA</v>
      </c>
      <c r="M87" s="20">
        <f>IF(B87&lt;&gt;"",COUNTIF(D87:G87,"V")+(SUMIF(B92:B94,B87,D92:E94)/1000)+(SUMIF(J92:J94,B87,H92:I94)/1000)-(SUMIF(B92:B94,B87,H92:I94)/1000)-(SUMIF(J92:J94,B87,D92:E94)/1000)+0.002,"")</f>
        <v>1.002</v>
      </c>
      <c r="N87" s="20" t="str">
        <f t="shared" ref="N87" si="5">IF(B87="","",B87)</f>
        <v>BERNARDO AGUILAR MARIN</v>
      </c>
      <c r="O87" s="20">
        <f>IF(B87&lt;&gt;"",LARGE(M86:M88,2),"")</f>
        <v>1.002</v>
      </c>
      <c r="P87" s="20" t="str">
        <f>VLOOKUP(O87,M86:N88,2,0)</f>
        <v>BERNARDO AGUILAR MARIN</v>
      </c>
    </row>
    <row r="88" spans="2:16" ht="18" customHeight="1" x14ac:dyDescent="0.25">
      <c r="B88" s="33" t="s">
        <v>141</v>
      </c>
      <c r="C88" s="33" t="str">
        <f>IFERROR(IF(B88="","",VLOOKUP(B88,LISTAS!$F$5:$G$1004,2,0)),"0")</f>
        <v>ABACO IPIRANGA</v>
      </c>
      <c r="D88" s="33" t="str">
        <f>IF(H86&lt;3,"",IF(H86=3,IF(D92&lt;&gt;"",IF(H92&lt;&gt;"",IF(D92&lt;&gt;H92,IF(D92&gt;H92,"D","V"),""),""),"")))</f>
        <v>D</v>
      </c>
      <c r="E88" s="33" t="str">
        <f>IF(H86&lt;3,"",IF(H86=3,IF(D93&lt;&gt;"",IF(H93&lt;&gt;"",IF(D93&lt;&gt;H93,IF(D93&gt;H93,"D","V"),""),""),"")))</f>
        <v>D</v>
      </c>
      <c r="F88" s="33" t="s">
        <v>81</v>
      </c>
      <c r="G88" s="33" t="s">
        <v>81</v>
      </c>
      <c r="H88" s="117"/>
      <c r="I88" s="33">
        <f>IF(B88&lt;&gt;"",3,"")</f>
        <v>3</v>
      </c>
      <c r="J88" s="33" t="str">
        <f>IF(I88&lt;&gt;"",P88,"")</f>
        <v>FELIPE PARONETO REZENDE</v>
      </c>
      <c r="K88" s="33" t="str">
        <f>IFERROR(IF(J88="","",VLOOKUP(J88,LISTAS!$F$5:$G$1004,2,0)),"0")</f>
        <v>ABACO IPIRANGA</v>
      </c>
      <c r="L88" s="130" t="str">
        <f>IF(H86=3,"BRONZE",IF(H86=4,"PRATA",IF(H86=5,"OURO","")))</f>
        <v>BRONZE</v>
      </c>
      <c r="M88" s="20">
        <f>IF(B88&lt;&gt;"",COUNTIF(D88:G88,"V")+(SUMIF(B92:B94,B88,D92:E94)/1000)+(SUMIF(J92:J94,B88,H92:I94)/1000)-(SUMIF(B92:B94,B88,H92:I94)/1000)-(SUMIF(J92:J94,B88,D92:E94)/1000)+0.001,"")</f>
        <v>-3.0000000000000001E-3</v>
      </c>
      <c r="N88" s="20" t="str">
        <f>IF(B88="","",B88)</f>
        <v>FELIPE PARONETO REZENDE</v>
      </c>
      <c r="O88" s="20">
        <f>IF(B88&lt;&gt;"",LARGE(M86:M88,3),"")</f>
        <v>-3.0000000000000001E-3</v>
      </c>
      <c r="P88" s="20" t="str">
        <f>VLOOKUP(O88,M86:N88,2,0)</f>
        <v>FELIPE PARONETO REZENDE</v>
      </c>
    </row>
    <row r="89" spans="2:16" ht="18" customHeight="1" x14ac:dyDescent="0.25">
      <c r="B89" s="79"/>
      <c r="C89" s="79"/>
      <c r="D89" s="79"/>
      <c r="E89" s="79"/>
      <c r="F89" s="79"/>
      <c r="G89" s="79"/>
      <c r="I89" s="80"/>
      <c r="J89" s="79"/>
      <c r="K89" s="81"/>
      <c r="L89" s="81"/>
    </row>
    <row r="90" spans="2:16" ht="23.25" customHeight="1" x14ac:dyDescent="0.25">
      <c r="B90" s="82" t="s">
        <v>40</v>
      </c>
      <c r="C90" s="79"/>
      <c r="D90" s="79"/>
      <c r="E90" s="79"/>
      <c r="F90" s="79"/>
      <c r="G90" s="79"/>
      <c r="H90" s="79"/>
      <c r="I90" s="79"/>
      <c r="J90" s="79"/>
      <c r="K90" s="79"/>
      <c r="L90" s="79"/>
    </row>
    <row r="91" spans="2:16" ht="18" customHeight="1" x14ac:dyDescent="0.25">
      <c r="B91" s="132" t="s">
        <v>15</v>
      </c>
      <c r="C91" s="132" t="s">
        <v>0</v>
      </c>
      <c r="D91" s="258" t="s">
        <v>41</v>
      </c>
      <c r="E91" s="259"/>
      <c r="F91" s="259"/>
      <c r="G91" s="259"/>
      <c r="H91" s="259"/>
      <c r="I91" s="260"/>
      <c r="J91" s="132" t="s">
        <v>15</v>
      </c>
      <c r="K91" s="132" t="s">
        <v>0</v>
      </c>
      <c r="L91" s="79"/>
    </row>
    <row r="92" spans="2:16" ht="18" customHeight="1" x14ac:dyDescent="0.25">
      <c r="B92" s="33" t="str">
        <f>IF(H86=3,B86,"")</f>
        <v>PIETRO TOLEDO</v>
      </c>
      <c r="C92" s="33" t="str">
        <f>IFERROR(IF(B92="","",VLOOKUP(B92,LISTAS!$F$5:$G$1004,2,0)),"0")</f>
        <v>COLÉGIO MARCONI - GRU</v>
      </c>
      <c r="D92" s="253">
        <v>2</v>
      </c>
      <c r="E92" s="254"/>
      <c r="F92" s="253" t="s">
        <v>38</v>
      </c>
      <c r="G92" s="254"/>
      <c r="H92" s="253">
        <v>0</v>
      </c>
      <c r="I92" s="254"/>
      <c r="J92" s="111" t="str">
        <f>IF(H86=3,B88,"")</f>
        <v>FELIPE PARONETO REZENDE</v>
      </c>
      <c r="K92" s="33" t="str">
        <f>IFERROR(IF(J92="","",VLOOKUP(J92,LISTAS!$F$5:$G$1004,2,0)),"0")</f>
        <v>ABACO IPIRANGA</v>
      </c>
      <c r="L92" s="81"/>
    </row>
    <row r="93" spans="2:16" ht="18" customHeight="1" x14ac:dyDescent="0.25">
      <c r="B93" s="33" t="str">
        <f>IF(H86=3,B87,"")</f>
        <v>BERNARDO AGUILAR MARIN</v>
      </c>
      <c r="C93" s="33" t="str">
        <f>IFERROR(IF(B93="","",VLOOKUP(B93,LISTAS!$F$5:$G$1004,2,0)),"0")</f>
        <v>COLÉGIO ARBOS DE SÃO BERNARDO DO CAMPO</v>
      </c>
      <c r="D93" s="253">
        <v>2</v>
      </c>
      <c r="E93" s="254"/>
      <c r="F93" s="253" t="s">
        <v>38</v>
      </c>
      <c r="G93" s="254"/>
      <c r="H93" s="253">
        <v>0</v>
      </c>
      <c r="I93" s="254"/>
      <c r="J93" s="111" t="str">
        <f>IF(H86=3,B88,"")</f>
        <v>FELIPE PARONETO REZENDE</v>
      </c>
      <c r="K93" s="33" t="str">
        <f>IFERROR(IF(J93="","",VLOOKUP(J93,LISTAS!$F$5:$G$1004,2,0)),"0")</f>
        <v>ABACO IPIRANGA</v>
      </c>
      <c r="L93" s="79"/>
    </row>
    <row r="94" spans="2:16" ht="18" customHeight="1" x14ac:dyDescent="0.25">
      <c r="B94" s="33" t="str">
        <f>IF(H86=3,B86,"")</f>
        <v>PIETRO TOLEDO</v>
      </c>
      <c r="C94" s="33" t="str">
        <f>IFERROR(IF(B94="","",VLOOKUP(B94,LISTAS!$F$5:$G$1004,2,0)),"0")</f>
        <v>COLÉGIO MARCONI - GRU</v>
      </c>
      <c r="D94" s="253">
        <v>2</v>
      </c>
      <c r="E94" s="254"/>
      <c r="F94" s="253" t="s">
        <v>38</v>
      </c>
      <c r="G94" s="254"/>
      <c r="H94" s="253">
        <v>0</v>
      </c>
      <c r="I94" s="254"/>
      <c r="J94" s="111" t="str">
        <f>IF(H86=3,B87,"")</f>
        <v>BERNARDO AGUILAR MARIN</v>
      </c>
      <c r="K94" s="33" t="str">
        <f>IFERROR(IF(J94="","",VLOOKUP(J94,LISTAS!$F$5:$G$1004,2,0)),"0")</f>
        <v>COLÉGIO ARBOS DE SÃO BERNARDO DO CAMPO</v>
      </c>
      <c r="L94" s="81"/>
    </row>
    <row r="97" spans="2:16" ht="30" customHeight="1" x14ac:dyDescent="0.25">
      <c r="B97" s="161" t="s">
        <v>51</v>
      </c>
      <c r="C97" s="79"/>
      <c r="D97" s="255" t="s">
        <v>42</v>
      </c>
      <c r="E97" s="256"/>
      <c r="F97" s="256"/>
      <c r="G97" s="257"/>
      <c r="H97" s="113"/>
      <c r="I97" s="255" t="s">
        <v>3</v>
      </c>
      <c r="J97" s="256"/>
      <c r="K97" s="256"/>
      <c r="L97" s="256"/>
    </row>
    <row r="98" spans="2:16" ht="18" customHeight="1" x14ac:dyDescent="0.25">
      <c r="B98" s="132" t="s">
        <v>15</v>
      </c>
      <c r="C98" s="132" t="s">
        <v>0</v>
      </c>
      <c r="D98" s="132" t="s">
        <v>43</v>
      </c>
      <c r="E98" s="132" t="s">
        <v>44</v>
      </c>
      <c r="F98" s="132" t="s">
        <v>77</v>
      </c>
      <c r="G98" s="132" t="s">
        <v>78</v>
      </c>
      <c r="H98" s="114"/>
      <c r="I98" s="132" t="s">
        <v>18</v>
      </c>
      <c r="J98" s="132" t="s">
        <v>15</v>
      </c>
      <c r="K98" s="132" t="s">
        <v>0</v>
      </c>
      <c r="L98" s="132" t="s">
        <v>45</v>
      </c>
    </row>
    <row r="99" spans="2:16" ht="18" customHeight="1" x14ac:dyDescent="0.25">
      <c r="B99" s="33" t="s">
        <v>194</v>
      </c>
      <c r="C99" s="33" t="str">
        <f>IFERROR(IF(B99="","",VLOOKUP(B99,LISTAS!$F$5:$G$1004,2,0)),"0")</f>
        <v>COLÉGIO ARBOS DE SÃO BERNARDO DO CAMPO</v>
      </c>
      <c r="D99" s="33" t="str">
        <f>IF(H99&lt;3,"",IF(H99=3,IF(D105&lt;&gt;"",IF(H105&lt;&gt;"",IF(D105&lt;&gt;H105,IF(D105&gt;H105,"V","D"),""),""),"")))</f>
        <v>D</v>
      </c>
      <c r="E99" s="33" t="str">
        <f>IF(H99&lt;3,"",IF(H99=3,IF(D107&lt;&gt;"",IF(H107&lt;&gt;"",IF(D107&lt;&gt;H107,IF(D107&gt;H107,"V","D"),""),""),"")))</f>
        <v>D</v>
      </c>
      <c r="F99" s="33" t="s">
        <v>81</v>
      </c>
      <c r="G99" s="33" t="s">
        <v>81</v>
      </c>
      <c r="H99" s="117">
        <f>COUNTA(B99:B101)</f>
        <v>3</v>
      </c>
      <c r="I99" s="33">
        <f>IF(B99&lt;&gt;"",1,"")</f>
        <v>1</v>
      </c>
      <c r="J99" s="33" t="str">
        <f>IF(I99&lt;&gt;"",P99,"")</f>
        <v>ARTHUR SARAIVA</v>
      </c>
      <c r="K99" s="33" t="str">
        <f>IFERROR(IF(J99="","",VLOOKUP(J99,LISTAS!$F$5:$G$1004,2,0)),"0")</f>
        <v>COLÉGIO ATENEU</v>
      </c>
      <c r="L99" s="130" t="str">
        <f>IF(H99=3,"OURO",IF(H99=4,"OURO",IF(H99=5,"OURO","")))</f>
        <v>OURO</v>
      </c>
      <c r="M99" s="20">
        <f>IF(B99&lt;&gt;"",COUNTIF(D99:G99,"V")+(SUMIF(B105:B107,B99,D105:E107)/1000)+(SUMIF(J105:J107,B99,H105:I107)/1000)-(SUMIF(B105:B107,B99,H105:I107)/1000)-(SUMIF(J105:J107,B99,D105:E107)/1000)+0.003,"")</f>
        <v>-1E-3</v>
      </c>
      <c r="N99" s="20" t="str">
        <f>IF(B99="","",B99)</f>
        <v>PEDRO HENRIQUE REDA FERREIRA</v>
      </c>
      <c r="O99" s="20">
        <f>IF(B99&lt;&gt;"",LARGE(M99:M101,1),"")</f>
        <v>2.0049999999999994</v>
      </c>
      <c r="P99" s="20" t="str">
        <f>VLOOKUP(O99,M99:N101,2,0)</f>
        <v>ARTHUR SARAIVA</v>
      </c>
    </row>
    <row r="100" spans="2:16" ht="18" customHeight="1" x14ac:dyDescent="0.25">
      <c r="B100" s="39" t="s">
        <v>673</v>
      </c>
      <c r="C100" s="33" t="str">
        <f>IFERROR(IF(B100="","",VLOOKUP(B100,LISTAS!$F$5:$G$1004,2,0)),"0")</f>
        <v>COLÉGIO ATENEU</v>
      </c>
      <c r="D100" s="33" t="str">
        <f>IF(H99&lt;3,"",IF(H99=3,IF(D106&lt;&gt;"",IF(H106&lt;&gt;"",IF(D106&lt;&gt;H106,IF(D106&gt;H106,"V","D"),""),""),"")))</f>
        <v>V</v>
      </c>
      <c r="E100" s="33" t="str">
        <f>IF(H99&lt;3,"",IF(H99=3,IF(D107&lt;&gt;"",IF(H107&lt;&gt;"",IF(D107&lt;&gt;H107,IF(D107&gt;H107,"D","V"),""),""),"")))</f>
        <v>V</v>
      </c>
      <c r="F100" s="33" t="s">
        <v>81</v>
      </c>
      <c r="G100" s="33" t="s">
        <v>81</v>
      </c>
      <c r="H100" s="117"/>
      <c r="I100" s="33">
        <f>IF(B100&lt;&gt;"",2,"")</f>
        <v>2</v>
      </c>
      <c r="J100" s="33" t="str">
        <f>IF(I100&lt;&gt;"",P100,"")</f>
        <v>BRUNO VIEIRA MIRA</v>
      </c>
      <c r="K100" s="33" t="str">
        <f>IFERROR(IF(J100="","",VLOOKUP(J100,LISTAS!$F$5:$G$1004,2,0)),"0")</f>
        <v>LICEU JARDIM</v>
      </c>
      <c r="L100" s="130" t="str">
        <f>IF(H99=3,"PRATA",IF(H99=4,"OURO",IF(H99=5,"OURO","")))</f>
        <v>PRATA</v>
      </c>
      <c r="M100" s="20">
        <f>IF(B100&lt;&gt;"",COUNTIF(D100:G100,"V")+(SUMIF(B105:B107,B100,D105:E107)/1000)+(SUMIF(J105:J107,B100,H105:I107)/1000)-(SUMIF(B105:B107,B100,H105:I107)/1000)-(SUMIF(J105:J107,B100,D105:E107)/1000)+0.002,"")</f>
        <v>2.0049999999999994</v>
      </c>
      <c r="N100" s="20" t="str">
        <f t="shared" ref="N100" si="6">IF(B100="","",B100)</f>
        <v>ARTHUR SARAIVA</v>
      </c>
      <c r="O100" s="20">
        <f>IF(B100&lt;&gt;"",LARGE(M99:M101,2),"")</f>
        <v>1.0019999999999998</v>
      </c>
      <c r="P100" s="20" t="str">
        <f>VLOOKUP(O100,M99:N101,2,0)</f>
        <v>BRUNO VIEIRA MIRA</v>
      </c>
    </row>
    <row r="101" spans="2:16" ht="18" customHeight="1" x14ac:dyDescent="0.25">
      <c r="B101" s="33" t="s">
        <v>128</v>
      </c>
      <c r="C101" s="33" t="str">
        <f>IFERROR(IF(B101="","",VLOOKUP(B101,LISTAS!$F$5:$G$1004,2,0)),"0")</f>
        <v>LICEU JARDIM</v>
      </c>
      <c r="D101" s="33" t="str">
        <f>IF(H99&lt;3,"",IF(H99=3,IF(D105&lt;&gt;"",IF(H105&lt;&gt;"",IF(D105&lt;&gt;H105,IF(D105&gt;H105,"D","V"),""),""),"")))</f>
        <v>V</v>
      </c>
      <c r="E101" s="33" t="str">
        <f>IF(H99&lt;3,"",IF(H99=3,IF(D106&lt;&gt;"",IF(H106&lt;&gt;"",IF(D106&lt;&gt;H106,IF(D106&gt;H106,"D","V"),""),""),"")))</f>
        <v>D</v>
      </c>
      <c r="F101" s="33" t="s">
        <v>81</v>
      </c>
      <c r="G101" s="33" t="s">
        <v>81</v>
      </c>
      <c r="H101" s="117"/>
      <c r="I101" s="33">
        <f>IF(B101&lt;&gt;"",3,"")</f>
        <v>3</v>
      </c>
      <c r="J101" s="33" t="str">
        <f>IF(I101&lt;&gt;"",P101,"")</f>
        <v>PEDRO HENRIQUE REDA FERREIRA</v>
      </c>
      <c r="K101" s="33" t="str">
        <f>IFERROR(IF(J101="","",VLOOKUP(J101,LISTAS!$F$5:$G$1004,2,0)),"0")</f>
        <v>COLÉGIO ARBOS DE SÃO BERNARDO DO CAMPO</v>
      </c>
      <c r="L101" s="130" t="str">
        <f>IF(H99=3,"BRONZE",IF(H99=4,"PRATA",IF(H99=5,"OURO","")))</f>
        <v>BRONZE</v>
      </c>
      <c r="M101" s="20">
        <f>IF(B101&lt;&gt;"",COUNTIF(D101:G101,"V")+(SUMIF(B105:B107,B101,D105:E107)/1000)+(SUMIF(J105:J107,B101,H105:I107)/1000)-(SUMIF(B105:B107,B101,H105:I107)/1000)-(SUMIF(J105:J107,B101,D105:E107)/1000)+0.001,"")</f>
        <v>1.0019999999999998</v>
      </c>
      <c r="N101" s="20" t="str">
        <f>IF(B101="","",B101)</f>
        <v>BRUNO VIEIRA MIRA</v>
      </c>
      <c r="O101" s="20">
        <f>IF(B101&lt;&gt;"",LARGE(M99:M101,3),"")</f>
        <v>-1E-3</v>
      </c>
      <c r="P101" s="20" t="str">
        <f>VLOOKUP(O101,M99:N101,2,0)</f>
        <v>PEDRO HENRIQUE REDA FERREIRA</v>
      </c>
    </row>
    <row r="102" spans="2:16" ht="18" customHeight="1" x14ac:dyDescent="0.25">
      <c r="B102" s="79"/>
      <c r="C102" s="79"/>
      <c r="D102" s="79"/>
      <c r="E102" s="79"/>
      <c r="F102" s="79"/>
      <c r="G102" s="79"/>
      <c r="I102" s="80"/>
      <c r="J102" s="79"/>
      <c r="K102" s="81"/>
      <c r="L102" s="81"/>
    </row>
    <row r="103" spans="2:16" ht="23.25" customHeight="1" x14ac:dyDescent="0.25">
      <c r="B103" s="82" t="s">
        <v>40</v>
      </c>
      <c r="C103" s="79"/>
      <c r="D103" s="79"/>
      <c r="E103" s="79"/>
      <c r="F103" s="79"/>
      <c r="G103" s="79"/>
      <c r="H103" s="79"/>
      <c r="I103" s="79"/>
      <c r="J103" s="79"/>
      <c r="K103" s="79"/>
      <c r="L103" s="79"/>
    </row>
    <row r="104" spans="2:16" ht="18" customHeight="1" x14ac:dyDescent="0.25">
      <c r="B104" s="132" t="s">
        <v>15</v>
      </c>
      <c r="C104" s="132" t="s">
        <v>0</v>
      </c>
      <c r="D104" s="258" t="s">
        <v>41</v>
      </c>
      <c r="E104" s="259"/>
      <c r="F104" s="259"/>
      <c r="G104" s="259"/>
      <c r="H104" s="259"/>
      <c r="I104" s="260"/>
      <c r="J104" s="132" t="s">
        <v>15</v>
      </c>
      <c r="K104" s="132" t="s">
        <v>0</v>
      </c>
      <c r="L104" s="79"/>
    </row>
    <row r="105" spans="2:16" ht="18" customHeight="1" x14ac:dyDescent="0.25">
      <c r="B105" s="33" t="str">
        <f>IF(H99=3,B99,"")</f>
        <v>PEDRO HENRIQUE REDA FERREIRA</v>
      </c>
      <c r="C105" s="33" t="str">
        <f>IFERROR(IF(B105="","",VLOOKUP(B105,LISTAS!$F$5:$G$1004,2,0)),"0")</f>
        <v>COLÉGIO ARBOS DE SÃO BERNARDO DO CAMPO</v>
      </c>
      <c r="D105" s="253">
        <v>0</v>
      </c>
      <c r="E105" s="254"/>
      <c r="F105" s="253" t="s">
        <v>38</v>
      </c>
      <c r="G105" s="254"/>
      <c r="H105" s="253">
        <v>2</v>
      </c>
      <c r="I105" s="254"/>
      <c r="J105" s="111" t="str">
        <f>IF(H99=3,B101,"")</f>
        <v>BRUNO VIEIRA MIRA</v>
      </c>
      <c r="K105" s="33" t="str">
        <f>IFERROR(IF(J105="","",VLOOKUP(J105,LISTAS!$F$5:$G$1004,2,0)),"0")</f>
        <v>LICEU JARDIM</v>
      </c>
      <c r="L105" s="81"/>
    </row>
    <row r="106" spans="2:16" ht="18" customHeight="1" x14ac:dyDescent="0.25">
      <c r="B106" s="33" t="str">
        <f>IF(H99=3,B100,"")</f>
        <v>ARTHUR SARAIVA</v>
      </c>
      <c r="C106" s="33" t="str">
        <f>IFERROR(IF(B106="","",VLOOKUP(B106,LISTAS!$F$5:$G$1004,2,0)),"0")</f>
        <v>COLÉGIO ATENEU</v>
      </c>
      <c r="D106" s="253">
        <v>2</v>
      </c>
      <c r="E106" s="254"/>
      <c r="F106" s="253" t="s">
        <v>38</v>
      </c>
      <c r="G106" s="254"/>
      <c r="H106" s="253">
        <v>1</v>
      </c>
      <c r="I106" s="254"/>
      <c r="J106" s="111" t="str">
        <f>IF(H99=3,B101,"")</f>
        <v>BRUNO VIEIRA MIRA</v>
      </c>
      <c r="K106" s="33" t="str">
        <f>IFERROR(IF(J106="","",VLOOKUP(J106,LISTAS!$F$5:$G$1004,2,0)),"0")</f>
        <v>LICEU JARDIM</v>
      </c>
      <c r="L106" s="79"/>
    </row>
    <row r="107" spans="2:16" ht="18" customHeight="1" x14ac:dyDescent="0.25">
      <c r="B107" s="33" t="str">
        <f>IF(H99=3,B99,"")</f>
        <v>PEDRO HENRIQUE REDA FERREIRA</v>
      </c>
      <c r="C107" s="33" t="str">
        <f>IFERROR(IF(B107="","",VLOOKUP(B107,LISTAS!$F$5:$G$1004,2,0)),"0")</f>
        <v>COLÉGIO ARBOS DE SÃO BERNARDO DO CAMPO</v>
      </c>
      <c r="D107" s="253">
        <v>0</v>
      </c>
      <c r="E107" s="254"/>
      <c r="F107" s="253" t="s">
        <v>38</v>
      </c>
      <c r="G107" s="254"/>
      <c r="H107" s="253">
        <v>2</v>
      </c>
      <c r="I107" s="254"/>
      <c r="J107" s="111" t="str">
        <f>IF(H99=3,B100,"")</f>
        <v>ARTHUR SARAIVA</v>
      </c>
      <c r="K107" s="33" t="str">
        <f>IFERROR(IF(J107="","",VLOOKUP(J107,LISTAS!$F$5:$G$1004,2,0)),"0")</f>
        <v>COLÉGIO ATENEU</v>
      </c>
      <c r="L107" s="81"/>
    </row>
    <row r="110" spans="2:16" ht="30" customHeight="1" x14ac:dyDescent="0.25">
      <c r="B110" s="161" t="s">
        <v>52</v>
      </c>
      <c r="C110" s="79"/>
      <c r="D110" s="255" t="s">
        <v>42</v>
      </c>
      <c r="E110" s="256"/>
      <c r="F110" s="256"/>
      <c r="G110" s="257"/>
      <c r="H110" s="113"/>
      <c r="I110" s="255" t="s">
        <v>3</v>
      </c>
      <c r="J110" s="256"/>
      <c r="K110" s="256"/>
      <c r="L110" s="256"/>
    </row>
    <row r="111" spans="2:16" ht="18" customHeight="1" x14ac:dyDescent="0.25">
      <c r="B111" s="132" t="s">
        <v>15</v>
      </c>
      <c r="C111" s="132" t="s">
        <v>0</v>
      </c>
      <c r="D111" s="132" t="s">
        <v>43</v>
      </c>
      <c r="E111" s="132" t="s">
        <v>44</v>
      </c>
      <c r="F111" s="132" t="s">
        <v>77</v>
      </c>
      <c r="G111" s="132" t="s">
        <v>78</v>
      </c>
      <c r="H111" s="114"/>
      <c r="I111" s="132" t="s">
        <v>18</v>
      </c>
      <c r="J111" s="132" t="s">
        <v>15</v>
      </c>
      <c r="K111" s="132" t="s">
        <v>0</v>
      </c>
      <c r="L111" s="132" t="s">
        <v>45</v>
      </c>
    </row>
    <row r="112" spans="2:16" ht="18" customHeight="1" x14ac:dyDescent="0.25">
      <c r="B112" s="33" t="s">
        <v>205</v>
      </c>
      <c r="C112" s="33" t="str">
        <f>IFERROR(IF(B112="","",VLOOKUP(B112,LISTAS!$F$5:$G$1004,2,0)),"0")</f>
        <v>COLÉGIO ARBOS - UNIDADE SANTO ANDRÉ</v>
      </c>
      <c r="D112" s="33" t="str">
        <f>IF(H112&lt;3,"",IF(H112=3,IF(D118&lt;&gt;"",IF(H118&lt;&gt;"",IF(D118&lt;&gt;H118,IF(D118&gt;H118,"V","D"),""),""),"")))</f>
        <v>D</v>
      </c>
      <c r="E112" s="33" t="str">
        <f>IF(H112&lt;3,"",IF(H112=3,IF(D120&lt;&gt;"",IF(H120&lt;&gt;"",IF(D120&lt;&gt;H120,IF(D120&gt;H120,"V","D"),""),""),"")))</f>
        <v>V</v>
      </c>
      <c r="F112" s="33" t="s">
        <v>81</v>
      </c>
      <c r="G112" s="33" t="s">
        <v>81</v>
      </c>
      <c r="H112" s="117">
        <f>COUNTA(B112:B114)</f>
        <v>3</v>
      </c>
      <c r="I112" s="33">
        <f>IF(B112&lt;&gt;"",1,"")</f>
        <v>1</v>
      </c>
      <c r="J112" s="33" t="str">
        <f>IF(I112&lt;&gt;"",P112,"")</f>
        <v>JORGE HIDEKI DO AMARAL YAMAGUTI</v>
      </c>
      <c r="K112" s="33" t="str">
        <f>IFERROR(IF(J112="","",VLOOKUP(J112,LISTAS!$F$5:$G$1004,2,0)),"0")</f>
        <v>ABACO IPIRANGA</v>
      </c>
      <c r="L112" s="130" t="str">
        <f>IF(H112=3,"OURO",IF(H112=4,"OURO",IF(H112=5,"OURO","")))</f>
        <v>OURO</v>
      </c>
      <c r="M112" s="20">
        <f>IF(B112&lt;&gt;"",COUNTIF(D112:G112,"V")+(SUMIF(B118:B120,B112,D118:E120)/1000)+(SUMIF(J118:J120,B112,H118:I120)/1000)-(SUMIF(B118:B120,B112,H118:I120)/1000)-(SUMIF(J118:J120,B112,D118:E120)/1000)+0.003,"")</f>
        <v>1.0039999999999998</v>
      </c>
      <c r="N112" s="20" t="str">
        <f>IF(B112="","",B112)</f>
        <v>THOMAS AUGUSTO COSTA TABOA</v>
      </c>
      <c r="O112" s="20">
        <f>IF(B112&lt;&gt;"",LARGE(M112:M114,1),"")</f>
        <v>2.004</v>
      </c>
      <c r="P112" s="20" t="str">
        <f>VLOOKUP(O112,M112:N114,2,0)</f>
        <v>JORGE HIDEKI DO AMARAL YAMAGUTI</v>
      </c>
    </row>
    <row r="113" spans="2:16" ht="18" customHeight="1" x14ac:dyDescent="0.25">
      <c r="B113" s="39" t="s">
        <v>672</v>
      </c>
      <c r="C113" s="33" t="str">
        <f>IFERROR(IF(B113="","",VLOOKUP(B113,LISTAS!$F$5:$G$1004,2,0)),"0")</f>
        <v>IEBURIX -SBC</v>
      </c>
      <c r="D113" s="33" t="str">
        <f>IF(H112&lt;3,"",IF(H112=3,IF(D119&lt;&gt;"",IF(H119&lt;&gt;"",IF(D119&lt;&gt;H119,IF(D119&gt;H119,"V","D"),""),""),"")))</f>
        <v>D</v>
      </c>
      <c r="E113" s="33" t="str">
        <f>IF(H112&lt;3,"",IF(H112=3,IF(D120&lt;&gt;"",IF(H120&lt;&gt;"",IF(D120&lt;&gt;H120,IF(D120&gt;H120,"D","V"),""),""),"")))</f>
        <v>D</v>
      </c>
      <c r="F113" s="33" t="s">
        <v>81</v>
      </c>
      <c r="G113" s="33" t="s">
        <v>81</v>
      </c>
      <c r="H113" s="117"/>
      <c r="I113" s="33">
        <f>IF(B113&lt;&gt;"",2,"")</f>
        <v>2</v>
      </c>
      <c r="J113" s="33" t="str">
        <f>IF(I113&lt;&gt;"",P113,"")</f>
        <v>THOMAS AUGUSTO COSTA TABOA</v>
      </c>
      <c r="K113" s="33" t="str">
        <f>IFERROR(IF(J113="","",VLOOKUP(J113,LISTAS!$F$5:$G$1004,2,0)),"0")</f>
        <v>COLÉGIO ARBOS - UNIDADE SANTO ANDRÉ</v>
      </c>
      <c r="L113" s="130" t="str">
        <f>IF(H112=3,"PRATA",IF(H112=4,"OURO",IF(H112=5,"OURO","")))</f>
        <v>PRATA</v>
      </c>
      <c r="M113" s="20">
        <f>IF(B113&lt;&gt;"",COUNTIF(D113:G113,"V")+(SUMIF(B118:B120,B113,D118:E120)/1000)+(SUMIF(J118:J120,B113,H118:I120)/1000)-(SUMIF(B118:B120,B113,H118:I120)/1000)-(SUMIF(J118:J120,B113,D118:E120)/1000)+0.002,"")</f>
        <v>-2E-3</v>
      </c>
      <c r="N113" s="20" t="str">
        <f t="shared" ref="N113" si="7">IF(B113="","",B113)</f>
        <v>BENJAMIN CAMARGO</v>
      </c>
      <c r="O113" s="20">
        <f>IF(B113&lt;&gt;"",LARGE(M112:M114,2),"")</f>
        <v>1.0039999999999998</v>
      </c>
      <c r="P113" s="20" t="str">
        <f>VLOOKUP(O113,M112:N114,2,0)</f>
        <v>THOMAS AUGUSTO COSTA TABOA</v>
      </c>
    </row>
    <row r="114" spans="2:16" ht="18" customHeight="1" x14ac:dyDescent="0.25">
      <c r="B114" s="33" t="s">
        <v>162</v>
      </c>
      <c r="C114" s="33" t="str">
        <f>IFERROR(IF(B114="","",VLOOKUP(B114,LISTAS!$F$5:$G$1004,2,0)),"0")</f>
        <v>ABACO IPIRANGA</v>
      </c>
      <c r="D114" s="33" t="str">
        <f>IF(H112&lt;3,"",IF(H112=3,IF(D118&lt;&gt;"",IF(H118&lt;&gt;"",IF(D118&lt;&gt;H118,IF(D118&gt;H118,"D","V"),""),""),"")))</f>
        <v>V</v>
      </c>
      <c r="E114" s="33" t="str">
        <f>IF(H112&lt;3,"",IF(H112=3,IF(D119&lt;&gt;"",IF(H119&lt;&gt;"",IF(D119&lt;&gt;H119,IF(D119&gt;H119,"D","V"),""),""),"")))</f>
        <v>V</v>
      </c>
      <c r="F114" s="33" t="s">
        <v>81</v>
      </c>
      <c r="G114" s="33" t="s">
        <v>81</v>
      </c>
      <c r="H114" s="117"/>
      <c r="I114" s="33">
        <f>IF(B114&lt;&gt;"",3,"")</f>
        <v>3</v>
      </c>
      <c r="J114" s="33" t="str">
        <f>IF(I114&lt;&gt;"",P114,"")</f>
        <v>BENJAMIN CAMARGO</v>
      </c>
      <c r="K114" s="33" t="str">
        <f>IFERROR(IF(J114="","",VLOOKUP(J114,LISTAS!$F$5:$G$1004,2,0)),"0")</f>
        <v>IEBURIX -SBC</v>
      </c>
      <c r="L114" s="130" t="str">
        <f>IF(H112=3,"BRONZE",IF(H112=4,"PRATA",IF(H112=5,"OURO","")))</f>
        <v>BRONZE</v>
      </c>
      <c r="M114" s="20">
        <f>IF(B114&lt;&gt;"",COUNTIF(D114:G114,"V")+(SUMIF(B118:B120,B114,D118:E120)/1000)+(SUMIF(J118:J120,B114,H118:I120)/1000)-(SUMIF(B118:B120,B114,H118:I120)/1000)-(SUMIF(J118:J120,B114,D118:E120)/1000)+0.001,"")</f>
        <v>2.004</v>
      </c>
      <c r="N114" s="20" t="str">
        <f>IF(B114="","",B114)</f>
        <v>JORGE HIDEKI DO AMARAL YAMAGUTI</v>
      </c>
      <c r="O114" s="20">
        <f>IF(B114&lt;&gt;"",LARGE(M112:M114,3),"")</f>
        <v>-2E-3</v>
      </c>
      <c r="P114" s="20" t="str">
        <f>VLOOKUP(O114,M112:N114,2,0)</f>
        <v>BENJAMIN CAMARGO</v>
      </c>
    </row>
    <row r="115" spans="2:16" ht="18" customHeight="1" x14ac:dyDescent="0.25">
      <c r="B115" s="79"/>
      <c r="C115" s="79"/>
      <c r="D115" s="79"/>
      <c r="E115" s="79"/>
      <c r="F115" s="79"/>
      <c r="G115" s="79"/>
      <c r="I115" s="80"/>
      <c r="J115" s="79"/>
      <c r="K115" s="81"/>
      <c r="L115" s="81"/>
    </row>
    <row r="116" spans="2:16" ht="23.25" customHeight="1" x14ac:dyDescent="0.25">
      <c r="B116" s="82" t="s">
        <v>40</v>
      </c>
      <c r="C116" s="79"/>
      <c r="D116" s="79"/>
      <c r="E116" s="79"/>
      <c r="F116" s="79"/>
      <c r="G116" s="79"/>
      <c r="H116" s="79"/>
      <c r="I116" s="79"/>
      <c r="J116" s="79"/>
      <c r="K116" s="79"/>
      <c r="L116" s="79"/>
    </row>
    <row r="117" spans="2:16" ht="18" customHeight="1" x14ac:dyDescent="0.25">
      <c r="B117" s="132" t="s">
        <v>15</v>
      </c>
      <c r="C117" s="132" t="s">
        <v>0</v>
      </c>
      <c r="D117" s="258" t="s">
        <v>41</v>
      </c>
      <c r="E117" s="259"/>
      <c r="F117" s="259"/>
      <c r="G117" s="259"/>
      <c r="H117" s="259"/>
      <c r="I117" s="260"/>
      <c r="J117" s="132" t="s">
        <v>15</v>
      </c>
      <c r="K117" s="132" t="s">
        <v>0</v>
      </c>
      <c r="L117" s="79"/>
    </row>
    <row r="118" spans="2:16" ht="18" customHeight="1" x14ac:dyDescent="0.25">
      <c r="B118" s="33" t="str">
        <f>IF(H112=3,B112,"")</f>
        <v>THOMAS AUGUSTO COSTA TABOA</v>
      </c>
      <c r="C118" s="33" t="str">
        <f>IFERROR(IF(B118="","",VLOOKUP(B118,LISTAS!$F$5:$G$1004,2,0)),"0")</f>
        <v>COLÉGIO ARBOS - UNIDADE SANTO ANDRÉ</v>
      </c>
      <c r="D118" s="253">
        <v>1</v>
      </c>
      <c r="E118" s="254"/>
      <c r="F118" s="253" t="s">
        <v>38</v>
      </c>
      <c r="G118" s="254"/>
      <c r="H118" s="253">
        <v>2</v>
      </c>
      <c r="I118" s="254"/>
      <c r="J118" s="111" t="str">
        <f>IF(H112=3,B114,"")</f>
        <v>JORGE HIDEKI DO AMARAL YAMAGUTI</v>
      </c>
      <c r="K118" s="33" t="str">
        <f>IFERROR(IF(J118="","",VLOOKUP(J118,LISTAS!$F$5:$G$1004,2,0)),"0")</f>
        <v>ABACO IPIRANGA</v>
      </c>
      <c r="L118" s="81"/>
    </row>
    <row r="119" spans="2:16" ht="18" customHeight="1" x14ac:dyDescent="0.25">
      <c r="B119" s="33" t="str">
        <f>IF(H112=3,B113,"")</f>
        <v>BENJAMIN CAMARGO</v>
      </c>
      <c r="C119" s="33" t="str">
        <f>IFERROR(IF(B119="","",VLOOKUP(B119,LISTAS!$F$5:$G$1004,2,0)),"0")</f>
        <v>IEBURIX -SBC</v>
      </c>
      <c r="D119" s="253">
        <v>0</v>
      </c>
      <c r="E119" s="254"/>
      <c r="F119" s="253" t="s">
        <v>38</v>
      </c>
      <c r="G119" s="254"/>
      <c r="H119" s="253">
        <v>2</v>
      </c>
      <c r="I119" s="254"/>
      <c r="J119" s="111" t="str">
        <f>IF(H112=3,B114,"")</f>
        <v>JORGE HIDEKI DO AMARAL YAMAGUTI</v>
      </c>
      <c r="K119" s="33" t="str">
        <f>IFERROR(IF(J119="","",VLOOKUP(J119,LISTAS!$F$5:$G$1004,2,0)),"0")</f>
        <v>ABACO IPIRANGA</v>
      </c>
      <c r="L119" s="79"/>
    </row>
    <row r="120" spans="2:16" ht="18" customHeight="1" x14ac:dyDescent="0.25">
      <c r="B120" s="33" t="str">
        <f>IF(H112=3,B112,"")</f>
        <v>THOMAS AUGUSTO COSTA TABOA</v>
      </c>
      <c r="C120" s="33" t="str">
        <f>IFERROR(IF(B120="","",VLOOKUP(B120,LISTAS!$F$5:$G$1004,2,0)),"0")</f>
        <v>COLÉGIO ARBOS - UNIDADE SANTO ANDRÉ</v>
      </c>
      <c r="D120" s="253">
        <v>2</v>
      </c>
      <c r="E120" s="254"/>
      <c r="F120" s="253" t="s">
        <v>38</v>
      </c>
      <c r="G120" s="254"/>
      <c r="H120" s="253">
        <v>0</v>
      </c>
      <c r="I120" s="254"/>
      <c r="J120" s="111" t="str">
        <f>IF(H112=3,B113,"")</f>
        <v>BENJAMIN CAMARGO</v>
      </c>
      <c r="K120" s="33" t="str">
        <f>IFERROR(IF(J120="","",VLOOKUP(J120,LISTAS!$F$5:$G$1004,2,0)),"0")</f>
        <v>IEBURIX -SBC</v>
      </c>
      <c r="L120" s="81"/>
    </row>
    <row r="123" spans="2:16" ht="30" customHeight="1" x14ac:dyDescent="0.25">
      <c r="B123" s="161" t="s">
        <v>53</v>
      </c>
      <c r="C123" s="79"/>
      <c r="D123" s="255" t="s">
        <v>42</v>
      </c>
      <c r="E123" s="256"/>
      <c r="F123" s="256"/>
      <c r="G123" s="257"/>
      <c r="H123" s="113"/>
      <c r="I123" s="255" t="s">
        <v>3</v>
      </c>
      <c r="J123" s="256"/>
      <c r="K123" s="256"/>
      <c r="L123" s="256"/>
    </row>
    <row r="124" spans="2:16" ht="18" customHeight="1" x14ac:dyDescent="0.25">
      <c r="B124" s="132" t="s">
        <v>15</v>
      </c>
      <c r="C124" s="132" t="s">
        <v>0</v>
      </c>
      <c r="D124" s="132" t="s">
        <v>43</v>
      </c>
      <c r="E124" s="132" t="s">
        <v>44</v>
      </c>
      <c r="F124" s="132" t="s">
        <v>77</v>
      </c>
      <c r="G124" s="132" t="s">
        <v>78</v>
      </c>
      <c r="H124" s="114"/>
      <c r="I124" s="132" t="s">
        <v>18</v>
      </c>
      <c r="J124" s="132" t="s">
        <v>15</v>
      </c>
      <c r="K124" s="132" t="s">
        <v>0</v>
      </c>
      <c r="L124" s="132" t="s">
        <v>45</v>
      </c>
    </row>
    <row r="125" spans="2:16" ht="18" customHeight="1" x14ac:dyDescent="0.25">
      <c r="B125" s="33" t="s">
        <v>199</v>
      </c>
      <c r="C125" s="33" t="str">
        <f>IFERROR(IF(B125="","",VLOOKUP(B125,LISTAS!$F$5:$G$1004,2,0)),"0")</f>
        <v>COLÉGIO ARBOS - UNIDADE SANTO ANDRÉ</v>
      </c>
      <c r="D125" s="33" t="str">
        <f>IF(H125&lt;3,"",IF(H125=3,IF(D131&lt;&gt;"",IF(H131&lt;&gt;"",IF(D131&lt;&gt;H131,IF(D131&gt;H131,"V","D"),""),""),"")))</f>
        <v>D</v>
      </c>
      <c r="E125" s="33" t="str">
        <f>IF(H125&lt;3,"",IF(H125=3,IF(D133&lt;&gt;"",IF(H133&lt;&gt;"",IF(D133&lt;&gt;H133,IF(D133&gt;H133,"V","D"),""),""),"")))</f>
        <v>V</v>
      </c>
      <c r="F125" s="33" t="s">
        <v>81</v>
      </c>
      <c r="G125" s="33" t="s">
        <v>81</v>
      </c>
      <c r="H125" s="117">
        <f>COUNTA(B125:B127)</f>
        <v>3</v>
      </c>
      <c r="I125" s="33">
        <f>IF(B125&lt;&gt;"",1,"")</f>
        <v>1</v>
      </c>
      <c r="J125" s="33" t="str">
        <f>IF(I125&lt;&gt;"",P125,"")</f>
        <v>HENRIQUE MORAIS GONSALES</v>
      </c>
      <c r="K125" s="33" t="str">
        <f>IFERROR(IF(J125="","",VLOOKUP(J125,LISTAS!$F$5:$G$1004,2,0)),"0")</f>
        <v>PEN LIFE</v>
      </c>
      <c r="L125" s="130" t="str">
        <f>IF(H125=3,"OURO",IF(H125=4,"OURO",IF(H125=5,"OURO","")))</f>
        <v>OURO</v>
      </c>
      <c r="M125" s="20">
        <f>IF(B125&lt;&gt;"",COUNTIF(D125:G125,"V")+(SUMIF(B131:B133,B125,D131:E133)/1000)+(SUMIF(J131:J133,B125,H131:I133)/1000)-(SUMIF(B131:B133,B125,H131:I133)/1000)-(SUMIF(J131:J133,B125,D131:E133)/1000)+0.003,"")</f>
        <v>1.0029999999999999</v>
      </c>
      <c r="N125" s="20" t="str">
        <f>IF(B125="","",B125)</f>
        <v>RAFAEL CARRADORI ZACHARIAS</v>
      </c>
      <c r="O125" s="20">
        <f>IF(B125&lt;&gt;"",LARGE(M125:M127,1),"")</f>
        <v>2.0049999999999999</v>
      </c>
      <c r="P125" s="20" t="str">
        <f>VLOOKUP(O125,M125:N127,2,0)</f>
        <v>HENRIQUE MORAIS GONSALES</v>
      </c>
    </row>
    <row r="126" spans="2:16" ht="18" customHeight="1" x14ac:dyDescent="0.25">
      <c r="B126" s="33" t="s">
        <v>150</v>
      </c>
      <c r="C126" s="33" t="str">
        <f>IFERROR(IF(B126="","",VLOOKUP(B126,LISTAS!$F$5:$G$1004,2,0)),"0")</f>
        <v>COLÉGIO ATENEU</v>
      </c>
      <c r="D126" s="33" t="str">
        <f>IF(H125&lt;3,"",IF(H125=3,IF(D132&lt;&gt;"",IF(H132&lt;&gt;"",IF(D132&lt;&gt;H132,IF(D132&gt;H132,"V","D"),""),""),"")))</f>
        <v>D</v>
      </c>
      <c r="E126" s="33" t="str">
        <f>IF(H125&lt;3,"",IF(H125=3,IF(D133&lt;&gt;"",IF(H133&lt;&gt;"",IF(D133&lt;&gt;H133,IF(D133&gt;H133,"D","V"),""),""),"")))</f>
        <v>D</v>
      </c>
      <c r="F126" s="33" t="s">
        <v>81</v>
      </c>
      <c r="G126" s="33" t="s">
        <v>81</v>
      </c>
      <c r="H126" s="117"/>
      <c r="I126" s="33">
        <f>IF(B126&lt;&gt;"",2,"")</f>
        <v>2</v>
      </c>
      <c r="J126" s="33" t="str">
        <f>IF(I126&lt;&gt;"",P126,"")</f>
        <v>RAFAEL CARRADORI ZACHARIAS</v>
      </c>
      <c r="K126" s="33" t="str">
        <f>IFERROR(IF(J126="","",VLOOKUP(J126,LISTAS!$F$5:$G$1004,2,0)),"0")</f>
        <v>COLÉGIO ARBOS - UNIDADE SANTO ANDRÉ</v>
      </c>
      <c r="L126" s="130" t="str">
        <f>IF(H125=3,"PRATA",IF(H125=4,"OURO",IF(H125=5,"OURO","")))</f>
        <v>PRATA</v>
      </c>
      <c r="M126" s="20">
        <f>IF(B126&lt;&gt;"",COUNTIF(D126:G126,"V")+(SUMIF(B131:B133,B126,D131:E133)/1000)+(SUMIF(J131:J133,B126,H131:I133)/1000)-(SUMIF(B131:B133,B126,H131:I133)/1000)-(SUMIF(J131:J133,B126,D131:E133)/1000)+0.002,"")</f>
        <v>-2E-3</v>
      </c>
      <c r="N126" s="20" t="str">
        <f t="shared" ref="N126" si="8">IF(B126="","",B126)</f>
        <v>GUILHERME KINA DER FORTES</v>
      </c>
      <c r="O126" s="20">
        <f>IF(B126&lt;&gt;"",LARGE(M125:M127,2),"")</f>
        <v>1.0029999999999999</v>
      </c>
      <c r="P126" s="20" t="str">
        <f>VLOOKUP(O126,M125:N127,2,0)</f>
        <v>RAFAEL CARRADORI ZACHARIAS</v>
      </c>
    </row>
    <row r="127" spans="2:16" ht="18" customHeight="1" x14ac:dyDescent="0.25">
      <c r="B127" s="33" t="s">
        <v>158</v>
      </c>
      <c r="C127" s="33" t="str">
        <f>IFERROR(IF(B127="","",VLOOKUP(B127,LISTAS!$F$5:$G$1004,2,0)),"0")</f>
        <v>PEN LIFE</v>
      </c>
      <c r="D127" s="33" t="str">
        <f>IF(H125&lt;3,"",IF(H125=3,IF(D131&lt;&gt;"",IF(H131&lt;&gt;"",IF(D131&lt;&gt;H131,IF(D131&gt;H131,"D","V"),""),""),"")))</f>
        <v>V</v>
      </c>
      <c r="E127" s="33" t="str">
        <f>IF(H125&lt;3,"",IF(H125=3,IF(D132&lt;&gt;"",IF(H132&lt;&gt;"",IF(D132&lt;&gt;H132,IF(D132&gt;H132,"D","V"),""),""),"")))</f>
        <v>V</v>
      </c>
      <c r="F127" s="33" t="s">
        <v>81</v>
      </c>
      <c r="G127" s="33" t="s">
        <v>81</v>
      </c>
      <c r="H127" s="117"/>
      <c r="I127" s="33">
        <f>IF(B127&lt;&gt;"",3,"")</f>
        <v>3</v>
      </c>
      <c r="J127" s="33" t="str">
        <f>IF(I127&lt;&gt;"",P127,"")</f>
        <v>GUILHERME KINA DER FORTES</v>
      </c>
      <c r="K127" s="33" t="str">
        <f>IFERROR(IF(J127="","",VLOOKUP(J127,LISTAS!$F$5:$G$1004,2,0)),"0")</f>
        <v>COLÉGIO ATENEU</v>
      </c>
      <c r="L127" s="130" t="str">
        <f>IF(H125=3,"BRONZE",IF(H125=4,"PRATA",IF(H125=5,"OURO","")))</f>
        <v>BRONZE</v>
      </c>
      <c r="M127" s="20">
        <f>IF(B127&lt;&gt;"",COUNTIF(D127:G127,"V")+(SUMIF(B131:B133,B127,D131:E133)/1000)+(SUMIF(J131:J133,B127,H131:I133)/1000)-(SUMIF(B131:B133,B127,H131:I133)/1000)-(SUMIF(J131:J133,B127,D131:E133)/1000)+0.001,"")</f>
        <v>2.0049999999999999</v>
      </c>
      <c r="N127" s="20" t="str">
        <f>IF(B127="","",B127)</f>
        <v>HENRIQUE MORAIS GONSALES</v>
      </c>
      <c r="O127" s="20">
        <f>IF(B127&lt;&gt;"",LARGE(M125:M127,3),"")</f>
        <v>-2E-3</v>
      </c>
      <c r="P127" s="20" t="str">
        <f>VLOOKUP(O127,M125:N127,2,0)</f>
        <v>GUILHERME KINA DER FORTES</v>
      </c>
    </row>
    <row r="128" spans="2:16" ht="18" customHeight="1" x14ac:dyDescent="0.25">
      <c r="B128" s="79"/>
      <c r="C128" s="79"/>
      <c r="D128" s="79"/>
      <c r="E128" s="79"/>
      <c r="F128" s="79"/>
      <c r="G128" s="79"/>
      <c r="I128" s="80"/>
      <c r="J128" s="79"/>
      <c r="K128" s="81"/>
      <c r="L128" s="81"/>
    </row>
    <row r="129" spans="2:16" ht="23.25" customHeight="1" x14ac:dyDescent="0.25">
      <c r="B129" s="82" t="s">
        <v>40</v>
      </c>
      <c r="C129" s="79"/>
      <c r="D129" s="79"/>
      <c r="E129" s="79"/>
      <c r="F129" s="79"/>
      <c r="G129" s="79"/>
      <c r="H129" s="79"/>
      <c r="I129" s="79"/>
      <c r="J129" s="79"/>
      <c r="K129" s="79"/>
      <c r="L129" s="79"/>
    </row>
    <row r="130" spans="2:16" ht="18" customHeight="1" x14ac:dyDescent="0.25">
      <c r="B130" s="132" t="s">
        <v>15</v>
      </c>
      <c r="C130" s="132" t="s">
        <v>0</v>
      </c>
      <c r="D130" s="258" t="s">
        <v>41</v>
      </c>
      <c r="E130" s="259"/>
      <c r="F130" s="259"/>
      <c r="G130" s="259"/>
      <c r="H130" s="259"/>
      <c r="I130" s="260"/>
      <c r="J130" s="132" t="s">
        <v>15</v>
      </c>
      <c r="K130" s="132" t="s">
        <v>0</v>
      </c>
      <c r="L130" s="79"/>
    </row>
    <row r="131" spans="2:16" ht="18" customHeight="1" x14ac:dyDescent="0.25">
      <c r="B131" s="33" t="str">
        <f>IF(H125=3,B125,"")</f>
        <v>RAFAEL CARRADORI ZACHARIAS</v>
      </c>
      <c r="C131" s="33" t="str">
        <f>IFERROR(IF(B131="","",VLOOKUP(B131,LISTAS!$F$5:$G$1004,2,0)),"0")</f>
        <v>COLÉGIO ARBOS - UNIDADE SANTO ANDRÉ</v>
      </c>
      <c r="D131" s="253">
        <v>0</v>
      </c>
      <c r="E131" s="254"/>
      <c r="F131" s="253" t="s">
        <v>38</v>
      </c>
      <c r="G131" s="254"/>
      <c r="H131" s="253">
        <v>2</v>
      </c>
      <c r="I131" s="254"/>
      <c r="J131" s="111" t="str">
        <f>IF(H125=3,B127,"")</f>
        <v>HENRIQUE MORAIS GONSALES</v>
      </c>
      <c r="K131" s="33" t="str">
        <f>IFERROR(IF(J131="","",VLOOKUP(J131,LISTAS!$F$5:$G$1004,2,0)),"0")</f>
        <v>PEN LIFE</v>
      </c>
      <c r="L131" s="81"/>
    </row>
    <row r="132" spans="2:16" ht="18" customHeight="1" x14ac:dyDescent="0.25">
      <c r="B132" s="33" t="str">
        <f>IF(H125=3,B126,"")</f>
        <v>GUILHERME KINA DER FORTES</v>
      </c>
      <c r="C132" s="33" t="str">
        <f>IFERROR(IF(B132="","",VLOOKUP(B132,LISTAS!$F$5:$G$1004,2,0)),"0")</f>
        <v>COLÉGIO ATENEU</v>
      </c>
      <c r="D132" s="253">
        <v>0</v>
      </c>
      <c r="E132" s="254"/>
      <c r="F132" s="253" t="s">
        <v>38</v>
      </c>
      <c r="G132" s="254"/>
      <c r="H132" s="253">
        <v>2</v>
      </c>
      <c r="I132" s="254"/>
      <c r="J132" s="111" t="str">
        <f>IF(H125=3,B127,"")</f>
        <v>HENRIQUE MORAIS GONSALES</v>
      </c>
      <c r="K132" s="33" t="str">
        <f>IFERROR(IF(J132="","",VLOOKUP(J132,LISTAS!$F$5:$G$1004,2,0)),"0")</f>
        <v>PEN LIFE</v>
      </c>
      <c r="L132" s="79"/>
    </row>
    <row r="133" spans="2:16" ht="18" customHeight="1" x14ac:dyDescent="0.25">
      <c r="B133" s="33" t="str">
        <f>IF(H125=3,B125,"")</f>
        <v>RAFAEL CARRADORI ZACHARIAS</v>
      </c>
      <c r="C133" s="33" t="str">
        <f>IFERROR(IF(B133="","",VLOOKUP(B133,LISTAS!$F$5:$G$1004,2,0)),"0")</f>
        <v>COLÉGIO ARBOS - UNIDADE SANTO ANDRÉ</v>
      </c>
      <c r="D133" s="253">
        <v>2</v>
      </c>
      <c r="E133" s="254"/>
      <c r="F133" s="253" t="s">
        <v>38</v>
      </c>
      <c r="G133" s="254"/>
      <c r="H133" s="253">
        <v>0</v>
      </c>
      <c r="I133" s="254"/>
      <c r="J133" s="111" t="str">
        <f>IF(H125=3,B126,"")</f>
        <v>GUILHERME KINA DER FORTES</v>
      </c>
      <c r="K133" s="33" t="str">
        <f>IFERROR(IF(J133="","",VLOOKUP(J133,LISTAS!$F$5:$G$1004,2,0)),"0")</f>
        <v>COLÉGIO ATENEU</v>
      </c>
      <c r="L133" s="81"/>
    </row>
    <row r="136" spans="2:16" ht="30" customHeight="1" x14ac:dyDescent="0.25">
      <c r="B136" s="161" t="s">
        <v>54</v>
      </c>
      <c r="C136" s="79"/>
      <c r="D136" s="255" t="s">
        <v>42</v>
      </c>
      <c r="E136" s="256"/>
      <c r="F136" s="256"/>
      <c r="G136" s="257"/>
      <c r="H136" s="113"/>
      <c r="I136" s="255" t="s">
        <v>3</v>
      </c>
      <c r="J136" s="256"/>
      <c r="K136" s="256"/>
      <c r="L136" s="256"/>
    </row>
    <row r="137" spans="2:16" ht="18" customHeight="1" x14ac:dyDescent="0.25">
      <c r="B137" s="132" t="s">
        <v>15</v>
      </c>
      <c r="C137" s="132" t="s">
        <v>0</v>
      </c>
      <c r="D137" s="132" t="s">
        <v>43</v>
      </c>
      <c r="E137" s="132" t="s">
        <v>44</v>
      </c>
      <c r="F137" s="132" t="s">
        <v>77</v>
      </c>
      <c r="G137" s="132" t="s">
        <v>78</v>
      </c>
      <c r="H137" s="114"/>
      <c r="I137" s="132" t="s">
        <v>18</v>
      </c>
      <c r="J137" s="132" t="s">
        <v>15</v>
      </c>
      <c r="K137" s="132" t="s">
        <v>0</v>
      </c>
      <c r="L137" s="132" t="s">
        <v>45</v>
      </c>
    </row>
    <row r="138" spans="2:16" ht="18" customHeight="1" x14ac:dyDescent="0.25">
      <c r="B138" s="33" t="s">
        <v>157</v>
      </c>
      <c r="C138" s="33" t="str">
        <f>IFERROR(IF(B138="","",VLOOKUP(B138,LISTAS!$F$5:$G$1004,2,0)),"0")</f>
        <v>COLÉGIO ATENEU</v>
      </c>
      <c r="D138" s="33" t="str">
        <f>IF(H138&lt;3,"",IF(H138=3,IF(D144&lt;&gt;"",IF(H144&lt;&gt;"",IF(D144&lt;&gt;H144,IF(D144&gt;H144,"V","D"),""),""),"")))</f>
        <v>D</v>
      </c>
      <c r="E138" s="33" t="str">
        <f>IF(H138&lt;3,"",IF(H138=3,IF(D146&lt;&gt;"",IF(H146&lt;&gt;"",IF(D146&lt;&gt;H146,IF(D146&gt;H146,"V","D"),""),""),"")))</f>
        <v>V</v>
      </c>
      <c r="F138" s="33" t="s">
        <v>81</v>
      </c>
      <c r="G138" s="33" t="s">
        <v>81</v>
      </c>
      <c r="H138" s="117">
        <f>COUNTA(B138:B140)</f>
        <v>3</v>
      </c>
      <c r="I138" s="33">
        <f>IF(B138&lt;&gt;"",1,"")</f>
        <v>1</v>
      </c>
      <c r="J138" s="33" t="str">
        <f>IF(I138&lt;&gt;"",P138,"")</f>
        <v>LORENZO FONTOURA DA SILVA</v>
      </c>
      <c r="K138" s="33" t="str">
        <f>IFERROR(IF(J138="","",VLOOKUP(J138,LISTAS!$F$5:$G$1004,2,0)),"0")</f>
        <v>AMERICAN ACADEMY SCHOOL SBC</v>
      </c>
      <c r="L138" s="130" t="str">
        <f>IF(H138=3,"OURO",IF(H138=4,"OURO",IF(H138=5,"OURO","")))</f>
        <v>OURO</v>
      </c>
      <c r="M138" s="20">
        <f>IF(B138&lt;&gt;"",COUNTIF(D138:G138,"V")+(SUMIF(B144:B146,B138,D144:E146)/1000)+(SUMIF(J144:J146,B138,H144:I146)/1000)-(SUMIF(B144:B146,B138,H144:I146)/1000)-(SUMIF(J144:J146,B138,D144:E146)/1000)+0.003,"")</f>
        <v>1.0039999999999998</v>
      </c>
      <c r="N138" s="20" t="str">
        <f>IF(B138="","",B138)</f>
        <v>HENRIQUE MARTINS MONTOUTO</v>
      </c>
      <c r="O138" s="20">
        <f>IF(B138&lt;&gt;"",LARGE(M138:M140,1),"")</f>
        <v>2.0030000000000001</v>
      </c>
      <c r="P138" s="20" t="str">
        <f>VLOOKUP(O138,M138:N140,2,0)</f>
        <v>LORENZO FONTOURA DA SILVA</v>
      </c>
    </row>
    <row r="139" spans="2:16" ht="18" customHeight="1" x14ac:dyDescent="0.25">
      <c r="B139" s="33" t="s">
        <v>132</v>
      </c>
      <c r="C139" s="33" t="str">
        <f>IFERROR(IF(B139="","",VLOOKUP(B139,LISTAS!$F$5:$G$1004,2,0)),"0")</f>
        <v>LICEU JARDIM</v>
      </c>
      <c r="D139" s="33" t="str">
        <f>IF(H138&lt;3,"",IF(H138=3,IF(D145&lt;&gt;"",IF(H145&lt;&gt;"",IF(D145&lt;&gt;H145,IF(D145&gt;H145,"V","D"),""),""),"")))</f>
        <v>D</v>
      </c>
      <c r="E139" s="33" t="str">
        <f>IF(H138&lt;3,"",IF(H138=3,IF(D146&lt;&gt;"",IF(H146&lt;&gt;"",IF(D146&lt;&gt;H146,IF(D146&gt;H146,"D","V"),""),""),"")))</f>
        <v>D</v>
      </c>
      <c r="F139" s="33" t="s">
        <v>81</v>
      </c>
      <c r="G139" s="33" t="s">
        <v>81</v>
      </c>
      <c r="H139" s="117"/>
      <c r="I139" s="33">
        <f>IF(B139&lt;&gt;"",2,"")</f>
        <v>2</v>
      </c>
      <c r="J139" s="33" t="str">
        <f>IF(I139&lt;&gt;"",P139,"")</f>
        <v>HENRIQUE MARTINS MONTOUTO</v>
      </c>
      <c r="K139" s="33" t="str">
        <f>IFERROR(IF(J139="","",VLOOKUP(J139,LISTAS!$F$5:$G$1004,2,0)),"0")</f>
        <v>COLÉGIO ATENEU</v>
      </c>
      <c r="L139" s="130" t="str">
        <f>IF(H138=3,"PRATA",IF(H138=4,"OURO",IF(H138=5,"OURO","")))</f>
        <v>PRATA</v>
      </c>
      <c r="M139" s="20">
        <f>IF(B139&lt;&gt;"",COUNTIF(D139:G139,"V")+(SUMIF(B144:B146,B139,D144:E146)/1000)+(SUMIF(J144:J146,B139,H144:I146)/1000)-(SUMIF(B144:B146,B139,H144:I146)/1000)-(SUMIF(J144:J146,B139,D144:E146)/1000)+0.002,"")</f>
        <v>-1E-3</v>
      </c>
      <c r="N139" s="20" t="str">
        <f t="shared" ref="N139" si="9">IF(B139="","",B139)</f>
        <v>DANIEL MAZZOCHI MARY</v>
      </c>
      <c r="O139" s="20">
        <f>IF(B139&lt;&gt;"",LARGE(M138:M140,2),"")</f>
        <v>1.0039999999999998</v>
      </c>
      <c r="P139" s="20" t="str">
        <f>VLOOKUP(O139,M138:N140,2,0)</f>
        <v>HENRIQUE MARTINS MONTOUTO</v>
      </c>
    </row>
    <row r="140" spans="2:16" ht="18" customHeight="1" x14ac:dyDescent="0.25">
      <c r="B140" s="33" t="s">
        <v>165</v>
      </c>
      <c r="C140" s="33" t="str">
        <f>IFERROR(IF(B140="","",VLOOKUP(B140,LISTAS!$F$5:$G$1004,2,0)),"0")</f>
        <v>AMERICAN ACADEMY SCHOOL SBC</v>
      </c>
      <c r="D140" s="33" t="str">
        <f>IF(H138&lt;3,"",IF(H138=3,IF(D144&lt;&gt;"",IF(H144&lt;&gt;"",IF(D144&lt;&gt;H144,IF(D144&gt;H144,"D","V"),""),""),"")))</f>
        <v>V</v>
      </c>
      <c r="E140" s="33" t="str">
        <f>IF(H138&lt;3,"",IF(H138=3,IF(D145&lt;&gt;"",IF(H145&lt;&gt;"",IF(D145&lt;&gt;H145,IF(D145&gt;H145,"D","V"),""),""),"")))</f>
        <v>V</v>
      </c>
      <c r="F140" s="33" t="s">
        <v>81</v>
      </c>
      <c r="G140" s="33" t="s">
        <v>81</v>
      </c>
      <c r="H140" s="117"/>
      <c r="I140" s="33">
        <f>IF(B140&lt;&gt;"",3,"")</f>
        <v>3</v>
      </c>
      <c r="J140" s="33" t="str">
        <f>IF(I140&lt;&gt;"",P140,"")</f>
        <v>DANIEL MAZZOCHI MARY</v>
      </c>
      <c r="K140" s="33" t="str">
        <f>IFERROR(IF(J140="","",VLOOKUP(J140,LISTAS!$F$5:$G$1004,2,0)),"0")</f>
        <v>LICEU JARDIM</v>
      </c>
      <c r="L140" s="130" t="str">
        <f>IF(H138=3,"BRONZE",IF(H138=4,"PRATA",IF(H138=5,"OURO","")))</f>
        <v>BRONZE</v>
      </c>
      <c r="M140" s="20">
        <f>IF(B140&lt;&gt;"",COUNTIF(D140:G140,"V")+(SUMIF(B144:B146,B140,D144:E146)/1000)+(SUMIF(J144:J146,B140,H144:I146)/1000)-(SUMIF(B144:B146,B140,H144:I146)/1000)-(SUMIF(J144:J146,B140,D144:E146)/1000)+0.001,"")</f>
        <v>2.0030000000000001</v>
      </c>
      <c r="N140" s="20" t="str">
        <f>IF(B140="","",B140)</f>
        <v>LORENZO FONTOURA DA SILVA</v>
      </c>
      <c r="O140" s="20">
        <f>IF(B140&lt;&gt;"",LARGE(M138:M140,3),"")</f>
        <v>-1E-3</v>
      </c>
      <c r="P140" s="20" t="str">
        <f>VLOOKUP(O140,M138:N140,2,0)</f>
        <v>DANIEL MAZZOCHI MARY</v>
      </c>
    </row>
    <row r="141" spans="2:16" ht="18" customHeight="1" x14ac:dyDescent="0.25">
      <c r="B141" s="79"/>
      <c r="C141" s="79"/>
      <c r="D141" s="79"/>
      <c r="E141" s="79"/>
      <c r="F141" s="79"/>
      <c r="G141" s="79"/>
      <c r="I141" s="80"/>
      <c r="J141" s="79"/>
      <c r="K141" s="81"/>
      <c r="L141" s="81"/>
    </row>
    <row r="142" spans="2:16" ht="23.25" customHeight="1" x14ac:dyDescent="0.25">
      <c r="B142" s="82" t="s">
        <v>40</v>
      </c>
      <c r="C142" s="79"/>
      <c r="D142" s="79"/>
      <c r="E142" s="79"/>
      <c r="F142" s="79"/>
      <c r="G142" s="79"/>
      <c r="H142" s="79"/>
      <c r="I142" s="79"/>
      <c r="J142" s="79"/>
      <c r="K142" s="79"/>
      <c r="L142" s="79"/>
    </row>
    <row r="143" spans="2:16" ht="18" customHeight="1" x14ac:dyDescent="0.25">
      <c r="B143" s="132" t="s">
        <v>15</v>
      </c>
      <c r="C143" s="132" t="s">
        <v>0</v>
      </c>
      <c r="D143" s="258" t="s">
        <v>41</v>
      </c>
      <c r="E143" s="259"/>
      <c r="F143" s="259"/>
      <c r="G143" s="259"/>
      <c r="H143" s="259"/>
      <c r="I143" s="260"/>
      <c r="J143" s="132" t="s">
        <v>15</v>
      </c>
      <c r="K143" s="132" t="s">
        <v>0</v>
      </c>
      <c r="L143" s="79"/>
    </row>
    <row r="144" spans="2:16" ht="18" customHeight="1" x14ac:dyDescent="0.25">
      <c r="B144" s="33" t="str">
        <f>IF(H138=3,B138,"")</f>
        <v>HENRIQUE MARTINS MONTOUTO</v>
      </c>
      <c r="C144" s="33" t="str">
        <f>IFERROR(IF(B144="","",VLOOKUP(B144,LISTAS!$F$5:$G$1004,2,0)),"0")</f>
        <v>COLÉGIO ATENEU</v>
      </c>
      <c r="D144" s="253">
        <v>1</v>
      </c>
      <c r="E144" s="254"/>
      <c r="F144" s="253" t="s">
        <v>38</v>
      </c>
      <c r="G144" s="254"/>
      <c r="H144" s="253">
        <v>2</v>
      </c>
      <c r="I144" s="254"/>
      <c r="J144" s="111" t="str">
        <f>IF(H138=3,B140,"")</f>
        <v>LORENZO FONTOURA DA SILVA</v>
      </c>
      <c r="K144" s="33" t="str">
        <f>IFERROR(IF(J144="","",VLOOKUP(J144,LISTAS!$F$5:$G$1004,2,0)),"0")</f>
        <v>AMERICAN ACADEMY SCHOOL SBC</v>
      </c>
      <c r="L144" s="81"/>
    </row>
    <row r="145" spans="2:16" ht="18" customHeight="1" x14ac:dyDescent="0.25">
      <c r="B145" s="33" t="str">
        <f>IF(H138=3,B139,"")</f>
        <v>DANIEL MAZZOCHI MARY</v>
      </c>
      <c r="C145" s="33" t="str">
        <f>IFERROR(IF(B145="","",VLOOKUP(B145,LISTAS!$F$5:$G$1004,2,0)),"0")</f>
        <v>LICEU JARDIM</v>
      </c>
      <c r="D145" s="253">
        <v>0</v>
      </c>
      <c r="E145" s="254"/>
      <c r="F145" s="253" t="s">
        <v>38</v>
      </c>
      <c r="G145" s="254"/>
      <c r="H145" s="253">
        <v>1</v>
      </c>
      <c r="I145" s="254"/>
      <c r="J145" s="111" t="str">
        <f>IF(H138=3,B140,"")</f>
        <v>LORENZO FONTOURA DA SILVA</v>
      </c>
      <c r="K145" s="33" t="str">
        <f>IFERROR(IF(J145="","",VLOOKUP(J145,LISTAS!$F$5:$G$1004,2,0)),"0")</f>
        <v>AMERICAN ACADEMY SCHOOL SBC</v>
      </c>
      <c r="L145" s="79"/>
    </row>
    <row r="146" spans="2:16" ht="18" customHeight="1" x14ac:dyDescent="0.25">
      <c r="B146" s="33" t="str">
        <f>IF(H138=3,B138,"")</f>
        <v>HENRIQUE MARTINS MONTOUTO</v>
      </c>
      <c r="C146" s="33" t="str">
        <f>IFERROR(IF(B146="","",VLOOKUP(B146,LISTAS!$F$5:$G$1004,2,0)),"0")</f>
        <v>COLÉGIO ATENEU</v>
      </c>
      <c r="D146" s="253">
        <v>2</v>
      </c>
      <c r="E146" s="254"/>
      <c r="F146" s="253" t="s">
        <v>38</v>
      </c>
      <c r="G146" s="254"/>
      <c r="H146" s="253">
        <v>0</v>
      </c>
      <c r="I146" s="254"/>
      <c r="J146" s="111" t="str">
        <f>IF(H138=3,B139,"")</f>
        <v>DANIEL MAZZOCHI MARY</v>
      </c>
      <c r="K146" s="33" t="str">
        <f>IFERROR(IF(J146="","",VLOOKUP(J146,LISTAS!$F$5:$G$1004,2,0)),"0")</f>
        <v>LICEU JARDIM</v>
      </c>
      <c r="L146" s="81"/>
    </row>
    <row r="149" spans="2:16" ht="30" customHeight="1" x14ac:dyDescent="0.25">
      <c r="B149" s="161" t="s">
        <v>55</v>
      </c>
      <c r="C149" s="79"/>
      <c r="D149" s="255" t="s">
        <v>42</v>
      </c>
      <c r="E149" s="256"/>
      <c r="F149" s="256"/>
      <c r="G149" s="257"/>
      <c r="H149" s="113"/>
      <c r="I149" s="255" t="s">
        <v>3</v>
      </c>
      <c r="J149" s="256"/>
      <c r="K149" s="256"/>
      <c r="L149" s="256"/>
    </row>
    <row r="150" spans="2:16" ht="18" customHeight="1" x14ac:dyDescent="0.25">
      <c r="B150" s="132" t="s">
        <v>15</v>
      </c>
      <c r="C150" s="132" t="s">
        <v>0</v>
      </c>
      <c r="D150" s="132" t="s">
        <v>43</v>
      </c>
      <c r="E150" s="132" t="s">
        <v>44</v>
      </c>
      <c r="F150" s="132" t="s">
        <v>77</v>
      </c>
      <c r="G150" s="132" t="s">
        <v>78</v>
      </c>
      <c r="H150" s="114"/>
      <c r="I150" s="132" t="s">
        <v>18</v>
      </c>
      <c r="J150" s="132" t="s">
        <v>15</v>
      </c>
      <c r="K150" s="132" t="s">
        <v>0</v>
      </c>
      <c r="L150" s="132" t="s">
        <v>45</v>
      </c>
    </row>
    <row r="151" spans="2:16" ht="18" customHeight="1" x14ac:dyDescent="0.25">
      <c r="B151" s="33" t="s">
        <v>168</v>
      </c>
      <c r="C151" s="33" t="str">
        <f>IFERROR(IF(B151="","",VLOOKUP(B151,LISTAS!$F$5:$G$1004,2,0)),"0")</f>
        <v>AMERICAN ACADEMY SCHOOL SBC</v>
      </c>
      <c r="D151" s="33" t="str">
        <f>IF(H151&lt;3,"",IF(H151=3,IF(D157&lt;&gt;"",IF(H157&lt;&gt;"",IF(D157&lt;&gt;H157,IF(D157&gt;H157,"V","D"),""),""),"")))</f>
        <v>V</v>
      </c>
      <c r="E151" s="33" t="str">
        <f>IF(H151&lt;3,"",IF(H151=3,IF(D159&lt;&gt;"",IF(H159&lt;&gt;"",IF(D159&lt;&gt;H159,IF(D159&gt;H159,"V","D"),""),""),"")))</f>
        <v>V</v>
      </c>
      <c r="F151" s="33" t="s">
        <v>81</v>
      </c>
      <c r="G151" s="33" t="s">
        <v>81</v>
      </c>
      <c r="H151" s="117">
        <f>COUNTA(B151:B153)</f>
        <v>3</v>
      </c>
      <c r="I151" s="33">
        <f>IF(B151&lt;&gt;"",1,"")</f>
        <v>1</v>
      </c>
      <c r="J151" s="33" t="str">
        <f>IF(I151&lt;&gt;"",P151,"")</f>
        <v>LUCAS ANTONIO DA SILVA SOUZA</v>
      </c>
      <c r="K151" s="33" t="str">
        <f>IFERROR(IF(J151="","",VLOOKUP(J151,LISTAS!$F$5:$G$1004,2,0)),"0")</f>
        <v>AMERICAN ACADEMY SCHOOL SBC</v>
      </c>
      <c r="L151" s="130" t="str">
        <f>IF(H151=3,"OURO",IF(H151=4,"OURO",IF(H151=5,"OURO","")))</f>
        <v>OURO</v>
      </c>
      <c r="M151" s="20">
        <f>IF(B151&lt;&gt;"",COUNTIF(D151:G151,"V")+(SUMIF(B157:B159,B151,D157:E159)/1000)+(SUMIF(J157:J159,B151,H157:I159)/1000)-(SUMIF(B157:B159,B151,H157:I159)/1000)-(SUMIF(J157:J159,B151,D157:E159)/1000)+0.003,"")</f>
        <v>2.0070000000000001</v>
      </c>
      <c r="N151" s="20" t="str">
        <f>IF(B151="","",B151)</f>
        <v>LUCAS ANTONIO DA SILVA SOUZA</v>
      </c>
      <c r="O151" s="20">
        <f>IF(B151&lt;&gt;"",LARGE(M151:M153,1),"")</f>
        <v>2.0070000000000001</v>
      </c>
      <c r="P151" s="20" t="str">
        <f>VLOOKUP(O151,M151:N153,2,0)</f>
        <v>LUCAS ANTONIO DA SILVA SOUZA</v>
      </c>
    </row>
    <row r="152" spans="2:16" ht="18" customHeight="1" x14ac:dyDescent="0.25">
      <c r="B152" s="33" t="s">
        <v>151</v>
      </c>
      <c r="C152" s="33" t="str">
        <f>IFERROR(IF(B152="","",VLOOKUP(B152,LISTAS!$F$5:$G$1004,2,0)),"0")</f>
        <v>COLÉGIO ARBOS - UNIDADE SANTO ANDRÉ</v>
      </c>
      <c r="D152" s="33" t="str">
        <f>IF(H151&lt;3,"",IF(H151=3,IF(D158&lt;&gt;"",IF(H158&lt;&gt;"",IF(D158&lt;&gt;H158,IF(D158&gt;H158,"V","D"),""),""),"")))</f>
        <v>V</v>
      </c>
      <c r="E152" s="33" t="str">
        <f>IF(H151&lt;3,"",IF(H151=3,IF(D159&lt;&gt;"",IF(H159&lt;&gt;"",IF(D159&lt;&gt;H159,IF(D159&gt;H159,"D","V"),""),""),"")))</f>
        <v>D</v>
      </c>
      <c r="F152" s="33" t="s">
        <v>81</v>
      </c>
      <c r="G152" s="33" t="s">
        <v>81</v>
      </c>
      <c r="H152" s="117"/>
      <c r="I152" s="33">
        <f>IF(B152&lt;&gt;"",2,"")</f>
        <v>2</v>
      </c>
      <c r="J152" s="33" t="str">
        <f>IF(I152&lt;&gt;"",P152,"")</f>
        <v>GUSTAVO DI MATTEO CANEPA GERARDI</v>
      </c>
      <c r="K152" s="33" t="str">
        <f>IFERROR(IF(J152="","",VLOOKUP(J152,LISTAS!$F$5:$G$1004,2,0)),"0")</f>
        <v>COLÉGIO ARBOS - UNIDADE SANTO ANDRÉ</v>
      </c>
      <c r="L152" s="130" t="str">
        <f>IF(H151=3,"PRATA",IF(H151=4,"OURO",IF(H151=5,"OURO","")))</f>
        <v>PRATA</v>
      </c>
      <c r="M152" s="20">
        <f>IF(B152&lt;&gt;"",COUNTIF(D152:G152,"V")+(SUMIF(B157:B159,B152,D157:E159)/1000)+(SUMIF(J157:J159,B152,H157:I159)/1000)-(SUMIF(B157:B159,B152,H157:I159)/1000)-(SUMIF(J157:J159,B152,D157:E159)/1000)+0.002,"")</f>
        <v>1.002</v>
      </c>
      <c r="N152" s="20" t="str">
        <f t="shared" ref="N152" si="10">IF(B152="","",B152)</f>
        <v>GUSTAVO DI MATTEO CANEPA GERARDI</v>
      </c>
      <c r="O152" s="20">
        <f>IF(B152&lt;&gt;"",LARGE(M151:M153,2),"")</f>
        <v>1.002</v>
      </c>
      <c r="P152" s="20" t="str">
        <f>VLOOKUP(O152,M151:N153,2,0)</f>
        <v>GUSTAVO DI MATTEO CANEPA GERARDI</v>
      </c>
    </row>
    <row r="153" spans="2:16" ht="18" customHeight="1" x14ac:dyDescent="0.25">
      <c r="B153" s="33" t="s">
        <v>152</v>
      </c>
      <c r="C153" s="33" t="str">
        <f>IFERROR(IF(B153="","",VLOOKUP(B153,LISTAS!$F$5:$G$1004,2,0)),"0")</f>
        <v>PEN LIFE</v>
      </c>
      <c r="D153" s="33" t="str">
        <f>IF(H151&lt;3,"",IF(H151=3,IF(D157&lt;&gt;"",IF(H157&lt;&gt;"",IF(D157&lt;&gt;H157,IF(D157&gt;H157,"D","V"),""),""),"")))</f>
        <v>D</v>
      </c>
      <c r="E153" s="33" t="str">
        <f>IF(H151&lt;3,"",IF(H151=3,IF(D158&lt;&gt;"",IF(H158&lt;&gt;"",IF(D158&lt;&gt;H158,IF(D158&gt;H158,"D","V"),""),""),"")))</f>
        <v>D</v>
      </c>
      <c r="F153" s="33" t="s">
        <v>81</v>
      </c>
      <c r="G153" s="33" t="s">
        <v>81</v>
      </c>
      <c r="H153" s="117"/>
      <c r="I153" s="33">
        <f>IF(B153&lt;&gt;"",3,"")</f>
        <v>3</v>
      </c>
      <c r="J153" s="33" t="str">
        <f>IF(I153&lt;&gt;"",P153,"")</f>
        <v>GUSTAVO ROLDAN DACAR BALLARIN</v>
      </c>
      <c r="K153" s="33" t="str">
        <f>IFERROR(IF(J153="","",VLOOKUP(J153,LISTAS!$F$5:$G$1004,2,0)),"0")</f>
        <v>PEN LIFE</v>
      </c>
      <c r="L153" s="130" t="str">
        <f>IF(H151=3,"BRONZE",IF(H151=4,"PRATA",IF(H151=5,"OURO","")))</f>
        <v>BRONZE</v>
      </c>
      <c r="M153" s="20">
        <f>IF(B153&lt;&gt;"",COUNTIF(D153:G153,"V")+(SUMIF(B157:B159,B153,D157:E159)/1000)+(SUMIF(J157:J159,B153,H157:I159)/1000)-(SUMIF(B157:B159,B153,H157:I159)/1000)-(SUMIF(J157:J159,B153,D157:E159)/1000)+0.001,"")</f>
        <v>-3.0000000000000001E-3</v>
      </c>
      <c r="N153" s="20" t="str">
        <f>IF(B153="","",B153)</f>
        <v>GUSTAVO ROLDAN DACAR BALLARIN</v>
      </c>
      <c r="O153" s="20">
        <f>IF(B153&lt;&gt;"",LARGE(M151:M153,3),"")</f>
        <v>-3.0000000000000001E-3</v>
      </c>
      <c r="P153" s="20" t="str">
        <f>VLOOKUP(O153,M151:N153,2,0)</f>
        <v>GUSTAVO ROLDAN DACAR BALLARIN</v>
      </c>
    </row>
    <row r="154" spans="2:16" ht="18" customHeight="1" x14ac:dyDescent="0.25">
      <c r="B154" s="79"/>
      <c r="C154" s="79"/>
      <c r="D154" s="79"/>
      <c r="E154" s="79"/>
      <c r="F154" s="79"/>
      <c r="G154" s="79"/>
      <c r="I154" s="80"/>
      <c r="J154" s="79"/>
      <c r="K154" s="81"/>
      <c r="L154" s="81"/>
    </row>
    <row r="155" spans="2:16" ht="23.25" customHeight="1" x14ac:dyDescent="0.25">
      <c r="B155" s="82" t="s">
        <v>40</v>
      </c>
      <c r="C155" s="79"/>
      <c r="D155" s="79"/>
      <c r="E155" s="79"/>
      <c r="F155" s="79"/>
      <c r="G155" s="79"/>
      <c r="H155" s="79"/>
      <c r="I155" s="79"/>
      <c r="J155" s="79"/>
      <c r="K155" s="79"/>
      <c r="L155" s="79"/>
    </row>
    <row r="156" spans="2:16" ht="18" customHeight="1" x14ac:dyDescent="0.25">
      <c r="B156" s="132" t="s">
        <v>15</v>
      </c>
      <c r="C156" s="132" t="s">
        <v>0</v>
      </c>
      <c r="D156" s="258" t="s">
        <v>41</v>
      </c>
      <c r="E156" s="259"/>
      <c r="F156" s="259"/>
      <c r="G156" s="259"/>
      <c r="H156" s="259"/>
      <c r="I156" s="260"/>
      <c r="J156" s="132" t="s">
        <v>15</v>
      </c>
      <c r="K156" s="132" t="s">
        <v>0</v>
      </c>
      <c r="L156" s="79"/>
    </row>
    <row r="157" spans="2:16" ht="18" customHeight="1" x14ac:dyDescent="0.25">
      <c r="B157" s="33" t="str">
        <f>IF(H151=3,B151,"")</f>
        <v>LUCAS ANTONIO DA SILVA SOUZA</v>
      </c>
      <c r="C157" s="33" t="str">
        <f>IFERROR(IF(B157="","",VLOOKUP(B157,LISTAS!$F$5:$G$1004,2,0)),"0")</f>
        <v>AMERICAN ACADEMY SCHOOL SBC</v>
      </c>
      <c r="D157" s="253">
        <v>2</v>
      </c>
      <c r="E157" s="254"/>
      <c r="F157" s="253" t="s">
        <v>38</v>
      </c>
      <c r="G157" s="254"/>
      <c r="H157" s="253">
        <v>0</v>
      </c>
      <c r="I157" s="254"/>
      <c r="J157" s="111" t="str">
        <f>IF(H151=3,B153,"")</f>
        <v>GUSTAVO ROLDAN DACAR BALLARIN</v>
      </c>
      <c r="K157" s="33" t="str">
        <f>IFERROR(IF(J157="","",VLOOKUP(J157,LISTAS!$F$5:$G$1004,2,0)),"0")</f>
        <v>PEN LIFE</v>
      </c>
      <c r="L157" s="81"/>
    </row>
    <row r="158" spans="2:16" ht="18" customHeight="1" x14ac:dyDescent="0.25">
      <c r="B158" s="33" t="str">
        <f>IF(H151=3,B152,"")</f>
        <v>GUSTAVO DI MATTEO CANEPA GERARDI</v>
      </c>
      <c r="C158" s="33" t="str">
        <f>IFERROR(IF(B158="","",VLOOKUP(B158,LISTAS!$F$5:$G$1004,2,0)),"0")</f>
        <v>COLÉGIO ARBOS - UNIDADE SANTO ANDRÉ</v>
      </c>
      <c r="D158" s="253">
        <v>2</v>
      </c>
      <c r="E158" s="254"/>
      <c r="F158" s="253" t="s">
        <v>38</v>
      </c>
      <c r="G158" s="254"/>
      <c r="H158" s="253">
        <v>0</v>
      </c>
      <c r="I158" s="254"/>
      <c r="J158" s="111" t="str">
        <f>IF(H151=3,B153,"")</f>
        <v>GUSTAVO ROLDAN DACAR BALLARIN</v>
      </c>
      <c r="K158" s="33" t="str">
        <f>IFERROR(IF(J158="","",VLOOKUP(J158,LISTAS!$F$5:$G$1004,2,0)),"0")</f>
        <v>PEN LIFE</v>
      </c>
      <c r="L158" s="79"/>
    </row>
    <row r="159" spans="2:16" ht="18" customHeight="1" x14ac:dyDescent="0.25">
      <c r="B159" s="33" t="str">
        <f>IF(H151=3,B151,"")</f>
        <v>LUCAS ANTONIO DA SILVA SOUZA</v>
      </c>
      <c r="C159" s="33" t="str">
        <f>IFERROR(IF(B159="","",VLOOKUP(B159,LISTAS!$F$5:$G$1004,2,0)),"0")</f>
        <v>AMERICAN ACADEMY SCHOOL SBC</v>
      </c>
      <c r="D159" s="253">
        <v>2</v>
      </c>
      <c r="E159" s="254"/>
      <c r="F159" s="253" t="s">
        <v>38</v>
      </c>
      <c r="G159" s="254"/>
      <c r="H159" s="253">
        <v>0</v>
      </c>
      <c r="I159" s="254"/>
      <c r="J159" s="111" t="str">
        <f>IF(H151=3,B152,"")</f>
        <v>GUSTAVO DI MATTEO CANEPA GERARDI</v>
      </c>
      <c r="K159" s="33" t="str">
        <f>IFERROR(IF(J159="","",VLOOKUP(J159,LISTAS!$F$5:$G$1004,2,0)),"0")</f>
        <v>COLÉGIO ARBOS - UNIDADE SANTO ANDRÉ</v>
      </c>
      <c r="L159" s="81"/>
    </row>
    <row r="162" spans="2:16" ht="30" customHeight="1" x14ac:dyDescent="0.25">
      <c r="B162" s="161" t="s">
        <v>56</v>
      </c>
      <c r="C162" s="79"/>
      <c r="D162" s="255" t="s">
        <v>42</v>
      </c>
      <c r="E162" s="256"/>
      <c r="F162" s="256"/>
      <c r="G162" s="257"/>
      <c r="H162" s="113"/>
      <c r="I162" s="255" t="s">
        <v>3</v>
      </c>
      <c r="J162" s="256"/>
      <c r="K162" s="256"/>
      <c r="L162" s="256"/>
    </row>
    <row r="163" spans="2:16" ht="18" customHeight="1" x14ac:dyDescent="0.25">
      <c r="B163" s="132" t="s">
        <v>15</v>
      </c>
      <c r="C163" s="132" t="s">
        <v>0</v>
      </c>
      <c r="D163" s="132" t="s">
        <v>43</v>
      </c>
      <c r="E163" s="132" t="s">
        <v>44</v>
      </c>
      <c r="F163" s="132" t="s">
        <v>77</v>
      </c>
      <c r="G163" s="132" t="s">
        <v>78</v>
      </c>
      <c r="H163" s="114"/>
      <c r="I163" s="132" t="s">
        <v>18</v>
      </c>
      <c r="J163" s="132" t="s">
        <v>15</v>
      </c>
      <c r="K163" s="132" t="s">
        <v>0</v>
      </c>
      <c r="L163" s="132" t="s">
        <v>45</v>
      </c>
    </row>
    <row r="164" spans="2:16" ht="18" customHeight="1" x14ac:dyDescent="0.25">
      <c r="B164" s="33" t="s">
        <v>143</v>
      </c>
      <c r="C164" s="33" t="str">
        <f>IFERROR(IF(B164="","",VLOOKUP(B164,LISTAS!$F$5:$G$1004,2,0)),"0")</f>
        <v>PEN LIFE</v>
      </c>
      <c r="D164" s="33" t="str">
        <f>IF(H164&lt;3,"",IF(H164=3,IF(D170&lt;&gt;"",IF(H170&lt;&gt;"",IF(D170&lt;&gt;H170,IF(D170&gt;H170,"V","D"),""),""),"")))</f>
        <v>D</v>
      </c>
      <c r="E164" s="33" t="str">
        <f>IF(H164&lt;3,"",IF(H164=3,IF(D172&lt;&gt;"",IF(H172&lt;&gt;"",IF(D172&lt;&gt;H172,IF(D172&gt;H172,"V","D"),""),""),"")))</f>
        <v>D</v>
      </c>
      <c r="F164" s="33" t="s">
        <v>81</v>
      </c>
      <c r="G164" s="33" t="s">
        <v>81</v>
      </c>
      <c r="H164" s="117">
        <f>COUNTA(B164:B166)</f>
        <v>3</v>
      </c>
      <c r="I164" s="33">
        <f>IF(B164&lt;&gt;"",1,"")</f>
        <v>1</v>
      </c>
      <c r="J164" s="33" t="str">
        <f>IF(I164&lt;&gt;"",P164,"")</f>
        <v>ARTHUR HENRIQUE ROJA</v>
      </c>
      <c r="K164" s="33" t="str">
        <f>IFERROR(IF(J164="","",VLOOKUP(J164,LISTAS!$F$5:$G$1004,2,0)),"0")</f>
        <v>ESCOLA VILLARE</v>
      </c>
      <c r="L164" s="130" t="str">
        <f>IF(H164=3,"OURO",IF(H164=4,"OURO",IF(H164=5,"OURO","")))</f>
        <v>OURO</v>
      </c>
      <c r="M164" s="20">
        <f>IF(B164&lt;&gt;"",COUNTIF(D164:G164,"V")+(SUMIF(B170:B172,B164,D170:E172)/1000)+(SUMIF(J170:J172,B164,H170:I172)/1000)-(SUMIF(B170:B172,B164,H170:I172)/1000)-(SUMIF(J170:J172,B164,D170:E172)/1000)+0.003,"")</f>
        <v>0</v>
      </c>
      <c r="N164" s="20" t="str">
        <f>IF(B164="","",B164)</f>
        <v>FELIPE RAFAEL CARDOZO</v>
      </c>
      <c r="O164" s="20">
        <f>IF(B164&lt;&gt;"",LARGE(M164:M166,1),"")</f>
        <v>2.0049999999999999</v>
      </c>
      <c r="P164" s="20" t="str">
        <f>VLOOKUP(O164,M164:N166,2,0)</f>
        <v>ARTHUR HENRIQUE ROJA</v>
      </c>
    </row>
    <row r="165" spans="2:16" ht="18" customHeight="1" x14ac:dyDescent="0.25">
      <c r="B165" s="33" t="s">
        <v>133</v>
      </c>
      <c r="C165" s="33" t="str">
        <f>IFERROR(IF(B165="","",VLOOKUP(B165,LISTAS!$F$5:$G$1004,2,0)),"0")</f>
        <v>LICEU JARDIM</v>
      </c>
      <c r="D165" s="33" t="str">
        <f>IF(H164&lt;3,"",IF(H164=3,IF(D171&lt;&gt;"",IF(H171&lt;&gt;"",IF(D171&lt;&gt;H171,IF(D171&gt;H171,"V","D"),""),""),"")))</f>
        <v>D</v>
      </c>
      <c r="E165" s="33" t="str">
        <f>IF(H164&lt;3,"",IF(H164=3,IF(D172&lt;&gt;"",IF(H172&lt;&gt;"",IF(D172&lt;&gt;H172,IF(D172&gt;H172,"D","V"),""),""),"")))</f>
        <v>V</v>
      </c>
      <c r="F165" s="33" t="s">
        <v>81</v>
      </c>
      <c r="G165" s="33" t="s">
        <v>81</v>
      </c>
      <c r="H165" s="117"/>
      <c r="I165" s="33">
        <f>IF(B165&lt;&gt;"",2,"")</f>
        <v>2</v>
      </c>
      <c r="J165" s="33" t="str">
        <f>IF(I165&lt;&gt;"",P165,"")</f>
        <v>DAVI CRUZ SANTOS</v>
      </c>
      <c r="K165" s="33" t="str">
        <f>IFERROR(IF(J165="","",VLOOKUP(J165,LISTAS!$F$5:$G$1004,2,0)),"0")</f>
        <v>LICEU JARDIM</v>
      </c>
      <c r="L165" s="130" t="str">
        <f>IF(H164=3,"PRATA",IF(H164=4,"OURO",IF(H164=5,"OURO","")))</f>
        <v>PRATA</v>
      </c>
      <c r="M165" s="20">
        <f>IF(B165&lt;&gt;"",COUNTIF(D165:G165,"V")+(SUMIF(B170:B172,B165,D170:E172)/1000)+(SUMIF(J170:J172,B165,H170:I172)/1000)-(SUMIF(B170:B172,B165,H170:I172)/1000)-(SUMIF(J170:J172,B165,D170:E172)/1000)+0.002,"")</f>
        <v>1.0009999999999999</v>
      </c>
      <c r="N165" s="20" t="str">
        <f>IF(B165="","",B165)</f>
        <v>DAVI CRUZ SANTOS</v>
      </c>
      <c r="O165" s="20">
        <f>IF(B165&lt;&gt;"",LARGE(M164:M166,2),"")</f>
        <v>1.0009999999999999</v>
      </c>
      <c r="P165" s="20" t="str">
        <f>VLOOKUP(O165,M164:N166,2,0)</f>
        <v>DAVI CRUZ SANTOS</v>
      </c>
    </row>
    <row r="166" spans="2:16" ht="18" customHeight="1" x14ac:dyDescent="0.25">
      <c r="B166" s="33" t="s">
        <v>116</v>
      </c>
      <c r="C166" s="33" t="str">
        <f>IFERROR(IF(B166="","",VLOOKUP(B166,LISTAS!$F$5:$G$1004,2,0)),"0")</f>
        <v>ESCOLA VILLARE</v>
      </c>
      <c r="D166" s="33" t="str">
        <f>IF(H164&lt;3,"",IF(H164=3,IF(D170&lt;&gt;"",IF(H170&lt;&gt;"",IF(D170&lt;&gt;H170,IF(D170&gt;H170,"D","V"),""),""),"")))</f>
        <v>V</v>
      </c>
      <c r="E166" s="33" t="str">
        <f>IF(H164&lt;3,"",IF(H164=3,IF(D171&lt;&gt;"",IF(H171&lt;&gt;"",IF(D171&lt;&gt;H171,IF(D171&gt;H171,"D","V"),""),""),"")))</f>
        <v>V</v>
      </c>
      <c r="F166" s="33" t="s">
        <v>81</v>
      </c>
      <c r="G166" s="33" t="s">
        <v>81</v>
      </c>
      <c r="H166" s="117"/>
      <c r="I166" s="33">
        <f>IF(B166&lt;&gt;"",3,"")</f>
        <v>3</v>
      </c>
      <c r="J166" s="33" t="str">
        <f>IF(I166&lt;&gt;"",P166,"")</f>
        <v>FELIPE RAFAEL CARDOZO</v>
      </c>
      <c r="K166" s="33" t="str">
        <f>IFERROR(IF(J166="","",VLOOKUP(J166,LISTAS!$F$5:$G$1004,2,0)),"0")</f>
        <v>PEN LIFE</v>
      </c>
      <c r="L166" s="130" t="str">
        <f>IF(H164=3,"BRONZE",IF(H164=4,"PRATA",IF(H164=5,"OURO","")))</f>
        <v>BRONZE</v>
      </c>
      <c r="M166" s="20">
        <f>IF(B166&lt;&gt;"",COUNTIF(D166:G166,"V")+(SUMIF(B170:B172,B166,D170:E172)/1000)+(SUMIF(J170:J172,B166,H170:I172)/1000)-(SUMIF(B170:B172,B166,H170:I172)/1000)-(SUMIF(J170:J172,B166,D170:E172)/1000)+0.001,"")</f>
        <v>2.0049999999999999</v>
      </c>
      <c r="N166" s="20" t="str">
        <f>IF(B166="","",B166)</f>
        <v>ARTHUR HENRIQUE ROJA</v>
      </c>
      <c r="O166" s="20">
        <f>IF(B166&lt;&gt;"",LARGE(M164:M166,3),"")</f>
        <v>0</v>
      </c>
      <c r="P166" s="20" t="str">
        <f>VLOOKUP(O166,M164:N166,2,0)</f>
        <v>FELIPE RAFAEL CARDOZO</v>
      </c>
    </row>
    <row r="167" spans="2:16" ht="18" customHeight="1" x14ac:dyDescent="0.25">
      <c r="B167" s="79"/>
      <c r="C167" s="79"/>
      <c r="D167" s="79"/>
      <c r="E167" s="79"/>
      <c r="F167" s="79"/>
      <c r="G167" s="79"/>
      <c r="I167" s="80"/>
      <c r="J167" s="79"/>
      <c r="K167" s="81"/>
      <c r="L167" s="81"/>
    </row>
    <row r="168" spans="2:16" ht="23.25" customHeight="1" x14ac:dyDescent="0.25">
      <c r="B168" s="82" t="s">
        <v>40</v>
      </c>
      <c r="C168" s="79"/>
      <c r="D168" s="79"/>
      <c r="E168" s="79"/>
      <c r="F168" s="79"/>
      <c r="G168" s="79"/>
      <c r="H168" s="79"/>
      <c r="I168" s="79"/>
      <c r="J168" s="79"/>
      <c r="K168" s="79"/>
      <c r="L168" s="79"/>
    </row>
    <row r="169" spans="2:16" ht="18" customHeight="1" x14ac:dyDescent="0.25">
      <c r="B169" s="132" t="s">
        <v>15</v>
      </c>
      <c r="C169" s="132" t="s">
        <v>0</v>
      </c>
      <c r="D169" s="258" t="s">
        <v>41</v>
      </c>
      <c r="E169" s="259"/>
      <c r="F169" s="259"/>
      <c r="G169" s="259"/>
      <c r="H169" s="259"/>
      <c r="I169" s="260"/>
      <c r="J169" s="132" t="s">
        <v>15</v>
      </c>
      <c r="K169" s="132" t="s">
        <v>0</v>
      </c>
      <c r="L169" s="79"/>
    </row>
    <row r="170" spans="2:16" ht="18" customHeight="1" x14ac:dyDescent="0.25">
      <c r="B170" s="33" t="str">
        <f>IF(H164=3,B164,"")</f>
        <v>FELIPE RAFAEL CARDOZO</v>
      </c>
      <c r="C170" s="33" t="str">
        <f>IFERROR(IF(B170="","",VLOOKUP(B170,LISTAS!$F$5:$G$1004,2,0)),"0")</f>
        <v>PEN LIFE</v>
      </c>
      <c r="D170" s="253">
        <v>0</v>
      </c>
      <c r="E170" s="254"/>
      <c r="F170" s="253" t="s">
        <v>38</v>
      </c>
      <c r="G170" s="254"/>
      <c r="H170" s="253">
        <v>2</v>
      </c>
      <c r="I170" s="254"/>
      <c r="J170" s="111" t="str">
        <f>IF(H164=3,B166,"")</f>
        <v>ARTHUR HENRIQUE ROJA</v>
      </c>
      <c r="K170" s="33" t="str">
        <f>IFERROR(IF(J170="","",VLOOKUP(J170,LISTAS!$F$5:$G$1004,2,0)),"0")</f>
        <v>ESCOLA VILLARE</v>
      </c>
      <c r="L170" s="81"/>
    </row>
    <row r="171" spans="2:16" ht="18" customHeight="1" x14ac:dyDescent="0.25">
      <c r="B171" s="33" t="str">
        <f>IF(H164=3,B165,"")</f>
        <v>DAVI CRUZ SANTOS</v>
      </c>
      <c r="C171" s="33" t="str">
        <f>IFERROR(IF(B171="","",VLOOKUP(B171,LISTAS!$F$5:$G$1004,2,0)),"0")</f>
        <v>LICEU JARDIM</v>
      </c>
      <c r="D171" s="253">
        <v>0</v>
      </c>
      <c r="E171" s="254"/>
      <c r="F171" s="253" t="s">
        <v>38</v>
      </c>
      <c r="G171" s="254"/>
      <c r="H171" s="253">
        <v>2</v>
      </c>
      <c r="I171" s="254"/>
      <c r="J171" s="111" t="str">
        <f>IF(H164=3,B166,"")</f>
        <v>ARTHUR HENRIQUE ROJA</v>
      </c>
      <c r="K171" s="33" t="str">
        <f>IFERROR(IF(J171="","",VLOOKUP(J171,LISTAS!$F$5:$G$1004,2,0)),"0")</f>
        <v>ESCOLA VILLARE</v>
      </c>
      <c r="L171" s="79"/>
    </row>
    <row r="172" spans="2:16" ht="18" customHeight="1" x14ac:dyDescent="0.25">
      <c r="B172" s="33" t="str">
        <f>IF(H164=3,B164,"")</f>
        <v>FELIPE RAFAEL CARDOZO</v>
      </c>
      <c r="C172" s="33" t="str">
        <f>IFERROR(IF(B172="","",VLOOKUP(B172,LISTAS!$F$5:$G$1004,2,0)),"0")</f>
        <v>PEN LIFE</v>
      </c>
      <c r="D172" s="253">
        <v>1</v>
      </c>
      <c r="E172" s="254"/>
      <c r="F172" s="253" t="s">
        <v>38</v>
      </c>
      <c r="G172" s="254"/>
      <c r="H172" s="253">
        <v>2</v>
      </c>
      <c r="I172" s="254"/>
      <c r="J172" s="111" t="str">
        <f>IF(H164=3,B165,"")</f>
        <v>DAVI CRUZ SANTOS</v>
      </c>
      <c r="K172" s="33" t="str">
        <f>IFERROR(IF(J172="","",VLOOKUP(J172,LISTAS!$F$5:$G$1004,2,0)),"0")</f>
        <v>LICEU JARDIM</v>
      </c>
      <c r="L172" s="81"/>
    </row>
    <row r="175" spans="2:16" ht="30" customHeight="1" x14ac:dyDescent="0.25">
      <c r="B175" s="161" t="s">
        <v>57</v>
      </c>
      <c r="C175" s="79"/>
      <c r="D175" s="255" t="s">
        <v>42</v>
      </c>
      <c r="E175" s="256"/>
      <c r="F175" s="256"/>
      <c r="G175" s="257"/>
      <c r="H175" s="113"/>
      <c r="I175" s="255" t="s">
        <v>3</v>
      </c>
      <c r="J175" s="256"/>
      <c r="K175" s="256"/>
      <c r="L175" s="256"/>
    </row>
    <row r="176" spans="2:16" ht="18" customHeight="1" x14ac:dyDescent="0.25">
      <c r="B176" s="132" t="s">
        <v>15</v>
      </c>
      <c r="C176" s="132" t="s">
        <v>0</v>
      </c>
      <c r="D176" s="132" t="s">
        <v>43</v>
      </c>
      <c r="E176" s="132" t="s">
        <v>44</v>
      </c>
      <c r="F176" s="132" t="s">
        <v>77</v>
      </c>
      <c r="G176" s="132" t="s">
        <v>78</v>
      </c>
      <c r="H176" s="114"/>
      <c r="I176" s="132" t="s">
        <v>18</v>
      </c>
      <c r="J176" s="132" t="s">
        <v>15</v>
      </c>
      <c r="K176" s="132" t="s">
        <v>0</v>
      </c>
      <c r="L176" s="132" t="s">
        <v>45</v>
      </c>
    </row>
    <row r="177" spans="2:16" ht="18" customHeight="1" x14ac:dyDescent="0.25">
      <c r="B177" s="33" t="s">
        <v>130</v>
      </c>
      <c r="C177" s="33" t="str">
        <f>IFERROR(IF(B177="","",VLOOKUP(B177,LISTAS!$F$5:$G$1004,2,0)),"0")</f>
        <v>ESCOLA VILLARE</v>
      </c>
      <c r="D177" s="33" t="str">
        <f>IF(H177&lt;3,"",IF(H177=3,IF(D183&lt;&gt;"",IF(H183&lt;&gt;"",IF(D183&lt;&gt;H183,IF(D183&gt;H183,"V","D"),""),""),"")))</f>
        <v>V</v>
      </c>
      <c r="E177" s="33" t="str">
        <f>IF(H177&lt;3,"",IF(H177=3,IF(D185&lt;&gt;"",IF(H185&lt;&gt;"",IF(D185&lt;&gt;H185,IF(D185&gt;H185,"V","D"),""),""),"")))</f>
        <v>D</v>
      </c>
      <c r="F177" s="33" t="s">
        <v>81</v>
      </c>
      <c r="G177" s="33" t="s">
        <v>81</v>
      </c>
      <c r="H177" s="117">
        <f>COUNTA(B177:B179)</f>
        <v>3</v>
      </c>
      <c r="I177" s="33">
        <f>IF(B177&lt;&gt;"",1,"")</f>
        <v>1</v>
      </c>
      <c r="J177" s="33" t="str">
        <f>IF(I177&lt;&gt;"",P177,"")</f>
        <v>JOÃO CONOVALOV CABRAL CAVELHO</v>
      </c>
      <c r="K177" s="33" t="str">
        <f>IFERROR(IF(J177="","",VLOOKUP(J177,LISTAS!$F$5:$G$1004,2,0)),"0")</f>
        <v>COLÉGIO ARBOS - UNIDADE SANTO ANDRÉ</v>
      </c>
      <c r="L177" s="130" t="str">
        <f>IF(H177=3,"OURO",IF(H177=4,"OURO",IF(H177=5,"OURO","")))</f>
        <v>OURO</v>
      </c>
      <c r="M177" s="20">
        <f>IF(B177&lt;&gt;"",COUNTIF(D177:G177,"V")+(SUMIF(B183:B185,B177,D183:E185)/1000)+(SUMIF(J183:J185,B177,H183:I185)/1000)-(SUMIF(B183:B185,B177,H183:I185)/1000)-(SUMIF(J183:J185,B177,D183:E185)/1000)+0.003,"")</f>
        <v>1.0029999999999999</v>
      </c>
      <c r="N177" s="20" t="str">
        <f>IF(B177="","",B177)</f>
        <v>CAUÃ NUNES BARROS</v>
      </c>
      <c r="O177" s="20">
        <f>IF(B177&lt;&gt;"",LARGE(M177:M179,1),"")</f>
        <v>2.0049999999999994</v>
      </c>
      <c r="P177" s="20" t="str">
        <f>VLOOKUP(O177,M177:N179,2,0)</f>
        <v>JOÃO CONOVALOV CABRAL CAVELHO</v>
      </c>
    </row>
    <row r="178" spans="2:16" ht="18" customHeight="1" x14ac:dyDescent="0.25">
      <c r="B178" s="33" t="s">
        <v>159</v>
      </c>
      <c r="C178" s="33" t="str">
        <f>IFERROR(IF(B178="","",VLOOKUP(B178,LISTAS!$F$5:$G$1004,2,0)),"0")</f>
        <v>COLÉGIO ARBOS - UNIDADE SANTO ANDRÉ</v>
      </c>
      <c r="D178" s="33" t="str">
        <f>IF(H177&lt;3,"",IF(H177=3,IF(D184&lt;&gt;"",IF(H184&lt;&gt;"",IF(D184&lt;&gt;H184,IF(D184&gt;H184,"V","D"),""),""),"")))</f>
        <v>V</v>
      </c>
      <c r="E178" s="33" t="str">
        <f>IF(H177&lt;3,"",IF(H177=3,IF(D185&lt;&gt;"",IF(H185&lt;&gt;"",IF(D185&lt;&gt;H185,IF(D185&gt;H185,"D","V"),""),""),"")))</f>
        <v>V</v>
      </c>
      <c r="F178" s="33" t="s">
        <v>81</v>
      </c>
      <c r="G178" s="33" t="s">
        <v>81</v>
      </c>
      <c r="H178" s="117"/>
      <c r="I178" s="33">
        <f>IF(B178&lt;&gt;"",2,"")</f>
        <v>2</v>
      </c>
      <c r="J178" s="33" t="str">
        <f>IF(I178&lt;&gt;"",P178,"")</f>
        <v>CAUÃ NUNES BARROS</v>
      </c>
      <c r="K178" s="33" t="str">
        <f>IFERROR(IF(J178="","",VLOOKUP(J178,LISTAS!$F$5:$G$1004,2,0)),"0")</f>
        <v>ESCOLA VILLARE</v>
      </c>
      <c r="L178" s="130" t="str">
        <f>IF(H177=3,"PRATA",IF(H177=4,"OURO",IF(H177=5,"OURO","")))</f>
        <v>PRATA</v>
      </c>
      <c r="M178" s="20">
        <f>IF(B178&lt;&gt;"",COUNTIF(D178:G178,"V")+(SUMIF(B183:B185,B178,D183:E185)/1000)+(SUMIF(J183:J185,B178,H183:I185)/1000)-(SUMIF(B183:B185,B178,H183:I185)/1000)-(SUMIF(J183:J185,B178,D183:E185)/1000)+0.002,"")</f>
        <v>2.0049999999999994</v>
      </c>
      <c r="N178" s="20" t="str">
        <f t="shared" ref="N178" si="11">IF(B178="","",B178)</f>
        <v>JOÃO CONOVALOV CABRAL CAVELHO</v>
      </c>
      <c r="O178" s="20">
        <f>IF(B178&lt;&gt;"",LARGE(M177:M179,2),"")</f>
        <v>1.0029999999999999</v>
      </c>
      <c r="P178" s="20" t="str">
        <f>VLOOKUP(O178,M177:N179,2,0)</f>
        <v>CAUÃ NUNES BARROS</v>
      </c>
    </row>
    <row r="179" spans="2:16" ht="18" customHeight="1" x14ac:dyDescent="0.25">
      <c r="B179" s="33" t="s">
        <v>160</v>
      </c>
      <c r="C179" s="33" t="str">
        <f>IFERROR(IF(B179="","",VLOOKUP(B179,LISTAS!$F$5:$G$1004,2,0)),"0")</f>
        <v>ABACO IPIRANGA</v>
      </c>
      <c r="D179" s="33" t="str">
        <f>IF(H177&lt;3,"",IF(H177=3,IF(D183&lt;&gt;"",IF(H183&lt;&gt;"",IF(D183&lt;&gt;H183,IF(D183&gt;H183,"D","V"),""),""),"")))</f>
        <v>D</v>
      </c>
      <c r="E179" s="33" t="str">
        <f>IF(H177&lt;3,"",IF(H177=3,IF(D184&lt;&gt;"",IF(H184&lt;&gt;"",IF(D184&lt;&gt;H184,IF(D184&gt;H184,"D","V"),""),""),"")))</f>
        <v>D</v>
      </c>
      <c r="F179" s="33" t="s">
        <v>81</v>
      </c>
      <c r="G179" s="33" t="s">
        <v>81</v>
      </c>
      <c r="H179" s="117"/>
      <c r="I179" s="33">
        <f>IF(B179&lt;&gt;"",3,"")</f>
        <v>3</v>
      </c>
      <c r="J179" s="33" t="str">
        <f>IF(I179&lt;&gt;"",P179,"")</f>
        <v>JOÃO LUCAS DIAS</v>
      </c>
      <c r="K179" s="33" t="str">
        <f>IFERROR(IF(J179="","",VLOOKUP(J179,LISTAS!$F$5:$G$1004,2,0)),"0")</f>
        <v>ABACO IPIRANGA</v>
      </c>
      <c r="L179" s="130" t="str">
        <f>IF(H177=3,"BRONZE",IF(H177=4,"PRATA",IF(H177=5,"OURO","")))</f>
        <v>BRONZE</v>
      </c>
      <c r="M179" s="20">
        <f>IF(B179&lt;&gt;"",COUNTIF(D179:G179,"V")+(SUMIF(B183:B185,B179,D183:E185)/1000)+(SUMIF(J183:J185,B179,H183:I185)/1000)-(SUMIF(B183:B185,B179,H183:I185)/1000)-(SUMIF(J183:J185,B179,D183:E185)/1000)+0.001,"")</f>
        <v>-2E-3</v>
      </c>
      <c r="N179" s="20" t="str">
        <f>IF(B179="","",B179)</f>
        <v>JOÃO LUCAS DIAS</v>
      </c>
      <c r="O179" s="20">
        <f>IF(B179&lt;&gt;"",LARGE(M177:M179,3),"")</f>
        <v>-2E-3</v>
      </c>
      <c r="P179" s="20" t="str">
        <f>VLOOKUP(O179,M177:N179,2,0)</f>
        <v>JOÃO LUCAS DIAS</v>
      </c>
    </row>
    <row r="180" spans="2:16" ht="18" customHeight="1" x14ac:dyDescent="0.25">
      <c r="B180" s="79"/>
      <c r="C180" s="79"/>
      <c r="D180" s="79"/>
      <c r="E180" s="79"/>
      <c r="F180" s="79"/>
      <c r="G180" s="79"/>
      <c r="I180" s="80"/>
      <c r="J180" s="79"/>
      <c r="K180" s="81"/>
      <c r="L180" s="81"/>
    </row>
    <row r="181" spans="2:16" ht="23.25" customHeight="1" x14ac:dyDescent="0.25">
      <c r="B181" s="82" t="s">
        <v>40</v>
      </c>
      <c r="C181" s="79"/>
      <c r="D181" s="79"/>
      <c r="E181" s="79"/>
      <c r="F181" s="79"/>
      <c r="G181" s="79"/>
      <c r="H181" s="79"/>
      <c r="I181" s="79"/>
      <c r="J181" s="79"/>
      <c r="K181" s="79"/>
      <c r="L181" s="79"/>
    </row>
    <row r="182" spans="2:16" ht="18" customHeight="1" x14ac:dyDescent="0.25">
      <c r="B182" s="132" t="s">
        <v>15</v>
      </c>
      <c r="C182" s="132" t="s">
        <v>0</v>
      </c>
      <c r="D182" s="258" t="s">
        <v>41</v>
      </c>
      <c r="E182" s="259"/>
      <c r="F182" s="259"/>
      <c r="G182" s="259"/>
      <c r="H182" s="259"/>
      <c r="I182" s="260"/>
      <c r="J182" s="132" t="s">
        <v>15</v>
      </c>
      <c r="K182" s="132" t="s">
        <v>0</v>
      </c>
      <c r="L182" s="79"/>
    </row>
    <row r="183" spans="2:16" ht="18" customHeight="1" x14ac:dyDescent="0.25">
      <c r="B183" s="33" t="str">
        <f>IF(H177=3,B177,"")</f>
        <v>CAUÃ NUNES BARROS</v>
      </c>
      <c r="C183" s="33" t="str">
        <f>IFERROR(IF(B183="","",VLOOKUP(B183,LISTAS!$F$5:$G$1004,2,0)),"0")</f>
        <v>ESCOLA VILLARE</v>
      </c>
      <c r="D183" s="253">
        <v>2</v>
      </c>
      <c r="E183" s="254"/>
      <c r="F183" s="253" t="s">
        <v>38</v>
      </c>
      <c r="G183" s="254"/>
      <c r="H183" s="253">
        <v>0</v>
      </c>
      <c r="I183" s="254"/>
      <c r="J183" s="111" t="str">
        <f>IF(H177=3,B179,"")</f>
        <v>JOÃO LUCAS DIAS</v>
      </c>
      <c r="K183" s="33" t="str">
        <f>IFERROR(IF(J183="","",VLOOKUP(J183,LISTAS!$F$5:$G$1004,2,0)),"0")</f>
        <v>ABACO IPIRANGA</v>
      </c>
      <c r="L183" s="81"/>
    </row>
    <row r="184" spans="2:16" ht="18" customHeight="1" x14ac:dyDescent="0.25">
      <c r="B184" s="33" t="str">
        <f>IF(H177=3,B178,"")</f>
        <v>JOÃO CONOVALOV CABRAL CAVELHO</v>
      </c>
      <c r="C184" s="33" t="str">
        <f>IFERROR(IF(B184="","",VLOOKUP(B184,LISTAS!$F$5:$G$1004,2,0)),"0")</f>
        <v>COLÉGIO ARBOS - UNIDADE SANTO ANDRÉ</v>
      </c>
      <c r="D184" s="253">
        <v>2</v>
      </c>
      <c r="E184" s="254"/>
      <c r="F184" s="253" t="s">
        <v>38</v>
      </c>
      <c r="G184" s="254"/>
      <c r="H184" s="253">
        <v>1</v>
      </c>
      <c r="I184" s="254"/>
      <c r="J184" s="111" t="str">
        <f>IF(H177=3,B179,"")</f>
        <v>JOÃO LUCAS DIAS</v>
      </c>
      <c r="K184" s="33" t="str">
        <f>IFERROR(IF(J184="","",VLOOKUP(J184,LISTAS!$F$5:$G$1004,2,0)),"0")</f>
        <v>ABACO IPIRANGA</v>
      </c>
      <c r="L184" s="79"/>
    </row>
    <row r="185" spans="2:16" ht="18" customHeight="1" x14ac:dyDescent="0.25">
      <c r="B185" s="33" t="str">
        <f>IF(H177=3,B177,"")</f>
        <v>CAUÃ NUNES BARROS</v>
      </c>
      <c r="C185" s="33" t="str">
        <f>IFERROR(IF(B185="","",VLOOKUP(B185,LISTAS!$F$5:$G$1004,2,0)),"0")</f>
        <v>ESCOLA VILLARE</v>
      </c>
      <c r="D185" s="253">
        <v>0</v>
      </c>
      <c r="E185" s="254"/>
      <c r="F185" s="253" t="s">
        <v>38</v>
      </c>
      <c r="G185" s="254"/>
      <c r="H185" s="253">
        <v>2</v>
      </c>
      <c r="I185" s="254"/>
      <c r="J185" s="111" t="str">
        <f>IF(H177=3,B178,"")</f>
        <v>JOÃO CONOVALOV CABRAL CAVELHO</v>
      </c>
      <c r="K185" s="33" t="str">
        <f>IFERROR(IF(J185="","",VLOOKUP(J185,LISTAS!$F$5:$G$1004,2,0)),"0")</f>
        <v>COLÉGIO ARBOS - UNIDADE SANTO ANDRÉ</v>
      </c>
      <c r="L185" s="81"/>
    </row>
    <row r="188" spans="2:16" ht="30" customHeight="1" x14ac:dyDescent="0.25">
      <c r="B188" s="161" t="s">
        <v>58</v>
      </c>
      <c r="C188" s="79"/>
      <c r="D188" s="255" t="s">
        <v>42</v>
      </c>
      <c r="E188" s="256"/>
      <c r="F188" s="256"/>
      <c r="G188" s="257"/>
      <c r="H188" s="113"/>
      <c r="I188" s="255" t="s">
        <v>3</v>
      </c>
      <c r="J188" s="256"/>
      <c r="K188" s="256"/>
      <c r="L188" s="256"/>
    </row>
    <row r="189" spans="2:16" ht="18" customHeight="1" x14ac:dyDescent="0.25">
      <c r="B189" s="132" t="s">
        <v>15</v>
      </c>
      <c r="C189" s="132" t="s">
        <v>0</v>
      </c>
      <c r="D189" s="132" t="s">
        <v>43</v>
      </c>
      <c r="E189" s="132" t="s">
        <v>44</v>
      </c>
      <c r="F189" s="132" t="s">
        <v>77</v>
      </c>
      <c r="G189" s="132" t="s">
        <v>78</v>
      </c>
      <c r="H189" s="114"/>
      <c r="I189" s="132" t="s">
        <v>18</v>
      </c>
      <c r="J189" s="132" t="s">
        <v>15</v>
      </c>
      <c r="K189" s="132" t="s">
        <v>0</v>
      </c>
      <c r="L189" s="132" t="s">
        <v>45</v>
      </c>
    </row>
    <row r="190" spans="2:16" ht="18" customHeight="1" x14ac:dyDescent="0.25">
      <c r="B190" s="33" t="s">
        <v>166</v>
      </c>
      <c r="C190" s="33" t="str">
        <f>IFERROR(IF(B190="","",VLOOKUP(B190,LISTAS!$F$5:$G$1004,2,0)),"0")</f>
        <v>COLÉGIO ARBOS - UNIDADE SANTO ANDRÉ</v>
      </c>
      <c r="D190" s="33" t="str">
        <f>IF(H190&lt;3,"",IF(H190=3,IF(D196&lt;&gt;"",IF(H196&lt;&gt;"",IF(D196&lt;&gt;H196,IF(D196&gt;H196,"V","D"),""),""),"")))</f>
        <v>D</v>
      </c>
      <c r="E190" s="33" t="str">
        <f>IF(H190&lt;3,"",IF(H190=3,IF(D198&lt;&gt;"",IF(H198&lt;&gt;"",IF(D198&lt;&gt;H198,IF(D198&gt;H198,"V","D"),""),""),"")))</f>
        <v>D</v>
      </c>
      <c r="F190" s="33" t="s">
        <v>81</v>
      </c>
      <c r="G190" s="33" t="s">
        <v>81</v>
      </c>
      <c r="H190" s="117">
        <f>COUNTA(B190:B192)</f>
        <v>3</v>
      </c>
      <c r="I190" s="33">
        <f>IF(B190&lt;&gt;"",1,"")</f>
        <v>1</v>
      </c>
      <c r="J190" s="33" t="str">
        <f>IF(I190&lt;&gt;"",P190,"")</f>
        <v>MIGUEL L RUGGERI</v>
      </c>
      <c r="K190" s="33" t="str">
        <f>IFERROR(IF(J190="","",VLOOKUP(J190,LISTAS!$F$5:$G$1004,2,0)),"0")</f>
        <v>COLEGIO PETROPOLIS</v>
      </c>
      <c r="L190" s="130" t="str">
        <f>IF(H190=3,"OURO",IF(H190=4,"OURO",IF(H190=5,"OURO","")))</f>
        <v>OURO</v>
      </c>
      <c r="M190" s="20">
        <f>IF(B190&lt;&gt;"",COUNTIF(D190:G190,"V")+(SUMIF(B196:B198,B190,D196:E198)/1000)+(SUMIF(J196:J198,B190,H196:I198)/1000)-(SUMIF(B196:B198,B190,H196:I198)/1000)-(SUMIF(J196:J198,B190,D196:E198)/1000)+0.003,"")</f>
        <v>-1E-3</v>
      </c>
      <c r="N190" s="20" t="str">
        <f>IF(B190="","",B190)</f>
        <v>LORENZO MASCARI BRANDINO</v>
      </c>
      <c r="O190" s="20">
        <f>IF(B190&lt;&gt;"",LARGE(M190:M192,1),"")</f>
        <v>2.004</v>
      </c>
      <c r="P190" s="20" t="str">
        <f>VLOOKUP(O190,M190:N192,2,0)</f>
        <v>MIGUEL L RUGGERI</v>
      </c>
    </row>
    <row r="191" spans="2:16" ht="18" customHeight="1" x14ac:dyDescent="0.25">
      <c r="B191" s="33" t="s">
        <v>161</v>
      </c>
      <c r="C191" s="33" t="str">
        <f>IFERROR(IF(B191="","",VLOOKUP(B191,LISTAS!$F$5:$G$1004,2,0)),"0")</f>
        <v>COLÉGIO ATENEU</v>
      </c>
      <c r="D191" s="33" t="str">
        <f>IF(H190&lt;3,"",IF(H190=3,IF(D197&lt;&gt;"",IF(H197&lt;&gt;"",IF(D197&lt;&gt;H197,IF(D197&gt;H197,"V","D"),""),""),"")))</f>
        <v>D</v>
      </c>
      <c r="E191" s="33" t="str">
        <f>IF(H190&lt;3,"",IF(H190=3,IF(D198&lt;&gt;"",IF(H198&lt;&gt;"",IF(D198&lt;&gt;H198,IF(D198&gt;H198,"D","V"),""),""),"")))</f>
        <v>V</v>
      </c>
      <c r="F191" s="33" t="s">
        <v>81</v>
      </c>
      <c r="G191" s="33" t="s">
        <v>81</v>
      </c>
      <c r="H191" s="117"/>
      <c r="I191" s="33">
        <f>IF(B191&lt;&gt;"",2,"")</f>
        <v>2</v>
      </c>
      <c r="J191" s="33" t="str">
        <f>IF(I191&lt;&gt;"",P191,"")</f>
        <v>JOAQUIM STAUB DA SILVA</v>
      </c>
      <c r="K191" s="33" t="str">
        <f>IFERROR(IF(J191="","",VLOOKUP(J191,LISTAS!$F$5:$G$1004,2,0)),"0")</f>
        <v>COLÉGIO ATENEU</v>
      </c>
      <c r="L191" s="130" t="str">
        <f>IF(H190=3,"PRATA",IF(H190=4,"OURO",IF(H190=5,"OURO","")))</f>
        <v>PRATA</v>
      </c>
      <c r="M191" s="20">
        <f>IF(B191&lt;&gt;"",COUNTIF(D191:G191,"V")+(SUMIF(B196:B198,B191,D196:E198)/1000)+(SUMIF(J196:J198,B191,H196:I198)/1000)-(SUMIF(B196:B198,B191,H196:I198)/1000)-(SUMIF(J196:J198,B191,D196:E198)/1000)+0.002,"")</f>
        <v>1.0029999999999999</v>
      </c>
      <c r="N191" s="20" t="str">
        <f t="shared" ref="N191" si="12">IF(B191="","",B191)</f>
        <v>JOAQUIM STAUB DA SILVA</v>
      </c>
      <c r="O191" s="20">
        <f>IF(B191&lt;&gt;"",LARGE(M190:M192,2),"")</f>
        <v>1.0029999999999999</v>
      </c>
      <c r="P191" s="20" t="str">
        <f>VLOOKUP(O191,M190:N192,2,0)</f>
        <v>JOAQUIM STAUB DA SILVA</v>
      </c>
    </row>
    <row r="192" spans="2:16" ht="18" customHeight="1" x14ac:dyDescent="0.25">
      <c r="B192" s="33" t="s">
        <v>187</v>
      </c>
      <c r="C192" s="33" t="str">
        <f>IFERROR(IF(B192="","",VLOOKUP(B192,LISTAS!$F$5:$G$1004,2,0)),"0")</f>
        <v>COLEGIO PETROPOLIS</v>
      </c>
      <c r="D192" s="33" t="str">
        <f>IF(H190&lt;3,"",IF(H190=3,IF(D196&lt;&gt;"",IF(H196&lt;&gt;"",IF(D196&lt;&gt;H196,IF(D196&gt;H196,"D","V"),""),""),"")))</f>
        <v>V</v>
      </c>
      <c r="E192" s="33" t="str">
        <f>IF(H190&lt;3,"",IF(H190=3,IF(D197&lt;&gt;"",IF(H197&lt;&gt;"",IF(D197&lt;&gt;H197,IF(D197&gt;H197,"D","V"),""),""),"")))</f>
        <v>V</v>
      </c>
      <c r="F192" s="33" t="s">
        <v>81</v>
      </c>
      <c r="G192" s="33" t="s">
        <v>81</v>
      </c>
      <c r="H192" s="117"/>
      <c r="I192" s="33">
        <f>IF(B192&lt;&gt;"",3,"")</f>
        <v>3</v>
      </c>
      <c r="J192" s="33" t="str">
        <f>IF(I192&lt;&gt;"",P192,"")</f>
        <v>LORENZO MASCARI BRANDINO</v>
      </c>
      <c r="K192" s="33" t="str">
        <f>IFERROR(IF(J192="","",VLOOKUP(J192,LISTAS!$F$5:$G$1004,2,0)),"0")</f>
        <v>COLÉGIO ARBOS - UNIDADE SANTO ANDRÉ</v>
      </c>
      <c r="L192" s="130" t="str">
        <f>IF(H190=3,"BRONZE",IF(H190=4,"PRATA",IF(H190=5,"OURO","")))</f>
        <v>BRONZE</v>
      </c>
      <c r="M192" s="20">
        <f>IF(B192&lt;&gt;"",COUNTIF(D192:G192,"V")+(SUMIF(B196:B198,B192,D196:E198)/1000)+(SUMIF(J196:J198,B192,H196:I198)/1000)-(SUMIF(B196:B198,B192,H196:I198)/1000)-(SUMIF(J196:J198,B192,D196:E198)/1000)+0.001,"")</f>
        <v>2.004</v>
      </c>
      <c r="N192" s="20" t="str">
        <f>IF(B192="","",B192)</f>
        <v>MIGUEL L RUGGERI</v>
      </c>
      <c r="O192" s="20">
        <f>IF(B192&lt;&gt;"",LARGE(M190:M192,3),"")</f>
        <v>-1E-3</v>
      </c>
      <c r="P192" s="20" t="str">
        <f>VLOOKUP(O192,M190:N192,2,0)</f>
        <v>LORENZO MASCARI BRANDINO</v>
      </c>
    </row>
    <row r="193" spans="2:16" ht="18" customHeight="1" x14ac:dyDescent="0.25">
      <c r="B193" s="79"/>
      <c r="C193" s="79"/>
      <c r="D193" s="79"/>
      <c r="E193" s="79"/>
      <c r="F193" s="79"/>
      <c r="G193" s="79"/>
      <c r="I193" s="80"/>
      <c r="J193" s="79"/>
      <c r="K193" s="81"/>
      <c r="L193" s="81"/>
    </row>
    <row r="194" spans="2:16" ht="23.25" customHeight="1" x14ac:dyDescent="0.25">
      <c r="B194" s="82" t="s">
        <v>40</v>
      </c>
      <c r="C194" s="79"/>
      <c r="D194" s="79"/>
      <c r="E194" s="79"/>
      <c r="F194" s="79"/>
      <c r="G194" s="79"/>
      <c r="H194" s="79"/>
      <c r="I194" s="79"/>
      <c r="J194" s="79"/>
      <c r="K194" s="79"/>
      <c r="L194" s="79"/>
    </row>
    <row r="195" spans="2:16" ht="18" customHeight="1" x14ac:dyDescent="0.25">
      <c r="B195" s="132" t="s">
        <v>15</v>
      </c>
      <c r="C195" s="132" t="s">
        <v>0</v>
      </c>
      <c r="D195" s="258" t="s">
        <v>41</v>
      </c>
      <c r="E195" s="259"/>
      <c r="F195" s="259"/>
      <c r="G195" s="259"/>
      <c r="H195" s="259"/>
      <c r="I195" s="260"/>
      <c r="J195" s="132" t="s">
        <v>15</v>
      </c>
      <c r="K195" s="132" t="s">
        <v>0</v>
      </c>
      <c r="L195" s="79"/>
    </row>
    <row r="196" spans="2:16" ht="18" customHeight="1" x14ac:dyDescent="0.25">
      <c r="B196" s="33" t="str">
        <f>IF(H190=3,B190,"")</f>
        <v>LORENZO MASCARI BRANDINO</v>
      </c>
      <c r="C196" s="33" t="str">
        <f>IFERROR(IF(B196="","",VLOOKUP(B196,LISTAS!$F$5:$G$1004,2,0)),"0")</f>
        <v>COLÉGIO ARBOS - UNIDADE SANTO ANDRÉ</v>
      </c>
      <c r="D196" s="253">
        <v>0</v>
      </c>
      <c r="E196" s="254"/>
      <c r="F196" s="253" t="s">
        <v>38</v>
      </c>
      <c r="G196" s="254"/>
      <c r="H196" s="253">
        <v>2</v>
      </c>
      <c r="I196" s="254"/>
      <c r="J196" s="111" t="str">
        <f>IF(H190=3,B192,"")</f>
        <v>MIGUEL L RUGGERI</v>
      </c>
      <c r="K196" s="33" t="str">
        <f>IFERROR(IF(J196="","",VLOOKUP(J196,LISTAS!$F$5:$G$1004,2,0)),"0")</f>
        <v>COLEGIO PETROPOLIS</v>
      </c>
      <c r="L196" s="81"/>
    </row>
    <row r="197" spans="2:16" ht="18" customHeight="1" x14ac:dyDescent="0.25">
      <c r="B197" s="33" t="str">
        <f>IF(H190=3,B191,"")</f>
        <v>JOAQUIM STAUB DA SILVA</v>
      </c>
      <c r="C197" s="33" t="str">
        <f>IFERROR(IF(B197="","",VLOOKUP(B197,LISTAS!$F$5:$G$1004,2,0)),"0")</f>
        <v>COLÉGIO ATENEU</v>
      </c>
      <c r="D197" s="253">
        <v>1</v>
      </c>
      <c r="E197" s="254"/>
      <c r="F197" s="253" t="s">
        <v>38</v>
      </c>
      <c r="G197" s="254"/>
      <c r="H197" s="253">
        <v>2</v>
      </c>
      <c r="I197" s="254"/>
      <c r="J197" s="111" t="str">
        <f>IF(H190=3,B192,"")</f>
        <v>MIGUEL L RUGGERI</v>
      </c>
      <c r="K197" s="33" t="str">
        <f>IFERROR(IF(J197="","",VLOOKUP(J197,LISTAS!$F$5:$G$1004,2,0)),"0")</f>
        <v>COLEGIO PETROPOLIS</v>
      </c>
      <c r="L197" s="79"/>
    </row>
    <row r="198" spans="2:16" ht="18" customHeight="1" x14ac:dyDescent="0.25">
      <c r="B198" s="33" t="str">
        <f>IF(H190=3,B190,"")</f>
        <v>LORENZO MASCARI BRANDINO</v>
      </c>
      <c r="C198" s="33" t="str">
        <f>IFERROR(IF(B198="","",VLOOKUP(B198,LISTAS!$F$5:$G$1004,2,0)),"0")</f>
        <v>COLÉGIO ARBOS - UNIDADE SANTO ANDRÉ</v>
      </c>
      <c r="D198" s="253">
        <v>0</v>
      </c>
      <c r="E198" s="254"/>
      <c r="F198" s="253" t="s">
        <v>38</v>
      </c>
      <c r="G198" s="254"/>
      <c r="H198" s="253">
        <v>2</v>
      </c>
      <c r="I198" s="254"/>
      <c r="J198" s="111" t="str">
        <f>IF(H190=3,B191,"")</f>
        <v>JOAQUIM STAUB DA SILVA</v>
      </c>
      <c r="K198" s="33" t="str">
        <f>IFERROR(IF(J198="","",VLOOKUP(J198,LISTAS!$F$5:$G$1004,2,0)),"0")</f>
        <v>COLÉGIO ATENEU</v>
      </c>
      <c r="L198" s="81"/>
    </row>
    <row r="201" spans="2:16" ht="30" customHeight="1" x14ac:dyDescent="0.25">
      <c r="B201" s="161" t="s">
        <v>59</v>
      </c>
      <c r="C201" s="79"/>
      <c r="D201" s="255" t="s">
        <v>42</v>
      </c>
      <c r="E201" s="256"/>
      <c r="F201" s="256"/>
      <c r="G201" s="257"/>
      <c r="H201" s="113"/>
      <c r="I201" s="255" t="s">
        <v>3</v>
      </c>
      <c r="J201" s="256"/>
      <c r="K201" s="256"/>
      <c r="L201" s="256"/>
    </row>
    <row r="202" spans="2:16" ht="18" customHeight="1" x14ac:dyDescent="0.25">
      <c r="B202" s="132" t="s">
        <v>15</v>
      </c>
      <c r="C202" s="132" t="s">
        <v>0</v>
      </c>
      <c r="D202" s="132" t="s">
        <v>43</v>
      </c>
      <c r="E202" s="132" t="s">
        <v>44</v>
      </c>
      <c r="F202" s="132" t="s">
        <v>77</v>
      </c>
      <c r="G202" s="132" t="s">
        <v>78</v>
      </c>
      <c r="H202" s="114"/>
      <c r="I202" s="132" t="s">
        <v>18</v>
      </c>
      <c r="J202" s="132" t="s">
        <v>15</v>
      </c>
      <c r="K202" s="132" t="s">
        <v>0</v>
      </c>
      <c r="L202" s="132" t="s">
        <v>45</v>
      </c>
    </row>
    <row r="203" spans="2:16" ht="18" customHeight="1" x14ac:dyDescent="0.25">
      <c r="B203" s="33" t="s">
        <v>186</v>
      </c>
      <c r="C203" s="33" t="str">
        <f>IFERROR(IF(B203="","",VLOOKUP(B203,LISTAS!$F$5:$G$1004,2,0)),"0")</f>
        <v>ABACO IPIRANGA</v>
      </c>
      <c r="D203" s="33" t="str">
        <f>IF(H203&lt;3,"",IF(H203=3,IF(D209&lt;&gt;"",IF(H209&lt;&gt;"",IF(D209&lt;&gt;H209,IF(D209&gt;H209,"V","D"),""),""),"")))</f>
        <v>D</v>
      </c>
      <c r="E203" s="33" t="str">
        <f>IF(H203&lt;3,"",IF(H203=3,IF(D211&lt;&gt;"",IF(H211&lt;&gt;"",IF(D211&lt;&gt;H211,IF(D211&gt;H211,"V","D"),""),""),"")))</f>
        <v>D</v>
      </c>
      <c r="F203" s="33" t="s">
        <v>81</v>
      </c>
      <c r="G203" s="33" t="s">
        <v>81</v>
      </c>
      <c r="H203" s="117">
        <f>COUNTA(B203:B205)</f>
        <v>3</v>
      </c>
      <c r="I203" s="33">
        <f>IF(B203&lt;&gt;"",1,"")</f>
        <v>1</v>
      </c>
      <c r="J203" s="33" t="str">
        <f>IF(I203&lt;&gt;"",P203,"")</f>
        <v>LORENZO VEZARO MONTINI</v>
      </c>
      <c r="K203" s="33" t="str">
        <f>IFERROR(IF(J203="","",VLOOKUP(J203,LISTAS!$F$5:$G$1004,2,0)),"0")</f>
        <v>COLÉGIO ARBOS - UNIDADE SANTO ANDRÉ</v>
      </c>
      <c r="L203" s="130" t="str">
        <f>IF(H203=3,"OURO",IF(H203=4,"OURO",IF(H203=5,"OURO","")))</f>
        <v>OURO</v>
      </c>
      <c r="M203" s="20">
        <f>IF(B203&lt;&gt;"",COUNTIF(D203:G203,"V")+(SUMIF(B209:B211,B203,D209:E211)/1000)+(SUMIF(J209:J211,B203,H209:I211)/1000)-(SUMIF(B209:B211,B203,H209:I211)/1000)-(SUMIF(J209:J211,B203,D209:E211)/1000)+0.003,"")</f>
        <v>-1E-3</v>
      </c>
      <c r="N203" s="20" t="str">
        <f>IF(B203="","",B203)</f>
        <v>MIGUEL DE SANTANA SALVADOR LOPES</v>
      </c>
      <c r="O203" s="20">
        <f>IF(B203&lt;&gt;"",LARGE(M203:M205,1),"")</f>
        <v>2.0049999999999994</v>
      </c>
      <c r="P203" s="20" t="str">
        <f>VLOOKUP(O203,M203:N205,2,0)</f>
        <v>LORENZO VEZARO MONTINI</v>
      </c>
    </row>
    <row r="204" spans="2:16" ht="18" customHeight="1" x14ac:dyDescent="0.25">
      <c r="B204" s="33" t="s">
        <v>167</v>
      </c>
      <c r="C204" s="33" t="str">
        <f>IFERROR(IF(B204="","",VLOOKUP(B204,LISTAS!$F$5:$G$1004,2,0)),"0")</f>
        <v>COLÉGIO ARBOS - UNIDADE SANTO ANDRÉ</v>
      </c>
      <c r="D204" s="33" t="str">
        <f>IF(H203&lt;3,"",IF(H203=3,IF(D210&lt;&gt;"",IF(H210&lt;&gt;"",IF(D210&lt;&gt;H210,IF(D210&gt;H210,"V","D"),""),""),"")))</f>
        <v>V</v>
      </c>
      <c r="E204" s="33" t="str">
        <f>IF(H203&lt;3,"",IF(H203=3,IF(D211&lt;&gt;"",IF(H211&lt;&gt;"",IF(D211&lt;&gt;H211,IF(D211&gt;H211,"D","V"),""),""),"")))</f>
        <v>V</v>
      </c>
      <c r="F204" s="33" t="s">
        <v>81</v>
      </c>
      <c r="G204" s="33" t="s">
        <v>81</v>
      </c>
      <c r="H204" s="117"/>
      <c r="I204" s="33">
        <f>IF(B204&lt;&gt;"",2,"")</f>
        <v>2</v>
      </c>
      <c r="J204" s="33" t="str">
        <f>IF(I204&lt;&gt;"",P204,"")</f>
        <v>FELIPE PERDÃO BERTI SANCHES</v>
      </c>
      <c r="K204" s="33" t="str">
        <f>IFERROR(IF(J204="","",VLOOKUP(J204,LISTAS!$F$5:$G$1004,2,0)),"0")</f>
        <v>PEN LIFE</v>
      </c>
      <c r="L204" s="130" t="str">
        <f>IF(H203=3,"PRATA",IF(H203=4,"OURO",IF(H203=5,"OURO","")))</f>
        <v>PRATA</v>
      </c>
      <c r="M204" s="20">
        <f>IF(B204&lt;&gt;"",COUNTIF(D204:G204,"V")+(SUMIF(B209:B211,B204,D209:E211)/1000)+(SUMIF(J209:J211,B204,H209:I211)/1000)-(SUMIF(B209:B211,B204,H209:I211)/1000)-(SUMIF(J209:J211,B204,D209:E211)/1000)+0.002,"")</f>
        <v>2.0049999999999994</v>
      </c>
      <c r="N204" s="20" t="str">
        <f t="shared" ref="N204" si="13">IF(B204="","",B204)</f>
        <v>LORENZO VEZARO MONTINI</v>
      </c>
      <c r="O204" s="20">
        <f>IF(B204&lt;&gt;"",LARGE(M203:M205,2),"")</f>
        <v>1.0019999999999998</v>
      </c>
      <c r="P204" s="20" t="str">
        <f>VLOOKUP(O204,M203:N205,2,0)</f>
        <v>FELIPE PERDÃO BERTI SANCHES</v>
      </c>
    </row>
    <row r="205" spans="2:16" ht="18" customHeight="1" x14ac:dyDescent="0.25">
      <c r="B205" s="33" t="s">
        <v>142</v>
      </c>
      <c r="C205" s="33" t="str">
        <f>IFERROR(IF(B205="","",VLOOKUP(B205,LISTAS!$F$5:$G$1004,2,0)),"0")</f>
        <v>PEN LIFE</v>
      </c>
      <c r="D205" s="33" t="str">
        <f>IF(H203&lt;3,"",IF(H203=3,IF(D209&lt;&gt;"",IF(H209&lt;&gt;"",IF(D209&lt;&gt;H209,IF(D209&gt;H209,"D","V"),""),""),"")))</f>
        <v>V</v>
      </c>
      <c r="E205" s="33" t="str">
        <f>IF(H203&lt;3,"",IF(H203=3,IF(D210&lt;&gt;"",IF(H210&lt;&gt;"",IF(D210&lt;&gt;H210,IF(D210&gt;H210,"D","V"),""),""),"")))</f>
        <v>D</v>
      </c>
      <c r="F205" s="33" t="s">
        <v>81</v>
      </c>
      <c r="G205" s="33" t="s">
        <v>81</v>
      </c>
      <c r="H205" s="117"/>
      <c r="I205" s="33">
        <f>IF(B205&lt;&gt;"",3,"")</f>
        <v>3</v>
      </c>
      <c r="J205" s="33" t="str">
        <f>IF(I205&lt;&gt;"",P205,"")</f>
        <v>MIGUEL DE SANTANA SALVADOR LOPES</v>
      </c>
      <c r="K205" s="33" t="str">
        <f>IFERROR(IF(J205="","",VLOOKUP(J205,LISTAS!$F$5:$G$1004,2,0)),"0")</f>
        <v>ABACO IPIRANGA</v>
      </c>
      <c r="L205" s="130" t="str">
        <f>IF(H203=3,"BRONZE",IF(H203=4,"PRATA",IF(H203=5,"OURO","")))</f>
        <v>BRONZE</v>
      </c>
      <c r="M205" s="20">
        <f>IF(B205&lt;&gt;"",COUNTIF(D205:G205,"V")+(SUMIF(B209:B211,B205,D209:E211)/1000)+(SUMIF(J209:J211,B205,H209:I211)/1000)-(SUMIF(B209:B211,B205,H209:I211)/1000)-(SUMIF(J209:J211,B205,D209:E211)/1000)+0.001,"")</f>
        <v>1.0019999999999998</v>
      </c>
      <c r="N205" s="20" t="str">
        <f>IF(B205="","",B205)</f>
        <v>FELIPE PERDÃO BERTI SANCHES</v>
      </c>
      <c r="O205" s="20">
        <f>IF(B205&lt;&gt;"",LARGE(M203:M205,3),"")</f>
        <v>-1E-3</v>
      </c>
      <c r="P205" s="20" t="str">
        <f>VLOOKUP(O205,M203:N205,2,0)</f>
        <v>MIGUEL DE SANTANA SALVADOR LOPES</v>
      </c>
    </row>
    <row r="206" spans="2:16" ht="18" customHeight="1" x14ac:dyDescent="0.25">
      <c r="B206" s="79"/>
      <c r="C206" s="79"/>
      <c r="D206" s="79"/>
      <c r="E206" s="79"/>
      <c r="F206" s="79"/>
      <c r="G206" s="79"/>
      <c r="I206" s="80"/>
      <c r="J206" s="79"/>
      <c r="K206" s="81"/>
      <c r="L206" s="81"/>
    </row>
    <row r="207" spans="2:16" ht="23.25" customHeight="1" x14ac:dyDescent="0.25">
      <c r="B207" s="82" t="s">
        <v>40</v>
      </c>
      <c r="C207" s="79"/>
      <c r="D207" s="79"/>
      <c r="E207" s="79"/>
      <c r="F207" s="79"/>
      <c r="G207" s="79"/>
      <c r="H207" s="79"/>
      <c r="I207" s="79"/>
      <c r="J207" s="79"/>
      <c r="K207" s="79"/>
      <c r="L207" s="79"/>
    </row>
    <row r="208" spans="2:16" ht="18" customHeight="1" x14ac:dyDescent="0.25">
      <c r="B208" s="132" t="s">
        <v>15</v>
      </c>
      <c r="C208" s="132" t="s">
        <v>0</v>
      </c>
      <c r="D208" s="258" t="s">
        <v>41</v>
      </c>
      <c r="E208" s="259"/>
      <c r="F208" s="259"/>
      <c r="G208" s="259"/>
      <c r="H208" s="259"/>
      <c r="I208" s="260"/>
      <c r="J208" s="132" t="s">
        <v>15</v>
      </c>
      <c r="K208" s="132" t="s">
        <v>0</v>
      </c>
      <c r="L208" s="79"/>
    </row>
    <row r="209" spans="2:16" ht="18" customHeight="1" x14ac:dyDescent="0.25">
      <c r="B209" s="33" t="str">
        <f>IF(H203=3,B203,"")</f>
        <v>MIGUEL DE SANTANA SALVADOR LOPES</v>
      </c>
      <c r="C209" s="33" t="str">
        <f>IFERROR(IF(B209="","",VLOOKUP(B209,LISTAS!$F$5:$G$1004,2,0)),"0")</f>
        <v>ABACO IPIRANGA</v>
      </c>
      <c r="D209" s="253">
        <v>0</v>
      </c>
      <c r="E209" s="254"/>
      <c r="F209" s="253" t="s">
        <v>38</v>
      </c>
      <c r="G209" s="254"/>
      <c r="H209" s="253">
        <v>2</v>
      </c>
      <c r="I209" s="254"/>
      <c r="J209" s="111" t="str">
        <f>IF(H203=3,B205,"")</f>
        <v>FELIPE PERDÃO BERTI SANCHES</v>
      </c>
      <c r="K209" s="33" t="str">
        <f>IFERROR(IF(J209="","",VLOOKUP(J209,LISTAS!$F$5:$G$1004,2,0)),"0")</f>
        <v>PEN LIFE</v>
      </c>
      <c r="L209" s="81"/>
    </row>
    <row r="210" spans="2:16" ht="18" customHeight="1" x14ac:dyDescent="0.25">
      <c r="B210" s="33" t="str">
        <f>IF(H203=3,B204,"")</f>
        <v>LORENZO VEZARO MONTINI</v>
      </c>
      <c r="C210" s="33" t="str">
        <f>IFERROR(IF(B210="","",VLOOKUP(B210,LISTAS!$F$5:$G$1004,2,0)),"0")</f>
        <v>COLÉGIO ARBOS - UNIDADE SANTO ANDRÉ</v>
      </c>
      <c r="D210" s="253">
        <v>2</v>
      </c>
      <c r="E210" s="254"/>
      <c r="F210" s="253" t="s">
        <v>38</v>
      </c>
      <c r="G210" s="254"/>
      <c r="H210" s="253">
        <v>1</v>
      </c>
      <c r="I210" s="254"/>
      <c r="J210" s="111" t="str">
        <f>IF(H203=3,B205,"")</f>
        <v>FELIPE PERDÃO BERTI SANCHES</v>
      </c>
      <c r="K210" s="33" t="str">
        <f>IFERROR(IF(J210="","",VLOOKUP(J210,LISTAS!$F$5:$G$1004,2,0)),"0")</f>
        <v>PEN LIFE</v>
      </c>
      <c r="L210" s="79"/>
    </row>
    <row r="211" spans="2:16" ht="18" customHeight="1" x14ac:dyDescent="0.25">
      <c r="B211" s="33" t="str">
        <f>IF(H203=3,B203,"")</f>
        <v>MIGUEL DE SANTANA SALVADOR LOPES</v>
      </c>
      <c r="C211" s="33" t="str">
        <f>IFERROR(IF(B211="","",VLOOKUP(B211,LISTAS!$F$5:$G$1004,2,0)),"0")</f>
        <v>ABACO IPIRANGA</v>
      </c>
      <c r="D211" s="253">
        <v>0</v>
      </c>
      <c r="E211" s="254"/>
      <c r="F211" s="253" t="s">
        <v>38</v>
      </c>
      <c r="G211" s="254"/>
      <c r="H211" s="253">
        <v>2</v>
      </c>
      <c r="I211" s="254"/>
      <c r="J211" s="111" t="str">
        <f>IF(H203=3,B204,"")</f>
        <v>LORENZO VEZARO MONTINI</v>
      </c>
      <c r="K211" s="33" t="str">
        <f>IFERROR(IF(J211="","",VLOOKUP(J211,LISTAS!$F$5:$G$1004,2,0)),"0")</f>
        <v>COLÉGIO ARBOS - UNIDADE SANTO ANDRÉ</v>
      </c>
      <c r="L211" s="81"/>
    </row>
    <row r="214" spans="2:16" ht="30" customHeight="1" x14ac:dyDescent="0.25">
      <c r="B214" s="161" t="s">
        <v>60</v>
      </c>
      <c r="C214" s="79"/>
      <c r="D214" s="255" t="s">
        <v>42</v>
      </c>
      <c r="E214" s="256"/>
      <c r="F214" s="256"/>
      <c r="G214" s="257"/>
      <c r="H214" s="113"/>
      <c r="I214" s="255" t="s">
        <v>3</v>
      </c>
      <c r="J214" s="256"/>
      <c r="K214" s="256"/>
      <c r="L214" s="256"/>
    </row>
    <row r="215" spans="2:16" ht="18" customHeight="1" x14ac:dyDescent="0.25">
      <c r="B215" s="132" t="s">
        <v>15</v>
      </c>
      <c r="C215" s="132" t="s">
        <v>0</v>
      </c>
      <c r="D215" s="132" t="s">
        <v>43</v>
      </c>
      <c r="E215" s="132" t="s">
        <v>44</v>
      </c>
      <c r="F215" s="132" t="s">
        <v>77</v>
      </c>
      <c r="G215" s="132" t="s">
        <v>78</v>
      </c>
      <c r="H215" s="114"/>
      <c r="I215" s="132" t="s">
        <v>18</v>
      </c>
      <c r="J215" s="132" t="s">
        <v>15</v>
      </c>
      <c r="K215" s="132" t="s">
        <v>0</v>
      </c>
      <c r="L215" s="132" t="s">
        <v>45</v>
      </c>
    </row>
    <row r="216" spans="2:16" ht="18" customHeight="1" x14ac:dyDescent="0.25">
      <c r="B216" s="33" t="s">
        <v>140</v>
      </c>
      <c r="C216" s="33" t="str">
        <f>IFERROR(IF(B216="","",VLOOKUP(B216,LISTAS!$F$5:$G$1004,2,0)),"0")</f>
        <v>PEN LIFE</v>
      </c>
      <c r="D216" s="33" t="str">
        <f>IF(H216&lt;3,"",IF(H216=3,IF(D222&lt;&gt;"",IF(H222&lt;&gt;"",IF(D222&lt;&gt;H222,IF(D222&gt;H222,"V","D"),""),""),"")))</f>
        <v>V</v>
      </c>
      <c r="E216" s="33" t="str">
        <f>IF(H216&lt;3,"",IF(H216=3,IF(D224&lt;&gt;"",IF(H224&lt;&gt;"",IF(D224&lt;&gt;H224,IF(D224&gt;H224,"V","D"),""),""),"")))</f>
        <v>D</v>
      </c>
      <c r="F216" s="33" t="s">
        <v>81</v>
      </c>
      <c r="G216" s="33" t="s">
        <v>81</v>
      </c>
      <c r="H216" s="117">
        <f>COUNTA(B216:B218)</f>
        <v>3</v>
      </c>
      <c r="I216" s="33">
        <f>IF(B216&lt;&gt;"",1,"")</f>
        <v>1</v>
      </c>
      <c r="J216" s="33" t="str">
        <f>IF(I216&lt;&gt;"",P216,"")</f>
        <v>LUCAS SILVA MENEZES</v>
      </c>
      <c r="K216" s="33" t="str">
        <f>IFERROR(IF(J216="","",VLOOKUP(J216,LISTAS!$F$5:$G$1004,2,0)),"0")</f>
        <v>COLÉGIO ARBOS - UNIDADE SANTO ANDRÉ</v>
      </c>
      <c r="L216" s="130" t="str">
        <f>IF(H216=3,"OURO",IF(H216=4,"OURO",IF(H216=5,"OURO","")))</f>
        <v>OURO</v>
      </c>
      <c r="M216" s="20">
        <f>IF(B216&lt;&gt;"",COUNTIF(D216:G216,"V")+(SUMIF(B222:B224,B216,D222:E224)/1000)+(SUMIF(J222:J224,B216,H222:I224)/1000)-(SUMIF(B222:B224,B216,H222:I224)/1000)-(SUMIF(J222:J224,B216,D222:E224)/1000)+0.003,"")</f>
        <v>1.002</v>
      </c>
      <c r="N216" s="20" t="str">
        <f>IF(B216="","",B216)</f>
        <v>FELIPE FERRAZ FERREIRA MONTEIRO</v>
      </c>
      <c r="O216" s="20">
        <f>IF(B216&lt;&gt;"",LARGE(M216:M218,1),"")</f>
        <v>2.0059999999999993</v>
      </c>
      <c r="P216" s="20" t="str">
        <f>VLOOKUP(O216,M216:N218,2,0)</f>
        <v>LUCAS SILVA MENEZES</v>
      </c>
    </row>
    <row r="217" spans="2:16" ht="18" customHeight="1" x14ac:dyDescent="0.25">
      <c r="B217" s="33" t="s">
        <v>170</v>
      </c>
      <c r="C217" s="33" t="str">
        <f>IFERROR(IF(B217="","",VLOOKUP(B217,LISTAS!$F$5:$G$1004,2,0)),"0")</f>
        <v>COLÉGIO ARBOS - UNIDADE SANTO ANDRÉ</v>
      </c>
      <c r="D217" s="33" t="str">
        <f>IF(H216&lt;3,"",IF(H216=3,IF(D223&lt;&gt;"",IF(H223&lt;&gt;"",IF(D223&lt;&gt;H223,IF(D223&gt;H223,"V","D"),""),""),"")))</f>
        <v>V</v>
      </c>
      <c r="E217" s="33" t="str">
        <f>IF(H216&lt;3,"",IF(H216=3,IF(D224&lt;&gt;"",IF(H224&lt;&gt;"",IF(D224&lt;&gt;H224,IF(D224&gt;H224,"D","V"),""),""),"")))</f>
        <v>V</v>
      </c>
      <c r="F217" s="33" t="s">
        <v>81</v>
      </c>
      <c r="G217" s="33" t="s">
        <v>81</v>
      </c>
      <c r="H217" s="117"/>
      <c r="I217" s="33">
        <f>IF(B217&lt;&gt;"",2,"")</f>
        <v>2</v>
      </c>
      <c r="J217" s="33" t="str">
        <f>IF(I217&lt;&gt;"",P217,"")</f>
        <v>FELIPE FERRAZ FERREIRA MONTEIRO</v>
      </c>
      <c r="K217" s="33" t="str">
        <f>IFERROR(IF(J217="","",VLOOKUP(J217,LISTAS!$F$5:$G$1004,2,0)),"0")</f>
        <v>PEN LIFE</v>
      </c>
      <c r="L217" s="130" t="str">
        <f>IF(H216=3,"PRATA",IF(H216=4,"OURO",IF(H216=5,"OURO","")))</f>
        <v>PRATA</v>
      </c>
      <c r="M217" s="20">
        <f>IF(B217&lt;&gt;"",COUNTIF(D217:G217,"V")+(SUMIF(B222:B224,B217,D222:E224)/1000)+(SUMIF(J222:J224,B217,H222:I224)/1000)-(SUMIF(B222:B224,B217,H222:I224)/1000)-(SUMIF(J222:J224,B217,D222:E224)/1000)+0.002,"")</f>
        <v>2.0059999999999993</v>
      </c>
      <c r="N217" s="20" t="str">
        <f t="shared" ref="N217" si="14">IF(B217="","",B217)</f>
        <v>LUCAS SILVA MENEZES</v>
      </c>
      <c r="O217" s="20">
        <f>IF(B217&lt;&gt;"",LARGE(M216:M218,2),"")</f>
        <v>1.002</v>
      </c>
      <c r="P217" s="20" t="str">
        <f>VLOOKUP(O217,M216:N218,2,0)</f>
        <v>FELIPE FERRAZ FERREIRA MONTEIRO</v>
      </c>
    </row>
    <row r="218" spans="2:16" ht="18" customHeight="1" x14ac:dyDescent="0.25">
      <c r="B218" s="33" t="s">
        <v>207</v>
      </c>
      <c r="C218" s="33" t="str">
        <f>IFERROR(IF(B218="","",VLOOKUP(B218,LISTAS!$F$5:$G$1004,2,0)),"0")</f>
        <v>ABACO IPIRANGA</v>
      </c>
      <c r="D218" s="33" t="str">
        <f>IF(H216&lt;3,"",IF(H216=3,IF(D222&lt;&gt;"",IF(H222&lt;&gt;"",IF(D222&lt;&gt;H222,IF(D222&gt;H222,"D","V"),""),""),"")))</f>
        <v>D</v>
      </c>
      <c r="E218" s="33" t="str">
        <f>IF(H216&lt;3,"",IF(H216=3,IF(D223&lt;&gt;"",IF(H223&lt;&gt;"",IF(D223&lt;&gt;H223,IF(D223&gt;H223,"D","V"),""),""),"")))</f>
        <v>D</v>
      </c>
      <c r="F218" s="33" t="s">
        <v>81</v>
      </c>
      <c r="G218" s="33" t="s">
        <v>81</v>
      </c>
      <c r="H218" s="117"/>
      <c r="I218" s="33">
        <f>IF(B218&lt;&gt;"",3,"")</f>
        <v>3</v>
      </c>
      <c r="J218" s="33" t="str">
        <f>IF(I218&lt;&gt;"",P218,"")</f>
        <v>VICENTE MOREIRA MEDINA</v>
      </c>
      <c r="K218" s="33" t="str">
        <f>IFERROR(IF(J218="","",VLOOKUP(J218,LISTAS!$F$5:$G$1004,2,0)),"0")</f>
        <v>ABACO IPIRANGA</v>
      </c>
      <c r="L218" s="130" t="str">
        <f>IF(H216=3,"BRONZE",IF(H216=4,"PRATA",IF(H216=5,"OURO","")))</f>
        <v>BRONZE</v>
      </c>
      <c r="M218" s="20">
        <f>IF(B218&lt;&gt;"",COUNTIF(D218:G218,"V")+(SUMIF(B222:B224,B218,D222:E224)/1000)+(SUMIF(J222:J224,B218,H222:I224)/1000)-(SUMIF(B222:B224,B218,H222:I224)/1000)-(SUMIF(J222:J224,B218,D222:E224)/1000)+0.001,"")</f>
        <v>-2E-3</v>
      </c>
      <c r="N218" s="20" t="str">
        <f>IF(B218="","",B218)</f>
        <v>VICENTE MOREIRA MEDINA</v>
      </c>
      <c r="O218" s="20">
        <f>IF(B218&lt;&gt;"",LARGE(M216:M218,3),"")</f>
        <v>-2E-3</v>
      </c>
      <c r="P218" s="20" t="str">
        <f>VLOOKUP(O218,M216:N218,2,0)</f>
        <v>VICENTE MOREIRA MEDINA</v>
      </c>
    </row>
    <row r="219" spans="2:16" ht="18" customHeight="1" x14ac:dyDescent="0.25">
      <c r="B219" s="79"/>
      <c r="C219" s="79"/>
      <c r="D219" s="79"/>
      <c r="E219" s="79"/>
      <c r="F219" s="79"/>
      <c r="G219" s="79"/>
      <c r="I219" s="80"/>
      <c r="J219" s="79"/>
      <c r="K219" s="81"/>
      <c r="L219" s="81"/>
    </row>
    <row r="220" spans="2:16" ht="23.25" customHeight="1" x14ac:dyDescent="0.25">
      <c r="B220" s="82" t="s">
        <v>40</v>
      </c>
      <c r="C220" s="79"/>
      <c r="D220" s="79"/>
      <c r="E220" s="79"/>
      <c r="F220" s="79"/>
      <c r="G220" s="79"/>
      <c r="H220" s="79"/>
      <c r="I220" s="79"/>
      <c r="J220" s="79"/>
      <c r="K220" s="79"/>
      <c r="L220" s="79"/>
    </row>
    <row r="221" spans="2:16" ht="18" customHeight="1" x14ac:dyDescent="0.25">
      <c r="B221" s="132" t="s">
        <v>15</v>
      </c>
      <c r="C221" s="132" t="s">
        <v>0</v>
      </c>
      <c r="D221" s="258" t="s">
        <v>41</v>
      </c>
      <c r="E221" s="259"/>
      <c r="F221" s="259"/>
      <c r="G221" s="259"/>
      <c r="H221" s="259"/>
      <c r="I221" s="260"/>
      <c r="J221" s="132" t="s">
        <v>15</v>
      </c>
      <c r="K221" s="132" t="s">
        <v>0</v>
      </c>
      <c r="L221" s="79"/>
    </row>
    <row r="222" spans="2:16" ht="18" customHeight="1" x14ac:dyDescent="0.25">
      <c r="B222" s="33" t="str">
        <f>IF(H216=3,B216,"")</f>
        <v>FELIPE FERRAZ FERREIRA MONTEIRO</v>
      </c>
      <c r="C222" s="33" t="str">
        <f>IFERROR(IF(B222="","",VLOOKUP(B222,LISTAS!$F$5:$G$1004,2,0)),"0")</f>
        <v>PEN LIFE</v>
      </c>
      <c r="D222" s="253">
        <v>2</v>
      </c>
      <c r="E222" s="254"/>
      <c r="F222" s="253" t="s">
        <v>38</v>
      </c>
      <c r="G222" s="254"/>
      <c r="H222" s="253">
        <v>1</v>
      </c>
      <c r="I222" s="254"/>
      <c r="J222" s="111" t="str">
        <f>IF(H216=3,B218,"")</f>
        <v>VICENTE MOREIRA MEDINA</v>
      </c>
      <c r="K222" s="33" t="str">
        <f>IFERROR(IF(J222="","",VLOOKUP(J222,LISTAS!$F$5:$G$1004,2,0)),"0")</f>
        <v>ABACO IPIRANGA</v>
      </c>
      <c r="L222" s="81"/>
    </row>
    <row r="223" spans="2:16" ht="18" customHeight="1" x14ac:dyDescent="0.25">
      <c r="B223" s="33" t="str">
        <f>IF(H216=3,B217,"")</f>
        <v>LUCAS SILVA MENEZES</v>
      </c>
      <c r="C223" s="33" t="str">
        <f>IFERROR(IF(B223="","",VLOOKUP(B223,LISTAS!$F$5:$G$1004,2,0)),"0")</f>
        <v>COLÉGIO ARBOS - UNIDADE SANTO ANDRÉ</v>
      </c>
      <c r="D223" s="253">
        <v>2</v>
      </c>
      <c r="E223" s="254"/>
      <c r="F223" s="253" t="s">
        <v>38</v>
      </c>
      <c r="G223" s="254"/>
      <c r="H223" s="253">
        <v>0</v>
      </c>
      <c r="I223" s="254"/>
      <c r="J223" s="111" t="str">
        <f>IF(H216=3,B218,"")</f>
        <v>VICENTE MOREIRA MEDINA</v>
      </c>
      <c r="K223" s="33" t="str">
        <f>IFERROR(IF(J223="","",VLOOKUP(J223,LISTAS!$F$5:$G$1004,2,0)),"0")</f>
        <v>ABACO IPIRANGA</v>
      </c>
      <c r="L223" s="79"/>
    </row>
    <row r="224" spans="2:16" ht="18" customHeight="1" x14ac:dyDescent="0.25">
      <c r="B224" s="33" t="str">
        <f>IF(H216=3,B216,"")</f>
        <v>FELIPE FERRAZ FERREIRA MONTEIRO</v>
      </c>
      <c r="C224" s="33" t="str">
        <f>IFERROR(IF(B224="","",VLOOKUP(B224,LISTAS!$F$5:$G$1004,2,0)),"0")</f>
        <v>PEN LIFE</v>
      </c>
      <c r="D224" s="253">
        <v>0</v>
      </c>
      <c r="E224" s="254"/>
      <c r="F224" s="253" t="s">
        <v>38</v>
      </c>
      <c r="G224" s="254"/>
      <c r="H224" s="253">
        <v>2</v>
      </c>
      <c r="I224" s="254"/>
      <c r="J224" s="111" t="str">
        <f>IF(H216=3,B217,"")</f>
        <v>LUCAS SILVA MENEZES</v>
      </c>
      <c r="K224" s="33" t="str">
        <f>IFERROR(IF(J224="","",VLOOKUP(J224,LISTAS!$F$5:$G$1004,2,0)),"0")</f>
        <v>COLÉGIO ARBOS - UNIDADE SANTO ANDRÉ</v>
      </c>
      <c r="L224" s="81"/>
    </row>
    <row r="227" spans="2:16" ht="30" customHeight="1" x14ac:dyDescent="0.25">
      <c r="B227" s="161" t="s">
        <v>61</v>
      </c>
      <c r="C227" s="79"/>
      <c r="D227" s="255" t="s">
        <v>42</v>
      </c>
      <c r="E227" s="256"/>
      <c r="F227" s="256"/>
      <c r="G227" s="257"/>
      <c r="H227" s="113"/>
      <c r="I227" s="255" t="s">
        <v>3</v>
      </c>
      <c r="J227" s="256"/>
      <c r="K227" s="256"/>
      <c r="L227" s="256"/>
    </row>
    <row r="228" spans="2:16" ht="18" customHeight="1" x14ac:dyDescent="0.25">
      <c r="B228" s="132" t="s">
        <v>15</v>
      </c>
      <c r="C228" s="132" t="s">
        <v>0</v>
      </c>
      <c r="D228" s="132" t="s">
        <v>43</v>
      </c>
      <c r="E228" s="132" t="s">
        <v>44</v>
      </c>
      <c r="F228" s="132" t="s">
        <v>77</v>
      </c>
      <c r="G228" s="132" t="s">
        <v>78</v>
      </c>
      <c r="H228" s="114"/>
      <c r="I228" s="132" t="s">
        <v>18</v>
      </c>
      <c r="J228" s="132" t="s">
        <v>15</v>
      </c>
      <c r="K228" s="132" t="s">
        <v>0</v>
      </c>
      <c r="L228" s="132" t="s">
        <v>45</v>
      </c>
    </row>
    <row r="229" spans="2:16" ht="18" customHeight="1" x14ac:dyDescent="0.25">
      <c r="B229" s="33" t="s">
        <v>173</v>
      </c>
      <c r="C229" s="33" t="str">
        <f>IFERROR(IF(B229="","",VLOOKUP(B229,LISTAS!$F$5:$G$1004,2,0)),"0")</f>
        <v>COLÉGIO ATENEU</v>
      </c>
      <c r="D229" s="33" t="str">
        <f>IF(H229&lt;3,"",IF(H229=3,IF(D235&lt;&gt;"",IF(H235&lt;&gt;"",IF(D235&lt;&gt;H235,IF(D235&gt;H235,"V","D"),""),""),"")))</f>
        <v>V</v>
      </c>
      <c r="E229" s="33" t="str">
        <f>IF(H229&lt;3,"",IF(H229=3,IF(D237&lt;&gt;"",IF(H237&lt;&gt;"",IF(D237&lt;&gt;H237,IF(D237&gt;H237,"V","D"),""),""),"")))</f>
        <v>V</v>
      </c>
      <c r="F229" s="33" t="s">
        <v>81</v>
      </c>
      <c r="G229" s="33" t="s">
        <v>81</v>
      </c>
      <c r="H229" s="117">
        <f>COUNTA(B229:B231)</f>
        <v>3</v>
      </c>
      <c r="I229" s="33">
        <f>IF(B229&lt;&gt;"",1,"")</f>
        <v>1</v>
      </c>
      <c r="J229" s="33" t="str">
        <f>IF(I229&lt;&gt;"",P229,"")</f>
        <v>LUIZ FELIPE MONZANI CARNEIRO</v>
      </c>
      <c r="K229" s="33" t="str">
        <f>IFERROR(IF(J229="","",VLOOKUP(J229,LISTAS!$F$5:$G$1004,2,0)),"0")</f>
        <v>COLÉGIO ATENEU</v>
      </c>
      <c r="L229" s="130" t="str">
        <f>IF(H229=3,"OURO",IF(H229=4,"OURO",IF(H229=5,"OURO","")))</f>
        <v>OURO</v>
      </c>
      <c r="M229" s="20">
        <f>IF(B229&lt;&gt;"",COUNTIF(D229:G229,"V")+(SUMIF(B235:B237,B229,D235:E237)/1000)+(SUMIF(J235:J237,B229,H235:I237)/1000)-(SUMIF(B235:B237,B229,H235:I237)/1000)-(SUMIF(J235:J237,B229,D235:E237)/1000)+0.003,"")</f>
        <v>2.0070000000000001</v>
      </c>
      <c r="N229" s="20" t="str">
        <f>IF(B229="","",B229)</f>
        <v>LUIZ FELIPE MONZANI CARNEIRO</v>
      </c>
      <c r="O229" s="20">
        <f>IF(B229&lt;&gt;"",LARGE(M229:M231,1),"")</f>
        <v>2.0070000000000001</v>
      </c>
      <c r="P229" s="20" t="str">
        <f>VLOOKUP(O229,M229:N231,2,0)</f>
        <v>LUIZ FELIPE MONZANI CARNEIRO</v>
      </c>
    </row>
    <row r="230" spans="2:16" ht="18" customHeight="1" x14ac:dyDescent="0.25">
      <c r="B230" s="33" t="s">
        <v>171</v>
      </c>
      <c r="C230" s="33" t="str">
        <f>IFERROR(IF(B230="","",VLOOKUP(B230,LISTAS!$F$5:$G$1004,2,0)),"0")</f>
        <v>COLÉGIO ARBOS - UNIDADE SANTO ANDRÉ</v>
      </c>
      <c r="D230" s="33" t="str">
        <f>IF(H229&lt;3,"",IF(H229=3,IF(D236&lt;&gt;"",IF(H236&lt;&gt;"",IF(D236&lt;&gt;H236,IF(D236&gt;H236,"V","D"),""),""),"")))</f>
        <v>D</v>
      </c>
      <c r="E230" s="33" t="str">
        <f>IF(H229&lt;3,"",IF(H229=3,IF(D237&lt;&gt;"",IF(H237&lt;&gt;"",IF(D237&lt;&gt;H237,IF(D237&gt;H237,"D","V"),""),""),"")))</f>
        <v>D</v>
      </c>
      <c r="F230" s="33" t="s">
        <v>81</v>
      </c>
      <c r="G230" s="33" t="s">
        <v>81</v>
      </c>
      <c r="H230" s="117"/>
      <c r="I230" s="33">
        <f>IF(B230&lt;&gt;"",2,"")</f>
        <v>2</v>
      </c>
      <c r="J230" s="33" t="str">
        <f>IF(I230&lt;&gt;"",P230,"")</f>
        <v>NICOLAS LOPES MOURA DE OLIVEIRA</v>
      </c>
      <c r="K230" s="33" t="str">
        <f>IFERROR(IF(J230="","",VLOOKUP(J230,LISTAS!$F$5:$G$1004,2,0)),"0")</f>
        <v>ABACO IPIRANGA</v>
      </c>
      <c r="L230" s="130" t="str">
        <f>IF(H229=3,"PRATA",IF(H229=4,"OURO",IF(H229=5,"OURO","")))</f>
        <v>PRATA</v>
      </c>
      <c r="M230" s="20">
        <f>IF(B230&lt;&gt;"",COUNTIF(D230:G230,"V")+(SUMIF(B235:B237,B230,D235:E237)/1000)+(SUMIF(J235:J237,B230,H235:I237)/1000)-(SUMIF(B235:B237,B230,H235:I237)/1000)-(SUMIF(J235:J237,B230,D235:E237)/1000)+0.002,"")</f>
        <v>-2E-3</v>
      </c>
      <c r="N230" s="20" t="str">
        <f t="shared" ref="N230" si="15">IF(B230="","",B230)</f>
        <v>LUCCA BENJAMIN BARBOSA MORENO</v>
      </c>
      <c r="O230" s="20">
        <f>IF(B230&lt;&gt;"",LARGE(M229:M231,2),"")</f>
        <v>1.0009999999999999</v>
      </c>
      <c r="P230" s="20" t="str">
        <f>VLOOKUP(O230,M229:N231,2,0)</f>
        <v>NICOLAS LOPES MOURA DE OLIVEIRA</v>
      </c>
    </row>
    <row r="231" spans="2:16" ht="18" customHeight="1" x14ac:dyDescent="0.25">
      <c r="B231" s="33" t="s">
        <v>191</v>
      </c>
      <c r="C231" s="33" t="str">
        <f>IFERROR(IF(B231="","",VLOOKUP(B231,LISTAS!$F$5:$G$1004,2,0)),"0")</f>
        <v>ABACO IPIRANGA</v>
      </c>
      <c r="D231" s="33" t="str">
        <f>IF(H229&lt;3,"",IF(H229=3,IF(D235&lt;&gt;"",IF(H235&lt;&gt;"",IF(D235&lt;&gt;H235,IF(D235&gt;H235,"D","V"),""),""),"")))</f>
        <v>D</v>
      </c>
      <c r="E231" s="33" t="str">
        <f>IF(H229&lt;3,"",IF(H229=3,IF(D236&lt;&gt;"",IF(H236&lt;&gt;"",IF(D236&lt;&gt;H236,IF(D236&gt;H236,"D","V"),""),""),"")))</f>
        <v>V</v>
      </c>
      <c r="F231" s="33" t="s">
        <v>81</v>
      </c>
      <c r="G231" s="33" t="s">
        <v>81</v>
      </c>
      <c r="H231" s="117"/>
      <c r="I231" s="33">
        <f>IF(B231&lt;&gt;"",3,"")</f>
        <v>3</v>
      </c>
      <c r="J231" s="33" t="str">
        <f>IF(I231&lt;&gt;"",P231,"")</f>
        <v>LUCCA BENJAMIN BARBOSA MORENO</v>
      </c>
      <c r="K231" s="33" t="str">
        <f>IFERROR(IF(J231="","",VLOOKUP(J231,LISTAS!$F$5:$G$1004,2,0)),"0")</f>
        <v>COLÉGIO ARBOS - UNIDADE SANTO ANDRÉ</v>
      </c>
      <c r="L231" s="130" t="str">
        <f>IF(H229=3,"BRONZE",IF(H229=4,"PRATA",IF(H229=5,"OURO","")))</f>
        <v>BRONZE</v>
      </c>
      <c r="M231" s="20">
        <f>IF(B231&lt;&gt;"",COUNTIF(D231:G231,"V")+(SUMIF(B235:B237,B231,D235:E237)/1000)+(SUMIF(J235:J237,B231,H235:I237)/1000)-(SUMIF(B235:B237,B231,H235:I237)/1000)-(SUMIF(J235:J237,B231,D235:E237)/1000)+0.001,"")</f>
        <v>1.0009999999999999</v>
      </c>
      <c r="N231" s="20" t="str">
        <f>IF(B231="","",B231)</f>
        <v>NICOLAS LOPES MOURA DE OLIVEIRA</v>
      </c>
      <c r="O231" s="20">
        <f>IF(B231&lt;&gt;"",LARGE(M229:M231,3),"")</f>
        <v>-2E-3</v>
      </c>
      <c r="P231" s="20" t="str">
        <f>VLOOKUP(O231,M229:N231,2,0)</f>
        <v>LUCCA BENJAMIN BARBOSA MORENO</v>
      </c>
    </row>
    <row r="232" spans="2:16" ht="18" customHeight="1" x14ac:dyDescent="0.25">
      <c r="B232" s="79"/>
      <c r="C232" s="79"/>
      <c r="D232" s="79"/>
      <c r="E232" s="79"/>
      <c r="F232" s="79"/>
      <c r="G232" s="79"/>
      <c r="I232" s="80"/>
      <c r="J232" s="79"/>
      <c r="K232" s="81"/>
      <c r="L232" s="81"/>
    </row>
    <row r="233" spans="2:16" ht="23.25" customHeight="1" x14ac:dyDescent="0.25">
      <c r="B233" s="82" t="s">
        <v>40</v>
      </c>
      <c r="C233" s="79"/>
      <c r="D233" s="79"/>
      <c r="E233" s="79"/>
      <c r="F233" s="79"/>
      <c r="G233" s="79"/>
      <c r="H233" s="79"/>
      <c r="I233" s="79"/>
      <c r="J233" s="79"/>
      <c r="K233" s="79"/>
      <c r="L233" s="79"/>
    </row>
    <row r="234" spans="2:16" ht="18" customHeight="1" x14ac:dyDescent="0.25">
      <c r="B234" s="132" t="s">
        <v>15</v>
      </c>
      <c r="C234" s="132" t="s">
        <v>0</v>
      </c>
      <c r="D234" s="258" t="s">
        <v>41</v>
      </c>
      <c r="E234" s="259"/>
      <c r="F234" s="259"/>
      <c r="G234" s="259"/>
      <c r="H234" s="259"/>
      <c r="I234" s="260"/>
      <c r="J234" s="132" t="s">
        <v>15</v>
      </c>
      <c r="K234" s="132" t="s">
        <v>0</v>
      </c>
      <c r="L234" s="79"/>
    </row>
    <row r="235" spans="2:16" ht="18" customHeight="1" x14ac:dyDescent="0.25">
      <c r="B235" s="33" t="str">
        <f>IF(H229=3,B229,"")</f>
        <v>LUIZ FELIPE MONZANI CARNEIRO</v>
      </c>
      <c r="C235" s="33" t="str">
        <f>IFERROR(IF(B235="","",VLOOKUP(B235,LISTAS!$F$5:$G$1004,2,0)),"0")</f>
        <v>COLÉGIO ATENEU</v>
      </c>
      <c r="D235" s="253">
        <v>2</v>
      </c>
      <c r="E235" s="254"/>
      <c r="F235" s="253" t="s">
        <v>38</v>
      </c>
      <c r="G235" s="254"/>
      <c r="H235" s="253">
        <v>0</v>
      </c>
      <c r="I235" s="254"/>
      <c r="J235" s="111" t="str">
        <f>IF(H229=3,B231,"")</f>
        <v>NICOLAS LOPES MOURA DE OLIVEIRA</v>
      </c>
      <c r="K235" s="33" t="str">
        <f>IFERROR(IF(J235="","",VLOOKUP(J235,LISTAS!$F$5:$G$1004,2,0)),"0")</f>
        <v>ABACO IPIRANGA</v>
      </c>
      <c r="L235" s="81"/>
    </row>
    <row r="236" spans="2:16" ht="18" customHeight="1" x14ac:dyDescent="0.25">
      <c r="B236" s="33" t="str">
        <f>IF(H229=3,B230,"")</f>
        <v>LUCCA BENJAMIN BARBOSA MORENO</v>
      </c>
      <c r="C236" s="33" t="str">
        <f>IFERROR(IF(B236="","",VLOOKUP(B236,LISTAS!$F$5:$G$1004,2,0)),"0")</f>
        <v>COLÉGIO ARBOS - UNIDADE SANTO ANDRÉ</v>
      </c>
      <c r="D236" s="253">
        <v>0</v>
      </c>
      <c r="E236" s="254"/>
      <c r="F236" s="253" t="s">
        <v>38</v>
      </c>
      <c r="G236" s="254"/>
      <c r="H236" s="253">
        <v>2</v>
      </c>
      <c r="I236" s="254"/>
      <c r="J236" s="111" t="str">
        <f>IF(H229=3,B231,"")</f>
        <v>NICOLAS LOPES MOURA DE OLIVEIRA</v>
      </c>
      <c r="K236" s="33" t="str">
        <f>IFERROR(IF(J236="","",VLOOKUP(J236,LISTAS!$F$5:$G$1004,2,0)),"0")</f>
        <v>ABACO IPIRANGA</v>
      </c>
      <c r="L236" s="79"/>
    </row>
    <row r="237" spans="2:16" ht="18" customHeight="1" x14ac:dyDescent="0.25">
      <c r="B237" s="33" t="str">
        <f>IF(H229=3,B229,"")</f>
        <v>LUIZ FELIPE MONZANI CARNEIRO</v>
      </c>
      <c r="C237" s="33" t="str">
        <f>IFERROR(IF(B237="","",VLOOKUP(B237,LISTAS!$F$5:$G$1004,2,0)),"0")</f>
        <v>COLÉGIO ATENEU</v>
      </c>
      <c r="D237" s="253">
        <v>2</v>
      </c>
      <c r="E237" s="254"/>
      <c r="F237" s="253" t="s">
        <v>38</v>
      </c>
      <c r="G237" s="254"/>
      <c r="H237" s="253">
        <v>0</v>
      </c>
      <c r="I237" s="254"/>
      <c r="J237" s="111" t="str">
        <f>IF(H229=3,B230,"")</f>
        <v>LUCCA BENJAMIN BARBOSA MORENO</v>
      </c>
      <c r="K237" s="33" t="str">
        <f>IFERROR(IF(J237="","",VLOOKUP(J237,LISTAS!$F$5:$G$1004,2,0)),"0")</f>
        <v>COLÉGIO ARBOS - UNIDADE SANTO ANDRÉ</v>
      </c>
      <c r="L237" s="81"/>
    </row>
    <row r="240" spans="2:16" ht="30" customHeight="1" x14ac:dyDescent="0.25">
      <c r="B240" s="161" t="s">
        <v>62</v>
      </c>
      <c r="C240" s="79"/>
      <c r="D240" s="255" t="s">
        <v>42</v>
      </c>
      <c r="E240" s="256"/>
      <c r="F240" s="256"/>
      <c r="G240" s="257"/>
      <c r="H240" s="113"/>
      <c r="I240" s="255" t="s">
        <v>3</v>
      </c>
      <c r="J240" s="256"/>
      <c r="K240" s="256"/>
      <c r="L240" s="256"/>
    </row>
    <row r="241" spans="2:16" ht="18" customHeight="1" x14ac:dyDescent="0.25">
      <c r="B241" s="132" t="s">
        <v>15</v>
      </c>
      <c r="C241" s="132" t="s">
        <v>0</v>
      </c>
      <c r="D241" s="132" t="s">
        <v>43</v>
      </c>
      <c r="E241" s="132" t="s">
        <v>44</v>
      </c>
      <c r="F241" s="132" t="s">
        <v>77</v>
      </c>
      <c r="G241" s="132" t="s">
        <v>78</v>
      </c>
      <c r="H241" s="114"/>
      <c r="I241" s="132" t="s">
        <v>18</v>
      </c>
      <c r="J241" s="132" t="s">
        <v>15</v>
      </c>
      <c r="K241" s="132" t="s">
        <v>0</v>
      </c>
      <c r="L241" s="132" t="s">
        <v>45</v>
      </c>
    </row>
    <row r="242" spans="2:16" ht="18" customHeight="1" x14ac:dyDescent="0.25">
      <c r="B242" s="33" t="s">
        <v>177</v>
      </c>
      <c r="C242" s="33" t="str">
        <f>IFERROR(IF(B242="","",VLOOKUP(B242,LISTAS!$F$5:$G$1004,2,0)),"0")</f>
        <v>COLÉGIO ARBOS - UNIDADE SANTO ANDRÉ</v>
      </c>
      <c r="D242" s="33" t="str">
        <f>IF(H242&lt;3,"",IF(H242=3,IF(D248&lt;&gt;"",IF(H248&lt;&gt;"",IF(D248&lt;&gt;H248,IF(D248&gt;H248,"V","D"),""),""),"")))</f>
        <v>V</v>
      </c>
      <c r="E242" s="33" t="str">
        <f>IF(H242&lt;3,"",IF(H242=3,IF(D250&lt;&gt;"",IF(H250&lt;&gt;"",IF(D250&lt;&gt;H250,IF(D250&gt;H250,"V","D"),""),""),"")))</f>
        <v>V</v>
      </c>
      <c r="F242" s="33" t="s">
        <v>81</v>
      </c>
      <c r="G242" s="33" t="s">
        <v>81</v>
      </c>
      <c r="H242" s="117">
        <f>COUNTA(B242:B244)</f>
        <v>3</v>
      </c>
      <c r="I242" s="33">
        <f>IF(B242&lt;&gt;"",1,"")</f>
        <v>1</v>
      </c>
      <c r="J242" s="33" t="str">
        <f>IF(I242&lt;&gt;"",P242,"")</f>
        <v>MATEUS SIQUEIRA ZENKER</v>
      </c>
      <c r="K242" s="33" t="str">
        <f>IFERROR(IF(J242="","",VLOOKUP(J242,LISTAS!$F$5:$G$1004,2,0)),"0")</f>
        <v>COLÉGIO ARBOS - UNIDADE SANTO ANDRÉ</v>
      </c>
      <c r="L242" s="130" t="str">
        <f>IF(H242=3,"OURO",IF(H242=4,"OURO",IF(H242=5,"OURO","")))</f>
        <v>OURO</v>
      </c>
      <c r="M242" s="20">
        <f>IF(B242&lt;&gt;"",COUNTIF(D242:G242,"V")+(SUMIF(B248:B250,B242,D248:E250)/1000)+(SUMIF(J248:J250,B242,H248:I250)/1000)-(SUMIF(B248:B250,B242,H248:I250)/1000)-(SUMIF(J248:J250,B242,D248:E250)/1000)+0.003,"")</f>
        <v>2.0070000000000001</v>
      </c>
      <c r="N242" s="20" t="str">
        <f>IF(B242="","",B242)</f>
        <v>MATEUS SIQUEIRA ZENKER</v>
      </c>
      <c r="O242" s="20">
        <f>IF(B242&lt;&gt;"",LARGE(M242:M244,1),"")</f>
        <v>2.0070000000000001</v>
      </c>
      <c r="P242" s="20" t="str">
        <f>VLOOKUP(O242,M242:N244,2,0)</f>
        <v>MATEUS SIQUEIRA ZENKER</v>
      </c>
    </row>
    <row r="243" spans="2:16" ht="18" customHeight="1" x14ac:dyDescent="0.25">
      <c r="B243" s="33" t="s">
        <v>121</v>
      </c>
      <c r="C243" s="33" t="str">
        <f>IFERROR(IF(B243="","",VLOOKUP(B243,LISTAS!$F$5:$G$1004,2,0)),"0")</f>
        <v>PEN LIFE</v>
      </c>
      <c r="D243" s="33" t="str">
        <f>IF(H242&lt;3,"",IF(H242=3,IF(D249&lt;&gt;"",IF(H249&lt;&gt;"",IF(D249&lt;&gt;H249,IF(D249&gt;H249,"V","D"),""),""),"")))</f>
        <v>V</v>
      </c>
      <c r="E243" s="33" t="str">
        <f>IF(H242&lt;3,"",IF(H242=3,IF(D250&lt;&gt;"",IF(H250&lt;&gt;"",IF(D250&lt;&gt;H250,IF(D250&gt;H250,"D","V"),""),""),"")))</f>
        <v>D</v>
      </c>
      <c r="F243" s="33" t="s">
        <v>81</v>
      </c>
      <c r="G243" s="33" t="s">
        <v>81</v>
      </c>
      <c r="H243" s="117"/>
      <c r="I243" s="33">
        <f>IF(B243&lt;&gt;"",2,"")</f>
        <v>2</v>
      </c>
      <c r="J243" s="33" t="str">
        <f>IF(I243&lt;&gt;"",P243,"")</f>
        <v>ARTHUR RIBEIRO DELGADO</v>
      </c>
      <c r="K243" s="33" t="str">
        <f>IFERROR(IF(J243="","",VLOOKUP(J243,LISTAS!$F$5:$G$1004,2,0)),"0")</f>
        <v>PEN LIFE</v>
      </c>
      <c r="L243" s="130" t="str">
        <f>IF(H242=3,"PRATA",IF(H242=4,"OURO",IF(H242=5,"OURO","")))</f>
        <v>PRATA</v>
      </c>
      <c r="M243" s="20">
        <f>IF(B243&lt;&gt;"",COUNTIF(D243:G243,"V")+(SUMIF(B248:B250,B243,D248:E250)/1000)+(SUMIF(J248:J250,B243,H248:I250)/1000)-(SUMIF(B248:B250,B243,H248:I250)/1000)-(SUMIF(J248:J250,B243,D248:E250)/1000)+0.002,"")</f>
        <v>1.002</v>
      </c>
      <c r="N243" s="20" t="str">
        <f t="shared" ref="N243" si="16">IF(B243="","",B243)</f>
        <v>ARTHUR RIBEIRO DELGADO</v>
      </c>
      <c r="O243" s="20">
        <f>IF(B243&lt;&gt;"",LARGE(M242:M244,2),"")</f>
        <v>1.002</v>
      </c>
      <c r="P243" s="20" t="str">
        <f>VLOOKUP(O243,M242:N244,2,0)</f>
        <v>ARTHUR RIBEIRO DELGADO</v>
      </c>
    </row>
    <row r="244" spans="2:16" ht="18" customHeight="1" x14ac:dyDescent="0.25">
      <c r="B244" s="33" t="s">
        <v>200</v>
      </c>
      <c r="C244" s="33" t="str">
        <f>IFERROR(IF(B244="","",VLOOKUP(B244,LISTAS!$F$5:$G$1004,2,0)),"0")</f>
        <v>LICEU JARDIM</v>
      </c>
      <c r="D244" s="33" t="str">
        <f>IF(H242&lt;3,"",IF(H242=3,IF(D248&lt;&gt;"",IF(H248&lt;&gt;"",IF(D248&lt;&gt;H248,IF(D248&gt;H248,"D","V"),""),""),"")))</f>
        <v>D</v>
      </c>
      <c r="E244" s="33" t="str">
        <f>IF(H242&lt;3,"",IF(H242=3,IF(D249&lt;&gt;"",IF(H249&lt;&gt;"",IF(D249&lt;&gt;H249,IF(D249&gt;H249,"D","V"),""),""),"")))</f>
        <v>D</v>
      </c>
      <c r="F244" s="33" t="s">
        <v>81</v>
      </c>
      <c r="G244" s="33" t="s">
        <v>81</v>
      </c>
      <c r="H244" s="117"/>
      <c r="I244" s="33">
        <f>IF(B244&lt;&gt;"",3,"")</f>
        <v>3</v>
      </c>
      <c r="J244" s="33" t="str">
        <f>IF(I244&lt;&gt;"",P244,"")</f>
        <v>RODRIGO MASSINI JUNIOR</v>
      </c>
      <c r="K244" s="33" t="str">
        <f>IFERROR(IF(J244="","",VLOOKUP(J244,LISTAS!$F$5:$G$1004,2,0)),"0")</f>
        <v>LICEU JARDIM</v>
      </c>
      <c r="L244" s="130" t="str">
        <f>IF(H242=3,"BRONZE",IF(H242=4,"PRATA",IF(H242=5,"OURO","")))</f>
        <v>BRONZE</v>
      </c>
      <c r="M244" s="20">
        <f>IF(B244&lt;&gt;"",COUNTIF(D244:G244,"V")+(SUMIF(B248:B250,B244,D248:E250)/1000)+(SUMIF(J248:J250,B244,H248:I250)/1000)-(SUMIF(B248:B250,B244,H248:I250)/1000)-(SUMIF(J248:J250,B244,D248:E250)/1000)+0.001,"")</f>
        <v>-3.0000000000000001E-3</v>
      </c>
      <c r="N244" s="20" t="str">
        <f>IF(B244="","",B244)</f>
        <v>RODRIGO MASSINI JUNIOR</v>
      </c>
      <c r="O244" s="20">
        <f>IF(B244&lt;&gt;"",LARGE(M242:M244,3),"")</f>
        <v>-3.0000000000000001E-3</v>
      </c>
      <c r="P244" s="20" t="str">
        <f>VLOOKUP(O244,M242:N244,2,0)</f>
        <v>RODRIGO MASSINI JUNIOR</v>
      </c>
    </row>
    <row r="245" spans="2:16" ht="18" customHeight="1" x14ac:dyDescent="0.25">
      <c r="B245" s="79"/>
      <c r="C245" s="79"/>
      <c r="D245" s="79"/>
      <c r="E245" s="79"/>
      <c r="F245" s="79"/>
      <c r="G245" s="79"/>
      <c r="I245" s="80"/>
      <c r="J245" s="79"/>
      <c r="K245" s="81"/>
      <c r="L245" s="81"/>
    </row>
    <row r="246" spans="2:16" ht="23.25" customHeight="1" x14ac:dyDescent="0.25">
      <c r="B246" s="82" t="s">
        <v>40</v>
      </c>
      <c r="C246" s="79"/>
      <c r="D246" s="79"/>
      <c r="E246" s="79"/>
      <c r="F246" s="79"/>
      <c r="G246" s="79"/>
      <c r="H246" s="79"/>
      <c r="I246" s="79"/>
      <c r="J246" s="79"/>
      <c r="K246" s="79"/>
      <c r="L246" s="79"/>
    </row>
    <row r="247" spans="2:16" ht="18" customHeight="1" x14ac:dyDescent="0.25">
      <c r="B247" s="132" t="s">
        <v>15</v>
      </c>
      <c r="C247" s="132" t="s">
        <v>0</v>
      </c>
      <c r="D247" s="258" t="s">
        <v>41</v>
      </c>
      <c r="E247" s="259"/>
      <c r="F247" s="259"/>
      <c r="G247" s="259"/>
      <c r="H247" s="259"/>
      <c r="I247" s="260"/>
      <c r="J247" s="132" t="s">
        <v>15</v>
      </c>
      <c r="K247" s="132" t="s">
        <v>0</v>
      </c>
      <c r="L247" s="79"/>
    </row>
    <row r="248" spans="2:16" ht="18" customHeight="1" x14ac:dyDescent="0.25">
      <c r="B248" s="33" t="str">
        <f>IF(H242=3,B242,"")</f>
        <v>MATEUS SIQUEIRA ZENKER</v>
      </c>
      <c r="C248" s="33" t="str">
        <f>IFERROR(IF(B248="","",VLOOKUP(B248,LISTAS!$F$5:$G$1004,2,0)),"0")</f>
        <v>COLÉGIO ARBOS - UNIDADE SANTO ANDRÉ</v>
      </c>
      <c r="D248" s="253">
        <v>2</v>
      </c>
      <c r="E248" s="254"/>
      <c r="F248" s="253" t="s">
        <v>38</v>
      </c>
      <c r="G248" s="254"/>
      <c r="H248" s="253">
        <v>0</v>
      </c>
      <c r="I248" s="254"/>
      <c r="J248" s="111" t="str">
        <f>IF(H242=3,B244,"")</f>
        <v>RODRIGO MASSINI JUNIOR</v>
      </c>
      <c r="K248" s="33" t="str">
        <f>IFERROR(IF(J248="","",VLOOKUP(J248,LISTAS!$F$5:$G$1004,2,0)),"0")</f>
        <v>LICEU JARDIM</v>
      </c>
      <c r="L248" s="81"/>
    </row>
    <row r="249" spans="2:16" ht="18" customHeight="1" x14ac:dyDescent="0.25">
      <c r="B249" s="33" t="str">
        <f>IF(H242=3,B243,"")</f>
        <v>ARTHUR RIBEIRO DELGADO</v>
      </c>
      <c r="C249" s="33" t="str">
        <f>IFERROR(IF(B249="","",VLOOKUP(B249,LISTAS!$F$5:$G$1004,2,0)),"0")</f>
        <v>PEN LIFE</v>
      </c>
      <c r="D249" s="253">
        <v>2</v>
      </c>
      <c r="E249" s="254"/>
      <c r="F249" s="253" t="s">
        <v>38</v>
      </c>
      <c r="G249" s="254"/>
      <c r="H249" s="253">
        <v>0</v>
      </c>
      <c r="I249" s="254"/>
      <c r="J249" s="111" t="str">
        <f>IF(H242=3,B244,"")</f>
        <v>RODRIGO MASSINI JUNIOR</v>
      </c>
      <c r="K249" s="33" t="str">
        <f>IFERROR(IF(J249="","",VLOOKUP(J249,LISTAS!$F$5:$G$1004,2,0)),"0")</f>
        <v>LICEU JARDIM</v>
      </c>
      <c r="L249" s="79"/>
    </row>
    <row r="250" spans="2:16" ht="18" customHeight="1" x14ac:dyDescent="0.25">
      <c r="B250" s="33" t="str">
        <f>IF(H242=3,B242,"")</f>
        <v>MATEUS SIQUEIRA ZENKER</v>
      </c>
      <c r="C250" s="33" t="str">
        <f>IFERROR(IF(B250="","",VLOOKUP(B250,LISTAS!$F$5:$G$1004,2,0)),"0")</f>
        <v>COLÉGIO ARBOS - UNIDADE SANTO ANDRÉ</v>
      </c>
      <c r="D250" s="253">
        <v>2</v>
      </c>
      <c r="E250" s="254"/>
      <c r="F250" s="253" t="s">
        <v>38</v>
      </c>
      <c r="G250" s="254"/>
      <c r="H250" s="253">
        <v>0</v>
      </c>
      <c r="I250" s="254"/>
      <c r="J250" s="111" t="str">
        <f>IF(H242=3,B243,"")</f>
        <v>ARTHUR RIBEIRO DELGADO</v>
      </c>
      <c r="K250" s="33" t="str">
        <f>IFERROR(IF(J250="","",VLOOKUP(J250,LISTAS!$F$5:$G$1004,2,0)),"0")</f>
        <v>PEN LIFE</v>
      </c>
      <c r="L250" s="81"/>
    </row>
    <row r="253" spans="2:16" ht="30" customHeight="1" x14ac:dyDescent="0.25">
      <c r="B253" s="161" t="s">
        <v>63</v>
      </c>
      <c r="C253" s="79"/>
      <c r="D253" s="255" t="s">
        <v>42</v>
      </c>
      <c r="E253" s="256"/>
      <c r="F253" s="256"/>
      <c r="G253" s="257"/>
      <c r="H253" s="113"/>
      <c r="I253" s="255" t="s">
        <v>3</v>
      </c>
      <c r="J253" s="256"/>
      <c r="K253" s="256"/>
      <c r="L253" s="256"/>
    </row>
    <row r="254" spans="2:16" ht="18" customHeight="1" x14ac:dyDescent="0.25">
      <c r="B254" s="132" t="s">
        <v>15</v>
      </c>
      <c r="C254" s="132" t="s">
        <v>0</v>
      </c>
      <c r="D254" s="132" t="s">
        <v>43</v>
      </c>
      <c r="E254" s="132" t="s">
        <v>44</v>
      </c>
      <c r="F254" s="132" t="s">
        <v>77</v>
      </c>
      <c r="G254" s="132" t="s">
        <v>78</v>
      </c>
      <c r="H254" s="114"/>
      <c r="I254" s="132" t="s">
        <v>18</v>
      </c>
      <c r="J254" s="132" t="s">
        <v>15</v>
      </c>
      <c r="K254" s="132" t="s">
        <v>0</v>
      </c>
      <c r="L254" s="132" t="s">
        <v>45</v>
      </c>
    </row>
    <row r="255" spans="2:16" ht="18" customHeight="1" x14ac:dyDescent="0.25">
      <c r="B255" s="33" t="s">
        <v>176</v>
      </c>
      <c r="C255" s="33" t="str">
        <f>IFERROR(IF(B255="","",VLOOKUP(B255,LISTAS!$F$5:$G$1004,2,0)),"0")</f>
        <v>COLÉGIO ATENEU</v>
      </c>
      <c r="D255" s="33" t="str">
        <f>IF(H255&lt;3,"",IF(H255=3,IF(D261&lt;&gt;"",IF(H261&lt;&gt;"",IF(D261&lt;&gt;H261,IF(D261&gt;H261,"V","D"),""),""),"")))</f>
        <v>D</v>
      </c>
      <c r="E255" s="33" t="str">
        <f>IF(H255&lt;3,"",IF(H255=3,IF(D263&lt;&gt;"",IF(H263&lt;&gt;"",IF(D263&lt;&gt;H263,IF(D263&gt;H263,"V","D"),""),""),"")))</f>
        <v>D</v>
      </c>
      <c r="F255" s="33" t="s">
        <v>81</v>
      </c>
      <c r="G255" s="33" t="s">
        <v>81</v>
      </c>
      <c r="H255" s="117">
        <f>COUNTA(B255:B257)</f>
        <v>3</v>
      </c>
      <c r="I255" s="33">
        <f>IF(B255&lt;&gt;"",1,"")</f>
        <v>1</v>
      </c>
      <c r="J255" s="33" t="str">
        <f>IF(I255&lt;&gt;"",P255,"")</f>
        <v>LUIGI BELLINI VOLTARELLI</v>
      </c>
      <c r="K255" s="33" t="str">
        <f>IFERROR(IF(J255="","",VLOOKUP(J255,LISTAS!$F$5:$G$1004,2,0)),"0")</f>
        <v>ESCOLA VILLARE</v>
      </c>
      <c r="L255" s="130" t="str">
        <f>IF(H255=3,"OURO",IF(H255=4,"OURO",IF(H255=5,"OURO","")))</f>
        <v>OURO</v>
      </c>
      <c r="M255" s="20">
        <f>IF(B255&lt;&gt;"",COUNTIF(D255:G255,"V")+(SUMIF(B261:B263,B255,D261:E263)/1000)+(SUMIF(J261:J263,B255,H261:I263)/1000)-(SUMIF(B261:B263,B255,H261:I263)/1000)-(SUMIF(J261:J263,B255,D261:E263)/1000)+0.003,"")</f>
        <v>-1E-3</v>
      </c>
      <c r="N255" s="20" t="str">
        <f>IF(B255="","",B255)</f>
        <v>MATEUS DE BRITO ALINERI</v>
      </c>
      <c r="O255" s="20">
        <f>IF(B255&lt;&gt;"",LARGE(M255:M257,1),"")</f>
        <v>2.0049999999999994</v>
      </c>
      <c r="P255" s="20" t="str">
        <f>VLOOKUP(O255,M255:N257,2,0)</f>
        <v>LUIGI BELLINI VOLTARELLI</v>
      </c>
    </row>
    <row r="256" spans="2:16" ht="18" customHeight="1" x14ac:dyDescent="0.25">
      <c r="B256" s="33" t="s">
        <v>172</v>
      </c>
      <c r="C256" s="33" t="str">
        <f>IFERROR(IF(B256="","",VLOOKUP(B256,LISTAS!$F$5:$G$1004,2,0)),"0")</f>
        <v>ESCOLA VILLARE</v>
      </c>
      <c r="D256" s="33" t="str">
        <f>IF(H255&lt;3,"",IF(H255=3,IF(D262&lt;&gt;"",IF(H262&lt;&gt;"",IF(D262&lt;&gt;H262,IF(D262&gt;H262,"V","D"),""),""),"")))</f>
        <v>V</v>
      </c>
      <c r="E256" s="33" t="str">
        <f>IF(H255&lt;3,"",IF(H255=3,IF(D263&lt;&gt;"",IF(H263&lt;&gt;"",IF(D263&lt;&gt;H263,IF(D263&gt;H263,"D","V"),""),""),"")))</f>
        <v>V</v>
      </c>
      <c r="F256" s="33" t="s">
        <v>81</v>
      </c>
      <c r="G256" s="33" t="s">
        <v>81</v>
      </c>
      <c r="H256" s="117"/>
      <c r="I256" s="33">
        <f>IF(B256&lt;&gt;"",2,"")</f>
        <v>2</v>
      </c>
      <c r="J256" s="33" t="str">
        <f>IF(I256&lt;&gt;"",P256,"")</f>
        <v>MATHEUS HENRIQUE SGOBI</v>
      </c>
      <c r="K256" s="33" t="str">
        <f>IFERROR(IF(J256="","",VLOOKUP(J256,LISTAS!$F$5:$G$1004,2,0)),"0")</f>
        <v>COLÉGIO ARBOS - UNIDADE SANTO ANDRÉ</v>
      </c>
      <c r="L256" s="130" t="str">
        <f>IF(H255=3,"PRATA",IF(H255=4,"OURO",IF(H255=5,"OURO","")))</f>
        <v>PRATA</v>
      </c>
      <c r="M256" s="20">
        <f>IF(B256&lt;&gt;"",COUNTIF(D256:G256,"V")+(SUMIF(B261:B263,B256,D261:E263)/1000)+(SUMIF(J261:J263,B256,H261:I263)/1000)-(SUMIF(B261:B263,B256,H261:I263)/1000)-(SUMIF(J261:J263,B256,D261:E263)/1000)+0.002,"")</f>
        <v>2.0049999999999994</v>
      </c>
      <c r="N256" s="20" t="str">
        <f t="shared" ref="N256" si="17">IF(B256="","",B256)</f>
        <v>LUIGI BELLINI VOLTARELLI</v>
      </c>
      <c r="O256" s="20">
        <f>IF(B256&lt;&gt;"",LARGE(M255:M257,2),"")</f>
        <v>1.0019999999999998</v>
      </c>
      <c r="P256" s="20" t="str">
        <f>VLOOKUP(O256,M255:N257,2,0)</f>
        <v>MATHEUS HENRIQUE SGOBI</v>
      </c>
    </row>
    <row r="257" spans="2:16" ht="18" customHeight="1" x14ac:dyDescent="0.25">
      <c r="B257" s="33" t="s">
        <v>179</v>
      </c>
      <c r="C257" s="33" t="str">
        <f>IFERROR(IF(B257="","",VLOOKUP(B257,LISTAS!$F$5:$G$1004,2,0)),"0")</f>
        <v>COLÉGIO ARBOS - UNIDADE SANTO ANDRÉ</v>
      </c>
      <c r="D257" s="33" t="str">
        <f>IF(H255&lt;3,"",IF(H255=3,IF(D261&lt;&gt;"",IF(H261&lt;&gt;"",IF(D261&lt;&gt;H261,IF(D261&gt;H261,"D","V"),""),""),"")))</f>
        <v>V</v>
      </c>
      <c r="E257" s="33" t="str">
        <f>IF(H255&lt;3,"",IF(H255=3,IF(D262&lt;&gt;"",IF(H262&lt;&gt;"",IF(D262&lt;&gt;H262,IF(D262&gt;H262,"D","V"),""),""),"")))</f>
        <v>D</v>
      </c>
      <c r="F257" s="33" t="s">
        <v>81</v>
      </c>
      <c r="G257" s="33" t="s">
        <v>81</v>
      </c>
      <c r="H257" s="117"/>
      <c r="I257" s="33">
        <f>IF(B257&lt;&gt;"",3,"")</f>
        <v>3</v>
      </c>
      <c r="J257" s="33" t="str">
        <f>IF(I257&lt;&gt;"",P257,"")</f>
        <v>MATEUS DE BRITO ALINERI</v>
      </c>
      <c r="K257" s="33" t="str">
        <f>IFERROR(IF(J257="","",VLOOKUP(J257,LISTAS!$F$5:$G$1004,2,0)),"0")</f>
        <v>COLÉGIO ATENEU</v>
      </c>
      <c r="L257" s="130" t="str">
        <f>IF(H255=3,"BRONZE",IF(H255=4,"PRATA",IF(H255=5,"OURO","")))</f>
        <v>BRONZE</v>
      </c>
      <c r="M257" s="20">
        <f>IF(B257&lt;&gt;"",COUNTIF(D257:G257,"V")+(SUMIF(B261:B263,B257,D261:E263)/1000)+(SUMIF(J261:J263,B257,H261:I263)/1000)-(SUMIF(B261:B263,B257,H261:I263)/1000)-(SUMIF(J261:J263,B257,D261:E263)/1000)+0.001,"")</f>
        <v>1.0019999999999998</v>
      </c>
      <c r="N257" s="20" t="str">
        <f>IF(B257="","",B257)</f>
        <v>MATHEUS HENRIQUE SGOBI</v>
      </c>
      <c r="O257" s="20">
        <f>IF(B257&lt;&gt;"",LARGE(M255:M257,3),"")</f>
        <v>-1E-3</v>
      </c>
      <c r="P257" s="20" t="str">
        <f>VLOOKUP(O257,M255:N257,2,0)</f>
        <v>MATEUS DE BRITO ALINERI</v>
      </c>
    </row>
    <row r="258" spans="2:16" ht="18" customHeight="1" x14ac:dyDescent="0.25">
      <c r="B258" s="79"/>
      <c r="C258" s="79"/>
      <c r="D258" s="79"/>
      <c r="E258" s="79"/>
      <c r="F258" s="79"/>
      <c r="G258" s="79"/>
      <c r="I258" s="80"/>
      <c r="J258" s="79"/>
      <c r="K258" s="81"/>
      <c r="L258" s="81"/>
    </row>
    <row r="259" spans="2:16" ht="23.25" customHeight="1" x14ac:dyDescent="0.25">
      <c r="B259" s="82" t="s">
        <v>40</v>
      </c>
      <c r="C259" s="79"/>
      <c r="D259" s="79"/>
      <c r="E259" s="79"/>
      <c r="F259" s="79"/>
      <c r="G259" s="79"/>
      <c r="H259" s="79"/>
      <c r="I259" s="79"/>
      <c r="J259" s="79"/>
      <c r="K259" s="79"/>
      <c r="L259" s="79"/>
    </row>
    <row r="260" spans="2:16" ht="18" customHeight="1" x14ac:dyDescent="0.25">
      <c r="B260" s="132" t="s">
        <v>15</v>
      </c>
      <c r="C260" s="132" t="s">
        <v>0</v>
      </c>
      <c r="D260" s="258" t="s">
        <v>41</v>
      </c>
      <c r="E260" s="259"/>
      <c r="F260" s="259"/>
      <c r="G260" s="259"/>
      <c r="H260" s="259"/>
      <c r="I260" s="260"/>
      <c r="J260" s="132" t="s">
        <v>15</v>
      </c>
      <c r="K260" s="132" t="s">
        <v>0</v>
      </c>
      <c r="L260" s="79"/>
    </row>
    <row r="261" spans="2:16" ht="18" customHeight="1" x14ac:dyDescent="0.25">
      <c r="B261" s="33" t="str">
        <f>IF(H255=3,B255,"")</f>
        <v>MATEUS DE BRITO ALINERI</v>
      </c>
      <c r="C261" s="33" t="str">
        <f>IFERROR(IF(B261="","",VLOOKUP(B261,LISTAS!$F$5:$G$1004,2,0)),"0")</f>
        <v>COLÉGIO ATENEU</v>
      </c>
      <c r="D261" s="253">
        <v>0</v>
      </c>
      <c r="E261" s="254"/>
      <c r="F261" s="253" t="s">
        <v>38</v>
      </c>
      <c r="G261" s="254"/>
      <c r="H261" s="253">
        <v>2</v>
      </c>
      <c r="I261" s="254"/>
      <c r="J261" s="111" t="str">
        <f>IF(H255=3,B257,"")</f>
        <v>MATHEUS HENRIQUE SGOBI</v>
      </c>
      <c r="K261" s="33" t="str">
        <f>IFERROR(IF(J261="","",VLOOKUP(J261,LISTAS!$F$5:$G$1004,2,0)),"0")</f>
        <v>COLÉGIO ARBOS - UNIDADE SANTO ANDRÉ</v>
      </c>
      <c r="L261" s="81"/>
    </row>
    <row r="262" spans="2:16" ht="18" customHeight="1" x14ac:dyDescent="0.25">
      <c r="B262" s="33" t="str">
        <f>IF(H255=3,B256,"")</f>
        <v>LUIGI BELLINI VOLTARELLI</v>
      </c>
      <c r="C262" s="33" t="str">
        <f>IFERROR(IF(B262="","",VLOOKUP(B262,LISTAS!$F$5:$G$1004,2,0)),"0")</f>
        <v>ESCOLA VILLARE</v>
      </c>
      <c r="D262" s="253">
        <v>2</v>
      </c>
      <c r="E262" s="254"/>
      <c r="F262" s="253" t="s">
        <v>38</v>
      </c>
      <c r="G262" s="254"/>
      <c r="H262" s="253">
        <v>1</v>
      </c>
      <c r="I262" s="254"/>
      <c r="J262" s="111" t="str">
        <f>IF(H255=3,B257,"")</f>
        <v>MATHEUS HENRIQUE SGOBI</v>
      </c>
      <c r="K262" s="33" t="str">
        <f>IFERROR(IF(J262="","",VLOOKUP(J262,LISTAS!$F$5:$G$1004,2,0)),"0")</f>
        <v>COLÉGIO ARBOS - UNIDADE SANTO ANDRÉ</v>
      </c>
      <c r="L262" s="79"/>
    </row>
    <row r="263" spans="2:16" ht="18" customHeight="1" x14ac:dyDescent="0.25">
      <c r="B263" s="33" t="str">
        <f>IF(H255=3,B255,"")</f>
        <v>MATEUS DE BRITO ALINERI</v>
      </c>
      <c r="C263" s="33" t="str">
        <f>IFERROR(IF(B263="","",VLOOKUP(B263,LISTAS!$F$5:$G$1004,2,0)),"0")</f>
        <v>COLÉGIO ATENEU</v>
      </c>
      <c r="D263" s="253">
        <v>0</v>
      </c>
      <c r="E263" s="254"/>
      <c r="F263" s="253" t="s">
        <v>38</v>
      </c>
      <c r="G263" s="254"/>
      <c r="H263" s="253">
        <v>2</v>
      </c>
      <c r="I263" s="254"/>
      <c r="J263" s="111" t="str">
        <f>IF(H255=3,B256,"")</f>
        <v>LUIGI BELLINI VOLTARELLI</v>
      </c>
      <c r="K263" s="33" t="str">
        <f>IFERROR(IF(J263="","",VLOOKUP(J263,LISTAS!$F$5:$G$1004,2,0)),"0")</f>
        <v>ESCOLA VILLARE</v>
      </c>
      <c r="L263" s="81"/>
    </row>
    <row r="266" spans="2:16" ht="30" customHeight="1" x14ac:dyDescent="0.25">
      <c r="B266" s="161" t="s">
        <v>64</v>
      </c>
      <c r="C266" s="79"/>
      <c r="D266" s="255" t="s">
        <v>42</v>
      </c>
      <c r="E266" s="256"/>
      <c r="F266" s="256"/>
      <c r="G266" s="257"/>
      <c r="H266" s="113"/>
      <c r="I266" s="255" t="s">
        <v>3</v>
      </c>
      <c r="J266" s="256"/>
      <c r="K266" s="256"/>
      <c r="L266" s="256"/>
    </row>
    <row r="267" spans="2:16" ht="18" customHeight="1" x14ac:dyDescent="0.25">
      <c r="B267" s="132" t="s">
        <v>15</v>
      </c>
      <c r="C267" s="132" t="s">
        <v>0</v>
      </c>
      <c r="D267" s="132" t="s">
        <v>43</v>
      </c>
      <c r="E267" s="132" t="s">
        <v>44</v>
      </c>
      <c r="F267" s="132" t="s">
        <v>77</v>
      </c>
      <c r="G267" s="132" t="s">
        <v>78</v>
      </c>
      <c r="H267" s="114"/>
      <c r="I267" s="132" t="s">
        <v>18</v>
      </c>
      <c r="J267" s="132" t="s">
        <v>15</v>
      </c>
      <c r="K267" s="132" t="s">
        <v>0</v>
      </c>
      <c r="L267" s="132" t="s">
        <v>45</v>
      </c>
    </row>
    <row r="268" spans="2:16" ht="18" customHeight="1" x14ac:dyDescent="0.25">
      <c r="B268" s="33" t="s">
        <v>182</v>
      </c>
      <c r="C268" s="33" t="str">
        <f>IFERROR(IF(B268="","",VLOOKUP(B268,LISTAS!$F$5:$G$1004,2,0)),"0")</f>
        <v>COLÉGIO ARBOS - UNIDADE SANTO ANDRÉ</v>
      </c>
      <c r="D268" s="33" t="str">
        <f>IF(H268&lt;3,"",IF(H268=3,IF(D274&lt;&gt;"",IF(H274&lt;&gt;"",IF(D274&lt;&gt;H274,IF(D274&gt;H274,"V","D"),""),""),"")))</f>
        <v>D</v>
      </c>
      <c r="E268" s="33" t="str">
        <f>IF(H268&lt;3,"",IF(H268=3,IF(D276&lt;&gt;"",IF(H276&lt;&gt;"",IF(D276&lt;&gt;H276,IF(D276&gt;H276,"V","D"),""),""),"")))</f>
        <v>D</v>
      </c>
      <c r="F268" s="33" t="s">
        <v>81</v>
      </c>
      <c r="G268" s="33" t="s">
        <v>81</v>
      </c>
      <c r="H268" s="117">
        <f>COUNTA(B268:B270)</f>
        <v>3</v>
      </c>
      <c r="I268" s="33">
        <f>IF(B268&lt;&gt;"",1,"")</f>
        <v>1</v>
      </c>
      <c r="J268" s="33" t="str">
        <f>IF(I268&lt;&gt;"",P268,"")</f>
        <v>THEO FROEMMING MINEMATSU</v>
      </c>
      <c r="K268" s="33" t="str">
        <f>IFERROR(IF(J268="","",VLOOKUP(J268,LISTAS!$F$5:$G$1004,2,0)),"0")</f>
        <v>ABACO IPIRANGA</v>
      </c>
      <c r="L268" s="130" t="str">
        <f>IF(H268=3,"OURO",IF(H268=4,"OURO",IF(H268=5,"OURO","")))</f>
        <v>OURO</v>
      </c>
      <c r="M268" s="20">
        <f>IF(B268&lt;&gt;"",COUNTIF(D268:G268,"V")+(SUMIF(B274:B276,B268,D274:E276)/1000)+(SUMIF(J274:J276,B268,H274:I276)/1000)-(SUMIF(B274:B276,B268,H274:I276)/1000)-(SUMIF(J274:J276,B268,D274:E276)/1000)+0.003,"")</f>
        <v>1E-3</v>
      </c>
      <c r="N268" s="20" t="str">
        <f>IF(B268="","",B268)</f>
        <v>MATHEUS JULIANI CRUZ</v>
      </c>
      <c r="O268" s="20">
        <f>IF(B268&lt;&gt;"",LARGE(M268:M270,1),"")</f>
        <v>2.0049999999999994</v>
      </c>
      <c r="P268" s="20" t="str">
        <f>VLOOKUP(O268,M268:N270,2,0)</f>
        <v>THEO FROEMMING MINEMATSU</v>
      </c>
    </row>
    <row r="269" spans="2:16" ht="18" customHeight="1" x14ac:dyDescent="0.25">
      <c r="B269" s="33" t="s">
        <v>202</v>
      </c>
      <c r="C269" s="33" t="str">
        <f>IFERROR(IF(B269="","",VLOOKUP(B269,LISTAS!$F$5:$G$1004,2,0)),"0")</f>
        <v>ABACO IPIRANGA</v>
      </c>
      <c r="D269" s="33" t="str">
        <f>IF(H268&lt;3,"",IF(H268=3,IF(D275&lt;&gt;"",IF(H275&lt;&gt;"",IF(D275&lt;&gt;H275,IF(D275&gt;H275,"V","D"),""),""),"")))</f>
        <v>V</v>
      </c>
      <c r="E269" s="33" t="str">
        <f>IF(H268&lt;3,"",IF(H268=3,IF(D276&lt;&gt;"",IF(H276&lt;&gt;"",IF(D276&lt;&gt;H276,IF(D276&gt;H276,"D","V"),""),""),"")))</f>
        <v>V</v>
      </c>
      <c r="F269" s="33" t="s">
        <v>81</v>
      </c>
      <c r="G269" s="33" t="s">
        <v>81</v>
      </c>
      <c r="H269" s="117"/>
      <c r="I269" s="33">
        <f>IF(B269&lt;&gt;"",2,"")</f>
        <v>2</v>
      </c>
      <c r="J269" s="33" t="str">
        <f>IF(I269&lt;&gt;"",P269,"")</f>
        <v>MATHEUS JARDIM CASSI</v>
      </c>
      <c r="K269" s="33" t="str">
        <f>IFERROR(IF(J269="","",VLOOKUP(J269,LISTAS!$F$5:$G$1004,2,0)),"0")</f>
        <v>ESCOLA IL SOLE</v>
      </c>
      <c r="L269" s="130" t="str">
        <f>IF(H268=3,"PRATA",IF(H268=4,"OURO",IF(H268=5,"OURO","")))</f>
        <v>PRATA</v>
      </c>
      <c r="M269" s="20">
        <f>IF(B269&lt;&gt;"",COUNTIF(D269:G269,"V")+(SUMIF(B274:B276,B269,D274:E276)/1000)+(SUMIF(J274:J276,B269,H274:I276)/1000)-(SUMIF(B274:B276,B269,H274:I276)/1000)-(SUMIF(J274:J276,B269,D274:E276)/1000)+0.002,"")</f>
        <v>2.0049999999999994</v>
      </c>
      <c r="N269" s="20" t="str">
        <f t="shared" ref="N269" si="18">IF(B269="","",B269)</f>
        <v>THEO FROEMMING MINEMATSU</v>
      </c>
      <c r="O269" s="20">
        <f>IF(B269&lt;&gt;"",LARGE(M268:M270,2),"")</f>
        <v>1</v>
      </c>
      <c r="P269" s="20" t="str">
        <f>VLOOKUP(O269,M268:N270,2,0)</f>
        <v>MATHEUS JARDIM CASSI</v>
      </c>
    </row>
    <row r="270" spans="2:16" ht="18" customHeight="1" x14ac:dyDescent="0.25">
      <c r="B270" s="33" t="s">
        <v>180</v>
      </c>
      <c r="C270" s="33" t="str">
        <f>IFERROR(IF(B270="","",VLOOKUP(B270,LISTAS!$F$5:$G$1004,2,0)),"0")</f>
        <v>ESCOLA IL SOLE</v>
      </c>
      <c r="D270" s="33" t="str">
        <f>IF(H268&lt;3,"",IF(H268=3,IF(D274&lt;&gt;"",IF(H274&lt;&gt;"",IF(D274&lt;&gt;H274,IF(D274&gt;H274,"D","V"),""),""),"")))</f>
        <v>V</v>
      </c>
      <c r="E270" s="33" t="str">
        <f>IF(H268&lt;3,"",IF(H268=3,IF(D275&lt;&gt;"",IF(H275&lt;&gt;"",IF(D275&lt;&gt;H275,IF(D275&gt;H275,"D","V"),""),""),"")))</f>
        <v>D</v>
      </c>
      <c r="F270" s="33" t="s">
        <v>81</v>
      </c>
      <c r="G270" s="33" t="s">
        <v>81</v>
      </c>
      <c r="H270" s="117"/>
      <c r="I270" s="33">
        <f>IF(B270&lt;&gt;"",3,"")</f>
        <v>3</v>
      </c>
      <c r="J270" s="33" t="str">
        <f>IF(I270&lt;&gt;"",P270,"")</f>
        <v>MATHEUS JULIANI CRUZ</v>
      </c>
      <c r="K270" s="33" t="str">
        <f>IFERROR(IF(J270="","",VLOOKUP(J270,LISTAS!$F$5:$G$1004,2,0)),"0")</f>
        <v>COLÉGIO ARBOS - UNIDADE SANTO ANDRÉ</v>
      </c>
      <c r="L270" s="130" t="str">
        <f>IF(H268=3,"BRONZE",IF(H268=4,"PRATA",IF(H268=5,"OURO","")))</f>
        <v>BRONZE</v>
      </c>
      <c r="M270" s="20">
        <f>IF(B270&lt;&gt;"",COUNTIF(D270:G270,"V")+(SUMIF(B274:B276,B270,D274:E276)/1000)+(SUMIF(J274:J276,B270,H274:I276)/1000)-(SUMIF(B274:B276,B270,H274:I276)/1000)-(SUMIF(J274:J276,B270,D274:E276)/1000)+0.001,"")</f>
        <v>1</v>
      </c>
      <c r="N270" s="20" t="str">
        <f>IF(B270="","",B270)</f>
        <v>MATHEUS JARDIM CASSI</v>
      </c>
      <c r="O270" s="20">
        <f>IF(B270&lt;&gt;"",LARGE(M268:M270,3),"")</f>
        <v>1E-3</v>
      </c>
      <c r="P270" s="20" t="str">
        <f>VLOOKUP(O270,M268:N270,2,0)</f>
        <v>MATHEUS JULIANI CRUZ</v>
      </c>
    </row>
    <row r="271" spans="2:16" ht="18" customHeight="1" x14ac:dyDescent="0.25">
      <c r="B271" s="79"/>
      <c r="C271" s="79"/>
      <c r="D271" s="79"/>
      <c r="E271" s="79"/>
      <c r="F271" s="79"/>
      <c r="G271" s="79"/>
      <c r="I271" s="80"/>
      <c r="J271" s="79"/>
      <c r="K271" s="81"/>
      <c r="L271" s="81"/>
    </row>
    <row r="272" spans="2:16" ht="23.25" customHeight="1" x14ac:dyDescent="0.25">
      <c r="B272" s="82" t="s">
        <v>40</v>
      </c>
      <c r="C272" s="79"/>
      <c r="D272" s="79"/>
      <c r="E272" s="79"/>
      <c r="F272" s="79"/>
      <c r="G272" s="79"/>
      <c r="H272" s="79"/>
      <c r="I272" s="79"/>
      <c r="J272" s="79"/>
      <c r="K272" s="79"/>
      <c r="L272" s="79"/>
    </row>
    <row r="273" spans="2:16" ht="18" customHeight="1" x14ac:dyDescent="0.25">
      <c r="B273" s="132" t="s">
        <v>15</v>
      </c>
      <c r="C273" s="132" t="s">
        <v>0</v>
      </c>
      <c r="D273" s="258" t="s">
        <v>41</v>
      </c>
      <c r="E273" s="259"/>
      <c r="F273" s="259"/>
      <c r="G273" s="259"/>
      <c r="H273" s="259"/>
      <c r="I273" s="260"/>
      <c r="J273" s="132" t="s">
        <v>15</v>
      </c>
      <c r="K273" s="132" t="s">
        <v>0</v>
      </c>
      <c r="L273" s="79"/>
    </row>
    <row r="274" spans="2:16" ht="18" customHeight="1" x14ac:dyDescent="0.25">
      <c r="B274" s="33" t="str">
        <f>IF(H268=3,B268,"")</f>
        <v>MATHEUS JULIANI CRUZ</v>
      </c>
      <c r="C274" s="33" t="str">
        <f>IFERROR(IF(B274="","",VLOOKUP(B274,LISTAS!$F$5:$G$1004,2,0)),"0")</f>
        <v>COLÉGIO ARBOS - UNIDADE SANTO ANDRÉ</v>
      </c>
      <c r="D274" s="253">
        <v>1</v>
      </c>
      <c r="E274" s="254"/>
      <c r="F274" s="253" t="s">
        <v>38</v>
      </c>
      <c r="G274" s="254"/>
      <c r="H274" s="253">
        <v>2</v>
      </c>
      <c r="I274" s="254"/>
      <c r="J274" s="111" t="str">
        <f>IF(H268=3,B270,"")</f>
        <v>MATHEUS JARDIM CASSI</v>
      </c>
      <c r="K274" s="33" t="str">
        <f>IFERROR(IF(J274="","",VLOOKUP(J274,LISTAS!$F$5:$G$1004,2,0)),"0")</f>
        <v>ESCOLA IL SOLE</v>
      </c>
      <c r="L274" s="81"/>
    </row>
    <row r="275" spans="2:16" ht="18" customHeight="1" x14ac:dyDescent="0.25">
      <c r="B275" s="33" t="str">
        <f>IF(H268=3,B269,"")</f>
        <v>THEO FROEMMING MINEMATSU</v>
      </c>
      <c r="C275" s="33" t="str">
        <f>IFERROR(IF(B275="","",VLOOKUP(B275,LISTAS!$F$5:$G$1004,2,0)),"0")</f>
        <v>ABACO IPIRANGA</v>
      </c>
      <c r="D275" s="253">
        <v>2</v>
      </c>
      <c r="E275" s="254"/>
      <c r="F275" s="253" t="s">
        <v>38</v>
      </c>
      <c r="G275" s="254"/>
      <c r="H275" s="253">
        <v>0</v>
      </c>
      <c r="I275" s="254"/>
      <c r="J275" s="111" t="str">
        <f>IF(H268=3,B270,"")</f>
        <v>MATHEUS JARDIM CASSI</v>
      </c>
      <c r="K275" s="33" t="str">
        <f>IFERROR(IF(J275="","",VLOOKUP(J275,LISTAS!$F$5:$G$1004,2,0)),"0")</f>
        <v>ESCOLA IL SOLE</v>
      </c>
      <c r="L275" s="79"/>
    </row>
    <row r="276" spans="2:16" ht="18" customHeight="1" x14ac:dyDescent="0.25">
      <c r="B276" s="33" t="str">
        <f>IF(H268=3,B268,"")</f>
        <v>MATHEUS JULIANI CRUZ</v>
      </c>
      <c r="C276" s="33" t="str">
        <f>IFERROR(IF(B276="","",VLOOKUP(B276,LISTAS!$F$5:$G$1004,2,0)),"0")</f>
        <v>COLÉGIO ARBOS - UNIDADE SANTO ANDRÉ</v>
      </c>
      <c r="D276" s="253">
        <v>1</v>
      </c>
      <c r="E276" s="254"/>
      <c r="F276" s="253" t="s">
        <v>38</v>
      </c>
      <c r="G276" s="254"/>
      <c r="H276" s="253">
        <v>2</v>
      </c>
      <c r="I276" s="254"/>
      <c r="J276" s="111" t="str">
        <f>IF(H268=3,B269,"")</f>
        <v>THEO FROEMMING MINEMATSU</v>
      </c>
      <c r="K276" s="33" t="str">
        <f>IFERROR(IF(J276="","",VLOOKUP(J276,LISTAS!$F$5:$G$1004,2,0)),"0")</f>
        <v>ABACO IPIRANGA</v>
      </c>
      <c r="L276" s="81"/>
    </row>
    <row r="279" spans="2:16" ht="30" customHeight="1" x14ac:dyDescent="0.25">
      <c r="B279" s="161" t="s">
        <v>65</v>
      </c>
      <c r="C279" s="79"/>
      <c r="D279" s="255" t="s">
        <v>42</v>
      </c>
      <c r="E279" s="256"/>
      <c r="F279" s="256"/>
      <c r="G279" s="257"/>
      <c r="H279" s="113"/>
      <c r="I279" s="255" t="s">
        <v>3</v>
      </c>
      <c r="J279" s="256"/>
      <c r="K279" s="256"/>
      <c r="L279" s="256"/>
    </row>
    <row r="280" spans="2:16" ht="18" customHeight="1" x14ac:dyDescent="0.25">
      <c r="B280" s="132" t="s">
        <v>15</v>
      </c>
      <c r="C280" s="132" t="s">
        <v>0</v>
      </c>
      <c r="D280" s="132" t="s">
        <v>43</v>
      </c>
      <c r="E280" s="132" t="s">
        <v>44</v>
      </c>
      <c r="F280" s="132" t="s">
        <v>77</v>
      </c>
      <c r="G280" s="132" t="s">
        <v>78</v>
      </c>
      <c r="H280" s="114"/>
      <c r="I280" s="132" t="s">
        <v>18</v>
      </c>
      <c r="J280" s="132" t="s">
        <v>15</v>
      </c>
      <c r="K280" s="132" t="s">
        <v>0</v>
      </c>
      <c r="L280" s="132" t="s">
        <v>45</v>
      </c>
    </row>
    <row r="281" spans="2:16" ht="18" customHeight="1" x14ac:dyDescent="0.25">
      <c r="B281" s="33" t="s">
        <v>204</v>
      </c>
      <c r="C281" s="33" t="str">
        <f>IFERROR(IF(B281="","",VLOOKUP(B281,LISTAS!$F$5:$G$1004,2,0)),"0")</f>
        <v>COLÉGIO ATENEU</v>
      </c>
      <c r="D281" s="33" t="str">
        <f>IF(H281&lt;3,"",IF(H281=3,IF(D287&lt;&gt;"",IF(H287&lt;&gt;"",IF(D287&lt;&gt;H287,IF(D287&gt;H287,"V","D"),""),""),"")))</f>
        <v>D</v>
      </c>
      <c r="E281" s="33" t="str">
        <f>IF(H281&lt;3,"",IF(H281=3,IF(D289&lt;&gt;"",IF(H289&lt;&gt;"",IF(D289&lt;&gt;H289,IF(D289&gt;H289,"V","D"),""),""),"")))</f>
        <v>D</v>
      </c>
      <c r="F281" s="33" t="s">
        <v>81</v>
      </c>
      <c r="G281" s="33" t="s">
        <v>81</v>
      </c>
      <c r="H281" s="117">
        <f>COUNTA(B281:B283)</f>
        <v>3</v>
      </c>
      <c r="I281" s="33">
        <f>IF(B281&lt;&gt;"",1,"")</f>
        <v>1</v>
      </c>
      <c r="J281" s="33" t="str">
        <f>IF(I281&lt;&gt;"",P281,"")</f>
        <v>MATHEUS MAIA JAWORSKY</v>
      </c>
      <c r="K281" s="33" t="str">
        <f>IFERROR(IF(J281="","",VLOOKUP(J281,LISTAS!$F$5:$G$1004,2,0)),"0")</f>
        <v>COLÉGIO ARBOS - UNIDADE SANTO ANDRÉ</v>
      </c>
      <c r="L281" s="130" t="str">
        <f>IF(H281=3,"OURO",IF(H281=4,"OURO",IF(H281=5,"OURO","")))</f>
        <v>OURO</v>
      </c>
      <c r="M281" s="20">
        <f>IF(B281&lt;&gt;"",COUNTIF(D281:G281,"V")+(SUMIF(B287:B289,B281,D287:E289)/1000)+(SUMIF(J287:J289,B281,H287:I289)/1000)-(SUMIF(B287:B289,B281,H287:I289)/1000)-(SUMIF(J287:J289,B281,D287:E289)/1000)+0.003,"")</f>
        <v>-1E-3</v>
      </c>
      <c r="N281" s="20" t="str">
        <f>IF(B281="","",B281)</f>
        <v>THEO SCHNYDER HERNANDES</v>
      </c>
      <c r="O281" s="20">
        <f>IF(B281&lt;&gt;"",LARGE(M281:M283,1),"")</f>
        <v>2.0049999999999999</v>
      </c>
      <c r="P281" s="20" t="str">
        <f>VLOOKUP(O281,M281:N283,2,0)</f>
        <v>MATHEUS MAIA JAWORSKY</v>
      </c>
    </row>
    <row r="282" spans="2:16" ht="18" customHeight="1" x14ac:dyDescent="0.25">
      <c r="B282" s="33" t="s">
        <v>206</v>
      </c>
      <c r="C282" s="33" t="str">
        <f>IFERROR(IF(B282="","",VLOOKUP(B282,LISTAS!$F$5:$G$1004,2,0)),"0")</f>
        <v>ABACO IPIRANGA</v>
      </c>
      <c r="D282" s="33" t="str">
        <f>IF(H281&lt;3,"",IF(H281=3,IF(D288&lt;&gt;"",IF(H288&lt;&gt;"",IF(D288&lt;&gt;H288,IF(D288&gt;H288,"V","D"),""),""),"")))</f>
        <v>D</v>
      </c>
      <c r="E282" s="33" t="str">
        <f>IF(H281&lt;3,"",IF(H281=3,IF(D289&lt;&gt;"",IF(H289&lt;&gt;"",IF(D289&lt;&gt;H289,IF(D289&gt;H289,"D","V"),""),""),"")))</f>
        <v>V</v>
      </c>
      <c r="F282" s="33" t="s">
        <v>81</v>
      </c>
      <c r="G282" s="33" t="s">
        <v>81</v>
      </c>
      <c r="H282" s="117"/>
      <c r="I282" s="33">
        <f>IF(B282&lt;&gt;"",2,"")</f>
        <v>2</v>
      </c>
      <c r="J282" s="33" t="str">
        <f>IF(I282&lt;&gt;"",P282,"")</f>
        <v>TIAGO PARONETO REZENDE</v>
      </c>
      <c r="K282" s="33" t="str">
        <f>IFERROR(IF(J282="","",VLOOKUP(J282,LISTAS!$F$5:$G$1004,2,0)),"0")</f>
        <v>ABACO IPIRANGA</v>
      </c>
      <c r="L282" s="130" t="str">
        <f>IF(H281=3,"PRATA",IF(H281=4,"OURO",IF(H281=5,"OURO","")))</f>
        <v>PRATA</v>
      </c>
      <c r="M282" s="20">
        <f>IF(B282&lt;&gt;"",COUNTIF(D282:G282,"V")+(SUMIF(B287:B289,B282,D287:E289)/1000)+(SUMIF(J287:J289,B282,H287:I289)/1000)-(SUMIF(B287:B289,B282,H287:I289)/1000)-(SUMIF(J287:J289,B282,D287:E289)/1000)+0.002,"")</f>
        <v>1.002</v>
      </c>
      <c r="N282" s="20" t="str">
        <f t="shared" ref="N282" si="19">IF(B282="","",B282)</f>
        <v>TIAGO PARONETO REZENDE</v>
      </c>
      <c r="O282" s="20">
        <f>IF(B282&lt;&gt;"",LARGE(M281:M283,2),"")</f>
        <v>1.002</v>
      </c>
      <c r="P282" s="20" t="str">
        <f>VLOOKUP(O282,M281:N283,2,0)</f>
        <v>TIAGO PARONETO REZENDE</v>
      </c>
    </row>
    <row r="283" spans="2:16" ht="18" customHeight="1" x14ac:dyDescent="0.25">
      <c r="B283" s="33" t="s">
        <v>183</v>
      </c>
      <c r="C283" s="33" t="str">
        <f>IFERROR(IF(B283="","",VLOOKUP(B283,LISTAS!$F$5:$G$1004,2,0)),"0")</f>
        <v>COLÉGIO ARBOS - UNIDADE SANTO ANDRÉ</v>
      </c>
      <c r="D283" s="33" t="str">
        <f>IF(H281&lt;3,"",IF(H281=3,IF(D287&lt;&gt;"",IF(H287&lt;&gt;"",IF(D287&lt;&gt;H287,IF(D287&gt;H287,"D","V"),""),""),"")))</f>
        <v>V</v>
      </c>
      <c r="E283" s="33" t="str">
        <f>IF(H281&lt;3,"",IF(H281=3,IF(D288&lt;&gt;"",IF(H288&lt;&gt;"",IF(D288&lt;&gt;H288,IF(D288&gt;H288,"D","V"),""),""),"")))</f>
        <v>V</v>
      </c>
      <c r="F283" s="33" t="s">
        <v>81</v>
      </c>
      <c r="G283" s="33" t="s">
        <v>81</v>
      </c>
      <c r="H283" s="117"/>
      <c r="I283" s="33">
        <f>IF(B283&lt;&gt;"",3,"")</f>
        <v>3</v>
      </c>
      <c r="J283" s="33" t="str">
        <f>IF(I283&lt;&gt;"",P283,"")</f>
        <v>THEO SCHNYDER HERNANDES</v>
      </c>
      <c r="K283" s="33" t="str">
        <f>IFERROR(IF(J283="","",VLOOKUP(J283,LISTAS!$F$5:$G$1004,2,0)),"0")</f>
        <v>COLÉGIO ATENEU</v>
      </c>
      <c r="L283" s="130" t="str">
        <f>IF(H281=3,"BRONZE",IF(H281=4,"PRATA",IF(H281=5,"OURO","")))</f>
        <v>BRONZE</v>
      </c>
      <c r="M283" s="20">
        <f>IF(B283&lt;&gt;"",COUNTIF(D283:G283,"V")+(SUMIF(B287:B289,B283,D287:E289)/1000)+(SUMIF(J287:J289,B283,H287:I289)/1000)-(SUMIF(B287:B289,B283,H287:I289)/1000)-(SUMIF(J287:J289,B283,D287:E289)/1000)+0.001,"")</f>
        <v>2.0049999999999999</v>
      </c>
      <c r="N283" s="20" t="str">
        <f>IF(B283="","",B283)</f>
        <v>MATHEUS MAIA JAWORSKY</v>
      </c>
      <c r="O283" s="20">
        <f>IF(B283&lt;&gt;"",LARGE(M281:M283,3),"")</f>
        <v>-1E-3</v>
      </c>
      <c r="P283" s="20" t="str">
        <f>VLOOKUP(O283,M281:N283,2,0)</f>
        <v>THEO SCHNYDER HERNANDES</v>
      </c>
    </row>
    <row r="284" spans="2:16" ht="18" customHeight="1" x14ac:dyDescent="0.25">
      <c r="B284" s="79"/>
      <c r="C284" s="79"/>
      <c r="D284" s="79"/>
      <c r="E284" s="79"/>
      <c r="F284" s="79"/>
      <c r="G284" s="79"/>
      <c r="I284" s="80"/>
      <c r="J284" s="79"/>
      <c r="K284" s="81"/>
      <c r="L284" s="81"/>
    </row>
    <row r="285" spans="2:16" ht="23.25" customHeight="1" x14ac:dyDescent="0.25">
      <c r="B285" s="82" t="s">
        <v>40</v>
      </c>
      <c r="C285" s="79"/>
      <c r="D285" s="79"/>
      <c r="E285" s="79"/>
      <c r="F285" s="79"/>
      <c r="G285" s="79"/>
      <c r="H285" s="79"/>
      <c r="I285" s="79"/>
      <c r="J285" s="79"/>
      <c r="K285" s="79"/>
      <c r="L285" s="79"/>
    </row>
    <row r="286" spans="2:16" ht="18" customHeight="1" x14ac:dyDescent="0.25">
      <c r="B286" s="132" t="s">
        <v>15</v>
      </c>
      <c r="C286" s="132" t="s">
        <v>0</v>
      </c>
      <c r="D286" s="258" t="s">
        <v>41</v>
      </c>
      <c r="E286" s="259"/>
      <c r="F286" s="259"/>
      <c r="G286" s="259"/>
      <c r="H286" s="259"/>
      <c r="I286" s="260"/>
      <c r="J286" s="132" t="s">
        <v>15</v>
      </c>
      <c r="K286" s="132" t="s">
        <v>0</v>
      </c>
      <c r="L286" s="79"/>
    </row>
    <row r="287" spans="2:16" ht="18" customHeight="1" x14ac:dyDescent="0.25">
      <c r="B287" s="33" t="str">
        <f>IF(H281=3,B281,"")</f>
        <v>THEO SCHNYDER HERNANDES</v>
      </c>
      <c r="C287" s="33" t="str">
        <f>IFERROR(IF(B287="","",VLOOKUP(B287,LISTAS!$F$5:$G$1004,2,0)),"0")</f>
        <v>COLÉGIO ATENEU</v>
      </c>
      <c r="D287" s="253">
        <v>0</v>
      </c>
      <c r="E287" s="254"/>
      <c r="F287" s="253" t="s">
        <v>38</v>
      </c>
      <c r="G287" s="254"/>
      <c r="H287" s="253">
        <v>2</v>
      </c>
      <c r="I287" s="254"/>
      <c r="J287" s="111" t="str">
        <f>IF(H281=3,B283,"")</f>
        <v>MATHEUS MAIA JAWORSKY</v>
      </c>
      <c r="K287" s="33" t="str">
        <f>IFERROR(IF(J287="","",VLOOKUP(J287,LISTAS!$F$5:$G$1004,2,0)),"0")</f>
        <v>COLÉGIO ARBOS - UNIDADE SANTO ANDRÉ</v>
      </c>
      <c r="L287" s="81"/>
    </row>
    <row r="288" spans="2:16" ht="18" customHeight="1" x14ac:dyDescent="0.25">
      <c r="B288" s="33" t="str">
        <f>IF(H281=3,B282,"")</f>
        <v>TIAGO PARONETO REZENDE</v>
      </c>
      <c r="C288" s="33" t="str">
        <f>IFERROR(IF(B288="","",VLOOKUP(B288,LISTAS!$F$5:$G$1004,2,0)),"0")</f>
        <v>ABACO IPIRANGA</v>
      </c>
      <c r="D288" s="253">
        <v>0</v>
      </c>
      <c r="E288" s="254"/>
      <c r="F288" s="253" t="s">
        <v>38</v>
      </c>
      <c r="G288" s="254"/>
      <c r="H288" s="253">
        <v>2</v>
      </c>
      <c r="I288" s="254"/>
      <c r="J288" s="111" t="str">
        <f>IF(H281=3,B283,"")</f>
        <v>MATHEUS MAIA JAWORSKY</v>
      </c>
      <c r="K288" s="33" t="str">
        <f>IFERROR(IF(J288="","",VLOOKUP(J288,LISTAS!$F$5:$G$1004,2,0)),"0")</f>
        <v>COLÉGIO ARBOS - UNIDADE SANTO ANDRÉ</v>
      </c>
      <c r="L288" s="79"/>
    </row>
    <row r="289" spans="2:16" ht="18" customHeight="1" x14ac:dyDescent="0.25">
      <c r="B289" s="33" t="str">
        <f>IF(H281=3,B281,"")</f>
        <v>THEO SCHNYDER HERNANDES</v>
      </c>
      <c r="C289" s="33" t="str">
        <f>IFERROR(IF(B289="","",VLOOKUP(B289,LISTAS!$F$5:$G$1004,2,0)),"0")</f>
        <v>COLÉGIO ATENEU</v>
      </c>
      <c r="D289" s="253">
        <v>0</v>
      </c>
      <c r="E289" s="254"/>
      <c r="F289" s="253" t="s">
        <v>38</v>
      </c>
      <c r="G289" s="254"/>
      <c r="H289" s="253">
        <v>2</v>
      </c>
      <c r="I289" s="254"/>
      <c r="J289" s="111" t="str">
        <f>IF(H281=3,B282,"")</f>
        <v>TIAGO PARONETO REZENDE</v>
      </c>
      <c r="K289" s="33" t="str">
        <f>IFERROR(IF(J289="","",VLOOKUP(J289,LISTAS!$F$5:$G$1004,2,0)),"0")</f>
        <v>ABACO IPIRANGA</v>
      </c>
      <c r="L289" s="81"/>
    </row>
    <row r="292" spans="2:16" ht="30" customHeight="1" x14ac:dyDescent="0.25">
      <c r="B292" s="161" t="s">
        <v>66</v>
      </c>
      <c r="C292" s="79"/>
      <c r="D292" s="255" t="s">
        <v>42</v>
      </c>
      <c r="E292" s="256"/>
      <c r="F292" s="256"/>
      <c r="G292" s="257"/>
      <c r="H292" s="113"/>
      <c r="I292" s="255" t="s">
        <v>3</v>
      </c>
      <c r="J292" s="256"/>
      <c r="K292" s="256"/>
      <c r="L292" s="256"/>
    </row>
    <row r="293" spans="2:16" ht="18" customHeight="1" x14ac:dyDescent="0.25">
      <c r="B293" s="132" t="s">
        <v>15</v>
      </c>
      <c r="C293" s="132" t="s">
        <v>0</v>
      </c>
      <c r="D293" s="132" t="s">
        <v>43</v>
      </c>
      <c r="E293" s="132" t="s">
        <v>44</v>
      </c>
      <c r="F293" s="132" t="s">
        <v>77</v>
      </c>
      <c r="G293" s="132" t="s">
        <v>78</v>
      </c>
      <c r="H293" s="114"/>
      <c r="I293" s="132" t="s">
        <v>18</v>
      </c>
      <c r="J293" s="132" t="s">
        <v>15</v>
      </c>
      <c r="K293" s="132" t="s">
        <v>0</v>
      </c>
      <c r="L293" s="132" t="s">
        <v>45</v>
      </c>
    </row>
    <row r="294" spans="2:16" ht="18" customHeight="1" x14ac:dyDescent="0.25">
      <c r="B294" s="33" t="s">
        <v>193</v>
      </c>
      <c r="C294" s="33" t="str">
        <f>IFERROR(IF(B294="","",VLOOKUP(B294,LISTAS!$F$5:$G$1004,2,0)),"0")</f>
        <v>COLÉGIO ARBOS - UNIDADE SANTO ANDRÉ</v>
      </c>
      <c r="D294" s="33" t="str">
        <f>IF(H294&lt;3,"",IF(H294=3,IF(D300&lt;&gt;"",IF(H300&lt;&gt;"",IF(D300&lt;&gt;H300,IF(D300&gt;H300,"V","D"),""),""),"")))</f>
        <v>V</v>
      </c>
      <c r="E294" s="33" t="str">
        <f>IF(H294&lt;3,"",IF(H294=3,IF(D302&lt;&gt;"",IF(H302&lt;&gt;"",IF(D302&lt;&gt;H302,IF(D302&gt;H302,"V","D"),""),""),"")))</f>
        <v>V</v>
      </c>
      <c r="F294" s="33" t="s">
        <v>81</v>
      </c>
      <c r="G294" s="33" t="s">
        <v>81</v>
      </c>
      <c r="H294" s="117">
        <f>COUNTA(B294:B296)</f>
        <v>3</v>
      </c>
      <c r="I294" s="33">
        <f>IF(B294&lt;&gt;"",1,"")</f>
        <v>1</v>
      </c>
      <c r="J294" s="33" t="str">
        <f>IF(I294&lt;&gt;"",P294,"")</f>
        <v>PABLO DE CAMPOS MOLEIRO</v>
      </c>
      <c r="K294" s="33" t="str">
        <f>IFERROR(IF(J294="","",VLOOKUP(J294,LISTAS!$F$5:$G$1004,2,0)),"0")</f>
        <v>COLÉGIO ARBOS - UNIDADE SANTO ANDRÉ</v>
      </c>
      <c r="L294" s="130" t="str">
        <f>IF(H294=3,"OURO",IF(H294=4,"OURO",IF(H294=5,"OURO","")))</f>
        <v>OURO</v>
      </c>
      <c r="M294" s="20">
        <f>IF(B294&lt;&gt;"",COUNTIF(D294:G294,"V")+(SUMIF(B300:B302,B294,D300:E302)/1000)+(SUMIF(J300:J302,B294,H300:I302)/1000)-(SUMIF(B300:B302,B294,H300:I302)/1000)-(SUMIF(J300:J302,B294,D300:E302)/1000)+0.003,"")</f>
        <v>2.0070000000000001</v>
      </c>
      <c r="N294" s="20" t="str">
        <f>IF(B294="","",B294)</f>
        <v>PABLO DE CAMPOS MOLEIRO</v>
      </c>
      <c r="O294" s="20">
        <f>IF(B294&lt;&gt;"",LARGE(M294:M296,1),"")</f>
        <v>2.0070000000000001</v>
      </c>
      <c r="P294" s="20" t="str">
        <f>VLOOKUP(O294,M294:N296,2,0)</f>
        <v>PABLO DE CAMPOS MOLEIRO</v>
      </c>
    </row>
    <row r="295" spans="2:16" ht="18" customHeight="1" x14ac:dyDescent="0.25">
      <c r="B295" s="39" t="s">
        <v>671</v>
      </c>
      <c r="C295" s="33" t="str">
        <f>IFERROR(IF(B295="","",VLOOKUP(B295,LISTAS!$F$5:$G$1004,2,0)),"0")</f>
        <v>COLÉGIO ATENEU</v>
      </c>
      <c r="D295" s="33" t="str">
        <f>IF(H294&lt;3,"",IF(H294=3,IF(D301&lt;&gt;"",IF(H301&lt;&gt;"",IF(D301&lt;&gt;H301,IF(D301&gt;H301,"V","D"),""),""),"")))</f>
        <v>V</v>
      </c>
      <c r="E295" s="33" t="str">
        <f>IF(H294&lt;3,"",IF(H294=3,IF(D302&lt;&gt;"",IF(H302&lt;&gt;"",IF(D302&lt;&gt;H302,IF(D302&gt;H302,"D","V"),""),""),"")))</f>
        <v>D</v>
      </c>
      <c r="F295" s="33" t="s">
        <v>81</v>
      </c>
      <c r="G295" s="33" t="s">
        <v>81</v>
      </c>
      <c r="H295" s="117"/>
      <c r="I295" s="33">
        <f>IF(B295&lt;&gt;"",2,"")</f>
        <v>2</v>
      </c>
      <c r="J295" s="33" t="str">
        <f>IF(I295&lt;&gt;"",P295,"")</f>
        <v>PEDRO</v>
      </c>
      <c r="K295" s="33" t="str">
        <f>IFERROR(IF(J295="","",VLOOKUP(J295,LISTAS!$F$5:$G$1004,2,0)),"0")</f>
        <v>COLÉGIO ATENEU</v>
      </c>
      <c r="L295" s="130" t="str">
        <f>IF(H294=3,"PRATA",IF(H294=4,"OURO",IF(H294=5,"OURO","")))</f>
        <v>PRATA</v>
      </c>
      <c r="M295" s="20">
        <f>IF(B295&lt;&gt;"",COUNTIF(D295:G295,"V")+(SUMIF(B300:B302,B295,D300:E302)/1000)+(SUMIF(J300:J302,B295,H300:I302)/1000)-(SUMIF(B300:B302,B295,H300:I302)/1000)-(SUMIF(J300:J302,B295,D300:E302)/1000)+0.002,"")</f>
        <v>1.002</v>
      </c>
      <c r="N295" s="20" t="str">
        <f t="shared" ref="N295" si="20">IF(B295="","",B295)</f>
        <v>PEDRO</v>
      </c>
      <c r="O295" s="20">
        <f>IF(B295&lt;&gt;"",LARGE(M294:M296,2),"")</f>
        <v>1.002</v>
      </c>
      <c r="P295" s="20" t="str">
        <f>VLOOKUP(O295,M294:N296,2,0)</f>
        <v>PEDRO</v>
      </c>
    </row>
    <row r="296" spans="2:16" ht="18" customHeight="1" x14ac:dyDescent="0.25">
      <c r="B296" s="33" t="s">
        <v>112</v>
      </c>
      <c r="C296" s="33" t="str">
        <f>IFERROR(IF(B296="","",VLOOKUP(B296,LISTAS!$F$5:$G$1004,2,0)),"0")</f>
        <v>IEBURIX -SBC</v>
      </c>
      <c r="D296" s="33" t="str">
        <f>IF(H294&lt;3,"",IF(H294=3,IF(D300&lt;&gt;"",IF(H300&lt;&gt;"",IF(D300&lt;&gt;H300,IF(D300&gt;H300,"D","V"),""),""),"")))</f>
        <v>D</v>
      </c>
      <c r="E296" s="33" t="str">
        <f>IF(H294&lt;3,"",IF(H294=3,IF(D301&lt;&gt;"",IF(H301&lt;&gt;"",IF(D301&lt;&gt;H301,IF(D301&gt;H301,"D","V"),""),""),"")))</f>
        <v>D</v>
      </c>
      <c r="F296" s="33" t="s">
        <v>81</v>
      </c>
      <c r="G296" s="33" t="s">
        <v>81</v>
      </c>
      <c r="H296" s="117"/>
      <c r="I296" s="33">
        <f>IF(B296&lt;&gt;"",3,"")</f>
        <v>3</v>
      </c>
      <c r="J296" s="33" t="str">
        <f>IF(I296&lt;&gt;"",P296,"")</f>
        <v>ANTONIO PAVÃO VIEIRA</v>
      </c>
      <c r="K296" s="33" t="str">
        <f>IFERROR(IF(J296="","",VLOOKUP(J296,LISTAS!$F$5:$G$1004,2,0)),"0")</f>
        <v>IEBURIX -SBC</v>
      </c>
      <c r="L296" s="130" t="str">
        <f>IF(H294=3,"BRONZE",IF(H294=4,"PRATA",IF(H294=5,"OURO","")))</f>
        <v>BRONZE</v>
      </c>
      <c r="M296" s="20">
        <f>IF(B296&lt;&gt;"",COUNTIF(D296:G296,"V")+(SUMIF(B300:B302,B296,D300:E302)/1000)+(SUMIF(J300:J302,B296,H300:I302)/1000)-(SUMIF(B300:B302,B296,H300:I302)/1000)-(SUMIF(J300:J302,B296,D300:E302)/1000)+0.001,"")</f>
        <v>-3.0000000000000001E-3</v>
      </c>
      <c r="N296" s="20" t="str">
        <f>IF(B296="","",B296)</f>
        <v>ANTONIO PAVÃO VIEIRA</v>
      </c>
      <c r="O296" s="20">
        <f>IF(B296&lt;&gt;"",LARGE(M294:M296,3),"")</f>
        <v>-3.0000000000000001E-3</v>
      </c>
      <c r="P296" s="20" t="str">
        <f>VLOOKUP(O296,M294:N296,2,0)</f>
        <v>ANTONIO PAVÃO VIEIRA</v>
      </c>
    </row>
    <row r="297" spans="2:16" ht="18" customHeight="1" x14ac:dyDescent="0.25">
      <c r="B297" s="79"/>
      <c r="C297" s="79"/>
      <c r="D297" s="79"/>
      <c r="E297" s="79"/>
      <c r="F297" s="79"/>
      <c r="G297" s="79"/>
      <c r="I297" s="80"/>
      <c r="J297" s="79"/>
      <c r="K297" s="81"/>
      <c r="L297" s="81"/>
    </row>
    <row r="298" spans="2:16" ht="23.25" customHeight="1" x14ac:dyDescent="0.25">
      <c r="B298" s="82" t="s">
        <v>40</v>
      </c>
      <c r="C298" s="79"/>
      <c r="D298" s="79"/>
      <c r="E298" s="79"/>
      <c r="F298" s="79"/>
      <c r="G298" s="79"/>
      <c r="H298" s="79"/>
      <c r="I298" s="79"/>
      <c r="J298" s="79"/>
      <c r="K298" s="79"/>
      <c r="L298" s="79"/>
    </row>
    <row r="299" spans="2:16" ht="18" customHeight="1" x14ac:dyDescent="0.25">
      <c r="B299" s="132" t="s">
        <v>15</v>
      </c>
      <c r="C299" s="132" t="s">
        <v>0</v>
      </c>
      <c r="D299" s="258" t="s">
        <v>41</v>
      </c>
      <c r="E299" s="259"/>
      <c r="F299" s="259"/>
      <c r="G299" s="259"/>
      <c r="H299" s="259"/>
      <c r="I299" s="260"/>
      <c r="J299" s="132" t="s">
        <v>15</v>
      </c>
      <c r="K299" s="132" t="s">
        <v>0</v>
      </c>
      <c r="L299" s="79"/>
    </row>
    <row r="300" spans="2:16" ht="18" customHeight="1" x14ac:dyDescent="0.25">
      <c r="B300" s="33" t="str">
        <f>IF(H294=3,B294,"")</f>
        <v>PABLO DE CAMPOS MOLEIRO</v>
      </c>
      <c r="C300" s="33" t="str">
        <f>IFERROR(IF(B300="","",VLOOKUP(B300,LISTAS!$F$5:$G$1004,2,0)),"0")</f>
        <v>COLÉGIO ARBOS - UNIDADE SANTO ANDRÉ</v>
      </c>
      <c r="D300" s="253">
        <v>2</v>
      </c>
      <c r="E300" s="254"/>
      <c r="F300" s="253" t="s">
        <v>38</v>
      </c>
      <c r="G300" s="254"/>
      <c r="H300" s="253">
        <v>0</v>
      </c>
      <c r="I300" s="254"/>
      <c r="J300" s="111" t="str">
        <f>IF(H294=3,B296,"")</f>
        <v>ANTONIO PAVÃO VIEIRA</v>
      </c>
      <c r="K300" s="33" t="str">
        <f>IFERROR(IF(J300="","",VLOOKUP(J300,LISTAS!$F$5:$G$1004,2,0)),"0")</f>
        <v>IEBURIX -SBC</v>
      </c>
      <c r="L300" s="81"/>
    </row>
    <row r="301" spans="2:16" ht="18" customHeight="1" x14ac:dyDescent="0.25">
      <c r="B301" s="33" t="str">
        <f>IF(H294=3,B295,"")</f>
        <v>PEDRO</v>
      </c>
      <c r="C301" s="33" t="str">
        <f>IFERROR(IF(B301="","",VLOOKUP(B301,LISTAS!$F$5:$G$1004,2,0)),"0")</f>
        <v>COLÉGIO ATENEU</v>
      </c>
      <c r="D301" s="253">
        <v>2</v>
      </c>
      <c r="E301" s="254"/>
      <c r="F301" s="253" t="s">
        <v>38</v>
      </c>
      <c r="G301" s="254"/>
      <c r="H301" s="253">
        <v>0</v>
      </c>
      <c r="I301" s="254"/>
      <c r="J301" s="111" t="str">
        <f>IF(H294=3,B296,"")</f>
        <v>ANTONIO PAVÃO VIEIRA</v>
      </c>
      <c r="K301" s="33" t="str">
        <f>IFERROR(IF(J301="","",VLOOKUP(J301,LISTAS!$F$5:$G$1004,2,0)),"0")</f>
        <v>IEBURIX -SBC</v>
      </c>
      <c r="L301" s="79"/>
    </row>
    <row r="302" spans="2:16" ht="18" customHeight="1" x14ac:dyDescent="0.25">
      <c r="B302" s="33" t="str">
        <f>IF(H294=3,B294,"")</f>
        <v>PABLO DE CAMPOS MOLEIRO</v>
      </c>
      <c r="C302" s="33" t="str">
        <f>IFERROR(IF(B302="","",VLOOKUP(B302,LISTAS!$F$5:$G$1004,2,0)),"0")</f>
        <v>COLÉGIO ARBOS - UNIDADE SANTO ANDRÉ</v>
      </c>
      <c r="D302" s="253">
        <v>2</v>
      </c>
      <c r="E302" s="254"/>
      <c r="F302" s="253" t="s">
        <v>38</v>
      </c>
      <c r="G302" s="254"/>
      <c r="H302" s="253">
        <v>0</v>
      </c>
      <c r="I302" s="254"/>
      <c r="J302" s="111" t="str">
        <f>IF(H294=3,B295,"")</f>
        <v>PEDRO</v>
      </c>
      <c r="K302" s="33" t="str">
        <f>IFERROR(IF(J302="","",VLOOKUP(J302,LISTAS!$F$5:$G$1004,2,0)),"0")</f>
        <v>COLÉGIO ATENEU</v>
      </c>
      <c r="L302" s="81"/>
    </row>
    <row r="305" spans="2:16" ht="30" customHeight="1" x14ac:dyDescent="0.25">
      <c r="B305" s="161" t="s">
        <v>67</v>
      </c>
      <c r="C305" s="79"/>
      <c r="D305" s="255" t="s">
        <v>42</v>
      </c>
      <c r="E305" s="256"/>
      <c r="F305" s="256"/>
      <c r="G305" s="257"/>
      <c r="H305" s="113"/>
      <c r="I305" s="255" t="s">
        <v>3</v>
      </c>
      <c r="J305" s="256"/>
      <c r="K305" s="256"/>
      <c r="L305" s="256"/>
    </row>
    <row r="306" spans="2:16" ht="18" customHeight="1" x14ac:dyDescent="0.25">
      <c r="B306" s="132" t="s">
        <v>15</v>
      </c>
      <c r="C306" s="132" t="s">
        <v>0</v>
      </c>
      <c r="D306" s="132" t="s">
        <v>43</v>
      </c>
      <c r="E306" s="132" t="s">
        <v>44</v>
      </c>
      <c r="F306" s="132" t="s">
        <v>77</v>
      </c>
      <c r="G306" s="132" t="s">
        <v>78</v>
      </c>
      <c r="H306" s="114"/>
      <c r="I306" s="132" t="s">
        <v>18</v>
      </c>
      <c r="J306" s="132" t="s">
        <v>15</v>
      </c>
      <c r="K306" s="132" t="s">
        <v>0</v>
      </c>
      <c r="L306" s="132" t="s">
        <v>45</v>
      </c>
    </row>
    <row r="307" spans="2:16" ht="18" customHeight="1" x14ac:dyDescent="0.25">
      <c r="B307" s="33" t="s">
        <v>178</v>
      </c>
      <c r="C307" s="33" t="str">
        <f>IFERROR(IF(B307="","",VLOOKUP(B307,LISTAS!$F$5:$G$1004,2,0)),"0")</f>
        <v>IEBURIX -SBC</v>
      </c>
      <c r="D307" s="33" t="str">
        <f>IF(H307&lt;3,"",IF(H307=3,IF(D313&lt;&gt;"",IF(H313&lt;&gt;"",IF(D313&lt;&gt;H313,IF(D313&gt;H313,"V","D"),""),""),"")))</f>
        <v>V</v>
      </c>
      <c r="E307" s="33" t="str">
        <f>IF(H307&lt;3,"",IF(H307=3,IF(D315&lt;&gt;"",IF(H315&lt;&gt;"",IF(D315&lt;&gt;H315,IF(D315&gt;H315,"V","D"),""),""),"")))</f>
        <v>V</v>
      </c>
      <c r="F307" s="33" t="s">
        <v>81</v>
      </c>
      <c r="G307" s="33" t="s">
        <v>81</v>
      </c>
      <c r="H307" s="117">
        <f>COUNTA(B307:B309)</f>
        <v>3</v>
      </c>
      <c r="I307" s="33">
        <f>IF(B307&lt;&gt;"",1,"")</f>
        <v>1</v>
      </c>
      <c r="J307" s="33" t="str">
        <f>IF(I307&lt;&gt;"",P307,"")</f>
        <v>MATHEUS GONÇALVES SARDELARI</v>
      </c>
      <c r="K307" s="33" t="str">
        <f>IFERROR(IF(J307="","",VLOOKUP(J307,LISTAS!$F$5:$G$1004,2,0)),"0")</f>
        <v>IEBURIX -SBC</v>
      </c>
      <c r="L307" s="130" t="str">
        <f>IF(H307=3,"OURO",IF(H307=4,"OURO",IF(H307=5,"OURO","")))</f>
        <v>OURO</v>
      </c>
      <c r="M307" s="20">
        <f>IF(B307&lt;&gt;"",COUNTIF(D307:G307,"V")+(SUMIF(B313:B315,B307,D313:E315)/1000)+(SUMIF(J313:J315,B307,H313:I315)/1000)-(SUMIF(B313:B315,B307,H313:I315)/1000)-(SUMIF(J313:J315,B307,D313:E315)/1000)+0.003,"")</f>
        <v>2.0070000000000001</v>
      </c>
      <c r="N307" s="20" t="str">
        <f>IF(B307="","",B307)</f>
        <v>MATHEUS GONÇALVES SARDELARI</v>
      </c>
      <c r="O307" s="20">
        <f>IF(B307&lt;&gt;"",LARGE(M307:M309,1),"")</f>
        <v>2.0070000000000001</v>
      </c>
      <c r="P307" s="20" t="str">
        <f>VLOOKUP(O307,M307:N309,2,0)</f>
        <v>MATHEUS GONÇALVES SARDELARI</v>
      </c>
    </row>
    <row r="308" spans="2:16" ht="18" customHeight="1" x14ac:dyDescent="0.25">
      <c r="B308" s="33" t="s">
        <v>601</v>
      </c>
      <c r="C308" s="33" t="str">
        <f>IFERROR(IF(B308="","",VLOOKUP(B308,LISTAS!$F$5:$G$1004,2,0)),"0")</f>
        <v>BYE</v>
      </c>
      <c r="D308" s="33" t="str">
        <f>IF(H307&lt;3,"",IF(H307=3,IF(D314&lt;&gt;"",IF(H314&lt;&gt;"",IF(D314&lt;&gt;H314,IF(D314&gt;H314,"V","D"),""),""),"")))</f>
        <v>D</v>
      </c>
      <c r="E308" s="33" t="str">
        <f>IF(H307&lt;3,"",IF(H307=3,IF(D315&lt;&gt;"",IF(H315&lt;&gt;"",IF(D315&lt;&gt;H315,IF(D315&gt;H315,"D","V"),""),""),"")))</f>
        <v>D</v>
      </c>
      <c r="F308" s="33" t="s">
        <v>81</v>
      </c>
      <c r="G308" s="33" t="s">
        <v>81</v>
      </c>
      <c r="H308" s="117"/>
      <c r="I308" s="33">
        <f>IF(B308&lt;&gt;"",2,"")</f>
        <v>2</v>
      </c>
      <c r="J308" s="33" t="str">
        <f>IF(I308&lt;&gt;"",P308,"")</f>
        <v>PEDRO LIMA ARAUJO</v>
      </c>
      <c r="K308" s="33" t="str">
        <f>IFERROR(IF(J308="","",VLOOKUP(J308,LISTAS!$F$5:$G$1004,2,0)),"0")</f>
        <v>COLÉGIO ARBOS - UNIDADE SANTO ANDRÉ</v>
      </c>
      <c r="L308" s="130" t="str">
        <f>IF(H307=3,"PRATA",IF(H307=4,"OURO",IF(H307=5,"OURO","")))</f>
        <v>PRATA</v>
      </c>
      <c r="M308" s="20">
        <f>IF(B308&lt;&gt;"",COUNTIF(D308:G308,"V")+(SUMIF(B313:B315,B308,D313:E315)/1000)+(SUMIF(J313:J315,B308,H313:I315)/1000)-(SUMIF(B313:B315,B308,H313:I315)/1000)-(SUMIF(J313:J315,B308,D313:E315)/1000)+0.002,"")</f>
        <v>-2E-3</v>
      </c>
      <c r="N308" s="20" t="str">
        <f>IF(B308="","",B308)</f>
        <v>BYE</v>
      </c>
      <c r="O308" s="20">
        <f>IF(B308&lt;&gt;"",LARGE(M307:M309,2),"")</f>
        <v>1.0009999999999999</v>
      </c>
      <c r="P308" s="20" t="str">
        <f>VLOOKUP(O308,M307:N309,2,0)</f>
        <v>PEDRO LIMA ARAUJO</v>
      </c>
    </row>
    <row r="309" spans="2:16" ht="18" customHeight="1" x14ac:dyDescent="0.25">
      <c r="B309" s="33" t="s">
        <v>195</v>
      </c>
      <c r="C309" s="33" t="str">
        <f>IFERROR(IF(B309="","",VLOOKUP(B309,LISTAS!$F$5:$G$1004,2,0)),"0")</f>
        <v>COLÉGIO ARBOS - UNIDADE SANTO ANDRÉ</v>
      </c>
      <c r="D309" s="33" t="str">
        <f>IF(H307&lt;3,"",IF(H307=3,IF(D313&lt;&gt;"",IF(H313&lt;&gt;"",IF(D313&lt;&gt;H313,IF(D313&gt;H313,"D","V"),""),""),"")))</f>
        <v>D</v>
      </c>
      <c r="E309" s="33" t="str">
        <f>IF(H307&lt;3,"",IF(H307=3,IF(D314&lt;&gt;"",IF(H314&lt;&gt;"",IF(D314&lt;&gt;H314,IF(D314&gt;H314,"D","V"),""),""),"")))</f>
        <v>V</v>
      </c>
      <c r="F309" s="33" t="s">
        <v>81</v>
      </c>
      <c r="G309" s="33" t="s">
        <v>81</v>
      </c>
      <c r="H309" s="117"/>
      <c r="I309" s="33">
        <f>IF(B309&lt;&gt;"",3,"")</f>
        <v>3</v>
      </c>
      <c r="J309" s="33" t="str">
        <f>IF(I309&lt;&gt;"",P309,"")</f>
        <v>BYE</v>
      </c>
      <c r="K309" s="33" t="str">
        <f>IFERROR(IF(J309="","",VLOOKUP(J309,LISTAS!$F$5:$G$1004,2,0)),"0")</f>
        <v>BYE</v>
      </c>
      <c r="L309" s="130" t="str">
        <f>IF(H307=3,"BRONZE",IF(H307=4,"PRATA",IF(H307=5,"OURO","")))</f>
        <v>BRONZE</v>
      </c>
      <c r="M309" s="20">
        <f>IF(B309&lt;&gt;"",COUNTIF(D309:G309,"V")+(SUMIF(B313:B315,B309,D313:E315)/1000)+(SUMIF(J313:J315,B309,H313:I315)/1000)-(SUMIF(B313:B315,B309,H313:I315)/1000)-(SUMIF(J313:J315,B309,D313:E315)/1000)+0.001,"")</f>
        <v>1.0009999999999999</v>
      </c>
      <c r="N309" s="20" t="str">
        <f>IF(B309="","",B309)</f>
        <v>PEDRO LIMA ARAUJO</v>
      </c>
      <c r="O309" s="20">
        <f>IF(B309&lt;&gt;"",LARGE(M307:M309,3),"")</f>
        <v>-2E-3</v>
      </c>
      <c r="P309" s="20" t="str">
        <f>VLOOKUP(O309,M307:N309,2,0)</f>
        <v>BYE</v>
      </c>
    </row>
    <row r="310" spans="2:16" ht="18" customHeight="1" x14ac:dyDescent="0.25">
      <c r="B310" s="79"/>
      <c r="C310" s="79"/>
      <c r="D310" s="79"/>
      <c r="E310" s="79"/>
      <c r="F310" s="79"/>
      <c r="G310" s="79"/>
      <c r="I310" s="80"/>
      <c r="J310" s="79"/>
      <c r="K310" s="81"/>
      <c r="L310" s="81"/>
    </row>
    <row r="311" spans="2:16" ht="23.25" customHeight="1" x14ac:dyDescent="0.25">
      <c r="B311" s="82" t="s">
        <v>40</v>
      </c>
      <c r="C311" s="79"/>
      <c r="D311" s="79"/>
      <c r="E311" s="79"/>
      <c r="F311" s="79"/>
      <c r="G311" s="79"/>
      <c r="H311" s="79"/>
      <c r="I311" s="79"/>
      <c r="J311" s="79"/>
      <c r="K311" s="79"/>
      <c r="L311" s="79"/>
    </row>
    <row r="312" spans="2:16" ht="18" customHeight="1" x14ac:dyDescent="0.25">
      <c r="B312" s="132" t="s">
        <v>15</v>
      </c>
      <c r="C312" s="132" t="s">
        <v>0</v>
      </c>
      <c r="D312" s="258" t="s">
        <v>41</v>
      </c>
      <c r="E312" s="259"/>
      <c r="F312" s="259"/>
      <c r="G312" s="259"/>
      <c r="H312" s="259"/>
      <c r="I312" s="260"/>
      <c r="J312" s="132" t="s">
        <v>15</v>
      </c>
      <c r="K312" s="132" t="s">
        <v>0</v>
      </c>
      <c r="L312" s="79"/>
    </row>
    <row r="313" spans="2:16" ht="18" customHeight="1" x14ac:dyDescent="0.25">
      <c r="B313" s="33" t="str">
        <f>IF(H307=3,B307,"")</f>
        <v>MATHEUS GONÇALVES SARDELARI</v>
      </c>
      <c r="C313" s="33" t="str">
        <f>IF(B313="","",VLOOKUP(B313,LISTAS!$F$5:$G$964,2,0))</f>
        <v>IEBURIX -SBC</v>
      </c>
      <c r="D313" s="253">
        <v>2</v>
      </c>
      <c r="E313" s="254"/>
      <c r="F313" s="253" t="s">
        <v>38</v>
      </c>
      <c r="G313" s="254"/>
      <c r="H313" s="253">
        <v>0</v>
      </c>
      <c r="I313" s="254"/>
      <c r="J313" s="111" t="str">
        <f>IF(H307=3,B309,"")</f>
        <v>PEDRO LIMA ARAUJO</v>
      </c>
      <c r="K313" s="33" t="str">
        <f>IF(J313="","",VLOOKUP(B313,LISTAS!$F$5:$G$964,2,0))</f>
        <v>IEBURIX -SBC</v>
      </c>
      <c r="L313" s="81"/>
    </row>
    <row r="314" spans="2:16" ht="18" customHeight="1" x14ac:dyDescent="0.25">
      <c r="B314" s="33" t="str">
        <f>IF(H307=3,B308,"")</f>
        <v>BYE</v>
      </c>
      <c r="C314" s="33" t="str">
        <f>IF(B314="","",VLOOKUP(B314,LISTAS!$F$5:$G$964,2,0))</f>
        <v>BYE</v>
      </c>
      <c r="D314" s="253">
        <v>0</v>
      </c>
      <c r="E314" s="254"/>
      <c r="F314" s="253" t="s">
        <v>38</v>
      </c>
      <c r="G314" s="254"/>
      <c r="H314" s="253">
        <v>2</v>
      </c>
      <c r="I314" s="254"/>
      <c r="J314" s="111" t="str">
        <f>IF(H307=3,B309,"")</f>
        <v>PEDRO LIMA ARAUJO</v>
      </c>
      <c r="K314" s="33" t="str">
        <f>IF(J314="","",VLOOKUP(B314,LISTAS!$F$5:$G$964,2,0))</f>
        <v>BYE</v>
      </c>
      <c r="L314" s="79"/>
    </row>
    <row r="315" spans="2:16" ht="18" customHeight="1" x14ac:dyDescent="0.25">
      <c r="B315" s="33" t="str">
        <f>IF(H307=3,B307,"")</f>
        <v>MATHEUS GONÇALVES SARDELARI</v>
      </c>
      <c r="C315" s="33" t="str">
        <f>IF(B315="","",VLOOKUP(B315,LISTAS!$F$5:$G$964,2,0))</f>
        <v>IEBURIX -SBC</v>
      </c>
      <c r="D315" s="253">
        <v>2</v>
      </c>
      <c r="E315" s="254"/>
      <c r="F315" s="253" t="s">
        <v>38</v>
      </c>
      <c r="G315" s="254"/>
      <c r="H315" s="253">
        <v>0</v>
      </c>
      <c r="I315" s="254"/>
      <c r="J315" s="111" t="str">
        <f>IF(H307=3,B308,"")</f>
        <v>BYE</v>
      </c>
      <c r="K315" s="33" t="str">
        <f>IF(J315="","",VLOOKUP(B315,LISTAS!$F$5:$G$964,2,0))</f>
        <v>IEBURIX -SBC</v>
      </c>
      <c r="L315" s="81"/>
    </row>
    <row r="318" spans="2:16" ht="30" customHeight="1" x14ac:dyDescent="0.25">
      <c r="B318" s="161" t="s">
        <v>68</v>
      </c>
      <c r="C318" s="79"/>
      <c r="D318" s="255" t="s">
        <v>42</v>
      </c>
      <c r="E318" s="256"/>
      <c r="F318" s="256"/>
      <c r="G318" s="257"/>
      <c r="H318" s="113"/>
      <c r="I318" s="255" t="s">
        <v>3</v>
      </c>
      <c r="J318" s="256"/>
      <c r="K318" s="256"/>
      <c r="L318" s="256"/>
    </row>
    <row r="319" spans="2:16" ht="18" customHeight="1" x14ac:dyDescent="0.25">
      <c r="B319" s="132" t="s">
        <v>15</v>
      </c>
      <c r="C319" s="132" t="s">
        <v>0</v>
      </c>
      <c r="D319" s="132" t="s">
        <v>43</v>
      </c>
      <c r="E319" s="132" t="s">
        <v>44</v>
      </c>
      <c r="F319" s="132" t="s">
        <v>77</v>
      </c>
      <c r="G319" s="132" t="s">
        <v>78</v>
      </c>
      <c r="H319" s="114"/>
      <c r="I319" s="132" t="s">
        <v>18</v>
      </c>
      <c r="J319" s="132" t="s">
        <v>15</v>
      </c>
      <c r="K319" s="132" t="s">
        <v>0</v>
      </c>
      <c r="L319" s="132" t="s">
        <v>45</v>
      </c>
    </row>
    <row r="320" spans="2:16" ht="18" customHeight="1" x14ac:dyDescent="0.25">
      <c r="B320" s="33" t="s">
        <v>198</v>
      </c>
      <c r="C320" s="33" t="str">
        <f>IFERROR(IF(B320="","",VLOOKUP(B320,LISTAS!$F$5:$G$1004,2,0)),"0")</f>
        <v>COLÉGIO ARBOS - UNIDADE SANTO ANDRÉ</v>
      </c>
      <c r="D320" s="33" t="str">
        <f>IF(H320&lt;3,"",IF(H320=3,IF(D326&lt;&gt;"",IF(H326&lt;&gt;"",IF(D326&lt;&gt;H326,IF(D326&gt;H326,"V","D"),""),""),"")))</f>
        <v>D</v>
      </c>
      <c r="E320" s="33" t="str">
        <f>IF(H320&lt;3,"",IF(H320=3,IF(D328&lt;&gt;"",IF(H328&lt;&gt;"",IF(D328&lt;&gt;H328,IF(D328&gt;H328,"V","D"),""),""),"")))</f>
        <v>V</v>
      </c>
      <c r="F320" s="33" t="s">
        <v>81</v>
      </c>
      <c r="G320" s="33" t="s">
        <v>81</v>
      </c>
      <c r="H320" s="117">
        <f>COUNTA(B320:B322)</f>
        <v>3</v>
      </c>
      <c r="I320" s="33">
        <f>IF(B320&lt;&gt;"",1,"")</f>
        <v>1</v>
      </c>
      <c r="J320" s="33" t="str">
        <f>IF(I320&lt;&gt;"",P320,"")</f>
        <v>LORENZO GALASTRI PINTO</v>
      </c>
      <c r="K320" s="33" t="str">
        <f>IFERROR(IF(J320="","",VLOOKUP(J320,LISTAS!$F$5:$G$1004,2,0)),"0")</f>
        <v>EDUCANDÁRIO - S.A</v>
      </c>
      <c r="L320" s="130" t="str">
        <f>IF(H320=3,"OURO",IF(H320=4,"OURO",IF(H320=5,"OURO","")))</f>
        <v>OURO</v>
      </c>
      <c r="M320" s="20">
        <f>IF(B320&lt;&gt;"",COUNTIF(D320:G320,"V")+(SUMIF(B326:B328,B320,D326:E328)/1000)+(SUMIF(J326:J328,B320,H326:I328)/1000)-(SUMIF(B326:B328,B320,H326:I328)/1000)-(SUMIF(J326:J328,B320,D326:E328)/1000)+0.003,"")</f>
        <v>1.0039999999999998</v>
      </c>
      <c r="N320" s="20" t="str">
        <f>IF(B320="","",B320)</f>
        <v>RAFAEL ALAHMAR MADLUM BARATELLA</v>
      </c>
      <c r="O320" s="20">
        <f>IF(B320&lt;&gt;"",LARGE(M320:M322,1),"")</f>
        <v>2.004</v>
      </c>
      <c r="P320" s="20" t="str">
        <f>VLOOKUP(O320,M320:N322,2,0)</f>
        <v>LORENZO GALASTRI PINTO</v>
      </c>
    </row>
    <row r="321" spans="2:16" ht="18" customHeight="1" x14ac:dyDescent="0.25">
      <c r="B321" s="33" t="s">
        <v>185</v>
      </c>
      <c r="C321" s="33" t="str">
        <f>IFERROR(IF(B321="","",VLOOKUP(B321,LISTAS!$F$5:$G$1004,2,0)),"0")</f>
        <v>IEBURIX -SBC</v>
      </c>
      <c r="D321" s="33" t="str">
        <f>IF(H320&lt;3,"",IF(H320=3,IF(D327&lt;&gt;"",IF(H327&lt;&gt;"",IF(D327&lt;&gt;H327,IF(D327&gt;H327,"V","D"),""),""),"")))</f>
        <v>D</v>
      </c>
      <c r="E321" s="33" t="str">
        <f>IF(H320&lt;3,"",IF(H320=3,IF(D328&lt;&gt;"",IF(H328&lt;&gt;"",IF(D328&lt;&gt;H328,IF(D328&gt;H328,"D","V"),""),""),"")))</f>
        <v>D</v>
      </c>
      <c r="F321" s="33" t="s">
        <v>81</v>
      </c>
      <c r="G321" s="33" t="s">
        <v>81</v>
      </c>
      <c r="H321" s="117"/>
      <c r="I321" s="33">
        <f>IF(B321&lt;&gt;"",2,"")</f>
        <v>2</v>
      </c>
      <c r="J321" s="33" t="str">
        <f>IF(I321&lt;&gt;"",P321,"")</f>
        <v>RAFAEL ALAHMAR MADLUM BARATELLA</v>
      </c>
      <c r="K321" s="33" t="str">
        <f>IFERROR(IF(J321="","",VLOOKUP(J321,LISTAS!$F$5:$G$1004,2,0)),"0")</f>
        <v>COLÉGIO ARBOS - UNIDADE SANTO ANDRÉ</v>
      </c>
      <c r="L321" s="130" t="str">
        <f>IF(H320=3,"PRATA",IF(H320=4,"OURO",IF(H320=5,"OURO","")))</f>
        <v>PRATA</v>
      </c>
      <c r="M321" s="20">
        <f>IF(B321&lt;&gt;"",COUNTIF(D321:G321,"V")+(SUMIF(B326:B328,B321,D326:E328)/1000)+(SUMIF(J326:J328,B321,H326:I328)/1000)-(SUMIF(B326:B328,B321,H326:I328)/1000)-(SUMIF(J326:J328,B321,D326:E328)/1000)+0.002,"")</f>
        <v>-2E-3</v>
      </c>
      <c r="N321" s="20" t="str">
        <f t="shared" ref="N321" si="21">IF(B321="","",B321)</f>
        <v>MIGUEL CHAGAS DA SILVA</v>
      </c>
      <c r="O321" s="20">
        <f>IF(B321&lt;&gt;"",LARGE(M320:M322,2),"")</f>
        <v>1.0039999999999998</v>
      </c>
      <c r="P321" s="20" t="str">
        <f>VLOOKUP(O321,M320:N322,2,0)</f>
        <v>RAFAEL ALAHMAR MADLUM BARATELLA</v>
      </c>
    </row>
    <row r="322" spans="2:16" ht="18" customHeight="1" x14ac:dyDescent="0.25">
      <c r="B322" s="33" t="s">
        <v>653</v>
      </c>
      <c r="C322" s="33" t="str">
        <f>IFERROR(IF(B322="","",VLOOKUP(B322,LISTAS!$F$5:$G$1004,2,0)),"0")</f>
        <v>EDUCANDÁRIO - S.A</v>
      </c>
      <c r="D322" s="33" t="str">
        <f>IF(H320&lt;3,"",IF(H320=3,IF(D326&lt;&gt;"",IF(H326&lt;&gt;"",IF(D326&lt;&gt;H326,IF(D326&gt;H326,"D","V"),""),""),"")))</f>
        <v>V</v>
      </c>
      <c r="E322" s="33" t="str">
        <f>IF(H320&lt;3,"",IF(H320=3,IF(D327&lt;&gt;"",IF(H327&lt;&gt;"",IF(D327&lt;&gt;H327,IF(D327&gt;H327,"D","V"),""),""),"")))</f>
        <v>V</v>
      </c>
      <c r="F322" s="33" t="s">
        <v>81</v>
      </c>
      <c r="G322" s="33" t="s">
        <v>81</v>
      </c>
      <c r="H322" s="117"/>
      <c r="I322" s="33">
        <f>IF(B322&lt;&gt;"",3,"")</f>
        <v>3</v>
      </c>
      <c r="J322" s="33" t="str">
        <f>IF(I322&lt;&gt;"",P322,"")</f>
        <v>MIGUEL CHAGAS DA SILVA</v>
      </c>
      <c r="K322" s="33" t="str">
        <f>IFERROR(IF(J322="","",VLOOKUP(J322,LISTAS!$F$5:$G$1004,2,0)),"0")</f>
        <v>IEBURIX -SBC</v>
      </c>
      <c r="L322" s="130" t="str">
        <f>IF(H320=3,"BRONZE",IF(H320=4,"PRATA",IF(H320=5,"OURO","")))</f>
        <v>BRONZE</v>
      </c>
      <c r="M322" s="20">
        <f>IF(B322&lt;&gt;"",COUNTIF(D322:G322,"V")+(SUMIF(B326:B328,B322,D326:E328)/1000)+(SUMIF(J326:J328,B322,H326:I328)/1000)-(SUMIF(B326:B328,B322,H326:I328)/1000)-(SUMIF(J326:J328,B322,D326:E328)/1000)+0.001,"")</f>
        <v>2.004</v>
      </c>
      <c r="N322" s="20" t="str">
        <f>IF(B322="","",B322)</f>
        <v>LORENZO GALASTRI PINTO</v>
      </c>
      <c r="O322" s="20">
        <f>IF(B322&lt;&gt;"",LARGE(M320:M322,3),"")</f>
        <v>-2E-3</v>
      </c>
      <c r="P322" s="20" t="str">
        <f>VLOOKUP(O322,M320:N322,2,0)</f>
        <v>MIGUEL CHAGAS DA SILVA</v>
      </c>
    </row>
    <row r="323" spans="2:16" ht="18" customHeight="1" x14ac:dyDescent="0.25">
      <c r="B323" s="79"/>
      <c r="C323" s="79"/>
      <c r="D323" s="79"/>
      <c r="E323" s="79"/>
      <c r="F323" s="79"/>
      <c r="G323" s="79"/>
      <c r="I323" s="80"/>
      <c r="J323" s="79"/>
      <c r="K323" s="81"/>
      <c r="L323" s="81"/>
    </row>
    <row r="324" spans="2:16" ht="23.25" customHeight="1" x14ac:dyDescent="0.25">
      <c r="B324" s="82" t="s">
        <v>40</v>
      </c>
      <c r="C324" s="79"/>
      <c r="D324" s="79"/>
      <c r="E324" s="79"/>
      <c r="F324" s="79"/>
      <c r="G324" s="79"/>
      <c r="H324" s="79"/>
      <c r="I324" s="79"/>
      <c r="J324" s="79"/>
      <c r="K324" s="79"/>
      <c r="L324" s="79"/>
    </row>
    <row r="325" spans="2:16" ht="18" customHeight="1" x14ac:dyDescent="0.25">
      <c r="B325" s="132" t="s">
        <v>15</v>
      </c>
      <c r="C325" s="132" t="s">
        <v>0</v>
      </c>
      <c r="D325" s="258" t="s">
        <v>41</v>
      </c>
      <c r="E325" s="259"/>
      <c r="F325" s="259"/>
      <c r="G325" s="259"/>
      <c r="H325" s="259"/>
      <c r="I325" s="260"/>
      <c r="J325" s="132" t="s">
        <v>15</v>
      </c>
      <c r="K325" s="132" t="s">
        <v>0</v>
      </c>
      <c r="L325" s="79"/>
    </row>
    <row r="326" spans="2:16" ht="18" customHeight="1" x14ac:dyDescent="0.25">
      <c r="B326" s="33" t="str">
        <f>IF(H320=3,B320,"")</f>
        <v>RAFAEL ALAHMAR MADLUM BARATELLA</v>
      </c>
      <c r="C326" s="33" t="str">
        <f>IFERROR(IF(B326="","",VLOOKUP(B326,LISTAS!$F$5:$G$1004,2,0)),"0")</f>
        <v>COLÉGIO ARBOS - UNIDADE SANTO ANDRÉ</v>
      </c>
      <c r="D326" s="253">
        <v>1</v>
      </c>
      <c r="E326" s="254"/>
      <c r="F326" s="253" t="s">
        <v>38</v>
      </c>
      <c r="G326" s="254"/>
      <c r="H326" s="253">
        <v>2</v>
      </c>
      <c r="I326" s="254"/>
      <c r="J326" s="111" t="str">
        <f>IF(H320=3,B322,"")</f>
        <v>LORENZO GALASTRI PINTO</v>
      </c>
      <c r="K326" s="33" t="str">
        <f>IFERROR(IF(J326="","",VLOOKUP(J326,LISTAS!$F$5:$G$1004,2,0)),"0")</f>
        <v>EDUCANDÁRIO - S.A</v>
      </c>
      <c r="L326" s="81"/>
    </row>
    <row r="327" spans="2:16" ht="18" customHeight="1" x14ac:dyDescent="0.25">
      <c r="B327" s="33" t="str">
        <f>IF(H320=3,B321,"")</f>
        <v>MIGUEL CHAGAS DA SILVA</v>
      </c>
      <c r="C327" s="33" t="str">
        <f>IFERROR(IF(B327="","",VLOOKUP(B327,LISTAS!$F$5:$G$1004,2,0)),"0")</f>
        <v>IEBURIX -SBC</v>
      </c>
      <c r="D327" s="253">
        <v>0</v>
      </c>
      <c r="E327" s="254"/>
      <c r="F327" s="253" t="s">
        <v>38</v>
      </c>
      <c r="G327" s="254"/>
      <c r="H327" s="253">
        <v>2</v>
      </c>
      <c r="I327" s="254"/>
      <c r="J327" s="111" t="str">
        <f>IF(H320=3,B322,"")</f>
        <v>LORENZO GALASTRI PINTO</v>
      </c>
      <c r="K327" s="33" t="str">
        <f>IFERROR(IF(J327="","",VLOOKUP(J327,LISTAS!$F$5:$G$1004,2,0)),"0")</f>
        <v>EDUCANDÁRIO - S.A</v>
      </c>
      <c r="L327" s="79"/>
    </row>
    <row r="328" spans="2:16" ht="18" customHeight="1" x14ac:dyDescent="0.25">
      <c r="B328" s="33" t="str">
        <f>IF(H320=3,B320,"")</f>
        <v>RAFAEL ALAHMAR MADLUM BARATELLA</v>
      </c>
      <c r="C328" s="33" t="str">
        <f>IFERROR(IF(B328="","",VLOOKUP(B328,LISTAS!$F$5:$G$1004,2,0)),"0")</f>
        <v>COLÉGIO ARBOS - UNIDADE SANTO ANDRÉ</v>
      </c>
      <c r="D328" s="253">
        <v>2</v>
      </c>
      <c r="E328" s="254"/>
      <c r="F328" s="253" t="s">
        <v>38</v>
      </c>
      <c r="G328" s="254"/>
      <c r="H328" s="253">
        <v>0</v>
      </c>
      <c r="I328" s="254"/>
      <c r="J328" s="111" t="str">
        <f>IF(H320=3,B321,"")</f>
        <v>MIGUEL CHAGAS DA SILVA</v>
      </c>
      <c r="K328" s="33" t="str">
        <f>IFERROR(IF(J328="","",VLOOKUP(J328,LISTAS!$F$5:$G$1004,2,0)),"0")</f>
        <v>IEBURIX -SBC</v>
      </c>
      <c r="L328" s="81"/>
    </row>
    <row r="331" spans="2:16" ht="30" customHeight="1" x14ac:dyDescent="0.25">
      <c r="B331" s="161" t="s">
        <v>69</v>
      </c>
      <c r="C331" s="79"/>
      <c r="D331" s="255" t="s">
        <v>42</v>
      </c>
      <c r="E331" s="256"/>
      <c r="F331" s="256"/>
      <c r="G331" s="257"/>
      <c r="H331" s="113"/>
      <c r="I331" s="255" t="s">
        <v>3</v>
      </c>
      <c r="J331" s="256"/>
      <c r="K331" s="256"/>
      <c r="L331" s="256"/>
    </row>
    <row r="332" spans="2:16" ht="18" customHeight="1" x14ac:dyDescent="0.25">
      <c r="B332" s="132" t="s">
        <v>15</v>
      </c>
      <c r="C332" s="132" t="s">
        <v>0</v>
      </c>
      <c r="D332" s="132" t="s">
        <v>43</v>
      </c>
      <c r="E332" s="132" t="s">
        <v>44</v>
      </c>
      <c r="F332" s="132" t="s">
        <v>77</v>
      </c>
      <c r="G332" s="132" t="s">
        <v>78</v>
      </c>
      <c r="H332" s="114"/>
      <c r="I332" s="132" t="s">
        <v>18</v>
      </c>
      <c r="J332" s="132" t="s">
        <v>15</v>
      </c>
      <c r="K332" s="132" t="s">
        <v>0</v>
      </c>
      <c r="L332" s="132" t="s">
        <v>45</v>
      </c>
    </row>
    <row r="333" spans="2:16" ht="18" customHeight="1" x14ac:dyDescent="0.25">
      <c r="B333" s="33" t="s">
        <v>146</v>
      </c>
      <c r="C333" s="33" t="str">
        <f>IFERROR(IF(B333="","",VLOOKUP(B333,LISTAS!$F$5:$G$1004,2,0)),"0")</f>
        <v>COLÉGIO SÃO MAURO</v>
      </c>
      <c r="D333" s="33" t="str">
        <f>IF(H333&lt;3,"",IF(H333=3,IF(D339&lt;&gt;"",IF(H339&lt;&gt;"",IF(D339&lt;&gt;H339,IF(D339&gt;H339,"V","D"),""),""),"")))</f>
        <v>V</v>
      </c>
      <c r="E333" s="33" t="str">
        <f>IF(H333&lt;3,"",IF(H333=3,IF(D341&lt;&gt;"",IF(H341&lt;&gt;"",IF(D341&lt;&gt;H341,IF(D341&gt;H341,"V","D"),""),""),"")))</f>
        <v>D</v>
      </c>
      <c r="F333" s="33" t="s">
        <v>81</v>
      </c>
      <c r="G333" s="33" t="s">
        <v>81</v>
      </c>
      <c r="H333" s="117">
        <f>COUNTA(B333:B335)</f>
        <v>3</v>
      </c>
      <c r="I333" s="33">
        <f>IF(B333&lt;&gt;"",1,"")</f>
        <v>1</v>
      </c>
      <c r="J333" s="33" t="str">
        <f>IF(I333&lt;&gt;"",P333,"")</f>
        <v>THEO AIOLFI CASTRO</v>
      </c>
      <c r="K333" s="33" t="str">
        <f>IFERROR(IF(J333="","",VLOOKUP(J333,LISTAS!$F$5:$G$1004,2,0)),"0")</f>
        <v>EDUCANDÁRIO - S.A</v>
      </c>
      <c r="L333" s="130" t="str">
        <f>IF(H333=3,"OURO",IF(H333=4,"OURO",IF(H333=5,"OURO","")))</f>
        <v>OURO</v>
      </c>
      <c r="M333" s="20">
        <f>IF(B333&lt;&gt;"",COUNTIF(D333:G333,"V")+(SUMIF(B339:B341,B333,D339:E341)/1000)+(SUMIF(J339:J341,B333,H339:I341)/1000)-(SUMIF(B339:B341,B333,H339:I341)/1000)-(SUMIF(J339:J341,B333,D339:E341)/1000)+0.003,"")</f>
        <v>1.0029999999999999</v>
      </c>
      <c r="N333" s="20" t="str">
        <f>IF(B333="","",B333)</f>
        <v>FRANCISCO OLIVEIRA MARIN</v>
      </c>
      <c r="O333" s="20">
        <f>IF(B333&lt;&gt;"",LARGE(M333:M335,1),"")</f>
        <v>2.0059999999999993</v>
      </c>
      <c r="P333" s="20" t="str">
        <f>VLOOKUP(O333,M333:N335,2,0)</f>
        <v>THEO AIOLFI CASTRO</v>
      </c>
    </row>
    <row r="334" spans="2:16" ht="18" customHeight="1" x14ac:dyDescent="0.25">
      <c r="B334" s="33" t="s">
        <v>650</v>
      </c>
      <c r="C334" s="33" t="str">
        <f>IFERROR(IF(B334="","",VLOOKUP(B334,LISTAS!$F$5:$G$1004,2,0)),"0")</f>
        <v>EDUCANDÁRIO - S.A</v>
      </c>
      <c r="D334" s="33" t="str">
        <f>IF(H333&lt;3,"",IF(H333=3,IF(D340&lt;&gt;"",IF(H340&lt;&gt;"",IF(D340&lt;&gt;H340,IF(D340&gt;H340,"V","D"),""),""),"")))</f>
        <v>V</v>
      </c>
      <c r="E334" s="33" t="str">
        <f>IF(H333&lt;3,"",IF(H333=3,IF(D341&lt;&gt;"",IF(H341&lt;&gt;"",IF(D341&lt;&gt;H341,IF(D341&gt;H341,"D","V"),""),""),"")))</f>
        <v>V</v>
      </c>
      <c r="F334" s="33" t="s">
        <v>81</v>
      </c>
      <c r="G334" s="33" t="s">
        <v>81</v>
      </c>
      <c r="H334" s="117"/>
      <c r="I334" s="33">
        <f>IF(B334&lt;&gt;"",2,"")</f>
        <v>2</v>
      </c>
      <c r="J334" s="33" t="str">
        <f>IF(I334&lt;&gt;"",P334,"")</f>
        <v>FRANCISCO OLIVEIRA MARIN</v>
      </c>
      <c r="K334" s="33" t="str">
        <f>IFERROR(IF(J334="","",VLOOKUP(J334,LISTAS!$F$5:$G$1004,2,0)),"0")</f>
        <v>COLÉGIO SÃO MAURO</v>
      </c>
      <c r="L334" s="130" t="str">
        <f>IF(H333=3,"PRATA",IF(H333=4,"OURO",IF(H333=5,"OURO","")))</f>
        <v>PRATA</v>
      </c>
      <c r="M334" s="20">
        <f>IF(B334&lt;&gt;"",COUNTIF(D334:G334,"V")+(SUMIF(B339:B341,B334,D339:E341)/1000)+(SUMIF(J339:J341,B334,H339:I341)/1000)-(SUMIF(B339:B341,B334,H339:I341)/1000)-(SUMIF(J339:J341,B334,D339:E341)/1000)+0.002,"")</f>
        <v>2.0059999999999993</v>
      </c>
      <c r="N334" s="20" t="str">
        <f t="shared" ref="N334" si="22">IF(B334="","",B334)</f>
        <v>THEO AIOLFI CASTRO</v>
      </c>
      <c r="O334" s="20">
        <f>IF(B334&lt;&gt;"",LARGE(M333:M335,2),"")</f>
        <v>1.0029999999999999</v>
      </c>
      <c r="P334" s="20" t="str">
        <f>VLOOKUP(O334,M333:N335,2,0)</f>
        <v>FRANCISCO OLIVEIRA MARIN</v>
      </c>
    </row>
    <row r="335" spans="2:16" ht="18" customHeight="1" x14ac:dyDescent="0.25">
      <c r="B335" s="33" t="s">
        <v>169</v>
      </c>
      <c r="C335" s="33" t="str">
        <f>IFERROR(IF(B335="","",VLOOKUP(B335,LISTAS!$F$5:$G$1004,2,0)),"0")</f>
        <v>LICEU JARDIM</v>
      </c>
      <c r="D335" s="33" t="str">
        <f>IF(H333&lt;3,"",IF(H333=3,IF(D339&lt;&gt;"",IF(H339&lt;&gt;"",IF(D339&lt;&gt;H339,IF(D339&gt;H339,"D","V"),""),""),"")))</f>
        <v>D</v>
      </c>
      <c r="E335" s="33" t="str">
        <f>IF(H333&lt;3,"",IF(H333=3,IF(D340&lt;&gt;"",IF(H340&lt;&gt;"",IF(D340&lt;&gt;H340,IF(D340&gt;H340,"D","V"),""),""),"")))</f>
        <v>D</v>
      </c>
      <c r="F335" s="33" t="s">
        <v>81</v>
      </c>
      <c r="G335" s="33" t="s">
        <v>81</v>
      </c>
      <c r="H335" s="117"/>
      <c r="I335" s="33">
        <f>IF(B335&lt;&gt;"",3,"")</f>
        <v>3</v>
      </c>
      <c r="J335" s="33" t="str">
        <f>IF(I335&lt;&gt;"",P335,"")</f>
        <v>LUCAS ROCHETTI VAZQUEZ CARMO</v>
      </c>
      <c r="K335" s="33" t="str">
        <f>IFERROR(IF(J335="","",VLOOKUP(J335,LISTAS!$F$5:$G$1004,2,0)),"0")</f>
        <v>LICEU JARDIM</v>
      </c>
      <c r="L335" s="130" t="str">
        <f>IF(H333=3,"BRONZE",IF(H333=4,"PRATA",IF(H333=5,"OURO","")))</f>
        <v>BRONZE</v>
      </c>
      <c r="M335" s="20">
        <f>IF(B335&lt;&gt;"",COUNTIF(D335:G335,"V")+(SUMIF(B339:B341,B335,D339:E341)/1000)+(SUMIF(J339:J341,B335,H339:I341)/1000)-(SUMIF(B339:B341,B335,H339:I341)/1000)-(SUMIF(J339:J341,B335,D339:E341)/1000)+0.001,"")</f>
        <v>-3.0000000000000001E-3</v>
      </c>
      <c r="N335" s="20" t="str">
        <f>IF(B335="","",B335)</f>
        <v>LUCAS ROCHETTI VAZQUEZ CARMO</v>
      </c>
      <c r="O335" s="20">
        <f>IF(B335&lt;&gt;"",LARGE(M333:M335,3),"")</f>
        <v>-3.0000000000000001E-3</v>
      </c>
      <c r="P335" s="20" t="str">
        <f>VLOOKUP(O335,M333:N335,2,0)</f>
        <v>LUCAS ROCHETTI VAZQUEZ CARMO</v>
      </c>
    </row>
    <row r="336" spans="2:16" ht="18" customHeight="1" x14ac:dyDescent="0.25">
      <c r="B336" s="79"/>
      <c r="C336" s="79"/>
      <c r="D336" s="79"/>
      <c r="E336" s="79"/>
      <c r="F336" s="79"/>
      <c r="G336" s="79"/>
      <c r="I336" s="80"/>
      <c r="J336" s="79"/>
      <c r="K336" s="81"/>
      <c r="L336" s="81"/>
    </row>
    <row r="337" spans="2:16" ht="23.25" customHeight="1" x14ac:dyDescent="0.25">
      <c r="B337" s="82" t="s">
        <v>40</v>
      </c>
      <c r="C337" s="79"/>
      <c r="D337" s="79"/>
      <c r="E337" s="79"/>
      <c r="F337" s="79"/>
      <c r="G337" s="79"/>
      <c r="H337" s="79"/>
      <c r="I337" s="79"/>
      <c r="J337" s="79"/>
      <c r="K337" s="79"/>
      <c r="L337" s="79"/>
    </row>
    <row r="338" spans="2:16" ht="18" customHeight="1" x14ac:dyDescent="0.25">
      <c r="B338" s="132" t="s">
        <v>15</v>
      </c>
      <c r="C338" s="132" t="s">
        <v>0</v>
      </c>
      <c r="D338" s="258" t="s">
        <v>41</v>
      </c>
      <c r="E338" s="259"/>
      <c r="F338" s="259"/>
      <c r="G338" s="259"/>
      <c r="H338" s="259"/>
      <c r="I338" s="260"/>
      <c r="J338" s="132" t="s">
        <v>15</v>
      </c>
      <c r="K338" s="132" t="s">
        <v>0</v>
      </c>
      <c r="L338" s="79"/>
    </row>
    <row r="339" spans="2:16" ht="18" customHeight="1" x14ac:dyDescent="0.25">
      <c r="B339" s="33" t="str">
        <f>IF(H333=3,B333,"")</f>
        <v>FRANCISCO OLIVEIRA MARIN</v>
      </c>
      <c r="C339" s="33" t="str">
        <f>IFERROR(IF(B339="","",VLOOKUP(B339,LISTAS!$F$5:$G$1004,2,0)),"0")</f>
        <v>COLÉGIO SÃO MAURO</v>
      </c>
      <c r="D339" s="253">
        <v>2</v>
      </c>
      <c r="E339" s="254"/>
      <c r="F339" s="253" t="s">
        <v>38</v>
      </c>
      <c r="G339" s="254"/>
      <c r="H339" s="253">
        <v>0</v>
      </c>
      <c r="I339" s="254"/>
      <c r="J339" s="111" t="str">
        <f>IF(H333=3,B335,"")</f>
        <v>LUCAS ROCHETTI VAZQUEZ CARMO</v>
      </c>
      <c r="K339" s="33" t="str">
        <f>IFERROR(IF(J339="","",VLOOKUP(J339,LISTAS!$F$5:$G$1004,2,0)),"0")</f>
        <v>LICEU JARDIM</v>
      </c>
      <c r="L339" s="81"/>
    </row>
    <row r="340" spans="2:16" ht="18" customHeight="1" x14ac:dyDescent="0.25">
      <c r="B340" s="33" t="str">
        <f>IF(H333=3,B334,"")</f>
        <v>THEO AIOLFI CASTRO</v>
      </c>
      <c r="C340" s="33" t="str">
        <f>IFERROR(IF(B340="","",VLOOKUP(B340,LISTAS!$F$5:$G$1004,2,0)),"0")</f>
        <v>EDUCANDÁRIO - S.A</v>
      </c>
      <c r="D340" s="253">
        <v>2</v>
      </c>
      <c r="E340" s="254"/>
      <c r="F340" s="253" t="s">
        <v>38</v>
      </c>
      <c r="G340" s="254"/>
      <c r="H340" s="253">
        <v>0</v>
      </c>
      <c r="I340" s="254"/>
      <c r="J340" s="111" t="str">
        <f>IF(H333=3,B335,"")</f>
        <v>LUCAS ROCHETTI VAZQUEZ CARMO</v>
      </c>
      <c r="K340" s="33" t="str">
        <f>IFERROR(IF(J340="","",VLOOKUP(J340,LISTAS!$F$5:$G$1004,2,0)),"0")</f>
        <v>LICEU JARDIM</v>
      </c>
      <c r="L340" s="79"/>
    </row>
    <row r="341" spans="2:16" ht="18" customHeight="1" x14ac:dyDescent="0.25">
      <c r="B341" s="33" t="str">
        <f>IF(H333=3,B333,"")</f>
        <v>FRANCISCO OLIVEIRA MARIN</v>
      </c>
      <c r="C341" s="33" t="str">
        <f>IFERROR(IF(B341="","",VLOOKUP(B341,LISTAS!$F$5:$G$1004,2,0)),"0")</f>
        <v>COLÉGIO SÃO MAURO</v>
      </c>
      <c r="D341" s="253">
        <v>0</v>
      </c>
      <c r="E341" s="254"/>
      <c r="F341" s="253" t="s">
        <v>38</v>
      </c>
      <c r="G341" s="254"/>
      <c r="H341" s="253">
        <v>2</v>
      </c>
      <c r="I341" s="254"/>
      <c r="J341" s="111" t="str">
        <f>IF(H333=3,B334,"")</f>
        <v>THEO AIOLFI CASTRO</v>
      </c>
      <c r="K341" s="33" t="str">
        <f>IFERROR(IF(J341="","",VLOOKUP(J341,LISTAS!$F$5:$G$1004,2,0)),"0")</f>
        <v>EDUCANDÁRIO - S.A</v>
      </c>
      <c r="L341" s="81"/>
    </row>
    <row r="344" spans="2:16" ht="30" customHeight="1" x14ac:dyDescent="0.25">
      <c r="B344" s="161" t="s">
        <v>70</v>
      </c>
      <c r="C344" s="79"/>
      <c r="D344" s="255" t="s">
        <v>42</v>
      </c>
      <c r="E344" s="256"/>
      <c r="F344" s="256"/>
      <c r="G344" s="257"/>
      <c r="H344" s="113"/>
      <c r="I344" s="255" t="s">
        <v>3</v>
      </c>
      <c r="J344" s="256"/>
      <c r="K344" s="256"/>
      <c r="L344" s="256"/>
    </row>
    <row r="345" spans="2:16" ht="18" customHeight="1" x14ac:dyDescent="0.25">
      <c r="B345" s="132" t="s">
        <v>15</v>
      </c>
      <c r="C345" s="132" t="s">
        <v>0</v>
      </c>
      <c r="D345" s="132" t="s">
        <v>43</v>
      </c>
      <c r="E345" s="132" t="s">
        <v>44</v>
      </c>
      <c r="F345" s="132" t="s">
        <v>77</v>
      </c>
      <c r="G345" s="132" t="s">
        <v>78</v>
      </c>
      <c r="H345" s="114"/>
      <c r="I345" s="132" t="s">
        <v>18</v>
      </c>
      <c r="J345" s="132" t="s">
        <v>15</v>
      </c>
      <c r="K345" s="132" t="s">
        <v>0</v>
      </c>
      <c r="L345" s="132" t="s">
        <v>45</v>
      </c>
    </row>
    <row r="346" spans="2:16" ht="18" customHeight="1" x14ac:dyDescent="0.25">
      <c r="B346" s="39" t="s">
        <v>669</v>
      </c>
      <c r="C346" s="33" t="str">
        <f>IFERROR(IF(B346="","",VLOOKUP(B346,LISTAS!$F$5:$G$1004,2,0)),"0")</f>
        <v>COLÉGIO ATENEU</v>
      </c>
      <c r="D346" s="33" t="str">
        <f>IF(H346&lt;3,"",IF(H346=3,IF(D352&lt;&gt;"",IF(H352&lt;&gt;"",IF(D352&lt;&gt;H352,IF(D352&gt;H352,"V","D"),""),""),"")))</f>
        <v/>
      </c>
      <c r="E346" s="33" t="str">
        <f>IF(H346&lt;3,"",IF(H346=3,IF(D354&lt;&gt;"",IF(H354&lt;&gt;"",IF(D354&lt;&gt;H354,IF(D354&gt;H354,"V","D"),""),""),"")))</f>
        <v/>
      </c>
      <c r="F346" s="33" t="s">
        <v>81</v>
      </c>
      <c r="G346" s="33" t="s">
        <v>81</v>
      </c>
      <c r="H346" s="117">
        <f>COUNTA(B346:B348)</f>
        <v>2</v>
      </c>
      <c r="I346" s="33">
        <f>IF(B346&lt;&gt;"",1,"")</f>
        <v>1</v>
      </c>
      <c r="J346" s="33" t="str">
        <f>IF(I346&lt;&gt;"",P346,"")</f>
        <v>BERNARDO ROMA</v>
      </c>
      <c r="K346" s="33" t="str">
        <f>IFERROR(IF(J346="","",VLOOKUP(J346,LISTAS!$F$5:$G$1004,2,0)),"0")</f>
        <v>PEN LIFE</v>
      </c>
      <c r="L346" s="130" t="str">
        <f>IF(H346=3,"OURO",IF(H346=4,"OURO",IF(H346=5,"OURO","")))</f>
        <v/>
      </c>
      <c r="M346" s="20">
        <f>IF(B346&lt;&gt;"",COUNTIF(D346:G346,"V")+(SUMIF(B352:B354,B346,D352:E354)/1000)+(SUMIF(J352:J354,B346,H352:I354)/1000)-(SUMIF(B352:B354,B346,H352:I354)/1000)-(SUMIF(J352:J354,B346,D352:E354)/1000)+0.003,"")</f>
        <v>1E-3</v>
      </c>
      <c r="N346" s="20" t="str">
        <f>IF(B346="","",B346)</f>
        <v>THEO RIBEIRO</v>
      </c>
      <c r="O346" s="20">
        <f>IF(B346&lt;&gt;"",LARGE(M346:M348,1),"")</f>
        <v>4.0000000000000001E-3</v>
      </c>
      <c r="P346" s="20" t="str">
        <f>VLOOKUP(O346,M346:N348,2,0)</f>
        <v>BERNARDO ROMA</v>
      </c>
    </row>
    <row r="347" spans="2:16" ht="18" customHeight="1" x14ac:dyDescent="0.25">
      <c r="B347" s="39" t="s">
        <v>670</v>
      </c>
      <c r="C347" s="33" t="str">
        <f>IFERROR(IF(B347="","",VLOOKUP(B347,LISTAS!$F$5:$G$1004,2,0)),"0")</f>
        <v>PEN LIFE</v>
      </c>
      <c r="D347" s="33" t="str">
        <f>IF(H346&lt;3,"",IF(H346=3,IF(D353&lt;&gt;"",IF(H353&lt;&gt;"",IF(D353&lt;&gt;H353,IF(D353&gt;H353,"V","D"),""),""),"")))</f>
        <v/>
      </c>
      <c r="E347" s="33" t="str">
        <f>IF(H346&lt;3,"",IF(H346=3,IF(D354&lt;&gt;"",IF(H354&lt;&gt;"",IF(D354&lt;&gt;H354,IF(D354&gt;H354,"D","V"),""),""),"")))</f>
        <v/>
      </c>
      <c r="F347" s="33" t="s">
        <v>81</v>
      </c>
      <c r="G347" s="33" t="s">
        <v>81</v>
      </c>
      <c r="H347" s="117"/>
      <c r="I347" s="33">
        <f>IF(B347&lt;&gt;"",2,"")</f>
        <v>2</v>
      </c>
      <c r="J347" s="33" t="str">
        <f>IF(I347&lt;&gt;"",P347,"")</f>
        <v>THEO RIBEIRO</v>
      </c>
      <c r="K347" s="33" t="str">
        <f>IFERROR(IF(J347="","",VLOOKUP(J347,LISTAS!$F$5:$G$1004,2,0)),"0")</f>
        <v>COLÉGIO ATENEU</v>
      </c>
      <c r="L347" s="130" t="str">
        <f>IF(H346=3,"PRATA",IF(H346=4,"OURO",IF(H346=5,"OURO","")))</f>
        <v/>
      </c>
      <c r="M347" s="20">
        <f>IF(B347&lt;&gt;"",COUNTIF(D347:G347,"V")+(SUMIF(B352:B354,B347,D352:E354)/1000)+(SUMIF(J352:J354,B347,H352:I354)/1000)-(SUMIF(B352:B354,B347,H352:I354)/1000)-(SUMIF(J352:J354,B347,D352:E354)/1000)+0.002,"")</f>
        <v>4.0000000000000001E-3</v>
      </c>
      <c r="N347" s="20" t="str">
        <f t="shared" ref="N347" si="23">IF(B347="","",B347)</f>
        <v>BERNARDO ROMA</v>
      </c>
      <c r="O347" s="20">
        <f>IF(B347&lt;&gt;"",LARGE(M346:M348,2),"")</f>
        <v>1E-3</v>
      </c>
      <c r="P347" s="20" t="str">
        <f>VLOOKUP(O347,M346:N348,2,0)</f>
        <v>THEO RIBEIRO</v>
      </c>
    </row>
    <row r="348" spans="2:16" ht="18" customHeight="1" x14ac:dyDescent="0.25">
      <c r="B348" s="33"/>
      <c r="C348" s="33" t="str">
        <f>IFERROR(IF(B348="","",VLOOKUP(B348,LISTAS!$F$5:$G$1004,2,0)),"0")</f>
        <v/>
      </c>
      <c r="D348" s="33" t="str">
        <f>IF(H346&lt;3,"",IF(H346=3,IF(D352&lt;&gt;"",IF(H352&lt;&gt;"",IF(D352&lt;&gt;H352,IF(D352&gt;H352,"D","V"),""),""),"")))</f>
        <v/>
      </c>
      <c r="E348" s="33" t="str">
        <f>IF(H346&lt;3,"",IF(H346=3,IF(D353&lt;&gt;"",IF(H353&lt;&gt;"",IF(D353&lt;&gt;H353,IF(D353&gt;H353,"D","V"),""),""),"")))</f>
        <v/>
      </c>
      <c r="F348" s="33" t="s">
        <v>81</v>
      </c>
      <c r="G348" s="33" t="s">
        <v>81</v>
      </c>
      <c r="H348" s="117"/>
      <c r="I348" s="33" t="str">
        <f>IF(B348&lt;&gt;"",3,"")</f>
        <v/>
      </c>
      <c r="J348" s="33" t="str">
        <f>IF(I348&lt;&gt;"",P348,"")</f>
        <v/>
      </c>
      <c r="K348" s="33" t="str">
        <f>IFERROR(IF(J348="","",VLOOKUP(J348,LISTAS!$F$5:$G$1004,2,0)),"0")</f>
        <v/>
      </c>
      <c r="L348" s="130" t="str">
        <f>IF(H346=3,"BRONZE",IF(H346=4,"PRATA",IF(H346=5,"OURO","")))</f>
        <v/>
      </c>
      <c r="M348" s="20" t="str">
        <f>IF(B348&lt;&gt;"",COUNTIF(D348:G348,"V")+(SUMIF(B352:B354,B348,D352:E354)/1000)+(SUMIF(J352:J354,B348,H352:I354)/1000)-(SUMIF(B352:B354,B348,H352:I354)/1000)-(SUMIF(J352:J354,B348,D352:E354)/1000)+0.001,"")</f>
        <v/>
      </c>
      <c r="N348" s="20" t="str">
        <f>IF(B348="","",B348)</f>
        <v/>
      </c>
      <c r="O348" s="20" t="str">
        <f>IF(B348&lt;&gt;"",LARGE(M346:M348,3),"")</f>
        <v/>
      </c>
      <c r="P348" s="20" t="str">
        <f>VLOOKUP(O348,M346:N348,2,0)</f>
        <v/>
      </c>
    </row>
    <row r="349" spans="2:16" ht="18" customHeight="1" x14ac:dyDescent="0.25">
      <c r="B349" s="79"/>
      <c r="C349" s="79"/>
      <c r="D349" s="79"/>
      <c r="E349" s="79"/>
      <c r="F349" s="79"/>
      <c r="G349" s="79"/>
      <c r="I349" s="80"/>
      <c r="J349" s="79"/>
      <c r="K349" s="81"/>
      <c r="L349" s="81"/>
    </row>
    <row r="350" spans="2:16" ht="23.25" customHeight="1" x14ac:dyDescent="0.25">
      <c r="B350" s="82" t="s">
        <v>40</v>
      </c>
      <c r="C350" s="79"/>
      <c r="D350" s="79"/>
      <c r="E350" s="79"/>
      <c r="F350" s="79"/>
      <c r="G350" s="79"/>
      <c r="H350" s="79"/>
      <c r="I350" s="79"/>
      <c r="J350" s="79"/>
      <c r="K350" s="79"/>
      <c r="L350" s="79"/>
    </row>
    <row r="351" spans="2:16" ht="18" customHeight="1" x14ac:dyDescent="0.25">
      <c r="B351" s="132" t="s">
        <v>15</v>
      </c>
      <c r="C351" s="132" t="s">
        <v>0</v>
      </c>
      <c r="D351" s="258" t="s">
        <v>41</v>
      </c>
      <c r="E351" s="259"/>
      <c r="F351" s="259"/>
      <c r="G351" s="259"/>
      <c r="H351" s="259"/>
      <c r="I351" s="260"/>
      <c r="J351" s="132" t="s">
        <v>15</v>
      </c>
      <c r="K351" s="132" t="s">
        <v>0</v>
      </c>
      <c r="L351" s="79"/>
    </row>
    <row r="352" spans="2:16" ht="18" customHeight="1" x14ac:dyDescent="0.25">
      <c r="B352" s="39" t="s">
        <v>669</v>
      </c>
      <c r="C352" s="33" t="str">
        <f>IFERROR(IF(B352="","",VLOOKUP(B352,LISTAS!$F$5:$G$1004,2,0)),"0")</f>
        <v>COLÉGIO ATENEU</v>
      </c>
      <c r="D352" s="253">
        <v>0</v>
      </c>
      <c r="E352" s="254"/>
      <c r="F352" s="253" t="s">
        <v>38</v>
      </c>
      <c r="G352" s="254"/>
      <c r="H352" s="253">
        <v>2</v>
      </c>
      <c r="I352" s="254"/>
      <c r="J352" s="39" t="s">
        <v>670</v>
      </c>
      <c r="K352" s="33" t="str">
        <f>IFERROR(IF(J352="","",VLOOKUP(J352,LISTAS!$F$5:$G$1004,2,0)),"0")</f>
        <v>PEN LIFE</v>
      </c>
      <c r="L352" s="81"/>
    </row>
    <row r="353" spans="2:16" ht="18" customHeight="1" x14ac:dyDescent="0.25">
      <c r="B353" s="33" t="str">
        <f>IF(H346=3,B347,"")</f>
        <v/>
      </c>
      <c r="C353" s="33" t="str">
        <f>IFERROR(IF(B353="","",VLOOKUP(B353,LISTAS!$F$5:$G$1004,2,0)),"0")</f>
        <v/>
      </c>
      <c r="D353" s="253"/>
      <c r="E353" s="254"/>
      <c r="F353" s="253" t="s">
        <v>38</v>
      </c>
      <c r="G353" s="254"/>
      <c r="H353" s="253"/>
      <c r="I353" s="254"/>
      <c r="J353" s="111" t="str">
        <f>IF(H346=3,B348,"")</f>
        <v/>
      </c>
      <c r="K353" s="33" t="str">
        <f>IFERROR(IF(J353="","",VLOOKUP(J353,LISTAS!$F$5:$G$1004,2,0)),"0")</f>
        <v/>
      </c>
      <c r="L353" s="79"/>
    </row>
    <row r="354" spans="2:16" ht="18" customHeight="1" x14ac:dyDescent="0.25">
      <c r="B354" s="33" t="str">
        <f>IF(H346=3,B346,"")</f>
        <v/>
      </c>
      <c r="C354" s="33" t="str">
        <f>IFERROR(IF(B354="","",VLOOKUP(B354,LISTAS!$F$5:$G$1004,2,0)),"0")</f>
        <v/>
      </c>
      <c r="D354" s="253"/>
      <c r="E354" s="254"/>
      <c r="F354" s="253" t="s">
        <v>38</v>
      </c>
      <c r="G354" s="254"/>
      <c r="H354" s="253"/>
      <c r="I354" s="254"/>
      <c r="J354" s="111" t="str">
        <f>IF(H346=3,B347,"")</f>
        <v/>
      </c>
      <c r="K354" s="33" t="str">
        <f>IFERROR(IF(J354="","",VLOOKUP(J354,LISTAS!$F$5:$G$1004,2,0)),"0")</f>
        <v/>
      </c>
      <c r="L354" s="81"/>
    </row>
    <row r="357" spans="2:16" ht="30" customHeight="1" x14ac:dyDescent="0.25">
      <c r="B357" s="161" t="s">
        <v>71</v>
      </c>
      <c r="C357" s="79"/>
      <c r="D357" s="255" t="s">
        <v>42</v>
      </c>
      <c r="E357" s="256"/>
      <c r="F357" s="256"/>
      <c r="G357" s="257"/>
      <c r="H357" s="113"/>
      <c r="I357" s="255" t="s">
        <v>3</v>
      </c>
      <c r="J357" s="256"/>
      <c r="K357" s="256"/>
      <c r="L357" s="256"/>
    </row>
    <row r="358" spans="2:16" ht="18" customHeight="1" x14ac:dyDescent="0.25">
      <c r="B358" s="132" t="s">
        <v>15</v>
      </c>
      <c r="C358" s="132" t="s">
        <v>0</v>
      </c>
      <c r="D358" s="132" t="s">
        <v>43</v>
      </c>
      <c r="E358" s="132" t="s">
        <v>44</v>
      </c>
      <c r="F358" s="132" t="s">
        <v>77</v>
      </c>
      <c r="G358" s="132" t="s">
        <v>78</v>
      </c>
      <c r="H358" s="114"/>
      <c r="I358" s="132" t="s">
        <v>18</v>
      </c>
      <c r="J358" s="132" t="s">
        <v>15</v>
      </c>
      <c r="K358" s="132" t="s">
        <v>0</v>
      </c>
      <c r="L358" s="132" t="s">
        <v>45</v>
      </c>
    </row>
    <row r="359" spans="2:16" ht="18" customHeight="1" x14ac:dyDescent="0.25">
      <c r="B359" s="33"/>
      <c r="C359" s="33" t="str">
        <f>IFERROR(IF(B359="","",VLOOKUP(B359,LISTAS!$F$5:$G$1004,2,0)),"0")</f>
        <v/>
      </c>
      <c r="D359" s="33" t="str">
        <f>IF(H359&lt;3,"",IF(H359=3,IF(D365&lt;&gt;"",IF(H365&lt;&gt;"",IF(D365&lt;&gt;H365,IF(D365&gt;H365,"V","D"),""),""),"")))</f>
        <v/>
      </c>
      <c r="E359" s="33" t="str">
        <f>IF(H359&lt;3,"",IF(H359=3,IF(D367&lt;&gt;"",IF(H367&lt;&gt;"",IF(D367&lt;&gt;H367,IF(D367&gt;H367,"V","D"),""),""),"")))</f>
        <v/>
      </c>
      <c r="F359" s="33" t="s">
        <v>81</v>
      </c>
      <c r="G359" s="33" t="s">
        <v>81</v>
      </c>
      <c r="H359" s="117">
        <f>COUNTA(B359:B361)</f>
        <v>0</v>
      </c>
      <c r="I359" s="33" t="str">
        <f>IF(B359&lt;&gt;"",1,"")</f>
        <v/>
      </c>
      <c r="J359" s="33" t="str">
        <f>IF(I359&lt;&gt;"",P359,"")</f>
        <v/>
      </c>
      <c r="K359" s="33" t="str">
        <f>IFERROR(IF(J359="","",VLOOKUP(J359,LISTAS!$F$5:$G$1004,2,0)),"0")</f>
        <v/>
      </c>
      <c r="L359" s="130" t="str">
        <f>IF(H359=3,"OURO",IF(H359=4,"OURO",IF(H359=5,"OURO","")))</f>
        <v/>
      </c>
      <c r="M359" s="20" t="str">
        <f>IF(B359&lt;&gt;"",COUNTIF(D359:G359,"V")+(SUMIF(B365:B367,B359,D365:E367)/1000)+(SUMIF(J365:J367,B359,H365:I367)/1000)-(SUMIF(B365:B367,B359,H365:I367)/1000)-(SUMIF(J365:J367,B359,D365:E367)/1000)+0.003,"")</f>
        <v/>
      </c>
      <c r="N359" s="20" t="str">
        <f>IF(B359="","",B359)</f>
        <v/>
      </c>
      <c r="O359" s="20" t="str">
        <f>IF(B359&lt;&gt;"",LARGE(M359:M361,1),"")</f>
        <v/>
      </c>
      <c r="P359" s="20" t="str">
        <f>VLOOKUP(O359,M359:N361,2,0)</f>
        <v/>
      </c>
    </row>
    <row r="360" spans="2:16" ht="18" customHeight="1" x14ac:dyDescent="0.25">
      <c r="B360" s="33"/>
      <c r="C360" s="33" t="str">
        <f>IFERROR(IF(B360="","",VLOOKUP(B360,LISTAS!$F$5:$G$1004,2,0)),"0")</f>
        <v/>
      </c>
      <c r="D360" s="33" t="str">
        <f>IF(H359&lt;3,"",IF(H359=3,IF(D366&lt;&gt;"",IF(H366&lt;&gt;"",IF(D366&lt;&gt;H366,IF(D366&gt;H366,"V","D"),""),""),"")))</f>
        <v/>
      </c>
      <c r="E360" s="33" t="str">
        <f>IF(H359&lt;3,"",IF(H359=3,IF(D367&lt;&gt;"",IF(H367&lt;&gt;"",IF(D367&lt;&gt;H367,IF(D367&gt;H367,"D","V"),""),""),"")))</f>
        <v/>
      </c>
      <c r="F360" s="33" t="s">
        <v>81</v>
      </c>
      <c r="G360" s="33" t="s">
        <v>81</v>
      </c>
      <c r="H360" s="117"/>
      <c r="I360" s="33" t="str">
        <f>IF(B360&lt;&gt;"",2,"")</f>
        <v/>
      </c>
      <c r="J360" s="33" t="str">
        <f>IF(I360&lt;&gt;"",P360,"")</f>
        <v/>
      </c>
      <c r="K360" s="33" t="str">
        <f>IFERROR(IF(J360="","",VLOOKUP(J360,LISTAS!$F$5:$G$1004,2,0)),"0")</f>
        <v/>
      </c>
      <c r="L360" s="130" t="str">
        <f>IF(H359=3,"PRATA",IF(H359=4,"OURO",IF(H359=5,"OURO","")))</f>
        <v/>
      </c>
      <c r="M360" s="20" t="str">
        <f>IF(B360&lt;&gt;"",COUNTIF(D360:G360,"V")+(SUMIF(B365:B367,B360,D365:E367)/1000)+(SUMIF(J365:J367,B360,H365:I367)/1000)-(SUMIF(B365:B367,B360,H365:I367)/1000)-(SUMIF(J365:J367,B360,D365:E367)/1000)+0.002,"")</f>
        <v/>
      </c>
      <c r="N360" s="20" t="str">
        <f t="shared" ref="N360" si="24">IF(B360="","",B360)</f>
        <v/>
      </c>
      <c r="O360" s="20" t="str">
        <f>IF(B360&lt;&gt;"",LARGE(M359:M361,2),"")</f>
        <v/>
      </c>
      <c r="P360" s="20" t="str">
        <f>VLOOKUP(O360,M359:N361,2,0)</f>
        <v/>
      </c>
    </row>
    <row r="361" spans="2:16" ht="18" customHeight="1" x14ac:dyDescent="0.25">
      <c r="B361" s="33"/>
      <c r="C361" s="33" t="str">
        <f>IFERROR(IF(B361="","",VLOOKUP(B361,LISTAS!$F$5:$G$1004,2,0)),"0")</f>
        <v/>
      </c>
      <c r="D361" s="33" t="str">
        <f>IF(H359&lt;3,"",IF(H359=3,IF(D365&lt;&gt;"",IF(H365&lt;&gt;"",IF(D365&lt;&gt;H365,IF(D365&gt;H365,"D","V"),""),""),"")))</f>
        <v/>
      </c>
      <c r="E361" s="33" t="str">
        <f>IF(H359&lt;3,"",IF(H359=3,IF(D366&lt;&gt;"",IF(H366&lt;&gt;"",IF(D366&lt;&gt;H366,IF(D366&gt;H366,"D","V"),""),""),"")))</f>
        <v/>
      </c>
      <c r="F361" s="33" t="s">
        <v>81</v>
      </c>
      <c r="G361" s="33" t="s">
        <v>81</v>
      </c>
      <c r="H361" s="117"/>
      <c r="I361" s="33" t="str">
        <f>IF(B361&lt;&gt;"",3,"")</f>
        <v/>
      </c>
      <c r="J361" s="33" t="str">
        <f>IF(I361&lt;&gt;"",P361,"")</f>
        <v/>
      </c>
      <c r="K361" s="33" t="str">
        <f>IFERROR(IF(J361="","",VLOOKUP(J361,LISTAS!$F$5:$G$1004,2,0)),"0")</f>
        <v/>
      </c>
      <c r="L361" s="130" t="str">
        <f>IF(H359=3,"BRONZE",IF(H359=4,"PRATA",IF(H359=5,"OURO","")))</f>
        <v/>
      </c>
      <c r="M361" s="20" t="str">
        <f>IF(B361&lt;&gt;"",COUNTIF(D361:G361,"V")+(SUMIF(B365:B367,B361,D365:E367)/1000)+(SUMIF(J365:J367,B361,H365:I367)/1000)-(SUMIF(B365:B367,B361,H365:I367)/1000)-(SUMIF(J365:J367,B361,D365:E367)/1000)+0.001,"")</f>
        <v/>
      </c>
      <c r="N361" s="20" t="str">
        <f>IF(B361="","",B361)</f>
        <v/>
      </c>
      <c r="O361" s="20" t="str">
        <f>IF(B361&lt;&gt;"",LARGE(M359:M361,3),"")</f>
        <v/>
      </c>
      <c r="P361" s="20" t="str">
        <f>VLOOKUP(O361,M359:N361,2,0)</f>
        <v/>
      </c>
    </row>
    <row r="362" spans="2:16" ht="18" customHeight="1" x14ac:dyDescent="0.25">
      <c r="B362" s="79"/>
      <c r="C362" s="79"/>
      <c r="D362" s="79"/>
      <c r="E362" s="79"/>
      <c r="F362" s="79"/>
      <c r="G362" s="79"/>
      <c r="I362" s="80"/>
      <c r="J362" s="79"/>
      <c r="K362" s="81"/>
      <c r="L362" s="81"/>
    </row>
    <row r="363" spans="2:16" ht="23.25" customHeight="1" x14ac:dyDescent="0.25">
      <c r="B363" s="82" t="s">
        <v>40</v>
      </c>
      <c r="C363" s="79"/>
      <c r="D363" s="79"/>
      <c r="E363" s="79"/>
      <c r="F363" s="79"/>
      <c r="G363" s="79"/>
      <c r="H363" s="79"/>
      <c r="I363" s="79"/>
      <c r="J363" s="79"/>
      <c r="K363" s="79"/>
      <c r="L363" s="79"/>
    </row>
    <row r="364" spans="2:16" ht="18" customHeight="1" x14ac:dyDescent="0.25">
      <c r="B364" s="132" t="s">
        <v>15</v>
      </c>
      <c r="C364" s="132" t="s">
        <v>0</v>
      </c>
      <c r="D364" s="258" t="s">
        <v>41</v>
      </c>
      <c r="E364" s="259"/>
      <c r="F364" s="259"/>
      <c r="G364" s="259"/>
      <c r="H364" s="259"/>
      <c r="I364" s="260"/>
      <c r="J364" s="132" t="s">
        <v>15</v>
      </c>
      <c r="K364" s="132" t="s">
        <v>0</v>
      </c>
      <c r="L364" s="79"/>
    </row>
    <row r="365" spans="2:16" ht="18" customHeight="1" x14ac:dyDescent="0.25">
      <c r="B365" s="33" t="str">
        <f>IF(H359=3,B359,"")</f>
        <v/>
      </c>
      <c r="C365" s="33" t="str">
        <f>IFERROR(IF(B365="","",VLOOKUP(B365,LISTAS!$F$5:$G$1004,2,0)),"0")</f>
        <v/>
      </c>
      <c r="D365" s="253"/>
      <c r="E365" s="254"/>
      <c r="F365" s="253" t="s">
        <v>38</v>
      </c>
      <c r="G365" s="254"/>
      <c r="H365" s="253"/>
      <c r="I365" s="254"/>
      <c r="J365" s="111" t="str">
        <f>IF(H359=3,B361,"")</f>
        <v/>
      </c>
      <c r="K365" s="33" t="str">
        <f>IFERROR(IF(J365="","",VLOOKUP(J365,LISTAS!$F$5:$G$1004,2,0)),"0")</f>
        <v/>
      </c>
      <c r="L365" s="81"/>
    </row>
    <row r="366" spans="2:16" ht="18" customHeight="1" x14ac:dyDescent="0.25">
      <c r="B366" s="33" t="str">
        <f>IF(H359=3,B360,"")</f>
        <v/>
      </c>
      <c r="C366" s="33" t="str">
        <f>IFERROR(IF(B366="","",VLOOKUP(B366,LISTAS!$F$5:$G$1004,2,0)),"0")</f>
        <v/>
      </c>
      <c r="D366" s="253"/>
      <c r="E366" s="254"/>
      <c r="F366" s="253" t="s">
        <v>38</v>
      </c>
      <c r="G366" s="254"/>
      <c r="H366" s="253"/>
      <c r="I366" s="254"/>
      <c r="J366" s="111" t="str">
        <f>IF(H359=3,B361,"")</f>
        <v/>
      </c>
      <c r="K366" s="33" t="str">
        <f>IFERROR(IF(J366="","",VLOOKUP(J366,LISTAS!$F$5:$G$1004,2,0)),"0")</f>
        <v/>
      </c>
      <c r="L366" s="79"/>
    </row>
    <row r="367" spans="2:16" ht="18" customHeight="1" x14ac:dyDescent="0.25">
      <c r="B367" s="33" t="str">
        <f>IF(H359=3,B359,"")</f>
        <v/>
      </c>
      <c r="C367" s="33" t="str">
        <f>IFERROR(IF(B367="","",VLOOKUP(B367,LISTAS!$F$5:$G$1004,2,0)),"0")</f>
        <v/>
      </c>
      <c r="D367" s="253"/>
      <c r="E367" s="254"/>
      <c r="F367" s="253" t="s">
        <v>38</v>
      </c>
      <c r="G367" s="254"/>
      <c r="H367" s="253"/>
      <c r="I367" s="254"/>
      <c r="J367" s="111" t="str">
        <f>IF(H359=3,B360,"")</f>
        <v/>
      </c>
      <c r="K367" s="33" t="str">
        <f>IFERROR(IF(J367="","",VLOOKUP(J367,LISTAS!$F$5:$G$1004,2,0)),"0")</f>
        <v/>
      </c>
      <c r="L367" s="81"/>
    </row>
    <row r="370" spans="2:16" ht="30" customHeight="1" x14ac:dyDescent="0.25">
      <c r="B370" s="161" t="s">
        <v>72</v>
      </c>
      <c r="C370" s="79"/>
      <c r="D370" s="255" t="s">
        <v>42</v>
      </c>
      <c r="E370" s="256"/>
      <c r="F370" s="256"/>
      <c r="G370" s="257"/>
      <c r="H370" s="113"/>
      <c r="I370" s="255" t="s">
        <v>3</v>
      </c>
      <c r="J370" s="256"/>
      <c r="K370" s="256"/>
      <c r="L370" s="256"/>
    </row>
    <row r="371" spans="2:16" ht="18" customHeight="1" x14ac:dyDescent="0.25">
      <c r="B371" s="132" t="s">
        <v>15</v>
      </c>
      <c r="C371" s="132" t="s">
        <v>0</v>
      </c>
      <c r="D371" s="132" t="s">
        <v>43</v>
      </c>
      <c r="E371" s="132" t="s">
        <v>44</v>
      </c>
      <c r="F371" s="132" t="s">
        <v>77</v>
      </c>
      <c r="G371" s="132" t="s">
        <v>78</v>
      </c>
      <c r="H371" s="114"/>
      <c r="I371" s="132" t="s">
        <v>18</v>
      </c>
      <c r="J371" s="132" t="s">
        <v>15</v>
      </c>
      <c r="K371" s="132" t="s">
        <v>0</v>
      </c>
      <c r="L371" s="132" t="s">
        <v>45</v>
      </c>
    </row>
    <row r="372" spans="2:16" ht="18" customHeight="1" x14ac:dyDescent="0.25">
      <c r="B372" s="33"/>
      <c r="C372" s="33" t="str">
        <f>IFERROR(IF(B372="","",VLOOKUP(B372,LISTAS!$F$5:$G$1004,2,0)),"0")</f>
        <v/>
      </c>
      <c r="D372" s="33" t="str">
        <f>IF(H372&lt;3,"",IF(H372=3,IF(D378&lt;&gt;"",IF(H378&lt;&gt;"",IF(D378&lt;&gt;H378,IF(D378&gt;H378,"V","D"),""),""),"")))</f>
        <v/>
      </c>
      <c r="E372" s="33" t="str">
        <f>IF(H372&lt;3,"",IF(H372=3,IF(D380&lt;&gt;"",IF(H380&lt;&gt;"",IF(D380&lt;&gt;H380,IF(D380&gt;H380,"V","D"),""),""),"")))</f>
        <v/>
      </c>
      <c r="F372" s="33" t="s">
        <v>81</v>
      </c>
      <c r="G372" s="33" t="s">
        <v>81</v>
      </c>
      <c r="H372" s="117">
        <f>COUNTA(B372:B374)</f>
        <v>0</v>
      </c>
      <c r="I372" s="33" t="str">
        <f>IF(B372&lt;&gt;"",1,"")</f>
        <v/>
      </c>
      <c r="J372" s="33" t="str">
        <f>IF(I372&lt;&gt;"",P372,"")</f>
        <v/>
      </c>
      <c r="K372" s="33" t="str">
        <f>IFERROR(IF(J372="","",VLOOKUP(J372,LISTAS!$F$5:$G$1004,2,0)),"0")</f>
        <v/>
      </c>
      <c r="L372" s="130" t="str">
        <f>IF(H372=3,"OURO",IF(H372=4,"OURO",IF(H372=5,"OURO","")))</f>
        <v/>
      </c>
      <c r="M372" s="20" t="str">
        <f>IF(B372&lt;&gt;"",COUNTIF(D372:G372,"V")+(SUMIF(B378:B380,B372,D378:E380)/1000)+(SUMIF(J378:J380,B372,H378:I380)/1000)-(SUMIF(B378:B380,B372,H378:I380)/1000)-(SUMIF(J378:J380,B372,D378:E380)/1000)+0.003,"")</f>
        <v/>
      </c>
      <c r="N372" s="20" t="str">
        <f>IF(B372="","",B372)</f>
        <v/>
      </c>
      <c r="O372" s="20" t="str">
        <f>IF(B372&lt;&gt;"",LARGE(M372:M374,1),"")</f>
        <v/>
      </c>
      <c r="P372" s="20" t="str">
        <f>VLOOKUP(O372,M372:N374,2,0)</f>
        <v/>
      </c>
    </row>
    <row r="373" spans="2:16" ht="18" customHeight="1" x14ac:dyDescent="0.25">
      <c r="B373" s="33"/>
      <c r="C373" s="33" t="str">
        <f>IFERROR(IF(B373="","",VLOOKUP(B373,LISTAS!$F$5:$G$1004,2,0)),"0")</f>
        <v/>
      </c>
      <c r="D373" s="33" t="str">
        <f>IF(H372&lt;3,"",IF(H372=3,IF(D379&lt;&gt;"",IF(H379&lt;&gt;"",IF(D379&lt;&gt;H379,IF(D379&gt;H379,"V","D"),""),""),"")))</f>
        <v/>
      </c>
      <c r="E373" s="33" t="str">
        <f>IF(H372&lt;3,"",IF(H372=3,IF(D380&lt;&gt;"",IF(H380&lt;&gt;"",IF(D380&lt;&gt;H380,IF(D380&gt;H380,"D","V"),""),""),"")))</f>
        <v/>
      </c>
      <c r="F373" s="33" t="s">
        <v>81</v>
      </c>
      <c r="G373" s="33" t="s">
        <v>81</v>
      </c>
      <c r="H373" s="117"/>
      <c r="I373" s="33" t="str">
        <f>IF(B373&lt;&gt;"",2,"")</f>
        <v/>
      </c>
      <c r="J373" s="33" t="str">
        <f>IF(I373&lt;&gt;"",P373,"")</f>
        <v/>
      </c>
      <c r="K373" s="33" t="str">
        <f>IFERROR(IF(J373="","",VLOOKUP(J373,LISTAS!$F$5:$G$1004,2,0)),"0")</f>
        <v/>
      </c>
      <c r="L373" s="130" t="str">
        <f>IF(H372=3,"PRATA",IF(H372=4,"OURO",IF(H372=5,"OURO","")))</f>
        <v/>
      </c>
      <c r="M373" s="20" t="str">
        <f>IF(B373&lt;&gt;"",COUNTIF(D373:G373,"V")+(SUMIF(B378:B380,B373,D378:E380)/1000)+(SUMIF(J378:J380,B373,H378:I380)/1000)-(SUMIF(B378:B380,B373,H378:I380)/1000)-(SUMIF(J378:J380,B373,D378:E380)/1000)+0.002,"")</f>
        <v/>
      </c>
      <c r="N373" s="20" t="str">
        <f t="shared" ref="N373" si="25">IF(B373="","",B373)</f>
        <v/>
      </c>
      <c r="O373" s="20" t="str">
        <f>IF(B373&lt;&gt;"",LARGE(M372:M374,2),"")</f>
        <v/>
      </c>
      <c r="P373" s="20" t="str">
        <f>VLOOKUP(O373,M372:N374,2,0)</f>
        <v/>
      </c>
    </row>
    <row r="374" spans="2:16" ht="18" customHeight="1" x14ac:dyDescent="0.25">
      <c r="B374" s="33"/>
      <c r="C374" s="33" t="str">
        <f>IFERROR(IF(B374="","",VLOOKUP(B374,LISTAS!$F$5:$G$1004,2,0)),"0")</f>
        <v/>
      </c>
      <c r="D374" s="33" t="str">
        <f>IF(H372&lt;3,"",IF(H372=3,IF(D378&lt;&gt;"",IF(H378&lt;&gt;"",IF(D378&lt;&gt;H378,IF(D378&gt;H378,"D","V"),""),""),"")))</f>
        <v/>
      </c>
      <c r="E374" s="33" t="str">
        <f>IF(H372&lt;3,"",IF(H372=3,IF(D379&lt;&gt;"",IF(H379&lt;&gt;"",IF(D379&lt;&gt;H379,IF(D379&gt;H379,"D","V"),""),""),"")))</f>
        <v/>
      </c>
      <c r="F374" s="33" t="s">
        <v>81</v>
      </c>
      <c r="G374" s="33" t="s">
        <v>81</v>
      </c>
      <c r="H374" s="117"/>
      <c r="I374" s="33" t="str">
        <f>IF(B374&lt;&gt;"",3,"")</f>
        <v/>
      </c>
      <c r="J374" s="33" t="str">
        <f>IF(I374&lt;&gt;"",P374,"")</f>
        <v/>
      </c>
      <c r="K374" s="33" t="str">
        <f>IFERROR(IF(J374="","",VLOOKUP(J374,LISTAS!$F$5:$G$1004,2,0)),"0")</f>
        <v/>
      </c>
      <c r="L374" s="130" t="str">
        <f>IF(H372=3,"BRONZE",IF(H372=4,"PRATA",IF(H372=5,"OURO","")))</f>
        <v/>
      </c>
      <c r="M374" s="20" t="str">
        <f>IF(B374&lt;&gt;"",COUNTIF(D374:G374,"V")+(SUMIF(B378:B380,B374,D378:E380)/1000)+(SUMIF(J378:J380,B374,H378:I380)/1000)-(SUMIF(B378:B380,B374,H378:I380)/1000)-(SUMIF(J378:J380,B374,D378:E380)/1000)+0.001,"")</f>
        <v/>
      </c>
      <c r="N374" s="20" t="str">
        <f>IF(B374="","",B374)</f>
        <v/>
      </c>
      <c r="O374" s="20" t="str">
        <f>IF(B374&lt;&gt;"",LARGE(M372:M374,3),"")</f>
        <v/>
      </c>
      <c r="P374" s="20" t="str">
        <f>VLOOKUP(O374,M372:N374,2,0)</f>
        <v/>
      </c>
    </row>
    <row r="375" spans="2:16" ht="18" customHeight="1" x14ac:dyDescent="0.25">
      <c r="B375" s="79"/>
      <c r="C375" s="79"/>
      <c r="D375" s="79"/>
      <c r="E375" s="79"/>
      <c r="F375" s="79"/>
      <c r="G375" s="79"/>
      <c r="I375" s="80"/>
      <c r="J375" s="79"/>
      <c r="K375" s="81"/>
      <c r="L375" s="81"/>
    </row>
    <row r="376" spans="2:16" ht="23.25" customHeight="1" x14ac:dyDescent="0.25">
      <c r="B376" s="82" t="s">
        <v>40</v>
      </c>
      <c r="C376" s="79"/>
      <c r="D376" s="79"/>
      <c r="E376" s="79"/>
      <c r="F376" s="79"/>
      <c r="G376" s="79"/>
      <c r="H376" s="79"/>
      <c r="I376" s="79"/>
      <c r="J376" s="79"/>
      <c r="K376" s="79"/>
      <c r="L376" s="79"/>
    </row>
    <row r="377" spans="2:16" ht="18" customHeight="1" x14ac:dyDescent="0.25">
      <c r="B377" s="132" t="s">
        <v>15</v>
      </c>
      <c r="C377" s="132" t="s">
        <v>0</v>
      </c>
      <c r="D377" s="258" t="s">
        <v>41</v>
      </c>
      <c r="E377" s="259"/>
      <c r="F377" s="259"/>
      <c r="G377" s="259"/>
      <c r="H377" s="259"/>
      <c r="I377" s="260"/>
      <c r="J377" s="132" t="s">
        <v>15</v>
      </c>
      <c r="K377" s="132" t="s">
        <v>0</v>
      </c>
      <c r="L377" s="79"/>
    </row>
    <row r="378" spans="2:16" ht="18" customHeight="1" x14ac:dyDescent="0.25">
      <c r="B378" s="33" t="str">
        <f>IF(H372=3,B372,"")</f>
        <v/>
      </c>
      <c r="C378" s="33" t="str">
        <f>IFERROR(IF(B378="","",VLOOKUP(B378,LISTAS!$F$5:$G$1004,2,0)),"0")</f>
        <v/>
      </c>
      <c r="D378" s="253"/>
      <c r="E378" s="254"/>
      <c r="F378" s="253" t="s">
        <v>38</v>
      </c>
      <c r="G378" s="254"/>
      <c r="H378" s="253"/>
      <c r="I378" s="254"/>
      <c r="J378" s="111" t="str">
        <f>IF(H372=3,B374,"")</f>
        <v/>
      </c>
      <c r="K378" s="33" t="str">
        <f>IFERROR(IF(J378="","",VLOOKUP(J378,LISTAS!$F$5:$G$1004,2,0)),"0")</f>
        <v/>
      </c>
      <c r="L378" s="81"/>
    </row>
    <row r="379" spans="2:16" ht="18" customHeight="1" x14ac:dyDescent="0.25">
      <c r="B379" s="33" t="str">
        <f>IF(H372=3,B373,"")</f>
        <v/>
      </c>
      <c r="C379" s="33" t="str">
        <f>IFERROR(IF(B379="","",VLOOKUP(B379,LISTAS!$F$5:$G$1004,2,0)),"0")</f>
        <v/>
      </c>
      <c r="D379" s="253"/>
      <c r="E379" s="254"/>
      <c r="F379" s="253" t="s">
        <v>38</v>
      </c>
      <c r="G379" s="254"/>
      <c r="H379" s="253"/>
      <c r="I379" s="254"/>
      <c r="J379" s="111" t="str">
        <f>IF(H372=3,B374,"")</f>
        <v/>
      </c>
      <c r="K379" s="33" t="str">
        <f>IFERROR(IF(J379="","",VLOOKUP(J379,LISTAS!$F$5:$G$1004,2,0)),"0")</f>
        <v/>
      </c>
      <c r="L379" s="79"/>
    </row>
    <row r="380" spans="2:16" ht="18" customHeight="1" x14ac:dyDescent="0.25">
      <c r="B380" s="33" t="str">
        <f>IF(H372=3,B372,"")</f>
        <v/>
      </c>
      <c r="C380" s="33" t="str">
        <f>IFERROR(IF(B380="","",VLOOKUP(B380,LISTAS!$F$5:$G$1004,2,0)),"0")</f>
        <v/>
      </c>
      <c r="D380" s="253"/>
      <c r="E380" s="254"/>
      <c r="F380" s="253" t="s">
        <v>38</v>
      </c>
      <c r="G380" s="254"/>
      <c r="H380" s="253"/>
      <c r="I380" s="254"/>
      <c r="J380" s="111" t="str">
        <f>IF(H372=3,B373,"")</f>
        <v/>
      </c>
      <c r="K380" s="33" t="str">
        <f>IFERROR(IF(J380="","",VLOOKUP(J380,LISTAS!$F$5:$G$1004,2,0)),"0")</f>
        <v/>
      </c>
      <c r="L380" s="81"/>
    </row>
    <row r="383" spans="2:16" ht="30" customHeight="1" x14ac:dyDescent="0.25">
      <c r="B383" s="161" t="s">
        <v>73</v>
      </c>
      <c r="C383" s="79"/>
      <c r="D383" s="255" t="s">
        <v>42</v>
      </c>
      <c r="E383" s="256"/>
      <c r="F383" s="256"/>
      <c r="G383" s="257"/>
      <c r="H383" s="113"/>
      <c r="I383" s="255" t="s">
        <v>3</v>
      </c>
      <c r="J383" s="256"/>
      <c r="K383" s="256"/>
      <c r="L383" s="256"/>
    </row>
    <row r="384" spans="2:16" ht="18" customHeight="1" x14ac:dyDescent="0.25">
      <c r="B384" s="132" t="s">
        <v>15</v>
      </c>
      <c r="C384" s="132" t="s">
        <v>0</v>
      </c>
      <c r="D384" s="132" t="s">
        <v>43</v>
      </c>
      <c r="E384" s="132" t="s">
        <v>44</v>
      </c>
      <c r="F384" s="132" t="s">
        <v>77</v>
      </c>
      <c r="G384" s="132" t="s">
        <v>78</v>
      </c>
      <c r="H384" s="114"/>
      <c r="I384" s="132" t="s">
        <v>18</v>
      </c>
      <c r="J384" s="132" t="s">
        <v>15</v>
      </c>
      <c r="K384" s="132" t="s">
        <v>0</v>
      </c>
      <c r="L384" s="132" t="s">
        <v>45</v>
      </c>
    </row>
    <row r="385" spans="2:16" ht="18" customHeight="1" x14ac:dyDescent="0.25">
      <c r="B385" s="33"/>
      <c r="C385" s="33" t="str">
        <f>IFERROR(IF(B385="","",VLOOKUP(B385,LISTAS!$F$5:$G$1004,2,0)),"0")</f>
        <v/>
      </c>
      <c r="D385" s="33" t="str">
        <f>IF(H385&lt;3,"",IF(H385=3,IF(D391&lt;&gt;"",IF(H391&lt;&gt;"",IF(D391&lt;&gt;H391,IF(D391&gt;H391,"V","D"),""),""),"")))</f>
        <v/>
      </c>
      <c r="E385" s="33" t="str">
        <f>IF(H385&lt;3,"",IF(H385=3,IF(D393&lt;&gt;"",IF(H393&lt;&gt;"",IF(D393&lt;&gt;H393,IF(D393&gt;H393,"V","D"),""),""),"")))</f>
        <v/>
      </c>
      <c r="F385" s="33" t="s">
        <v>81</v>
      </c>
      <c r="G385" s="33" t="s">
        <v>81</v>
      </c>
      <c r="H385" s="117">
        <f>COUNTA(B385:B387)</f>
        <v>0</v>
      </c>
      <c r="I385" s="33" t="str">
        <f>IF(B385&lt;&gt;"",1,"")</f>
        <v/>
      </c>
      <c r="J385" s="33" t="str">
        <f>IF(I385&lt;&gt;"",P385,"")</f>
        <v/>
      </c>
      <c r="K385" s="33" t="str">
        <f>IFERROR(IF(J385="","",VLOOKUP(J385,LISTAS!$F$5:$G$1004,2,0)),"0")</f>
        <v/>
      </c>
      <c r="L385" s="130" t="str">
        <f>IF(H385=3,"OURO",IF(H385=4,"OURO",IF(H385=5,"OURO","")))</f>
        <v/>
      </c>
      <c r="M385" s="20" t="str">
        <f>IF(B385&lt;&gt;"",COUNTIF(D385:G385,"V")+(SUMIF(B391:B393,B385,D391:E393)/1000)+(SUMIF(J391:J393,B385,H391:I393)/1000)-(SUMIF(B391:B393,B385,H391:I393)/1000)-(SUMIF(J391:J393,B385,D391:E393)/1000)+0.003,"")</f>
        <v/>
      </c>
      <c r="N385" s="20" t="str">
        <f>IF(B385="","",B385)</f>
        <v/>
      </c>
      <c r="O385" s="20" t="str">
        <f>IF(B385&lt;&gt;"",LARGE(M385:M387,1),"")</f>
        <v/>
      </c>
      <c r="P385" s="20" t="str">
        <f>VLOOKUP(O385,M385:N387,2,0)</f>
        <v/>
      </c>
    </row>
    <row r="386" spans="2:16" ht="18" customHeight="1" x14ac:dyDescent="0.25">
      <c r="B386" s="33"/>
      <c r="C386" s="33" t="str">
        <f>IFERROR(IF(B386="","",VLOOKUP(B386,LISTAS!$F$5:$G$1004,2,0)),"0")</f>
        <v/>
      </c>
      <c r="D386" s="33" t="str">
        <f>IF(H385&lt;3,"",IF(H385=3,IF(D392&lt;&gt;"",IF(H392&lt;&gt;"",IF(D392&lt;&gt;H392,IF(D392&gt;H392,"V","D"),""),""),"")))</f>
        <v/>
      </c>
      <c r="E386" s="33" t="str">
        <f>IF(H385&lt;3,"",IF(H385=3,IF(D393&lt;&gt;"",IF(H393&lt;&gt;"",IF(D393&lt;&gt;H393,IF(D393&gt;H393,"D","V"),""),""),"")))</f>
        <v/>
      </c>
      <c r="F386" s="33" t="s">
        <v>81</v>
      </c>
      <c r="G386" s="33" t="s">
        <v>81</v>
      </c>
      <c r="H386" s="117"/>
      <c r="I386" s="33" t="str">
        <f>IF(B386&lt;&gt;"",2,"")</f>
        <v/>
      </c>
      <c r="J386" s="33" t="str">
        <f>IF(I386&lt;&gt;"",P386,"")</f>
        <v/>
      </c>
      <c r="K386" s="33" t="str">
        <f>IFERROR(IF(J386="","",VLOOKUP(J386,LISTAS!$F$5:$G$1004,2,0)),"0")</f>
        <v/>
      </c>
      <c r="L386" s="130" t="str">
        <f>IF(H385=3,"PRATA",IF(H385=4,"OURO",IF(H385=5,"OURO","")))</f>
        <v/>
      </c>
      <c r="M386" s="20" t="str">
        <f>IF(B386&lt;&gt;"",COUNTIF(D386:G386,"V")+(SUMIF(B391:B393,B386,D391:E393)/1000)+(SUMIF(J391:J393,B386,H391:I393)/1000)-(SUMIF(B391:B393,B386,H391:I393)/1000)-(SUMIF(J391:J393,B386,D391:E393)/1000)+0.002,"")</f>
        <v/>
      </c>
      <c r="N386" s="20" t="str">
        <f t="shared" ref="N386" si="26">IF(B386="","",B386)</f>
        <v/>
      </c>
      <c r="O386" s="20" t="str">
        <f>IF(B386&lt;&gt;"",LARGE(M385:M387,2),"")</f>
        <v/>
      </c>
      <c r="P386" s="20" t="str">
        <f>VLOOKUP(O386,M385:N387,2,0)</f>
        <v/>
      </c>
    </row>
    <row r="387" spans="2:16" ht="18" customHeight="1" x14ac:dyDescent="0.25">
      <c r="B387" s="33"/>
      <c r="C387" s="33" t="str">
        <f>IFERROR(IF(B387="","",VLOOKUP(B387,LISTAS!$F$5:$G$1004,2,0)),"0")</f>
        <v/>
      </c>
      <c r="D387" s="33" t="str">
        <f>IF(H385&lt;3,"",IF(H385=3,IF(D391&lt;&gt;"",IF(H391&lt;&gt;"",IF(D391&lt;&gt;H391,IF(D391&gt;H391,"D","V"),""),""),"")))</f>
        <v/>
      </c>
      <c r="E387" s="33" t="str">
        <f>IF(H385&lt;3,"",IF(H385=3,IF(D392&lt;&gt;"",IF(H392&lt;&gt;"",IF(D392&lt;&gt;H392,IF(D392&gt;H392,"D","V"),""),""),"")))</f>
        <v/>
      </c>
      <c r="F387" s="33" t="s">
        <v>81</v>
      </c>
      <c r="G387" s="33" t="s">
        <v>81</v>
      </c>
      <c r="H387" s="117"/>
      <c r="I387" s="33" t="str">
        <f>IF(B387&lt;&gt;"",3,"")</f>
        <v/>
      </c>
      <c r="J387" s="33" t="str">
        <f>IF(I387&lt;&gt;"",P387,"")</f>
        <v/>
      </c>
      <c r="K387" s="33" t="str">
        <f>IFERROR(IF(J387="","",VLOOKUP(J387,LISTAS!$F$5:$G$1004,2,0)),"0")</f>
        <v/>
      </c>
      <c r="L387" s="130" t="str">
        <f>IF(H385=3,"BRONZE",IF(H385=4,"PRATA",IF(H385=5,"OURO","")))</f>
        <v/>
      </c>
      <c r="M387" s="20" t="str">
        <f>IF(B387&lt;&gt;"",COUNTIF(D387:G387,"V")+(SUMIF(B391:B393,B387,D391:E393)/1000)+(SUMIF(J391:J393,B387,H391:I393)/1000)-(SUMIF(B391:B393,B387,H391:I393)/1000)-(SUMIF(J391:J393,B387,D391:E393)/1000)+0.001,"")</f>
        <v/>
      </c>
      <c r="N387" s="20" t="str">
        <f>IF(B387="","",B387)</f>
        <v/>
      </c>
      <c r="O387" s="20" t="str">
        <f>IF(B387&lt;&gt;"",LARGE(M385:M387,3),"")</f>
        <v/>
      </c>
      <c r="P387" s="20" t="str">
        <f>VLOOKUP(O387,M385:N387,2,0)</f>
        <v/>
      </c>
    </row>
    <row r="388" spans="2:16" ht="18" customHeight="1" x14ac:dyDescent="0.25">
      <c r="B388" s="79"/>
      <c r="C388" s="79"/>
      <c r="D388" s="79"/>
      <c r="E388" s="79"/>
      <c r="F388" s="79"/>
      <c r="G388" s="79"/>
      <c r="I388" s="80"/>
      <c r="J388" s="79"/>
      <c r="K388" s="81"/>
      <c r="L388" s="81"/>
    </row>
    <row r="389" spans="2:16" ht="23.25" customHeight="1" x14ac:dyDescent="0.25">
      <c r="B389" s="82" t="s">
        <v>40</v>
      </c>
      <c r="C389" s="79"/>
      <c r="D389" s="79"/>
      <c r="E389" s="79"/>
      <c r="F389" s="79"/>
      <c r="G389" s="79"/>
      <c r="H389" s="79"/>
      <c r="I389" s="79"/>
      <c r="J389" s="79"/>
      <c r="K389" s="79"/>
      <c r="L389" s="79"/>
    </row>
    <row r="390" spans="2:16" ht="18" customHeight="1" x14ac:dyDescent="0.25">
      <c r="B390" s="132" t="s">
        <v>15</v>
      </c>
      <c r="C390" s="132" t="s">
        <v>0</v>
      </c>
      <c r="D390" s="258" t="s">
        <v>41</v>
      </c>
      <c r="E390" s="259"/>
      <c r="F390" s="259"/>
      <c r="G390" s="259"/>
      <c r="H390" s="259"/>
      <c r="I390" s="260"/>
      <c r="J390" s="132" t="s">
        <v>15</v>
      </c>
      <c r="K390" s="132" t="s">
        <v>0</v>
      </c>
      <c r="L390" s="79"/>
    </row>
    <row r="391" spans="2:16" ht="18" customHeight="1" x14ac:dyDescent="0.25">
      <c r="B391" s="33" t="str">
        <f>IF(H385=3,B385,"")</f>
        <v/>
      </c>
      <c r="C391" s="33" t="str">
        <f>IFERROR(IF(B391="","",VLOOKUP(B391,LISTAS!$F$5:$G$1004,2,0)),"0")</f>
        <v/>
      </c>
      <c r="D391" s="253"/>
      <c r="E391" s="254"/>
      <c r="F391" s="253" t="s">
        <v>38</v>
      </c>
      <c r="G391" s="254"/>
      <c r="H391" s="253"/>
      <c r="I391" s="254"/>
      <c r="J391" s="111" t="str">
        <f>IF(H385=3,B387,"")</f>
        <v/>
      </c>
      <c r="K391" s="33" t="str">
        <f>IFERROR(IF(J391="","",VLOOKUP(J391,LISTAS!$F$5:$G$1004,2,0)),"0")</f>
        <v/>
      </c>
      <c r="L391" s="81"/>
    </row>
    <row r="392" spans="2:16" ht="18" customHeight="1" x14ac:dyDescent="0.25">
      <c r="B392" s="33" t="str">
        <f>IF(H385=3,B386,"")</f>
        <v/>
      </c>
      <c r="C392" s="33" t="str">
        <f>IFERROR(IF(B392="","",VLOOKUP(B392,LISTAS!$F$5:$G$1004,2,0)),"0")</f>
        <v/>
      </c>
      <c r="D392" s="253"/>
      <c r="E392" s="254"/>
      <c r="F392" s="253" t="s">
        <v>38</v>
      </c>
      <c r="G392" s="254"/>
      <c r="H392" s="253"/>
      <c r="I392" s="254"/>
      <c r="J392" s="111" t="str">
        <f>IF(H385=3,B387,"")</f>
        <v/>
      </c>
      <c r="K392" s="33" t="str">
        <f>IFERROR(IF(J392="","",VLOOKUP(J392,LISTAS!$F$5:$G$1004,2,0)),"0")</f>
        <v/>
      </c>
      <c r="L392" s="79"/>
    </row>
    <row r="393" spans="2:16" ht="18" customHeight="1" x14ac:dyDescent="0.25">
      <c r="B393" s="33" t="str">
        <f>IF(H385=3,B385,"")</f>
        <v/>
      </c>
      <c r="C393" s="33" t="str">
        <f>IFERROR(IF(B393="","",VLOOKUP(B393,LISTAS!$F$5:$G$1004,2,0)),"0")</f>
        <v/>
      </c>
      <c r="D393" s="253"/>
      <c r="E393" s="254"/>
      <c r="F393" s="253" t="s">
        <v>38</v>
      </c>
      <c r="G393" s="254"/>
      <c r="H393" s="253"/>
      <c r="I393" s="254"/>
      <c r="J393" s="111" t="str">
        <f>IF(H385=3,B386,"")</f>
        <v/>
      </c>
      <c r="K393" s="33" t="str">
        <f>IFERROR(IF(J393="","",VLOOKUP(J393,LISTAS!$F$5:$G$1004,2,0)),"0")</f>
        <v/>
      </c>
      <c r="L393" s="81"/>
    </row>
    <row r="396" spans="2:16" ht="30" customHeight="1" x14ac:dyDescent="0.25">
      <c r="B396" s="161" t="s">
        <v>74</v>
      </c>
      <c r="C396" s="79"/>
      <c r="D396" s="255" t="s">
        <v>42</v>
      </c>
      <c r="E396" s="256"/>
      <c r="F396" s="256"/>
      <c r="G396" s="257"/>
      <c r="H396" s="113"/>
      <c r="I396" s="255" t="s">
        <v>3</v>
      </c>
      <c r="J396" s="256"/>
      <c r="K396" s="256"/>
      <c r="L396" s="256"/>
    </row>
    <row r="397" spans="2:16" ht="18" customHeight="1" x14ac:dyDescent="0.25">
      <c r="B397" s="132" t="s">
        <v>15</v>
      </c>
      <c r="C397" s="132" t="s">
        <v>0</v>
      </c>
      <c r="D397" s="132" t="s">
        <v>43</v>
      </c>
      <c r="E397" s="132" t="s">
        <v>44</v>
      </c>
      <c r="F397" s="132" t="s">
        <v>77</v>
      </c>
      <c r="G397" s="132" t="s">
        <v>78</v>
      </c>
      <c r="H397" s="114"/>
      <c r="I397" s="132" t="s">
        <v>18</v>
      </c>
      <c r="J397" s="132" t="s">
        <v>15</v>
      </c>
      <c r="K397" s="132" t="s">
        <v>0</v>
      </c>
      <c r="L397" s="132" t="s">
        <v>45</v>
      </c>
    </row>
    <row r="398" spans="2:16" ht="18" customHeight="1" x14ac:dyDescent="0.25">
      <c r="B398" s="33"/>
      <c r="C398" s="33" t="str">
        <f>IFERROR(IF(B398="","",VLOOKUP(B398,LISTAS!$F$5:$G$1004,2,0)),"0")</f>
        <v/>
      </c>
      <c r="D398" s="33" t="str">
        <f>IF(H398&lt;3,"",IF(H398=3,IF(D404&lt;&gt;"",IF(H404&lt;&gt;"",IF(D404&lt;&gt;H404,IF(D404&gt;H404,"V","D"),""),""),"")))</f>
        <v/>
      </c>
      <c r="E398" s="33" t="str">
        <f>IF(H398&lt;3,"",IF(H398=3,IF(D406&lt;&gt;"",IF(H406&lt;&gt;"",IF(D406&lt;&gt;H406,IF(D406&gt;H406,"V","D"),""),""),"")))</f>
        <v/>
      </c>
      <c r="F398" s="33" t="s">
        <v>81</v>
      </c>
      <c r="G398" s="33" t="s">
        <v>81</v>
      </c>
      <c r="H398" s="117">
        <f>COUNTA(B398:B400)</f>
        <v>0</v>
      </c>
      <c r="I398" s="33" t="str">
        <f>IF(B398&lt;&gt;"",1,"")</f>
        <v/>
      </c>
      <c r="J398" s="33" t="str">
        <f>IF(I398&lt;&gt;"",P398,"")</f>
        <v/>
      </c>
      <c r="K398" s="33" t="str">
        <f>IFERROR(IF(J398="","",VLOOKUP(J398,LISTAS!$F$5:$G$1004,2,0)),"0")</f>
        <v/>
      </c>
      <c r="L398" s="130" t="str">
        <f>IF(H398=3,"OURO",IF(H398=4,"OURO",IF(H398=5,"OURO","")))</f>
        <v/>
      </c>
      <c r="M398" s="20" t="str">
        <f>IF(B398&lt;&gt;"",COUNTIF(D398:G398,"V")+(SUMIF(B404:B406,B398,D404:E406)/1000)+(SUMIF(J404:J406,B398,H404:I406)/1000)-(SUMIF(B404:B406,B398,H404:I406)/1000)-(SUMIF(J404:J406,B398,D404:E406)/1000)+0.003,"")</f>
        <v/>
      </c>
      <c r="N398" s="20" t="str">
        <f>IF(B398="","",B398)</f>
        <v/>
      </c>
      <c r="O398" s="20" t="str">
        <f>IF(B398&lt;&gt;"",LARGE(M398:M400,1),"")</f>
        <v/>
      </c>
      <c r="P398" s="20" t="str">
        <f>VLOOKUP(O398,M398:N400,2,0)</f>
        <v/>
      </c>
    </row>
    <row r="399" spans="2:16" ht="18" customHeight="1" x14ac:dyDescent="0.25">
      <c r="B399" s="33"/>
      <c r="C399" s="33" t="str">
        <f>IFERROR(IF(B399="","",VLOOKUP(B399,LISTAS!$F$5:$G$1004,2,0)),"0")</f>
        <v/>
      </c>
      <c r="D399" s="33" t="str">
        <f>IF(H398&lt;3,"",IF(H398=3,IF(D405&lt;&gt;"",IF(H405&lt;&gt;"",IF(D405&lt;&gt;H405,IF(D405&gt;H405,"V","D"),""),""),"")))</f>
        <v/>
      </c>
      <c r="E399" s="33" t="str">
        <f>IF(H398&lt;3,"",IF(H398=3,IF(D406&lt;&gt;"",IF(H406&lt;&gt;"",IF(D406&lt;&gt;H406,IF(D406&gt;H406,"D","V"),""),""),"")))</f>
        <v/>
      </c>
      <c r="F399" s="33" t="s">
        <v>81</v>
      </c>
      <c r="G399" s="33" t="s">
        <v>81</v>
      </c>
      <c r="H399" s="117"/>
      <c r="I399" s="33" t="str">
        <f>IF(B399&lt;&gt;"",2,"")</f>
        <v/>
      </c>
      <c r="J399" s="33" t="str">
        <f>IF(I399&lt;&gt;"",P399,"")</f>
        <v/>
      </c>
      <c r="K399" s="33" t="str">
        <f>IFERROR(IF(J399="","",VLOOKUP(J399,LISTAS!$F$5:$G$1004,2,0)),"0")</f>
        <v/>
      </c>
      <c r="L399" s="130" t="str">
        <f>IF(H398=3,"PRATA",IF(H398=4,"OURO",IF(H398=5,"OURO","")))</f>
        <v/>
      </c>
      <c r="M399" s="20" t="str">
        <f>IF(B399&lt;&gt;"",COUNTIF(D399:G399,"V")+(SUMIF(B404:B406,B399,D404:E406)/1000)+(SUMIF(J404:J406,B399,H404:I406)/1000)-(SUMIF(B404:B406,B399,H404:I406)/1000)-(SUMIF(J404:J406,B399,D404:E406)/1000)+0.002,"")</f>
        <v/>
      </c>
      <c r="N399" s="20" t="str">
        <f t="shared" ref="N399" si="27">IF(B399="","",B399)</f>
        <v/>
      </c>
      <c r="O399" s="20" t="str">
        <f>IF(B399&lt;&gt;"",LARGE(M398:M400,2),"")</f>
        <v/>
      </c>
      <c r="P399" s="20" t="str">
        <f>VLOOKUP(O399,M398:N400,2,0)</f>
        <v/>
      </c>
    </row>
    <row r="400" spans="2:16" ht="18" customHeight="1" x14ac:dyDescent="0.25">
      <c r="B400" s="33"/>
      <c r="C400" s="33" t="str">
        <f>IFERROR(IF(B400="","",VLOOKUP(B400,LISTAS!$F$5:$G$1004,2,0)),"0")</f>
        <v/>
      </c>
      <c r="D400" s="33" t="str">
        <f>IF(H398&lt;3,"",IF(H398=3,IF(D404&lt;&gt;"",IF(H404&lt;&gt;"",IF(D404&lt;&gt;H404,IF(D404&gt;H404,"D","V"),""),""),"")))</f>
        <v/>
      </c>
      <c r="E400" s="33" t="str">
        <f>IF(H398&lt;3,"",IF(H398=3,IF(D405&lt;&gt;"",IF(H405&lt;&gt;"",IF(D405&lt;&gt;H405,IF(D405&gt;H405,"D","V"),""),""),"")))</f>
        <v/>
      </c>
      <c r="F400" s="33" t="s">
        <v>81</v>
      </c>
      <c r="G400" s="33" t="s">
        <v>81</v>
      </c>
      <c r="H400" s="117"/>
      <c r="I400" s="33" t="str">
        <f>IF(B400&lt;&gt;"",3,"")</f>
        <v/>
      </c>
      <c r="J400" s="33" t="str">
        <f>IF(I400&lt;&gt;"",P400,"")</f>
        <v/>
      </c>
      <c r="K400" s="33" t="str">
        <f>IFERROR(IF(J400="","",VLOOKUP(J400,LISTAS!$F$5:$G$1004,2,0)),"0")</f>
        <v/>
      </c>
      <c r="L400" s="130" t="str">
        <f>IF(H398=3,"BRONZE",IF(H398=4,"PRATA",IF(H398=5,"OURO","")))</f>
        <v/>
      </c>
      <c r="M400" s="20" t="str">
        <f>IF(B400&lt;&gt;"",COUNTIF(D400:G400,"V")+(SUMIF(B404:B406,B400,D404:E406)/1000)+(SUMIF(J404:J406,B400,H404:I406)/1000)-(SUMIF(B404:B406,B400,H404:I406)/1000)-(SUMIF(J404:J406,B400,D404:E406)/1000)+0.001,"")</f>
        <v/>
      </c>
      <c r="N400" s="20" t="str">
        <f>IF(B400="","",B400)</f>
        <v/>
      </c>
      <c r="O400" s="20" t="str">
        <f>IF(B400&lt;&gt;"",LARGE(M398:M400,3),"")</f>
        <v/>
      </c>
      <c r="P400" s="20" t="str">
        <f>VLOOKUP(O400,M398:N400,2,0)</f>
        <v/>
      </c>
    </row>
    <row r="401" spans="2:16" ht="18" customHeight="1" x14ac:dyDescent="0.25">
      <c r="B401" s="79"/>
      <c r="C401" s="79"/>
      <c r="D401" s="79"/>
      <c r="E401" s="79"/>
      <c r="F401" s="79"/>
      <c r="G401" s="79"/>
      <c r="I401" s="80"/>
      <c r="J401" s="79"/>
      <c r="K401" s="81"/>
      <c r="L401" s="81"/>
    </row>
    <row r="402" spans="2:16" ht="23.25" customHeight="1" x14ac:dyDescent="0.25">
      <c r="B402" s="82" t="s">
        <v>40</v>
      </c>
      <c r="C402" s="79"/>
      <c r="D402" s="79"/>
      <c r="E402" s="79"/>
      <c r="F402" s="79"/>
      <c r="G402" s="79"/>
      <c r="H402" s="79"/>
      <c r="I402" s="79"/>
      <c r="J402" s="79"/>
      <c r="K402" s="79"/>
      <c r="L402" s="79"/>
    </row>
    <row r="403" spans="2:16" ht="18" customHeight="1" x14ac:dyDescent="0.25">
      <c r="B403" s="132" t="s">
        <v>15</v>
      </c>
      <c r="C403" s="132" t="s">
        <v>0</v>
      </c>
      <c r="D403" s="258" t="s">
        <v>41</v>
      </c>
      <c r="E403" s="259"/>
      <c r="F403" s="259"/>
      <c r="G403" s="259"/>
      <c r="H403" s="259"/>
      <c r="I403" s="260"/>
      <c r="J403" s="132" t="s">
        <v>15</v>
      </c>
      <c r="K403" s="132" t="s">
        <v>0</v>
      </c>
      <c r="L403" s="79"/>
    </row>
    <row r="404" spans="2:16" ht="18" customHeight="1" x14ac:dyDescent="0.25">
      <c r="B404" s="33" t="str">
        <f>IF(H398=3,B398,"")</f>
        <v/>
      </c>
      <c r="C404" s="33" t="str">
        <f>IFERROR(IF(B404="","",VLOOKUP(B404,LISTAS!$F$5:$G$1004,2,0)),"0")</f>
        <v/>
      </c>
      <c r="D404" s="253"/>
      <c r="E404" s="254"/>
      <c r="F404" s="253" t="s">
        <v>38</v>
      </c>
      <c r="G404" s="254"/>
      <c r="H404" s="253"/>
      <c r="I404" s="254"/>
      <c r="J404" s="111" t="str">
        <f>IF(H398=3,B400,"")</f>
        <v/>
      </c>
      <c r="K404" s="33" t="str">
        <f>IFERROR(IF(J404="","",VLOOKUP(J404,LISTAS!$F$5:$G$1004,2,0)),"0")</f>
        <v/>
      </c>
      <c r="L404" s="81"/>
    </row>
    <row r="405" spans="2:16" ht="18" customHeight="1" x14ac:dyDescent="0.25">
      <c r="B405" s="33" t="str">
        <f>IF(H398=3,B399,"")</f>
        <v/>
      </c>
      <c r="C405" s="33" t="str">
        <f>IFERROR(IF(B405="","",VLOOKUP(B405,LISTAS!$F$5:$G$1004,2,0)),"0")</f>
        <v/>
      </c>
      <c r="D405" s="253"/>
      <c r="E405" s="254"/>
      <c r="F405" s="253" t="s">
        <v>38</v>
      </c>
      <c r="G405" s="254"/>
      <c r="H405" s="253"/>
      <c r="I405" s="254"/>
      <c r="J405" s="111" t="str">
        <f>IF(H398=3,B400,"")</f>
        <v/>
      </c>
      <c r="K405" s="33" t="str">
        <f>IFERROR(IF(J405="","",VLOOKUP(J405,LISTAS!$F$5:$G$1004,2,0)),"0")</f>
        <v/>
      </c>
      <c r="L405" s="79"/>
    </row>
    <row r="406" spans="2:16" ht="18" customHeight="1" x14ac:dyDescent="0.25">
      <c r="B406" s="33" t="str">
        <f>IF(H398=3,B398,"")</f>
        <v/>
      </c>
      <c r="C406" s="33" t="str">
        <f>IFERROR(IF(B406="","",VLOOKUP(B406,LISTAS!$F$5:$G$1004,2,0)),"0")</f>
        <v/>
      </c>
      <c r="D406" s="253"/>
      <c r="E406" s="254"/>
      <c r="F406" s="253" t="s">
        <v>38</v>
      </c>
      <c r="G406" s="254"/>
      <c r="H406" s="253"/>
      <c r="I406" s="254"/>
      <c r="J406" s="111" t="str">
        <f>IF(H398=3,B399,"")</f>
        <v/>
      </c>
      <c r="K406" s="33" t="str">
        <f>IFERROR(IF(J406="","",VLOOKUP(J406,LISTAS!$F$5:$G$1004,2,0)),"0")</f>
        <v/>
      </c>
      <c r="L406" s="81"/>
    </row>
    <row r="409" spans="2:16" ht="30" customHeight="1" x14ac:dyDescent="0.25">
      <c r="B409" s="161" t="s">
        <v>75</v>
      </c>
      <c r="C409" s="79"/>
      <c r="D409" s="255" t="s">
        <v>42</v>
      </c>
      <c r="E409" s="256"/>
      <c r="F409" s="256"/>
      <c r="G409" s="257"/>
      <c r="H409" s="113"/>
      <c r="I409" s="255" t="s">
        <v>3</v>
      </c>
      <c r="J409" s="256"/>
      <c r="K409" s="256"/>
      <c r="L409" s="256"/>
    </row>
    <row r="410" spans="2:16" ht="18" customHeight="1" x14ac:dyDescent="0.25">
      <c r="B410" s="132" t="s">
        <v>15</v>
      </c>
      <c r="C410" s="132" t="s">
        <v>0</v>
      </c>
      <c r="D410" s="132" t="s">
        <v>43</v>
      </c>
      <c r="E410" s="132" t="s">
        <v>44</v>
      </c>
      <c r="F410" s="132" t="s">
        <v>77</v>
      </c>
      <c r="G410" s="132" t="s">
        <v>78</v>
      </c>
      <c r="H410" s="114"/>
      <c r="I410" s="132" t="s">
        <v>18</v>
      </c>
      <c r="J410" s="132" t="s">
        <v>15</v>
      </c>
      <c r="K410" s="132" t="s">
        <v>0</v>
      </c>
      <c r="L410" s="132" t="s">
        <v>45</v>
      </c>
    </row>
    <row r="411" spans="2:16" ht="18" customHeight="1" x14ac:dyDescent="0.25">
      <c r="B411" s="33"/>
      <c r="C411" s="33" t="str">
        <f>IFERROR(IF(B411="","",VLOOKUP(B411,LISTAS!$F$5:$G$1004,2,0)),"0")</f>
        <v/>
      </c>
      <c r="D411" s="33" t="str">
        <f>IF(H411&lt;3,"",IF(H411=3,IF(D417&lt;&gt;"",IF(H417&lt;&gt;"",IF(D417&lt;&gt;H417,IF(D417&gt;H417,"V","D"),""),""),"")))</f>
        <v/>
      </c>
      <c r="E411" s="33" t="str">
        <f>IF(H411&lt;3,"",IF(H411=3,IF(D419&lt;&gt;"",IF(H419&lt;&gt;"",IF(D419&lt;&gt;H419,IF(D419&gt;H419,"V","D"),""),""),"")))</f>
        <v/>
      </c>
      <c r="F411" s="33" t="s">
        <v>81</v>
      </c>
      <c r="G411" s="33" t="s">
        <v>81</v>
      </c>
      <c r="H411" s="117">
        <f>COUNTA(B411:B413)</f>
        <v>0</v>
      </c>
      <c r="I411" s="33" t="str">
        <f>IF(B411&lt;&gt;"",1,"")</f>
        <v/>
      </c>
      <c r="J411" s="33" t="str">
        <f>IF(I411&lt;&gt;"",P411,"")</f>
        <v/>
      </c>
      <c r="K411" s="33" t="str">
        <f>IFERROR(IF(J411="","",VLOOKUP(J411,LISTAS!$F$5:$G$1004,2,0)),"0")</f>
        <v/>
      </c>
      <c r="L411" s="130" t="str">
        <f>IF(H411=3,"OURO",IF(H411=4,"OURO",IF(H411=5,"OURO","")))</f>
        <v/>
      </c>
      <c r="M411" s="20" t="str">
        <f>IF(B411&lt;&gt;"",COUNTIF(D411:G411,"V")+(SUMIF(B417:B419,B411,D417:E419)/1000)+(SUMIF(J417:J419,B411,H417:I419)/1000)-(SUMIF(B417:B419,B411,H417:I419)/1000)-(SUMIF(J417:J419,B411,D417:E419)/1000)+0.003,"")</f>
        <v/>
      </c>
      <c r="N411" s="20" t="str">
        <f>IF(B411="","",B411)</f>
        <v/>
      </c>
      <c r="O411" s="20" t="str">
        <f>IF(B411&lt;&gt;"",LARGE(M411:M413,1),"")</f>
        <v/>
      </c>
      <c r="P411" s="20" t="str">
        <f>VLOOKUP(O411,M411:N413,2,0)</f>
        <v/>
      </c>
    </row>
    <row r="412" spans="2:16" ht="18" customHeight="1" x14ac:dyDescent="0.25">
      <c r="B412" s="33"/>
      <c r="C412" s="33" t="str">
        <f>IFERROR(IF(B412="","",VLOOKUP(B412,LISTAS!$F$5:$G$1004,2,0)),"0")</f>
        <v/>
      </c>
      <c r="D412" s="33" t="str">
        <f>IF(H411&lt;3,"",IF(H411=3,IF(D418&lt;&gt;"",IF(H418&lt;&gt;"",IF(D418&lt;&gt;H418,IF(D418&gt;H418,"V","D"),""),""),"")))</f>
        <v/>
      </c>
      <c r="E412" s="33" t="str">
        <f>IF(H411&lt;3,"",IF(H411=3,IF(D419&lt;&gt;"",IF(H419&lt;&gt;"",IF(D419&lt;&gt;H419,IF(D419&gt;H419,"D","V"),""),""),"")))</f>
        <v/>
      </c>
      <c r="F412" s="33" t="s">
        <v>81</v>
      </c>
      <c r="G412" s="33" t="s">
        <v>81</v>
      </c>
      <c r="H412" s="117"/>
      <c r="I412" s="33" t="str">
        <f>IF(B412&lt;&gt;"",2,"")</f>
        <v/>
      </c>
      <c r="J412" s="33" t="str">
        <f>IF(I412&lt;&gt;"",P412,"")</f>
        <v/>
      </c>
      <c r="K412" s="33" t="str">
        <f>IFERROR(IF(J412="","",VLOOKUP(J412,LISTAS!$F$5:$G$1004,2,0)),"0")</f>
        <v/>
      </c>
      <c r="L412" s="130" t="str">
        <f>IF(H411=3,"PRATA",IF(H411=4,"OURO",IF(H411=5,"OURO","")))</f>
        <v/>
      </c>
      <c r="M412" s="20" t="str">
        <f>IF(B412&lt;&gt;"",COUNTIF(D412:G412,"V")+(SUMIF(B417:B419,B412,D417:E419)/1000)+(SUMIF(J417:J419,B412,H417:I419)/1000)-(SUMIF(B417:B419,B412,H417:I419)/1000)-(SUMIF(J417:J419,B412,D417:E419)/1000)+0.002,"")</f>
        <v/>
      </c>
      <c r="N412" s="20" t="str">
        <f t="shared" ref="N412" si="28">IF(B412="","",B412)</f>
        <v/>
      </c>
      <c r="O412" s="20" t="str">
        <f>IF(B412&lt;&gt;"",LARGE(M411:M413,2),"")</f>
        <v/>
      </c>
      <c r="P412" s="20" t="str">
        <f>VLOOKUP(O412,M411:N413,2,0)</f>
        <v/>
      </c>
    </row>
    <row r="413" spans="2:16" ht="18" customHeight="1" x14ac:dyDescent="0.25">
      <c r="B413" s="33"/>
      <c r="C413" s="33" t="str">
        <f>IFERROR(IF(B413="","",VLOOKUP(B413,LISTAS!$F$5:$G$1004,2,0)),"0")</f>
        <v/>
      </c>
      <c r="D413" s="33" t="str">
        <f>IF(H411&lt;3,"",IF(H411=3,IF(D417&lt;&gt;"",IF(H417&lt;&gt;"",IF(D417&lt;&gt;H417,IF(D417&gt;H417,"D","V"),""),""),"")))</f>
        <v/>
      </c>
      <c r="E413" s="33" t="str">
        <f>IF(H411&lt;3,"",IF(H411=3,IF(D418&lt;&gt;"",IF(H418&lt;&gt;"",IF(D418&lt;&gt;H418,IF(D418&gt;H418,"D","V"),""),""),"")))</f>
        <v/>
      </c>
      <c r="F413" s="33" t="s">
        <v>81</v>
      </c>
      <c r="G413" s="33" t="s">
        <v>81</v>
      </c>
      <c r="H413" s="117"/>
      <c r="I413" s="33" t="str">
        <f>IF(B413&lt;&gt;"",3,"")</f>
        <v/>
      </c>
      <c r="J413" s="33" t="str">
        <f>IF(I413&lt;&gt;"",P413,"")</f>
        <v/>
      </c>
      <c r="K413" s="33" t="str">
        <f>IFERROR(IF(J413="","",VLOOKUP(J413,LISTAS!$F$5:$G$1004,2,0)),"0")</f>
        <v/>
      </c>
      <c r="L413" s="130" t="str">
        <f>IF(H411=3,"BRONZE",IF(H411=4,"PRATA",IF(H411=5,"OURO","")))</f>
        <v/>
      </c>
      <c r="M413" s="20" t="str">
        <f>IF(B413&lt;&gt;"",COUNTIF(D413:G413,"V")+(SUMIF(B417:B419,B413,D417:E419)/1000)+(SUMIF(J417:J419,B413,H417:I419)/1000)-(SUMIF(B417:B419,B413,H417:I419)/1000)-(SUMIF(J417:J419,B413,D417:E419)/1000)+0.001,"")</f>
        <v/>
      </c>
      <c r="N413" s="20" t="str">
        <f>IF(B413="","",B413)</f>
        <v/>
      </c>
      <c r="O413" s="20" t="str">
        <f>IF(B413&lt;&gt;"",LARGE(M411:M413,3),"")</f>
        <v/>
      </c>
      <c r="P413" s="20" t="str">
        <f>VLOOKUP(O413,M411:N413,2,0)</f>
        <v/>
      </c>
    </row>
    <row r="414" spans="2:16" ht="18" customHeight="1" x14ac:dyDescent="0.25">
      <c r="B414" s="79"/>
      <c r="C414" s="79"/>
      <c r="D414" s="79"/>
      <c r="E414" s="79"/>
      <c r="F414" s="79"/>
      <c r="G414" s="79"/>
      <c r="I414" s="80"/>
      <c r="J414" s="79"/>
      <c r="K414" s="81"/>
      <c r="L414" s="81"/>
    </row>
    <row r="415" spans="2:16" ht="23.25" customHeight="1" x14ac:dyDescent="0.25">
      <c r="B415" s="82" t="s">
        <v>40</v>
      </c>
      <c r="C415" s="79"/>
      <c r="D415" s="79"/>
      <c r="E415" s="79"/>
      <c r="F415" s="79"/>
      <c r="G415" s="79"/>
      <c r="H415" s="79"/>
      <c r="I415" s="79"/>
      <c r="J415" s="79"/>
      <c r="K415" s="79"/>
      <c r="L415" s="79"/>
    </row>
    <row r="416" spans="2:16" ht="18" customHeight="1" x14ac:dyDescent="0.25">
      <c r="B416" s="132" t="s">
        <v>15</v>
      </c>
      <c r="C416" s="132" t="s">
        <v>0</v>
      </c>
      <c r="D416" s="258" t="s">
        <v>41</v>
      </c>
      <c r="E416" s="259"/>
      <c r="F416" s="259"/>
      <c r="G416" s="259"/>
      <c r="H416" s="259"/>
      <c r="I416" s="260"/>
      <c r="J416" s="132" t="s">
        <v>15</v>
      </c>
      <c r="K416" s="132" t="s">
        <v>0</v>
      </c>
      <c r="L416" s="79"/>
    </row>
    <row r="417" spans="2:16" ht="18" customHeight="1" x14ac:dyDescent="0.25">
      <c r="B417" s="33" t="str">
        <f>IF(H411=3,B411,"")</f>
        <v/>
      </c>
      <c r="C417" s="33" t="str">
        <f>IFERROR(IF(B417="","",VLOOKUP(B417,LISTAS!$F$5:$G$1004,2,0)),"0")</f>
        <v/>
      </c>
      <c r="D417" s="253"/>
      <c r="E417" s="254"/>
      <c r="F417" s="253" t="s">
        <v>38</v>
      </c>
      <c r="G417" s="254"/>
      <c r="H417" s="253"/>
      <c r="I417" s="254"/>
      <c r="J417" s="111" t="str">
        <f>IF(H411=3,B413,"")</f>
        <v/>
      </c>
      <c r="K417" s="33" t="str">
        <f>IFERROR(IF(J417="","",VLOOKUP(J417,LISTAS!$F$5:$G$1004,2,0)),"0")</f>
        <v/>
      </c>
      <c r="L417" s="81"/>
    </row>
    <row r="418" spans="2:16" ht="18" customHeight="1" x14ac:dyDescent="0.25">
      <c r="B418" s="33" t="str">
        <f>IF(H411=3,B412,"")</f>
        <v/>
      </c>
      <c r="C418" s="33" t="str">
        <f>IFERROR(IF(B418="","",VLOOKUP(B418,LISTAS!$F$5:$G$1004,2,0)),"0")</f>
        <v/>
      </c>
      <c r="D418" s="253"/>
      <c r="E418" s="254"/>
      <c r="F418" s="253" t="s">
        <v>38</v>
      </c>
      <c r="G418" s="254"/>
      <c r="H418" s="253"/>
      <c r="I418" s="254"/>
      <c r="J418" s="111" t="str">
        <f>IF(H411=3,B413,"")</f>
        <v/>
      </c>
      <c r="K418" s="33" t="str">
        <f>IFERROR(IF(J418="","",VLOOKUP(J418,LISTAS!$F$5:$G$1004,2,0)),"0")</f>
        <v/>
      </c>
      <c r="L418" s="79"/>
    </row>
    <row r="419" spans="2:16" ht="18" customHeight="1" x14ac:dyDescent="0.25">
      <c r="B419" s="33" t="str">
        <f>IF(H411=3,B411,"")</f>
        <v/>
      </c>
      <c r="C419" s="33" t="str">
        <f>IFERROR(IF(B419="","",VLOOKUP(B419,LISTAS!$F$5:$G$1004,2,0)),"0")</f>
        <v/>
      </c>
      <c r="D419" s="253"/>
      <c r="E419" s="254"/>
      <c r="F419" s="253" t="s">
        <v>38</v>
      </c>
      <c r="G419" s="254"/>
      <c r="H419" s="253"/>
      <c r="I419" s="254"/>
      <c r="J419" s="111" t="str">
        <f>IF(H411=3,B412,"")</f>
        <v/>
      </c>
      <c r="K419" s="33" t="str">
        <f>IFERROR(IF(J419="","",VLOOKUP(J419,LISTAS!$F$5:$G$1004,2,0)),"0")</f>
        <v/>
      </c>
      <c r="L419" s="81"/>
    </row>
    <row r="422" spans="2:16" ht="30" customHeight="1" x14ac:dyDescent="0.25">
      <c r="B422" s="161" t="s">
        <v>76</v>
      </c>
      <c r="C422" s="79"/>
      <c r="D422" s="255" t="s">
        <v>42</v>
      </c>
      <c r="E422" s="256"/>
      <c r="F422" s="256"/>
      <c r="G422" s="257"/>
      <c r="H422" s="113"/>
      <c r="I422" s="255" t="s">
        <v>3</v>
      </c>
      <c r="J422" s="256"/>
      <c r="K422" s="256"/>
      <c r="L422" s="256"/>
    </row>
    <row r="423" spans="2:16" ht="18" customHeight="1" x14ac:dyDescent="0.25">
      <c r="B423" s="132" t="s">
        <v>15</v>
      </c>
      <c r="C423" s="132" t="s">
        <v>0</v>
      </c>
      <c r="D423" s="132" t="s">
        <v>43</v>
      </c>
      <c r="E423" s="132" t="s">
        <v>44</v>
      </c>
      <c r="F423" s="132" t="s">
        <v>77</v>
      </c>
      <c r="G423" s="132" t="s">
        <v>78</v>
      </c>
      <c r="H423" s="114"/>
      <c r="I423" s="132" t="s">
        <v>18</v>
      </c>
      <c r="J423" s="132" t="s">
        <v>15</v>
      </c>
      <c r="K423" s="132" t="s">
        <v>0</v>
      </c>
      <c r="L423" s="132" t="s">
        <v>45</v>
      </c>
    </row>
    <row r="424" spans="2:16" ht="18" customHeight="1" x14ac:dyDescent="0.25">
      <c r="B424" s="33"/>
      <c r="C424" s="33" t="str">
        <f>IFERROR(IF(B424="","",VLOOKUP(B424,LISTAS!$F$5:$G$1004,2,0)),"0")</f>
        <v/>
      </c>
      <c r="D424" s="33" t="str">
        <f>IF(H424&lt;3,"",IF(H424=3,IF(D430&lt;&gt;"",IF(H430&lt;&gt;"",IF(D430&lt;&gt;H430,IF(D430&gt;H430,"V","D"),""),""),"")))</f>
        <v/>
      </c>
      <c r="E424" s="33" t="str">
        <f>IF(H424&lt;3,"",IF(H424=3,IF(D432&lt;&gt;"",IF(H432&lt;&gt;"",IF(D432&lt;&gt;H432,IF(D432&gt;H432,"V","D"),""),""),"")))</f>
        <v/>
      </c>
      <c r="F424" s="33" t="s">
        <v>81</v>
      </c>
      <c r="G424" s="33" t="s">
        <v>81</v>
      </c>
      <c r="H424" s="117">
        <f>COUNTA(B424:B426)</f>
        <v>0</v>
      </c>
      <c r="I424" s="33" t="str">
        <f>IF(B424&lt;&gt;"",1,"")</f>
        <v/>
      </c>
      <c r="J424" s="33" t="str">
        <f>IF(I424&lt;&gt;"",P424,"")</f>
        <v/>
      </c>
      <c r="K424" s="33" t="str">
        <f>IFERROR(IF(J424="","",VLOOKUP(J424,LISTAS!$F$5:$G$1004,2,0)),"0")</f>
        <v/>
      </c>
      <c r="L424" s="130" t="str">
        <f>IF(H424=3,"OURO",IF(H424=4,"OURO",IF(H424=5,"OURO","")))</f>
        <v/>
      </c>
      <c r="M424" s="20" t="str">
        <f>IF(B424&lt;&gt;"",COUNTIF(D424:G424,"V")+(SUMIF(B430:B432,B424,D430:E432)/1000)+(SUMIF(J430:J432,B424,H430:I432)/1000)-(SUMIF(B430:B432,B424,H430:I432)/1000)-(SUMIF(J430:J432,B424,D430:E432)/1000)+0.003,"")</f>
        <v/>
      </c>
      <c r="N424" s="20" t="str">
        <f>IF(B424="","",B424)</f>
        <v/>
      </c>
      <c r="O424" s="20" t="str">
        <f>IF(B424&lt;&gt;"",LARGE(M424:M426,1),"")</f>
        <v/>
      </c>
      <c r="P424" s="20" t="str">
        <f>VLOOKUP(O424,M424:N426,2,0)</f>
        <v/>
      </c>
    </row>
    <row r="425" spans="2:16" ht="18" customHeight="1" x14ac:dyDescent="0.25">
      <c r="B425" s="33"/>
      <c r="C425" s="33" t="str">
        <f>IFERROR(IF(B425="","",VLOOKUP(B425,LISTAS!$F$5:$G$1004,2,0)),"0")</f>
        <v/>
      </c>
      <c r="D425" s="33" t="str">
        <f>IF(H424&lt;3,"",IF(H424=3,IF(D431&lt;&gt;"",IF(H431&lt;&gt;"",IF(D431&lt;&gt;H431,IF(D431&gt;H431,"V","D"),""),""),"")))</f>
        <v/>
      </c>
      <c r="E425" s="33" t="str">
        <f>IF(H424&lt;3,"",IF(H424=3,IF(D432&lt;&gt;"",IF(H432&lt;&gt;"",IF(D432&lt;&gt;H432,IF(D432&gt;H432,"D","V"),""),""),"")))</f>
        <v/>
      </c>
      <c r="F425" s="33" t="s">
        <v>81</v>
      </c>
      <c r="G425" s="33" t="s">
        <v>81</v>
      </c>
      <c r="H425" s="117"/>
      <c r="I425" s="33" t="str">
        <f>IF(B425&lt;&gt;"",2,"")</f>
        <v/>
      </c>
      <c r="J425" s="33" t="str">
        <f>IF(I425&lt;&gt;"",P425,"")</f>
        <v/>
      </c>
      <c r="K425" s="33" t="str">
        <f>IFERROR(IF(J425="","",VLOOKUP(J425,LISTAS!$F$5:$G$1004,2,0)),"0")</f>
        <v/>
      </c>
      <c r="L425" s="130" t="str">
        <f>IF(H424=3,"PRATA",IF(H424=4,"OURO",IF(H424=5,"OURO","")))</f>
        <v/>
      </c>
      <c r="M425" s="20" t="str">
        <f>IF(B425&lt;&gt;"",COUNTIF(D425:G425,"V")+(SUMIF(B430:B432,B425,D430:E432)/1000)+(SUMIF(J430:J432,B425,H430:I432)/1000)-(SUMIF(B430:B432,B425,H430:I432)/1000)-(SUMIF(J430:J432,B425,D430:E432)/1000)+0.002,"")</f>
        <v/>
      </c>
      <c r="N425" s="20" t="str">
        <f t="shared" ref="N425" si="29">IF(B425="","",B425)</f>
        <v/>
      </c>
      <c r="O425" s="20" t="str">
        <f>IF(B425&lt;&gt;"",LARGE(M424:M426,2),"")</f>
        <v/>
      </c>
      <c r="P425" s="20" t="str">
        <f>VLOOKUP(O425,M424:N426,2,0)</f>
        <v/>
      </c>
    </row>
    <row r="426" spans="2:16" ht="18" customHeight="1" x14ac:dyDescent="0.25">
      <c r="B426" s="33"/>
      <c r="C426" s="33" t="str">
        <f>IFERROR(IF(B426="","",VLOOKUP(B426,LISTAS!$F$5:$G$1004,2,0)),"0")</f>
        <v/>
      </c>
      <c r="D426" s="33" t="str">
        <f>IF(H424&lt;3,"",IF(H424=3,IF(D430&lt;&gt;"",IF(H430&lt;&gt;"",IF(D430&lt;&gt;H430,IF(D430&gt;H430,"D","V"),""),""),"")))</f>
        <v/>
      </c>
      <c r="E426" s="33" t="str">
        <f>IF(H424&lt;3,"",IF(H424=3,IF(D431&lt;&gt;"",IF(H431&lt;&gt;"",IF(D431&lt;&gt;H431,IF(D431&gt;H431,"D","V"),""),""),"")))</f>
        <v/>
      </c>
      <c r="F426" s="33" t="s">
        <v>81</v>
      </c>
      <c r="G426" s="33" t="s">
        <v>81</v>
      </c>
      <c r="H426" s="117"/>
      <c r="I426" s="33" t="str">
        <f>IF(B426&lt;&gt;"",3,"")</f>
        <v/>
      </c>
      <c r="J426" s="33" t="str">
        <f>IF(I426&lt;&gt;"",P426,"")</f>
        <v/>
      </c>
      <c r="K426" s="33" t="str">
        <f>IFERROR(IF(J426="","",VLOOKUP(J426,LISTAS!$F$5:$G$1004,2,0)),"0")</f>
        <v/>
      </c>
      <c r="L426" s="130" t="str">
        <f>IF(H424=3,"BRONZE",IF(H424=4,"PRATA",IF(H424=5,"OURO","")))</f>
        <v/>
      </c>
      <c r="M426" s="20" t="str">
        <f>IF(B426&lt;&gt;"",COUNTIF(D426:G426,"V")+(SUMIF(B430:B432,B426,D430:E432)/1000)+(SUMIF(J430:J432,B426,H430:I432)/1000)-(SUMIF(B430:B432,B426,H430:I432)/1000)-(SUMIF(J430:J432,B426,D430:E432)/1000)+0.001,"")</f>
        <v/>
      </c>
      <c r="N426" s="20" t="str">
        <f>IF(B426="","",B426)</f>
        <v/>
      </c>
      <c r="O426" s="20" t="str">
        <f>IF(B426&lt;&gt;"",LARGE(M424:M426,3),"")</f>
        <v/>
      </c>
      <c r="P426" s="20" t="str">
        <f>VLOOKUP(O426,M424:N426,2,0)</f>
        <v/>
      </c>
    </row>
    <row r="427" spans="2:16" ht="18" customHeight="1" x14ac:dyDescent="0.25">
      <c r="B427" s="79"/>
      <c r="C427" s="79"/>
      <c r="D427" s="79"/>
      <c r="E427" s="79"/>
      <c r="F427" s="79"/>
      <c r="G427" s="79"/>
      <c r="I427" s="80"/>
      <c r="J427" s="79"/>
      <c r="K427" s="81"/>
      <c r="L427" s="81"/>
    </row>
    <row r="428" spans="2:16" ht="23.25" customHeight="1" x14ac:dyDescent="0.25">
      <c r="B428" s="82" t="s">
        <v>40</v>
      </c>
      <c r="C428" s="79"/>
      <c r="D428" s="79"/>
      <c r="E428" s="79"/>
      <c r="F428" s="79"/>
      <c r="G428" s="79"/>
      <c r="H428" s="79"/>
      <c r="I428" s="79"/>
      <c r="J428" s="79"/>
      <c r="K428" s="79"/>
      <c r="L428" s="79"/>
    </row>
    <row r="429" spans="2:16" ht="18" customHeight="1" x14ac:dyDescent="0.25">
      <c r="B429" s="132" t="s">
        <v>15</v>
      </c>
      <c r="C429" s="132" t="s">
        <v>0</v>
      </c>
      <c r="D429" s="258" t="s">
        <v>41</v>
      </c>
      <c r="E429" s="259"/>
      <c r="F429" s="259"/>
      <c r="G429" s="259"/>
      <c r="H429" s="259"/>
      <c r="I429" s="260"/>
      <c r="J429" s="132" t="s">
        <v>15</v>
      </c>
      <c r="K429" s="132" t="s">
        <v>0</v>
      </c>
      <c r="L429" s="79"/>
    </row>
    <row r="430" spans="2:16" ht="18" customHeight="1" x14ac:dyDescent="0.25">
      <c r="B430" s="33" t="str">
        <f>IF(H424=3,B424,"")</f>
        <v/>
      </c>
      <c r="C430" s="33" t="str">
        <f>IFERROR(IF(B430="","",VLOOKUP(B430,LISTAS!$F$5:$G$1004,2,0)),"0")</f>
        <v/>
      </c>
      <c r="D430" s="253"/>
      <c r="E430" s="254"/>
      <c r="F430" s="253" t="s">
        <v>38</v>
      </c>
      <c r="G430" s="254"/>
      <c r="H430" s="253"/>
      <c r="I430" s="254"/>
      <c r="J430" s="111" t="str">
        <f>IF(H424=3,B426,"")</f>
        <v/>
      </c>
      <c r="K430" s="33" t="str">
        <f>IFERROR(IF(J430="","",VLOOKUP(J430,LISTAS!$F$5:$G$1004,2,0)),"0")</f>
        <v/>
      </c>
      <c r="L430" s="81"/>
    </row>
    <row r="431" spans="2:16" ht="18" customHeight="1" x14ac:dyDescent="0.25">
      <c r="B431" s="33" t="str">
        <f>IF(H424=3,B425,"")</f>
        <v/>
      </c>
      <c r="C431" s="33" t="str">
        <f>IFERROR(IF(B431="","",VLOOKUP(B431,LISTAS!$F$5:$G$1004,2,0)),"0")</f>
        <v/>
      </c>
      <c r="D431" s="253"/>
      <c r="E431" s="254"/>
      <c r="F431" s="253" t="s">
        <v>38</v>
      </c>
      <c r="G431" s="254"/>
      <c r="H431" s="253"/>
      <c r="I431" s="254"/>
      <c r="J431" s="111" t="str">
        <f>IF(H424=3,B426,"")</f>
        <v/>
      </c>
      <c r="K431" s="33" t="str">
        <f>IFERROR(IF(J431="","",VLOOKUP(J431,LISTAS!$F$5:$G$1004,2,0)),"0")</f>
        <v/>
      </c>
      <c r="L431" s="79"/>
    </row>
    <row r="432" spans="2:16" ht="18" customHeight="1" x14ac:dyDescent="0.25">
      <c r="B432" s="33" t="str">
        <f>IF(H424=3,B424,"")</f>
        <v/>
      </c>
      <c r="C432" s="33" t="str">
        <f>IFERROR(IF(B432="","",VLOOKUP(B432,LISTAS!$F$5:$G$1004,2,0)),"0")</f>
        <v/>
      </c>
      <c r="D432" s="253"/>
      <c r="E432" s="254"/>
      <c r="F432" s="253" t="s">
        <v>38</v>
      </c>
      <c r="G432" s="254"/>
      <c r="H432" s="253"/>
      <c r="I432" s="254"/>
      <c r="J432" s="111" t="str">
        <f>IF(H424=3,B425,"")</f>
        <v/>
      </c>
      <c r="K432" s="33" t="str">
        <f>IFERROR(IF(J432="","",VLOOKUP(J432,LISTAS!$F$5:$G$1004,2,0)),"0")</f>
        <v/>
      </c>
      <c r="L432" s="81"/>
    </row>
  </sheetData>
  <mergeCells count="416">
    <mergeCell ref="B2:L4"/>
    <mergeCell ref="C5:F5"/>
    <mergeCell ref="D6:G6"/>
    <mergeCell ref="I6:L6"/>
    <mergeCell ref="D15:I15"/>
    <mergeCell ref="D16:E16"/>
    <mergeCell ref="F16:G16"/>
    <mergeCell ref="H16:I16"/>
    <mergeCell ref="D19:E19"/>
    <mergeCell ref="F19:G19"/>
    <mergeCell ref="H19:I19"/>
    <mergeCell ref="D20:E20"/>
    <mergeCell ref="F20:G20"/>
    <mergeCell ref="H20:I20"/>
    <mergeCell ref="D17:E17"/>
    <mergeCell ref="F17:G17"/>
    <mergeCell ref="H17:I17"/>
    <mergeCell ref="D18:E18"/>
    <mergeCell ref="F18:G18"/>
    <mergeCell ref="H18:I18"/>
    <mergeCell ref="D23:E23"/>
    <mergeCell ref="F23:G23"/>
    <mergeCell ref="H23:I23"/>
    <mergeCell ref="D24:E24"/>
    <mergeCell ref="F24:G24"/>
    <mergeCell ref="H24:I24"/>
    <mergeCell ref="D21:E21"/>
    <mergeCell ref="F21:G21"/>
    <mergeCell ref="H21:I21"/>
    <mergeCell ref="D22:E22"/>
    <mergeCell ref="F22:G22"/>
    <mergeCell ref="H22:I22"/>
    <mergeCell ref="D37:E37"/>
    <mergeCell ref="F37:G37"/>
    <mergeCell ref="H37:I37"/>
    <mergeCell ref="D38:E38"/>
    <mergeCell ref="F38:G38"/>
    <mergeCell ref="H38:I38"/>
    <mergeCell ref="D25:E25"/>
    <mergeCell ref="F25:G25"/>
    <mergeCell ref="H25:I25"/>
    <mergeCell ref="D28:G28"/>
    <mergeCell ref="I28:L28"/>
    <mergeCell ref="D36:I36"/>
    <mergeCell ref="D41:E41"/>
    <mergeCell ref="F41:G41"/>
    <mergeCell ref="H41:I41"/>
    <mergeCell ref="D42:E42"/>
    <mergeCell ref="F42:G42"/>
    <mergeCell ref="H42:I42"/>
    <mergeCell ref="D39:E39"/>
    <mergeCell ref="F39:G39"/>
    <mergeCell ref="H39:I39"/>
    <mergeCell ref="D40:E40"/>
    <mergeCell ref="F40:G40"/>
    <mergeCell ref="H40:I40"/>
    <mergeCell ref="D54:E54"/>
    <mergeCell ref="F54:G54"/>
    <mergeCell ref="H54:I54"/>
    <mergeCell ref="D55:E55"/>
    <mergeCell ref="F55:G55"/>
    <mergeCell ref="H55:I55"/>
    <mergeCell ref="D45:G45"/>
    <mergeCell ref="I45:L45"/>
    <mergeCell ref="D52:I52"/>
    <mergeCell ref="D53:E53"/>
    <mergeCell ref="F53:G53"/>
    <mergeCell ref="H53:I53"/>
    <mergeCell ref="D67:E67"/>
    <mergeCell ref="F67:G67"/>
    <mergeCell ref="H67:I67"/>
    <mergeCell ref="D68:E68"/>
    <mergeCell ref="F68:G68"/>
    <mergeCell ref="H68:I68"/>
    <mergeCell ref="D58:G58"/>
    <mergeCell ref="I58:L58"/>
    <mergeCell ref="D65:I65"/>
    <mergeCell ref="D66:E66"/>
    <mergeCell ref="F66:G66"/>
    <mergeCell ref="H66:I66"/>
    <mergeCell ref="D80:E80"/>
    <mergeCell ref="F80:G80"/>
    <mergeCell ref="H80:I80"/>
    <mergeCell ref="D81:E81"/>
    <mergeCell ref="F81:G81"/>
    <mergeCell ref="H81:I81"/>
    <mergeCell ref="D71:G71"/>
    <mergeCell ref="I71:L71"/>
    <mergeCell ref="D78:I78"/>
    <mergeCell ref="D79:E79"/>
    <mergeCell ref="F79:G79"/>
    <mergeCell ref="H79:I79"/>
    <mergeCell ref="D93:E93"/>
    <mergeCell ref="F93:G93"/>
    <mergeCell ref="H93:I93"/>
    <mergeCell ref="D94:E94"/>
    <mergeCell ref="F94:G94"/>
    <mergeCell ref="H94:I94"/>
    <mergeCell ref="D84:G84"/>
    <mergeCell ref="I84:L84"/>
    <mergeCell ref="D91:I91"/>
    <mergeCell ref="D92:E92"/>
    <mergeCell ref="F92:G92"/>
    <mergeCell ref="H92:I92"/>
    <mergeCell ref="D106:E106"/>
    <mergeCell ref="F106:G106"/>
    <mergeCell ref="H106:I106"/>
    <mergeCell ref="D107:E107"/>
    <mergeCell ref="F107:G107"/>
    <mergeCell ref="H107:I107"/>
    <mergeCell ref="D97:G97"/>
    <mergeCell ref="I97:L97"/>
    <mergeCell ref="D104:I104"/>
    <mergeCell ref="D105:E105"/>
    <mergeCell ref="F105:G105"/>
    <mergeCell ref="H105:I105"/>
    <mergeCell ref="D119:E119"/>
    <mergeCell ref="F119:G119"/>
    <mergeCell ref="H119:I119"/>
    <mergeCell ref="D120:E120"/>
    <mergeCell ref="F120:G120"/>
    <mergeCell ref="H120:I120"/>
    <mergeCell ref="D110:G110"/>
    <mergeCell ref="I110:L110"/>
    <mergeCell ref="D117:I117"/>
    <mergeCell ref="D118:E118"/>
    <mergeCell ref="F118:G118"/>
    <mergeCell ref="H118:I118"/>
    <mergeCell ref="D132:E132"/>
    <mergeCell ref="F132:G132"/>
    <mergeCell ref="H132:I132"/>
    <mergeCell ref="D133:E133"/>
    <mergeCell ref="F133:G133"/>
    <mergeCell ref="H133:I133"/>
    <mergeCell ref="D123:G123"/>
    <mergeCell ref="I123:L123"/>
    <mergeCell ref="D130:I130"/>
    <mergeCell ref="D131:E131"/>
    <mergeCell ref="F131:G131"/>
    <mergeCell ref="H131:I131"/>
    <mergeCell ref="D145:E145"/>
    <mergeCell ref="F145:G145"/>
    <mergeCell ref="H145:I145"/>
    <mergeCell ref="D146:E146"/>
    <mergeCell ref="F146:G146"/>
    <mergeCell ref="H146:I146"/>
    <mergeCell ref="D136:G136"/>
    <mergeCell ref="I136:L136"/>
    <mergeCell ref="D143:I143"/>
    <mergeCell ref="D144:E144"/>
    <mergeCell ref="F144:G144"/>
    <mergeCell ref="H144:I144"/>
    <mergeCell ref="D158:E158"/>
    <mergeCell ref="F158:G158"/>
    <mergeCell ref="H158:I158"/>
    <mergeCell ref="D159:E159"/>
    <mergeCell ref="F159:G159"/>
    <mergeCell ref="H159:I159"/>
    <mergeCell ref="D149:G149"/>
    <mergeCell ref="I149:L149"/>
    <mergeCell ref="D156:I156"/>
    <mergeCell ref="D157:E157"/>
    <mergeCell ref="F157:G157"/>
    <mergeCell ref="H157:I157"/>
    <mergeCell ref="D171:E171"/>
    <mergeCell ref="F171:G171"/>
    <mergeCell ref="H171:I171"/>
    <mergeCell ref="D172:E172"/>
    <mergeCell ref="F172:G172"/>
    <mergeCell ref="H172:I172"/>
    <mergeCell ref="D162:G162"/>
    <mergeCell ref="I162:L162"/>
    <mergeCell ref="D169:I169"/>
    <mergeCell ref="D170:E170"/>
    <mergeCell ref="F170:G170"/>
    <mergeCell ref="H170:I170"/>
    <mergeCell ref="D184:E184"/>
    <mergeCell ref="F184:G184"/>
    <mergeCell ref="H184:I184"/>
    <mergeCell ref="D185:E185"/>
    <mergeCell ref="F185:G185"/>
    <mergeCell ref="H185:I185"/>
    <mergeCell ref="D175:G175"/>
    <mergeCell ref="I175:L175"/>
    <mergeCell ref="D182:I182"/>
    <mergeCell ref="D183:E183"/>
    <mergeCell ref="F183:G183"/>
    <mergeCell ref="H183:I183"/>
    <mergeCell ref="D197:E197"/>
    <mergeCell ref="F197:G197"/>
    <mergeCell ref="H197:I197"/>
    <mergeCell ref="D198:E198"/>
    <mergeCell ref="F198:G198"/>
    <mergeCell ref="H198:I198"/>
    <mergeCell ref="D188:G188"/>
    <mergeCell ref="I188:L188"/>
    <mergeCell ref="D195:I195"/>
    <mergeCell ref="D196:E196"/>
    <mergeCell ref="F196:G196"/>
    <mergeCell ref="H196:I196"/>
    <mergeCell ref="D210:E210"/>
    <mergeCell ref="F210:G210"/>
    <mergeCell ref="H210:I210"/>
    <mergeCell ref="D211:E211"/>
    <mergeCell ref="F211:G211"/>
    <mergeCell ref="H211:I211"/>
    <mergeCell ref="D201:G201"/>
    <mergeCell ref="I201:L201"/>
    <mergeCell ref="D208:I208"/>
    <mergeCell ref="D209:E209"/>
    <mergeCell ref="F209:G209"/>
    <mergeCell ref="H209:I209"/>
    <mergeCell ref="D223:E223"/>
    <mergeCell ref="F223:G223"/>
    <mergeCell ref="H223:I223"/>
    <mergeCell ref="D224:E224"/>
    <mergeCell ref="F224:G224"/>
    <mergeCell ref="H224:I224"/>
    <mergeCell ref="D214:G214"/>
    <mergeCell ref="I214:L214"/>
    <mergeCell ref="D221:I221"/>
    <mergeCell ref="D222:E222"/>
    <mergeCell ref="F222:G222"/>
    <mergeCell ref="H222:I222"/>
    <mergeCell ref="D236:E236"/>
    <mergeCell ref="F236:G236"/>
    <mergeCell ref="H236:I236"/>
    <mergeCell ref="D237:E237"/>
    <mergeCell ref="F237:G237"/>
    <mergeCell ref="H237:I237"/>
    <mergeCell ref="D227:G227"/>
    <mergeCell ref="I227:L227"/>
    <mergeCell ref="D234:I234"/>
    <mergeCell ref="D235:E235"/>
    <mergeCell ref="F235:G235"/>
    <mergeCell ref="H235:I235"/>
    <mergeCell ref="D249:E249"/>
    <mergeCell ref="F249:G249"/>
    <mergeCell ref="H249:I249"/>
    <mergeCell ref="D250:E250"/>
    <mergeCell ref="F250:G250"/>
    <mergeCell ref="H250:I250"/>
    <mergeCell ref="D240:G240"/>
    <mergeCell ref="I240:L240"/>
    <mergeCell ref="D247:I247"/>
    <mergeCell ref="D248:E248"/>
    <mergeCell ref="F248:G248"/>
    <mergeCell ref="H248:I248"/>
    <mergeCell ref="D262:E262"/>
    <mergeCell ref="F262:G262"/>
    <mergeCell ref="H262:I262"/>
    <mergeCell ref="D263:E263"/>
    <mergeCell ref="F263:G263"/>
    <mergeCell ref="H263:I263"/>
    <mergeCell ref="D253:G253"/>
    <mergeCell ref="I253:L253"/>
    <mergeCell ref="D260:I260"/>
    <mergeCell ref="D261:E261"/>
    <mergeCell ref="F261:G261"/>
    <mergeCell ref="H261:I261"/>
    <mergeCell ref="D275:E275"/>
    <mergeCell ref="F275:G275"/>
    <mergeCell ref="H275:I275"/>
    <mergeCell ref="D276:E276"/>
    <mergeCell ref="F276:G276"/>
    <mergeCell ref="H276:I276"/>
    <mergeCell ref="D266:G266"/>
    <mergeCell ref="I266:L266"/>
    <mergeCell ref="D273:I273"/>
    <mergeCell ref="D274:E274"/>
    <mergeCell ref="F274:G274"/>
    <mergeCell ref="H274:I274"/>
    <mergeCell ref="D288:E288"/>
    <mergeCell ref="F288:G288"/>
    <mergeCell ref="H288:I288"/>
    <mergeCell ref="D289:E289"/>
    <mergeCell ref="F289:G289"/>
    <mergeCell ref="H289:I289"/>
    <mergeCell ref="D279:G279"/>
    <mergeCell ref="I279:L279"/>
    <mergeCell ref="D286:I286"/>
    <mergeCell ref="D287:E287"/>
    <mergeCell ref="F287:G287"/>
    <mergeCell ref="H287:I287"/>
    <mergeCell ref="D301:E301"/>
    <mergeCell ref="F301:G301"/>
    <mergeCell ref="H301:I301"/>
    <mergeCell ref="D302:E302"/>
    <mergeCell ref="F302:G302"/>
    <mergeCell ref="H302:I302"/>
    <mergeCell ref="D292:G292"/>
    <mergeCell ref="I292:L292"/>
    <mergeCell ref="D299:I299"/>
    <mergeCell ref="D300:E300"/>
    <mergeCell ref="F300:G300"/>
    <mergeCell ref="H300:I300"/>
    <mergeCell ref="D314:E314"/>
    <mergeCell ref="F314:G314"/>
    <mergeCell ref="H314:I314"/>
    <mergeCell ref="D315:E315"/>
    <mergeCell ref="F315:G315"/>
    <mergeCell ref="H315:I315"/>
    <mergeCell ref="D305:G305"/>
    <mergeCell ref="I305:L305"/>
    <mergeCell ref="D312:I312"/>
    <mergeCell ref="D313:E313"/>
    <mergeCell ref="F313:G313"/>
    <mergeCell ref="H313:I313"/>
    <mergeCell ref="D327:E327"/>
    <mergeCell ref="F327:G327"/>
    <mergeCell ref="H327:I327"/>
    <mergeCell ref="D328:E328"/>
    <mergeCell ref="F328:G328"/>
    <mergeCell ref="H328:I328"/>
    <mergeCell ref="D318:G318"/>
    <mergeCell ref="I318:L318"/>
    <mergeCell ref="D325:I325"/>
    <mergeCell ref="D326:E326"/>
    <mergeCell ref="F326:G326"/>
    <mergeCell ref="H326:I326"/>
    <mergeCell ref="D340:E340"/>
    <mergeCell ref="F340:G340"/>
    <mergeCell ref="H340:I340"/>
    <mergeCell ref="D341:E341"/>
    <mergeCell ref="F341:G341"/>
    <mergeCell ref="H341:I341"/>
    <mergeCell ref="D331:G331"/>
    <mergeCell ref="I331:L331"/>
    <mergeCell ref="D338:I338"/>
    <mergeCell ref="D339:E339"/>
    <mergeCell ref="F339:G339"/>
    <mergeCell ref="H339:I339"/>
    <mergeCell ref="D353:E353"/>
    <mergeCell ref="F353:G353"/>
    <mergeCell ref="H353:I353"/>
    <mergeCell ref="D354:E354"/>
    <mergeCell ref="F354:G354"/>
    <mergeCell ref="H354:I354"/>
    <mergeCell ref="D344:G344"/>
    <mergeCell ref="I344:L344"/>
    <mergeCell ref="D351:I351"/>
    <mergeCell ref="D352:E352"/>
    <mergeCell ref="F352:G352"/>
    <mergeCell ref="H352:I352"/>
    <mergeCell ref="D366:E366"/>
    <mergeCell ref="F366:G366"/>
    <mergeCell ref="H366:I366"/>
    <mergeCell ref="D367:E367"/>
    <mergeCell ref="F367:G367"/>
    <mergeCell ref="H367:I367"/>
    <mergeCell ref="D357:G357"/>
    <mergeCell ref="I357:L357"/>
    <mergeCell ref="D364:I364"/>
    <mergeCell ref="D365:E365"/>
    <mergeCell ref="F365:G365"/>
    <mergeCell ref="H365:I365"/>
    <mergeCell ref="D379:E379"/>
    <mergeCell ref="F379:G379"/>
    <mergeCell ref="H379:I379"/>
    <mergeCell ref="D380:E380"/>
    <mergeCell ref="F380:G380"/>
    <mergeCell ref="H380:I380"/>
    <mergeCell ref="D370:G370"/>
    <mergeCell ref="I370:L370"/>
    <mergeCell ref="D377:I377"/>
    <mergeCell ref="D378:E378"/>
    <mergeCell ref="F378:G378"/>
    <mergeCell ref="H378:I378"/>
    <mergeCell ref="D392:E392"/>
    <mergeCell ref="F392:G392"/>
    <mergeCell ref="H392:I392"/>
    <mergeCell ref="D393:E393"/>
    <mergeCell ref="F393:G393"/>
    <mergeCell ref="H393:I393"/>
    <mergeCell ref="D383:G383"/>
    <mergeCell ref="I383:L383"/>
    <mergeCell ref="D390:I390"/>
    <mergeCell ref="D391:E391"/>
    <mergeCell ref="F391:G391"/>
    <mergeCell ref="H391:I391"/>
    <mergeCell ref="D405:E405"/>
    <mergeCell ref="F405:G405"/>
    <mergeCell ref="H405:I405"/>
    <mergeCell ref="D406:E406"/>
    <mergeCell ref="F406:G406"/>
    <mergeCell ref="H406:I406"/>
    <mergeCell ref="D396:G396"/>
    <mergeCell ref="I396:L396"/>
    <mergeCell ref="D403:I403"/>
    <mergeCell ref="D404:E404"/>
    <mergeCell ref="F404:G404"/>
    <mergeCell ref="H404:I404"/>
    <mergeCell ref="D418:E418"/>
    <mergeCell ref="F418:G418"/>
    <mergeCell ref="H418:I418"/>
    <mergeCell ref="D419:E419"/>
    <mergeCell ref="F419:G419"/>
    <mergeCell ref="H419:I419"/>
    <mergeCell ref="D409:G409"/>
    <mergeCell ref="I409:L409"/>
    <mergeCell ref="D416:I416"/>
    <mergeCell ref="D417:E417"/>
    <mergeCell ref="F417:G417"/>
    <mergeCell ref="H417:I417"/>
    <mergeCell ref="D431:E431"/>
    <mergeCell ref="F431:G431"/>
    <mergeCell ref="H431:I431"/>
    <mergeCell ref="D432:E432"/>
    <mergeCell ref="F432:G432"/>
    <mergeCell ref="H432:I432"/>
    <mergeCell ref="D422:G422"/>
    <mergeCell ref="I422:L422"/>
    <mergeCell ref="D429:I429"/>
    <mergeCell ref="D430:E430"/>
    <mergeCell ref="F430:G430"/>
    <mergeCell ref="H430:I430"/>
  </mergeCells>
  <conditionalFormatting sqref="L8:L12">
    <cfRule type="cellIs" dxfId="929" priority="187" operator="equal">
      <formula>"BRONZE"</formula>
    </cfRule>
    <cfRule type="cellIs" dxfId="928" priority="188" operator="equal">
      <formula>"PRATA"</formula>
    </cfRule>
    <cfRule type="containsText" dxfId="927" priority="189" operator="containsText" text="OURO">
      <formula>NOT(ISERROR(SEARCH("OURO",L8)))</formula>
    </cfRule>
  </conditionalFormatting>
  <conditionalFormatting sqref="L30:L33">
    <cfRule type="cellIs" dxfId="926" priority="91" operator="equal">
      <formula>"BRONZE"</formula>
    </cfRule>
    <cfRule type="cellIs" dxfId="925" priority="92" operator="equal">
      <formula>"PRATA"</formula>
    </cfRule>
    <cfRule type="containsText" dxfId="924" priority="93" operator="containsText" text="OURO">
      <formula>NOT(ISERROR(SEARCH("OURO",L30)))</formula>
    </cfRule>
  </conditionalFormatting>
  <conditionalFormatting sqref="L47:L49">
    <cfRule type="cellIs" dxfId="923" priority="88" operator="equal">
      <formula>"BRONZE"</formula>
    </cfRule>
    <cfRule type="cellIs" dxfId="922" priority="89" operator="equal">
      <formula>"PRATA"</formula>
    </cfRule>
    <cfRule type="containsText" dxfId="921" priority="90" operator="containsText" text="OURO">
      <formula>NOT(ISERROR(SEARCH("OURO",L47)))</formula>
    </cfRule>
  </conditionalFormatting>
  <conditionalFormatting sqref="L60:L62">
    <cfRule type="cellIs" dxfId="920" priority="85" operator="equal">
      <formula>"BRONZE"</formula>
    </cfRule>
    <cfRule type="cellIs" dxfId="919" priority="86" operator="equal">
      <formula>"PRATA"</formula>
    </cfRule>
    <cfRule type="containsText" dxfId="918" priority="87" operator="containsText" text="OURO">
      <formula>NOT(ISERROR(SEARCH("OURO",L60)))</formula>
    </cfRule>
  </conditionalFormatting>
  <conditionalFormatting sqref="L73:L75">
    <cfRule type="cellIs" dxfId="917" priority="82" operator="equal">
      <formula>"BRONZE"</formula>
    </cfRule>
    <cfRule type="cellIs" dxfId="916" priority="83" operator="equal">
      <formula>"PRATA"</formula>
    </cfRule>
    <cfRule type="containsText" dxfId="915" priority="84" operator="containsText" text="OURO">
      <formula>NOT(ISERROR(SEARCH("OURO",L73)))</formula>
    </cfRule>
  </conditionalFormatting>
  <conditionalFormatting sqref="L86:L88">
    <cfRule type="cellIs" dxfId="914" priority="79" operator="equal">
      <formula>"BRONZE"</formula>
    </cfRule>
    <cfRule type="cellIs" dxfId="913" priority="80" operator="equal">
      <formula>"PRATA"</formula>
    </cfRule>
    <cfRule type="containsText" dxfId="912" priority="81" operator="containsText" text="OURO">
      <formula>NOT(ISERROR(SEARCH("OURO",L86)))</formula>
    </cfRule>
  </conditionalFormatting>
  <conditionalFormatting sqref="L99:L101">
    <cfRule type="cellIs" dxfId="911" priority="76" operator="equal">
      <formula>"BRONZE"</formula>
    </cfRule>
    <cfRule type="cellIs" dxfId="910" priority="77" operator="equal">
      <formula>"PRATA"</formula>
    </cfRule>
    <cfRule type="containsText" dxfId="909" priority="78" operator="containsText" text="OURO">
      <formula>NOT(ISERROR(SEARCH("OURO",L99)))</formula>
    </cfRule>
  </conditionalFormatting>
  <conditionalFormatting sqref="L112:L114">
    <cfRule type="cellIs" dxfId="908" priority="73" operator="equal">
      <formula>"BRONZE"</formula>
    </cfRule>
    <cfRule type="cellIs" dxfId="907" priority="74" operator="equal">
      <formula>"PRATA"</formula>
    </cfRule>
    <cfRule type="containsText" dxfId="906" priority="75" operator="containsText" text="OURO">
      <formula>NOT(ISERROR(SEARCH("OURO",L112)))</formula>
    </cfRule>
  </conditionalFormatting>
  <conditionalFormatting sqref="L125:L127">
    <cfRule type="cellIs" dxfId="905" priority="70" operator="equal">
      <formula>"BRONZE"</formula>
    </cfRule>
    <cfRule type="cellIs" dxfId="904" priority="71" operator="equal">
      <formula>"PRATA"</formula>
    </cfRule>
    <cfRule type="containsText" dxfId="903" priority="72" operator="containsText" text="OURO">
      <formula>NOT(ISERROR(SEARCH("OURO",L125)))</formula>
    </cfRule>
  </conditionalFormatting>
  <conditionalFormatting sqref="L138:L140">
    <cfRule type="cellIs" dxfId="902" priority="67" operator="equal">
      <formula>"BRONZE"</formula>
    </cfRule>
    <cfRule type="cellIs" dxfId="901" priority="68" operator="equal">
      <formula>"PRATA"</formula>
    </cfRule>
    <cfRule type="containsText" dxfId="900" priority="69" operator="containsText" text="OURO">
      <formula>NOT(ISERROR(SEARCH("OURO",L138)))</formula>
    </cfRule>
  </conditionalFormatting>
  <conditionalFormatting sqref="L151:L153">
    <cfRule type="cellIs" dxfId="899" priority="64" operator="equal">
      <formula>"BRONZE"</formula>
    </cfRule>
    <cfRule type="cellIs" dxfId="898" priority="65" operator="equal">
      <formula>"PRATA"</formula>
    </cfRule>
    <cfRule type="containsText" dxfId="897" priority="66" operator="containsText" text="OURO">
      <formula>NOT(ISERROR(SEARCH("OURO",L151)))</formula>
    </cfRule>
  </conditionalFormatting>
  <conditionalFormatting sqref="L164:L166">
    <cfRule type="cellIs" dxfId="896" priority="61" operator="equal">
      <formula>"BRONZE"</formula>
    </cfRule>
    <cfRule type="cellIs" dxfId="895" priority="62" operator="equal">
      <formula>"PRATA"</formula>
    </cfRule>
    <cfRule type="containsText" dxfId="894" priority="63" operator="containsText" text="OURO">
      <formula>NOT(ISERROR(SEARCH("OURO",L164)))</formula>
    </cfRule>
  </conditionalFormatting>
  <conditionalFormatting sqref="L177:L179">
    <cfRule type="cellIs" dxfId="893" priority="58" operator="equal">
      <formula>"BRONZE"</formula>
    </cfRule>
    <cfRule type="cellIs" dxfId="892" priority="59" operator="equal">
      <formula>"PRATA"</formula>
    </cfRule>
    <cfRule type="containsText" dxfId="891" priority="60" operator="containsText" text="OURO">
      <formula>NOT(ISERROR(SEARCH("OURO",L177)))</formula>
    </cfRule>
  </conditionalFormatting>
  <conditionalFormatting sqref="L190:L192">
    <cfRule type="cellIs" dxfId="890" priority="55" operator="equal">
      <formula>"BRONZE"</formula>
    </cfRule>
    <cfRule type="cellIs" dxfId="889" priority="56" operator="equal">
      <formula>"PRATA"</formula>
    </cfRule>
    <cfRule type="containsText" dxfId="888" priority="57" operator="containsText" text="OURO">
      <formula>NOT(ISERROR(SEARCH("OURO",L190)))</formula>
    </cfRule>
  </conditionalFormatting>
  <conditionalFormatting sqref="L203:L205">
    <cfRule type="cellIs" dxfId="887" priority="52" operator="equal">
      <formula>"BRONZE"</formula>
    </cfRule>
    <cfRule type="cellIs" dxfId="886" priority="53" operator="equal">
      <formula>"PRATA"</formula>
    </cfRule>
    <cfRule type="containsText" dxfId="885" priority="54" operator="containsText" text="OURO">
      <formula>NOT(ISERROR(SEARCH("OURO",L203)))</formula>
    </cfRule>
  </conditionalFormatting>
  <conditionalFormatting sqref="L216:L218">
    <cfRule type="cellIs" dxfId="884" priority="49" operator="equal">
      <formula>"BRONZE"</formula>
    </cfRule>
    <cfRule type="cellIs" dxfId="883" priority="50" operator="equal">
      <formula>"PRATA"</formula>
    </cfRule>
    <cfRule type="containsText" dxfId="882" priority="51" operator="containsText" text="OURO">
      <formula>NOT(ISERROR(SEARCH("OURO",L216)))</formula>
    </cfRule>
  </conditionalFormatting>
  <conditionalFormatting sqref="L229:L231">
    <cfRule type="cellIs" dxfId="881" priority="46" operator="equal">
      <formula>"BRONZE"</formula>
    </cfRule>
    <cfRule type="cellIs" dxfId="880" priority="47" operator="equal">
      <formula>"PRATA"</formula>
    </cfRule>
    <cfRule type="containsText" dxfId="879" priority="48" operator="containsText" text="OURO">
      <formula>NOT(ISERROR(SEARCH("OURO",L229)))</formula>
    </cfRule>
  </conditionalFormatting>
  <conditionalFormatting sqref="L242:L244">
    <cfRule type="cellIs" dxfId="878" priority="43" operator="equal">
      <formula>"BRONZE"</formula>
    </cfRule>
    <cfRule type="cellIs" dxfId="877" priority="44" operator="equal">
      <formula>"PRATA"</formula>
    </cfRule>
    <cfRule type="containsText" dxfId="876" priority="45" operator="containsText" text="OURO">
      <formula>NOT(ISERROR(SEARCH("OURO",L242)))</formula>
    </cfRule>
  </conditionalFormatting>
  <conditionalFormatting sqref="L255:L257">
    <cfRule type="cellIs" dxfId="875" priority="40" operator="equal">
      <formula>"BRONZE"</formula>
    </cfRule>
    <cfRule type="cellIs" dxfId="874" priority="41" operator="equal">
      <formula>"PRATA"</formula>
    </cfRule>
    <cfRule type="containsText" dxfId="873" priority="42" operator="containsText" text="OURO">
      <formula>NOT(ISERROR(SEARCH("OURO",L255)))</formula>
    </cfRule>
  </conditionalFormatting>
  <conditionalFormatting sqref="L268:L270">
    <cfRule type="cellIs" dxfId="872" priority="37" operator="equal">
      <formula>"BRONZE"</formula>
    </cfRule>
    <cfRule type="cellIs" dxfId="871" priority="38" operator="equal">
      <formula>"PRATA"</formula>
    </cfRule>
    <cfRule type="containsText" dxfId="870" priority="39" operator="containsText" text="OURO">
      <formula>NOT(ISERROR(SEARCH("OURO",L268)))</formula>
    </cfRule>
  </conditionalFormatting>
  <conditionalFormatting sqref="L281:L283">
    <cfRule type="cellIs" dxfId="869" priority="34" operator="equal">
      <formula>"BRONZE"</formula>
    </cfRule>
    <cfRule type="cellIs" dxfId="868" priority="35" operator="equal">
      <formula>"PRATA"</formula>
    </cfRule>
    <cfRule type="containsText" dxfId="867" priority="36" operator="containsText" text="OURO">
      <formula>NOT(ISERROR(SEARCH("OURO",L281)))</formula>
    </cfRule>
  </conditionalFormatting>
  <conditionalFormatting sqref="L294:L296">
    <cfRule type="cellIs" dxfId="866" priority="31" operator="equal">
      <formula>"BRONZE"</formula>
    </cfRule>
    <cfRule type="cellIs" dxfId="865" priority="32" operator="equal">
      <formula>"PRATA"</formula>
    </cfRule>
    <cfRule type="containsText" dxfId="864" priority="33" operator="containsText" text="OURO">
      <formula>NOT(ISERROR(SEARCH("OURO",L294)))</formula>
    </cfRule>
  </conditionalFormatting>
  <conditionalFormatting sqref="L307:L309">
    <cfRule type="cellIs" dxfId="863" priority="28" operator="equal">
      <formula>"BRONZE"</formula>
    </cfRule>
    <cfRule type="cellIs" dxfId="862" priority="29" operator="equal">
      <formula>"PRATA"</formula>
    </cfRule>
    <cfRule type="containsText" dxfId="861" priority="30" operator="containsText" text="OURO">
      <formula>NOT(ISERROR(SEARCH("OURO",L307)))</formula>
    </cfRule>
  </conditionalFormatting>
  <conditionalFormatting sqref="L320:L322">
    <cfRule type="cellIs" dxfId="860" priority="25" operator="equal">
      <formula>"BRONZE"</formula>
    </cfRule>
    <cfRule type="cellIs" dxfId="859" priority="26" operator="equal">
      <formula>"PRATA"</formula>
    </cfRule>
    <cfRule type="containsText" dxfId="858" priority="27" operator="containsText" text="OURO">
      <formula>NOT(ISERROR(SEARCH("OURO",L320)))</formula>
    </cfRule>
  </conditionalFormatting>
  <conditionalFormatting sqref="L333:L335">
    <cfRule type="cellIs" dxfId="857" priority="22" operator="equal">
      <formula>"BRONZE"</formula>
    </cfRule>
    <cfRule type="cellIs" dxfId="856" priority="23" operator="equal">
      <formula>"PRATA"</formula>
    </cfRule>
    <cfRule type="containsText" dxfId="855" priority="24" operator="containsText" text="OURO">
      <formula>NOT(ISERROR(SEARCH("OURO",L333)))</formula>
    </cfRule>
  </conditionalFormatting>
  <conditionalFormatting sqref="L346:L348">
    <cfRule type="cellIs" dxfId="854" priority="19" operator="equal">
      <formula>"BRONZE"</formula>
    </cfRule>
    <cfRule type="cellIs" dxfId="853" priority="20" operator="equal">
      <formula>"PRATA"</formula>
    </cfRule>
    <cfRule type="containsText" dxfId="852" priority="21" operator="containsText" text="OURO">
      <formula>NOT(ISERROR(SEARCH("OURO",L346)))</formula>
    </cfRule>
  </conditionalFormatting>
  <conditionalFormatting sqref="L359:L361">
    <cfRule type="cellIs" dxfId="851" priority="16" operator="equal">
      <formula>"BRONZE"</formula>
    </cfRule>
    <cfRule type="cellIs" dxfId="850" priority="17" operator="equal">
      <formula>"PRATA"</formula>
    </cfRule>
    <cfRule type="containsText" dxfId="849" priority="18" operator="containsText" text="OURO">
      <formula>NOT(ISERROR(SEARCH("OURO",L359)))</formula>
    </cfRule>
  </conditionalFormatting>
  <conditionalFormatting sqref="L372:L374">
    <cfRule type="cellIs" dxfId="848" priority="13" operator="equal">
      <formula>"BRONZE"</formula>
    </cfRule>
    <cfRule type="cellIs" dxfId="847" priority="14" operator="equal">
      <formula>"PRATA"</formula>
    </cfRule>
    <cfRule type="containsText" dxfId="846" priority="15" operator="containsText" text="OURO">
      <formula>NOT(ISERROR(SEARCH("OURO",L372)))</formula>
    </cfRule>
  </conditionalFormatting>
  <conditionalFormatting sqref="L385:L387">
    <cfRule type="cellIs" dxfId="845" priority="10" operator="equal">
      <formula>"BRONZE"</formula>
    </cfRule>
    <cfRule type="cellIs" dxfId="844" priority="11" operator="equal">
      <formula>"PRATA"</formula>
    </cfRule>
    <cfRule type="containsText" dxfId="843" priority="12" operator="containsText" text="OURO">
      <formula>NOT(ISERROR(SEARCH("OURO",L385)))</formula>
    </cfRule>
  </conditionalFormatting>
  <conditionalFormatting sqref="L398:L400">
    <cfRule type="cellIs" dxfId="842" priority="7" operator="equal">
      <formula>"BRONZE"</formula>
    </cfRule>
    <cfRule type="cellIs" dxfId="841" priority="8" operator="equal">
      <formula>"PRATA"</formula>
    </cfRule>
    <cfRule type="containsText" dxfId="840" priority="9" operator="containsText" text="OURO">
      <formula>NOT(ISERROR(SEARCH("OURO",L398)))</formula>
    </cfRule>
  </conditionalFormatting>
  <conditionalFormatting sqref="L411:L413">
    <cfRule type="cellIs" dxfId="839" priority="4" operator="equal">
      <formula>"BRONZE"</formula>
    </cfRule>
    <cfRule type="cellIs" dxfId="838" priority="5" operator="equal">
      <formula>"PRATA"</formula>
    </cfRule>
    <cfRule type="containsText" dxfId="837" priority="6" operator="containsText" text="OURO">
      <formula>NOT(ISERROR(SEARCH("OURO",L411)))</formula>
    </cfRule>
  </conditionalFormatting>
  <conditionalFormatting sqref="L424:L426">
    <cfRule type="cellIs" dxfId="836" priority="1" operator="equal">
      <formula>"BRONZE"</formula>
    </cfRule>
    <cfRule type="cellIs" dxfId="835" priority="2" operator="equal">
      <formula>"PRATA"</formula>
    </cfRule>
    <cfRule type="containsText" dxfId="834" priority="3" operator="containsText" text="OURO">
      <formula>NOT(ISERROR(SEARCH("OURO",L424)))</formula>
    </cfRule>
  </conditionalFormatting>
  <pageMargins left="0.51181102362204722" right="0.51181102362204722" top="0.78740157480314965" bottom="0.78740157480314965" header="0.31496062992125984" footer="0.31496062992125984"/>
  <pageSetup paperSize="9" scale="60" orientation="landscape"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LISTAS!$D$10:$D$41</xm:f>
          </x14:formula1>
          <xm:sqref>G5</xm:sqref>
        </x14:dataValidation>
        <x14:dataValidation type="list" allowBlank="1" showInputMessage="1" showErrorMessage="1" xr:uid="{00000000-0002-0000-0200-000001000000}">
          <x14:formula1>
            <xm:f>LISTAS!$F$5:$F$1004</xm:f>
          </x14:formula1>
          <xm:sqref>B8:B12 B30:B33 B47:B49 B60:B62 B73:B75 B86:B88 B114 B296 B125:B127 B138:B140 B151:B153 B164:B166 B177:B179 B190:B192 B203:B205 B216:B218 B229:B231 B242:B244 B255:B257 B268:B270 B281:B283 B348 B307:B309 B320:B322 B333:B335 B424:B426 B359:B361 B372:B374 B385:B387 B398:B400 B411:B413 B294 B112 B99 B101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8">
    <tabColor theme="4" tint="0.39997558519241921"/>
    <pageSetUpPr fitToPage="1"/>
  </sheetPr>
  <dimension ref="B1:AW200"/>
  <sheetViews>
    <sheetView showGridLines="0" topLeftCell="AC3" zoomScale="70" zoomScaleNormal="70" workbookViewId="0">
      <selection activeCell="G163" sqref="G163"/>
    </sheetView>
  </sheetViews>
  <sheetFormatPr defaultColWidth="25.28515625" defaultRowHeight="16.5" x14ac:dyDescent="0.25"/>
  <cols>
    <col min="1" max="1" width="1.140625" style="1" customWidth="1"/>
    <col min="2" max="2" width="3.140625" style="1" customWidth="1"/>
    <col min="3" max="3" width="52.42578125" style="163" customWidth="1"/>
    <col min="4" max="4" width="5" style="1" customWidth="1"/>
    <col min="5" max="6" width="3.7109375" style="1" customWidth="1"/>
    <col min="7" max="7" width="18.7109375" style="173" customWidth="1"/>
    <col min="8" max="8" width="5" style="1" customWidth="1"/>
    <col min="9" max="9" width="3.7109375" style="1" customWidth="1"/>
    <col min="10" max="10" width="3.85546875" style="1" customWidth="1"/>
    <col min="11" max="11" width="18.7109375" style="173" customWidth="1"/>
    <col min="12" max="12" width="5" style="1" customWidth="1"/>
    <col min="13" max="14" width="3.7109375" style="1" customWidth="1"/>
    <col min="15" max="15" width="18.7109375" style="173" customWidth="1"/>
    <col min="16" max="16" width="5" style="1" customWidth="1"/>
    <col min="17" max="17" width="6.28515625" style="23" customWidth="1"/>
    <col min="18" max="18" width="18.7109375" style="183" customWidth="1"/>
    <col min="19" max="21" width="3.7109375" style="23" customWidth="1"/>
    <col min="22" max="22" width="18.5703125" style="183" customWidth="1"/>
    <col min="23" max="23" width="6.28515625" style="1" customWidth="1"/>
    <col min="24" max="24" width="5" style="2" customWidth="1"/>
    <col min="25" max="25" width="18.7109375" style="173" customWidth="1"/>
    <col min="26" max="27" width="3.7109375" style="1" customWidth="1"/>
    <col min="28" max="28" width="5" style="1" customWidth="1"/>
    <col min="29" max="29" width="18.85546875" style="173" customWidth="1"/>
    <col min="30" max="31" width="3.7109375" style="1" customWidth="1"/>
    <col min="32" max="32" width="5" style="1" customWidth="1"/>
    <col min="33" max="33" width="18.85546875" style="173" customWidth="1"/>
    <col min="34" max="34" width="3.7109375" style="1" customWidth="1"/>
    <col min="35" max="35" width="3.5703125" style="1" customWidth="1"/>
    <col min="36" max="36" width="5" style="1" customWidth="1"/>
    <col min="37" max="37" width="51.140625" style="173" customWidth="1"/>
    <col min="38" max="38" width="3.28515625" style="23" customWidth="1"/>
    <col min="39" max="41" width="1.42578125" style="20" customWidth="1"/>
    <col min="42" max="42" width="9.7109375" style="1" customWidth="1"/>
    <col min="43" max="43" width="15.5703125" style="1" customWidth="1"/>
    <col min="44" max="44" width="57.28515625" style="1" customWidth="1"/>
    <col min="45" max="16384" width="25.28515625" style="1"/>
  </cols>
  <sheetData>
    <row r="1" spans="2:49" ht="6" customHeight="1" x14ac:dyDescent="0.25"/>
    <row r="2" spans="2:49" s="3" customFormat="1" ht="60.75" customHeight="1" x14ac:dyDescent="0.25">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5"/>
      <c r="AN2" s="25"/>
      <c r="AO2" s="25"/>
      <c r="AP2" s="233"/>
      <c r="AQ2" s="233"/>
      <c r="AR2" s="233"/>
      <c r="AS2" s="233"/>
      <c r="AT2" s="233"/>
      <c r="AU2" s="233"/>
    </row>
    <row r="3" spans="2:49" s="3" customFormat="1" ht="60.75" customHeight="1" x14ac:dyDescent="0.25">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5"/>
      <c r="AN3" s="25"/>
      <c r="AO3" s="25"/>
      <c r="AP3" s="233"/>
      <c r="AQ3" s="233"/>
      <c r="AR3" s="233"/>
      <c r="AS3" s="233"/>
      <c r="AT3" s="233"/>
      <c r="AU3" s="233"/>
      <c r="AV3" s="1"/>
      <c r="AW3" s="1"/>
    </row>
    <row r="4" spans="2:49" s="3" customFormat="1" ht="13.5" customHeight="1" x14ac:dyDescent="0.25">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5"/>
      <c r="AN4" s="25"/>
      <c r="AO4" s="25"/>
      <c r="AP4" s="4"/>
      <c r="AQ4" s="4"/>
      <c r="AR4" s="4"/>
      <c r="AS4" s="4"/>
      <c r="AT4" s="4"/>
      <c r="AU4" s="4"/>
    </row>
    <row r="5" spans="2:49" s="3" customFormat="1" ht="30" customHeight="1" x14ac:dyDescent="0.25">
      <c r="B5" s="274" t="s">
        <v>25</v>
      </c>
      <c r="C5" s="275"/>
      <c r="D5" s="275"/>
      <c r="E5" s="40"/>
      <c r="G5" s="174"/>
      <c r="H5" s="4"/>
      <c r="K5" s="178"/>
      <c r="O5" s="178"/>
      <c r="Q5" s="24"/>
      <c r="R5" s="184"/>
      <c r="S5" s="24"/>
      <c r="T5" s="24"/>
      <c r="U5" s="24"/>
      <c r="V5" s="184"/>
      <c r="W5" s="24"/>
      <c r="X5" s="24"/>
      <c r="Y5" s="184"/>
      <c r="Z5" s="5"/>
      <c r="AB5" s="4"/>
      <c r="AC5" s="174"/>
      <c r="AG5" s="178"/>
      <c r="AK5" s="178"/>
      <c r="AL5" s="24"/>
      <c r="AM5" s="25"/>
      <c r="AN5" s="25"/>
      <c r="AO5" s="25"/>
      <c r="AP5" s="274" t="s">
        <v>25</v>
      </c>
      <c r="AQ5" s="276"/>
      <c r="AR5" s="6" t="s">
        <v>13</v>
      </c>
      <c r="AS5" s="7" t="s">
        <v>14</v>
      </c>
      <c r="AT5" s="4"/>
      <c r="AU5" s="4"/>
    </row>
    <row r="6" spans="2:49" ht="30" customHeight="1" x14ac:dyDescent="0.25">
      <c r="B6" s="247" t="s">
        <v>21</v>
      </c>
      <c r="C6" s="248"/>
      <c r="D6" s="248"/>
      <c r="E6" s="248"/>
      <c r="F6" s="248"/>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P6" s="246" t="s">
        <v>21</v>
      </c>
      <c r="AQ6" s="246"/>
      <c r="AR6" s="246"/>
      <c r="AS6" s="246"/>
      <c r="AT6" s="246"/>
      <c r="AU6" s="246"/>
    </row>
    <row r="7" spans="2:49" ht="28.5" customHeight="1" thickBot="1" x14ac:dyDescent="0.3">
      <c r="B7" s="135"/>
      <c r="C7" s="187"/>
      <c r="D7" s="27"/>
      <c r="E7" s="27"/>
      <c r="F7" s="27"/>
      <c r="G7" s="191"/>
      <c r="H7" s="27"/>
      <c r="I7" s="27"/>
      <c r="J7" s="27"/>
      <c r="K7" s="195"/>
      <c r="L7" s="27"/>
      <c r="M7" s="27"/>
      <c r="N7" s="27"/>
      <c r="O7" s="195"/>
      <c r="P7" s="27"/>
      <c r="Q7" s="27"/>
      <c r="R7" s="195"/>
      <c r="S7" s="27"/>
      <c r="T7" s="27"/>
      <c r="U7" s="27"/>
      <c r="V7" s="195"/>
      <c r="W7" s="27"/>
      <c r="X7" s="26"/>
      <c r="Y7" s="195"/>
      <c r="Z7" s="27"/>
      <c r="AA7" s="27"/>
      <c r="AB7" s="92"/>
      <c r="AC7" s="195"/>
      <c r="AD7" s="150"/>
      <c r="AE7" s="150"/>
      <c r="AF7" s="150"/>
      <c r="AG7" s="200"/>
      <c r="AH7" s="150"/>
      <c r="AI7" s="150"/>
      <c r="AJ7" s="27"/>
      <c r="AK7" s="195"/>
      <c r="AL7" s="27"/>
      <c r="AP7" s="258" t="s">
        <v>3</v>
      </c>
      <c r="AQ7" s="260"/>
      <c r="AR7" s="132" t="s">
        <v>15</v>
      </c>
      <c r="AS7" s="132" t="s">
        <v>0</v>
      </c>
      <c r="AT7" s="132" t="s">
        <v>16</v>
      </c>
      <c r="AU7" s="132" t="s">
        <v>17</v>
      </c>
    </row>
    <row r="8" spans="2:49" ht="18" customHeight="1" x14ac:dyDescent="0.25">
      <c r="B8" s="136">
        <v>1</v>
      </c>
      <c r="C8" s="162" t="str">
        <f>IF('09M GRP'!G5&gt;=3,'09M GRP'!J8,IF('09M GRP'!G5=2,'09M GRP'!J8,IF('09M GRP'!G5=1,'09M GRP'!J8,"")))</f>
        <v xml:space="preserve">MATHEUS KAYO </v>
      </c>
      <c r="D8" s="266">
        <v>1</v>
      </c>
      <c r="E8" s="101">
        <f>IF(D8&lt;&gt;"",D8,"")</f>
        <v>1</v>
      </c>
      <c r="F8" s="101" t="str">
        <f>IF(D8&lt;&gt;"",IF(C8="","",C8),"")</f>
        <v xml:space="preserve">MATHEUS KAYO </v>
      </c>
      <c r="G8" s="190">
        <f>IF(E8&lt;&gt;"",IF(E10&lt;&gt;"",SMALL(E8:E10,1),""),"")</f>
        <v>0</v>
      </c>
      <c r="H8" s="101"/>
      <c r="I8" s="101"/>
      <c r="J8" s="101"/>
      <c r="K8" s="190"/>
      <c r="L8" s="101"/>
      <c r="M8" s="151"/>
      <c r="N8" s="30"/>
      <c r="O8" s="196"/>
      <c r="P8" s="30"/>
      <c r="Q8" s="37"/>
      <c r="R8" s="198"/>
      <c r="S8" s="37"/>
      <c r="T8" s="37"/>
      <c r="U8" s="37"/>
      <c r="V8" s="198"/>
      <c r="W8" s="37"/>
      <c r="X8" s="86"/>
      <c r="Y8" s="198"/>
      <c r="Z8" s="37"/>
      <c r="AA8" s="37"/>
      <c r="AB8" s="29"/>
      <c r="AC8" s="198"/>
      <c r="AD8" s="100"/>
      <c r="AE8" s="100"/>
      <c r="AF8" s="100"/>
      <c r="AG8" s="197">
        <f>IF(AJ8&lt;&gt;"",AJ8,"")</f>
        <v>1</v>
      </c>
      <c r="AH8" s="100" t="str">
        <f>IF(AJ8&lt;&gt;"",IF(AK8="","",AK8),"")</f>
        <v>HEITOR GUIMARÃES</v>
      </c>
      <c r="AI8" s="101">
        <f>IF(AG8&lt;&gt;"",IF(AG10&lt;&gt;"",SMALL(AG8:AG10,1),""),"")</f>
        <v>0</v>
      </c>
      <c r="AJ8" s="266">
        <v>1</v>
      </c>
      <c r="AK8" s="162" t="str">
        <f>IF('09M GRP'!G5&gt;=3,'09M GRP'!J47,IF('09M GRP'!G5=2,IF('09M GRP'!H8=3,"",'09M GRP'!J9),IF('09M GRP'!G5=1,'09M GRP'!J10,"")))</f>
        <v>HEITOR GUIMARÃES</v>
      </c>
      <c r="AL8" s="99">
        <v>3</v>
      </c>
      <c r="AP8" s="31">
        <f>IF(AR8&lt;&gt;"",1,"")</f>
        <v>1</v>
      </c>
      <c r="AQ8" s="32" t="str">
        <f>IF(AP8&lt;&gt;"","LUGAR","")</f>
        <v>LUGAR</v>
      </c>
      <c r="AR8" s="33" t="str">
        <f>IF(S36&lt;&gt;"",IF(U36&lt;&gt;"",IF(S36=U36,"",IF(S36&gt;U36,R36,V36)),""),"")</f>
        <v>LUIGI BELLINI VOLTARELLI</v>
      </c>
      <c r="AS8" s="33" t="str">
        <f>IFERROR(IF(AR8="","",VLOOKUP(AR8,LISTAS!$F$5:$G$1004,2,0)),"0")</f>
        <v>ESCOLA VILLARE</v>
      </c>
      <c r="AT8" s="33">
        <f t="shared" ref="AT8:AT38" si="0">IF(AP8="","",IF(AP8=1,400,IF(AP8=2,340,IF(AP8=3,300,IF(AP8=4,280,IF(AP8=5,270,IF(AP8=6,260,IF(AP8=7,250,IF(AP8=8,240,IF(AP8=9,200,IF(AP8=10,200,IF(AP8=11,200,IF(AP8=12,200,IF(AP8=13,200,IF(AP8=14,200,IF(AP8=15,200,IF(AP8=16,200,IF(AP8&gt;16,"",""))))))))))))))))))</f>
        <v>400</v>
      </c>
      <c r="AU8" s="33">
        <f>IF(AP8="","",IF($AS$5="NÃO","",IF(AP8=1,400,IF(AP8=2,340,IF(AP8=3,300,IF(AP8=4,280,IF(AP8=5,270,IF(AP8=6,260,IF(AP8=7,250,IF(AP8=8,240,IF(AP8=9,200,IF(AP8=10,200,IF(AP8=11,200,IF(AP8=12,200,IF(AP8=13,200,IF(AP8=14,200,IF(AP8=15,200,IF(AP8=16,200,IF(AP8&gt;16,"","")))))))))))))))))))</f>
        <v>400</v>
      </c>
    </row>
    <row r="9" spans="2:49" ht="18" customHeight="1" thickBot="1" x14ac:dyDescent="0.3">
      <c r="B9" s="136"/>
      <c r="C9" s="165" t="str">
        <f>IFERROR(IF(C8="","",VLOOKUP(C8,LISTAS!$F$5:$G$1004,2,0)),"0")</f>
        <v>ESCOLA INTERAÇÃO</v>
      </c>
      <c r="D9" s="267"/>
      <c r="E9" s="101"/>
      <c r="F9" s="101"/>
      <c r="G9" s="190"/>
      <c r="H9" s="101"/>
      <c r="I9" s="101"/>
      <c r="J9" s="101"/>
      <c r="K9" s="190"/>
      <c r="L9" s="101"/>
      <c r="M9" s="151"/>
      <c r="N9" s="30"/>
      <c r="O9" s="196"/>
      <c r="P9" s="30"/>
      <c r="Q9" s="37"/>
      <c r="R9" s="198"/>
      <c r="S9" s="37"/>
      <c r="T9" s="37"/>
      <c r="U9" s="37"/>
      <c r="V9" s="198"/>
      <c r="W9" s="37"/>
      <c r="X9" s="86"/>
      <c r="Y9" s="198"/>
      <c r="Z9" s="37"/>
      <c r="AA9" s="37"/>
      <c r="AB9" s="29"/>
      <c r="AC9" s="198"/>
      <c r="AD9" s="100"/>
      <c r="AE9" s="100"/>
      <c r="AF9" s="100"/>
      <c r="AG9" s="197"/>
      <c r="AH9" s="100"/>
      <c r="AI9" s="101"/>
      <c r="AJ9" s="267"/>
      <c r="AK9" s="165" t="str">
        <f>IFERROR(IF(AK8="","",VLOOKUP(AK8,LISTAS!$F$5:$G$1004,2,0)),"0")</f>
        <v>COLÉGIO MARCONI - GRU</v>
      </c>
      <c r="AL9" s="99"/>
      <c r="AP9" s="31">
        <f>IF(AR9&lt;&gt;"",1+COUNTIF(AP8,"1"),"")</f>
        <v>2</v>
      </c>
      <c r="AQ9" s="32" t="str">
        <f t="shared" ref="AQ9:AQ39" si="1">IF(AP9&lt;&gt;"","LUGAR","")</f>
        <v>LUGAR</v>
      </c>
      <c r="AR9" s="33" t="str">
        <f>IF(S36&lt;&gt;"",IF(U36&lt;&gt;"",IF(S36=U36,"",IF(S36&lt;U36,R36,V36)),""),"")</f>
        <v>THEO AIOLFI CASTRO</v>
      </c>
      <c r="AS9" s="33" t="str">
        <f>IFERROR(IF(AR9="","",VLOOKUP(AR9,LISTAS!$F$5:$G$1004,2,0)),"0")</f>
        <v>EDUCANDÁRIO - S.A</v>
      </c>
      <c r="AT9" s="33">
        <f t="shared" si="0"/>
        <v>340</v>
      </c>
      <c r="AU9" s="33">
        <f t="shared" ref="AU9:AU38" si="2">IF(AP9="","",IF($AS$5="NÃO","",IF(AP9=1,400,IF(AP9=2,340,IF(AP9=3,300,IF(AP9=4,280,IF(AP9=5,270,IF(AP9=6,260,IF(AP9=7,250,IF(AP9=8,240,IF(AP9=9,200,IF(AP9=10,200,IF(AP9=11,200,IF(AP9=12,200,IF(AP9=13,200,IF(AP9=14,200,IF(AP9=15,200,IF(AP9=16,200,IF(AP9&gt;16,"","")))))))))))))))))))</f>
        <v>340</v>
      </c>
    </row>
    <row r="10" spans="2:49" ht="18" customHeight="1" x14ac:dyDescent="0.25">
      <c r="B10" s="133">
        <v>32</v>
      </c>
      <c r="C10" s="162" t="str">
        <f>IF('09M GRP'!G5&gt;=3,'09M GRP'!J424,IF('09M GRP'!G5=2,"",IF('09M GRP'!G5=1,"","")))</f>
        <v/>
      </c>
      <c r="D10" s="266">
        <v>0</v>
      </c>
      <c r="E10" s="107">
        <f>IF(D10&lt;&gt;"",D10,"")</f>
        <v>0</v>
      </c>
      <c r="F10" s="101" t="str">
        <f>IF(D10&lt;&gt;"",IF(C10="","",C10),"")</f>
        <v/>
      </c>
      <c r="G10" s="190" t="str">
        <f>VLOOKUP(G8,E8:F10,2,0)</f>
        <v/>
      </c>
      <c r="H10" s="101"/>
      <c r="I10" s="101"/>
      <c r="J10" s="101"/>
      <c r="K10" s="190"/>
      <c r="L10" s="101"/>
      <c r="M10" s="151"/>
      <c r="N10" s="30"/>
      <c r="O10" s="196"/>
      <c r="P10" s="30"/>
      <c r="Q10" s="37"/>
      <c r="R10" s="198"/>
      <c r="S10" s="37"/>
      <c r="T10" s="37"/>
      <c r="U10" s="37"/>
      <c r="V10" s="198"/>
      <c r="W10" s="37"/>
      <c r="X10" s="86"/>
      <c r="Y10" s="198"/>
      <c r="Z10" s="37"/>
      <c r="AA10" s="37"/>
      <c r="AB10" s="29"/>
      <c r="AC10" s="198"/>
      <c r="AD10" s="100"/>
      <c r="AE10" s="100"/>
      <c r="AF10" s="100"/>
      <c r="AG10" s="197">
        <f>IF(AJ10&lt;&gt;"",AJ10,"")</f>
        <v>0</v>
      </c>
      <c r="AH10" s="100" t="str">
        <f>IF(AJ10&lt;&gt;"",IF(AK10="","",AK10),"")</f>
        <v/>
      </c>
      <c r="AI10" s="102" t="str">
        <f>VLOOKUP(AI8,AG8:AH10,2,0)</f>
        <v/>
      </c>
      <c r="AJ10" s="266">
        <v>0</v>
      </c>
      <c r="AK10" s="162" t="str">
        <f>IF('09M GRP'!G5&gt;=3,'09M GRP'!J398,IF('09M GRP'!G5=2,"",IF('09M GRP'!G5=1,"","")))</f>
        <v/>
      </c>
      <c r="AL10" s="29">
        <v>30</v>
      </c>
      <c r="AP10" s="31">
        <f>IF(AR10&lt;&gt;"",1+COUNTIF(AP8:AP9,"1")+COUNTIF(AP8:AP9,"2"),"")</f>
        <v>3</v>
      </c>
      <c r="AQ10" s="32" t="str">
        <f t="shared" si="1"/>
        <v>LUGAR</v>
      </c>
      <c r="AR10" s="111" t="str">
        <f>IF(AR8&lt;&gt;"",IF(O35=AR8,O37,IF(O37=AR8,O35,IF(Y35=AR8,Y37,IF(Y37=AR8,Y35)))),"")</f>
        <v>LORENZO VEZARO MONTINI</v>
      </c>
      <c r="AS10" s="33" t="str">
        <f>IFERROR(IF(AR10="","",VLOOKUP(AR10,LISTAS!$F$5:$G$1004,2,0)),"0")</f>
        <v>COLÉGIO ARBOS - UNIDADE SANTO ANDRÉ</v>
      </c>
      <c r="AT10" s="33">
        <f t="shared" si="0"/>
        <v>300</v>
      </c>
      <c r="AU10" s="33">
        <f t="shared" si="2"/>
        <v>300</v>
      </c>
    </row>
    <row r="11" spans="2:49" ht="18" customHeight="1" thickBot="1" x14ac:dyDescent="0.3">
      <c r="B11" s="133"/>
      <c r="C11" s="165" t="str">
        <f>IFERROR(IF(C10="","",VLOOKUP(C10,LISTAS!$F$5:$G$1004,2,0)),"0")</f>
        <v/>
      </c>
      <c r="D11" s="267"/>
      <c r="E11" s="148"/>
      <c r="F11" s="101"/>
      <c r="G11" s="190"/>
      <c r="H11" s="101"/>
      <c r="I11" s="101"/>
      <c r="J11" s="101"/>
      <c r="K11" s="190"/>
      <c r="L11" s="101"/>
      <c r="M11" s="151"/>
      <c r="N11" s="30"/>
      <c r="O11" s="196"/>
      <c r="P11" s="30"/>
      <c r="Q11" s="37"/>
      <c r="R11" s="198"/>
      <c r="S11" s="37"/>
      <c r="T11" s="37"/>
      <c r="U11" s="37"/>
      <c r="V11" s="198"/>
      <c r="W11" s="37"/>
      <c r="X11" s="86"/>
      <c r="Y11" s="198"/>
      <c r="Z11" s="37"/>
      <c r="AA11" s="37"/>
      <c r="AB11" s="29"/>
      <c r="AC11" s="198"/>
      <c r="AD11" s="100"/>
      <c r="AE11" s="100"/>
      <c r="AF11" s="100"/>
      <c r="AG11" s="197"/>
      <c r="AH11" s="100"/>
      <c r="AI11" s="142"/>
      <c r="AJ11" s="267"/>
      <c r="AK11" s="165" t="str">
        <f>IFERROR(IF(AK10="","",VLOOKUP(AK10,LISTAS!$F$5:$G$1004,2,0)),"0")</f>
        <v/>
      </c>
      <c r="AL11" s="29"/>
      <c r="AP11" s="31">
        <f>IF(AR11&lt;&gt;"",1+COUNTIF(AP8:AP10,"1")+COUNTIF(AP8:AP10,"2")+COUNTIF(AP8:AP10,"3"),"")</f>
        <v>4</v>
      </c>
      <c r="AQ11" s="32" t="str">
        <f t="shared" si="1"/>
        <v>LUGAR</v>
      </c>
      <c r="AR11" s="111" t="str">
        <f>IF(AR9&lt;&gt;"",IF(O35=AR9,O37,IF(O37=AR9,O35,IF(Y35=AR9,Y37,IF(Y37=AR9,Y35)))),"")</f>
        <v>ENZO BENTO DURANTE DA COSTA</v>
      </c>
      <c r="AS11" s="33" t="str">
        <f>IFERROR(IF(AR11="","",VLOOKUP(AR11,LISTAS!$F$5:$G$1004,2,0)),"0")</f>
        <v>AMERICAN ACADEMY SCHOOL SBC</v>
      </c>
      <c r="AT11" s="33">
        <f t="shared" si="0"/>
        <v>280</v>
      </c>
      <c r="AU11" s="33">
        <f t="shared" si="2"/>
        <v>280</v>
      </c>
    </row>
    <row r="12" spans="2:49" ht="18" customHeight="1" x14ac:dyDescent="0.25">
      <c r="B12" s="133"/>
      <c r="C12" s="188"/>
      <c r="D12" s="29"/>
      <c r="E12" s="29"/>
      <c r="F12" s="34"/>
      <c r="G12" s="162" t="str">
        <f>IF(D8&lt;&gt;"",IF(D10&lt;&gt;"",IF(D8=D10,"",IF(D8&gt;D10,C8,C10)),""),"")</f>
        <v xml:space="preserve">MATHEUS KAYO </v>
      </c>
      <c r="H12" s="266">
        <v>0</v>
      </c>
      <c r="I12" s="101">
        <f>IF(H12&lt;&gt;"",H12,"")</f>
        <v>0</v>
      </c>
      <c r="J12" s="101" t="str">
        <f>IF(H12&lt;&gt;"",IF(G12="","",G12),"")</f>
        <v xml:space="preserve">MATHEUS KAYO </v>
      </c>
      <c r="K12" s="190">
        <f>IF(I12&lt;&gt;"",IF(I14&lt;&gt;"",SMALL(I12:J14,1),""),"")</f>
        <v>0</v>
      </c>
      <c r="L12" s="101"/>
      <c r="M12" s="101"/>
      <c r="N12" s="101"/>
      <c r="O12" s="190"/>
      <c r="P12" s="29"/>
      <c r="Q12" s="37"/>
      <c r="R12" s="198"/>
      <c r="S12" s="37"/>
      <c r="T12" s="37"/>
      <c r="U12" s="37"/>
      <c r="V12" s="198"/>
      <c r="W12" s="37"/>
      <c r="X12" s="86"/>
      <c r="Y12" s="198"/>
      <c r="Z12" s="37"/>
      <c r="AA12" s="37"/>
      <c r="AB12" s="29"/>
      <c r="AC12" s="198"/>
      <c r="AD12" s="37"/>
      <c r="AE12" s="95"/>
      <c r="AF12" s="266">
        <v>0</v>
      </c>
      <c r="AG12" s="162" t="str">
        <f>IF(AJ8&lt;&gt;"",IF(AJ10&lt;&gt;"",IF(AJ8=AJ10,"",IF(AJ8&gt;AJ10,AK8,AK10)),""),"")</f>
        <v>HEITOR GUIMARÃES</v>
      </c>
      <c r="AH12" s="94"/>
      <c r="AI12" s="37"/>
      <c r="AJ12" s="29"/>
      <c r="AK12" s="188"/>
      <c r="AL12" s="29"/>
      <c r="AP12" s="31">
        <f>IF(AR12&lt;&gt;"",1+COUNTIF(AP8:AP11,"1")+COUNTIF(AP8:AP11,"2")+COUNTIF(AP8:AP11,"3")+COUNTIF(AP8:AP11,"4"),"")</f>
        <v>5</v>
      </c>
      <c r="AQ12" s="32" t="str">
        <f t="shared" si="1"/>
        <v>LUGAR</v>
      </c>
      <c r="AR12" s="111" t="str">
        <f>IF(AR8&lt;&gt;"",IF(K20=AR8,K22,IF(K22=AR8,K20,IF(K50=AR8,K52,IF(K52=AR8,K50,IF(AC20=AR8,AC22,IF(AC22=AR8,AC20,IF(AC50=AR8,AC52,IF(AC52=AR8,AC50)))))))),"")</f>
        <v>PIETRO TOLEDO</v>
      </c>
      <c r="AS12" s="33" t="str">
        <f>IFERROR(IF(AR12="","",VLOOKUP(AR12,LISTAS!$F$5:$G$1004,2,0)),"0")</f>
        <v>COLÉGIO MARCONI - GRU</v>
      </c>
      <c r="AT12" s="33">
        <f t="shared" si="0"/>
        <v>270</v>
      </c>
      <c r="AU12" s="33">
        <f t="shared" si="2"/>
        <v>270</v>
      </c>
    </row>
    <row r="13" spans="2:49" ht="18" customHeight="1" thickBot="1" x14ac:dyDescent="0.3">
      <c r="B13" s="133"/>
      <c r="C13" s="188"/>
      <c r="D13" s="29"/>
      <c r="E13" s="29"/>
      <c r="F13" s="34"/>
      <c r="G13" s="165" t="str">
        <f>IFERROR(IF(G12="","",VLOOKUP(G12,LISTAS!$F$5:$G$1004,2,0)),"0")</f>
        <v>ESCOLA INTERAÇÃO</v>
      </c>
      <c r="H13" s="267"/>
      <c r="I13" s="101"/>
      <c r="J13" s="101"/>
      <c r="K13" s="190"/>
      <c r="L13" s="101"/>
      <c r="M13" s="101"/>
      <c r="N13" s="101"/>
      <c r="O13" s="190"/>
      <c r="P13" s="29"/>
      <c r="Q13" s="37"/>
      <c r="R13" s="198"/>
      <c r="S13" s="37"/>
      <c r="T13" s="37"/>
      <c r="U13" s="37"/>
      <c r="V13" s="198"/>
      <c r="W13" s="37"/>
      <c r="X13" s="86"/>
      <c r="Y13" s="198"/>
      <c r="Z13" s="37"/>
      <c r="AA13" s="37"/>
      <c r="AB13" s="29"/>
      <c r="AC13" s="198"/>
      <c r="AD13" s="37"/>
      <c r="AE13" s="95"/>
      <c r="AF13" s="267"/>
      <c r="AG13" s="165" t="str">
        <f>IFERROR(IF(AG12="","",VLOOKUP(AG12,LISTAS!$F$5:$G$1004,2,0)),"0")</f>
        <v>COLÉGIO MARCONI - GRU</v>
      </c>
      <c r="AH13" s="94"/>
      <c r="AI13" s="37"/>
      <c r="AJ13" s="29"/>
      <c r="AK13" s="188"/>
      <c r="AL13" s="29"/>
      <c r="AP13" s="31">
        <f>IF(AR13&lt;&gt;"",1+COUNTIF(AP8:AP12,"1")+COUNTIF(AP8:AP12,"2")+COUNTIF(AP8:AP12,"3")+COUNTIF(AP8:AP12,"4")+COUNTIF(AP8:AP12,"5"),"")</f>
        <v>6</v>
      </c>
      <c r="AQ13" s="32" t="str">
        <f t="shared" si="1"/>
        <v>LUGAR</v>
      </c>
      <c r="AR13" s="111" t="str">
        <f>IF(AR9&lt;&gt;"",IF(K20=AR9,K22,IF(K22=AR9,K20,IF(K50=AR9,K52,IF(K52=AR9,K50,IF(AC20=AR9,AC22,IF(AC22=AR9,AC20,IF(AC50=AR9,AC52,IF(AC52=AR9,AC50)))))))),"")</f>
        <v>LUCAS SILVA MENEZES</v>
      </c>
      <c r="AS13" s="33" t="str">
        <f>IFERROR(IF(AR13="","",VLOOKUP(AR13,LISTAS!$F$5:$G$1004,2,0)),"0")</f>
        <v>COLÉGIO ARBOS - UNIDADE SANTO ANDRÉ</v>
      </c>
      <c r="AT13" s="33">
        <f t="shared" si="0"/>
        <v>260</v>
      </c>
      <c r="AU13" s="33">
        <f t="shared" si="2"/>
        <v>260</v>
      </c>
    </row>
    <row r="14" spans="2:49" ht="18" customHeight="1" x14ac:dyDescent="0.25">
      <c r="B14" s="133"/>
      <c r="C14" s="188"/>
      <c r="D14" s="29"/>
      <c r="E14" s="35"/>
      <c r="F14" s="36"/>
      <c r="G14" s="162" t="str">
        <f>IF(D16&lt;&gt;"",IF(D18&lt;&gt;"",IF(D16=D18,"",IF(D16&gt;D18,C16,C18)),""),"")</f>
        <v>LUCAS SILVA MENEZES</v>
      </c>
      <c r="H14" s="266">
        <v>1</v>
      </c>
      <c r="I14" s="107">
        <f>IF(H14&lt;&gt;"",H14,"")</f>
        <v>1</v>
      </c>
      <c r="J14" s="101" t="str">
        <f>IF(H14&lt;&gt;"",IF(G14="","",G14),"")</f>
        <v>LUCAS SILVA MENEZES</v>
      </c>
      <c r="K14" s="190" t="str">
        <f>VLOOKUP(K12,I12:J14,2,0)</f>
        <v xml:space="preserve">MATHEUS KAYO </v>
      </c>
      <c r="L14" s="101"/>
      <c r="M14" s="101"/>
      <c r="N14" s="101"/>
      <c r="O14" s="190"/>
      <c r="P14" s="29"/>
      <c r="Q14" s="37"/>
      <c r="R14" s="198"/>
      <c r="S14" s="37"/>
      <c r="T14" s="37"/>
      <c r="U14" s="37"/>
      <c r="V14" s="198"/>
      <c r="W14" s="37"/>
      <c r="X14" s="86"/>
      <c r="Y14" s="198"/>
      <c r="Z14" s="37"/>
      <c r="AA14" s="37"/>
      <c r="AB14" s="29"/>
      <c r="AC14" s="198"/>
      <c r="AD14" s="94"/>
      <c r="AE14" s="96"/>
      <c r="AF14" s="266">
        <v>1</v>
      </c>
      <c r="AG14" s="162" t="str">
        <f>IF(AJ16&lt;&gt;"",IF(AJ18&lt;&gt;"",IF(AJ16=AJ18,"",IF(AJ16&gt;AJ18,AK16,AK18)),""),"")</f>
        <v>LUIGI BELLINI VOLTARELLI</v>
      </c>
      <c r="AH14" s="98"/>
      <c r="AI14" s="37"/>
      <c r="AJ14" s="29"/>
      <c r="AK14" s="188"/>
      <c r="AL14" s="29"/>
      <c r="AP14" s="31">
        <f>IF(AR14&lt;&gt;"",1+COUNTIF(AP8:AP13,"1")+COUNTIF(AP8:AP13,"2")+COUNTIF(AP8:AP13,"3")+COUNTIF(AP8:AP13,"4")+COUNTIF(AP8:AP13,"5")+COUNTIF(AP8:AP13,"6"),"")</f>
        <v>7</v>
      </c>
      <c r="AQ14" s="32" t="str">
        <f t="shared" si="1"/>
        <v>LUGAR</v>
      </c>
      <c r="AR14" s="111" t="str">
        <f>IF(AR10&lt;&gt;"",IF(K20=AR10,K22,IF(K22=AR10,K20,IF(K50=AR10,K52,IF(K52=AR10,K50,IF(AC20=AR10,AC22,IF(AC22=AR10,AC20,IF(AC50=AR10,AC52,IF(AC52=AR10,AC50)))))))),"")</f>
        <v>BERNARDO ROMA</v>
      </c>
      <c r="AS14" s="33" t="str">
        <f>IFERROR(IF(AR14="","",VLOOKUP(AR14,LISTAS!$F$5:$G$1004,2,0)),"0")</f>
        <v>PEN LIFE</v>
      </c>
      <c r="AT14" s="33">
        <f t="shared" si="0"/>
        <v>250</v>
      </c>
      <c r="AU14" s="33">
        <f t="shared" si="2"/>
        <v>250</v>
      </c>
    </row>
    <row r="15" spans="2:49" ht="18" customHeight="1" thickBot="1" x14ac:dyDescent="0.3">
      <c r="B15" s="133"/>
      <c r="C15" s="188"/>
      <c r="D15" s="29"/>
      <c r="E15" s="35"/>
      <c r="F15" s="29"/>
      <c r="G15" s="165" t="str">
        <f>IFERROR(IF(G14="","",VLOOKUP(G14,LISTAS!$F$5:$G$1004,2,0)),"0")</f>
        <v>COLÉGIO ARBOS - UNIDADE SANTO ANDRÉ</v>
      </c>
      <c r="H15" s="267"/>
      <c r="I15" s="138"/>
      <c r="J15" s="101"/>
      <c r="K15" s="190"/>
      <c r="L15" s="101"/>
      <c r="M15" s="101"/>
      <c r="N15" s="101"/>
      <c r="O15" s="190"/>
      <c r="P15" s="29"/>
      <c r="Q15" s="37"/>
      <c r="R15" s="198"/>
      <c r="S15" s="37"/>
      <c r="T15" s="37"/>
      <c r="U15" s="37"/>
      <c r="V15" s="198"/>
      <c r="W15" s="37"/>
      <c r="X15" s="86"/>
      <c r="Y15" s="198"/>
      <c r="Z15" s="37"/>
      <c r="AA15" s="37"/>
      <c r="AB15" s="29"/>
      <c r="AC15" s="198"/>
      <c r="AD15" s="94"/>
      <c r="AE15" s="37"/>
      <c r="AF15" s="267"/>
      <c r="AG15" s="165" t="str">
        <f>IFERROR(IF(AG14="","",VLOOKUP(AG14,LISTAS!$F$5:$G$1004,2,0)),"0")</f>
        <v>ESCOLA VILLARE</v>
      </c>
      <c r="AH15" s="37"/>
      <c r="AI15" s="89"/>
      <c r="AJ15" s="29"/>
      <c r="AK15" s="188"/>
      <c r="AL15" s="29"/>
      <c r="AP15" s="31">
        <f>IF(AR15&lt;&gt;"",1+COUNTIF(AP8:AP14,"1")+COUNTIF(AP8:AP14,"2")+COUNTIF(AP8:AP14,"3")+COUNTIF(AP8:AP14,"4")+COUNTIF(AP8:AP14,"5")+COUNTIF(AP8:AP14,"6")+COUNTIF(AP8:AP14,"7"),"")</f>
        <v>8</v>
      </c>
      <c r="AQ15" s="32" t="str">
        <f t="shared" si="1"/>
        <v>LUGAR</v>
      </c>
      <c r="AR15" s="111" t="str">
        <f>IF(AR11&lt;&gt;"",IF(K20=AR11,K22,IF(K22=AR11,K20,IF(K50=AR11,K52,IF(K52=AR11,K50,IF(AC20=AR11,AC22,IF(AC22=AR11,AC20,IF(AC50=AR11,AC52,IF(AC52=AR11,AC50)))))))),"")</f>
        <v>MATHEUS MAIA JAWORSKY</v>
      </c>
      <c r="AS15" s="33" t="str">
        <f>IFERROR(IF(AR15="","",VLOOKUP(AR15,LISTAS!$F$5:$G$1004,2,0)),"0")</f>
        <v>COLÉGIO ARBOS - UNIDADE SANTO ANDRÉ</v>
      </c>
      <c r="AT15" s="33">
        <f t="shared" si="0"/>
        <v>240</v>
      </c>
      <c r="AU15" s="33">
        <f t="shared" si="2"/>
        <v>240</v>
      </c>
    </row>
    <row r="16" spans="2:49" ht="18" customHeight="1" x14ac:dyDescent="0.25">
      <c r="B16" s="133">
        <v>17</v>
      </c>
      <c r="C16" s="162" t="str">
        <f>IF('09M GRP'!G5&gt;=3,'09M GRP'!J229,IF('09M GRP'!G5=2,"",IF('09M GRP'!G5=1,"","")))</f>
        <v>LUIZ FELIPE MONZANI CARNEIRO</v>
      </c>
      <c r="D16" s="266">
        <v>0</v>
      </c>
      <c r="E16" s="148">
        <f>IF(D16&lt;&gt;"",D16,"")</f>
        <v>0</v>
      </c>
      <c r="F16" s="101" t="str">
        <f>IF(D16&lt;&gt;"",IF(C16="","",C16),"")</f>
        <v>LUIZ FELIPE MONZANI CARNEIRO</v>
      </c>
      <c r="G16" s="190">
        <f>IF(E16&lt;&gt;"",IF(E18&lt;&gt;"",SMALL(E16:E18,1),""),"")</f>
        <v>0</v>
      </c>
      <c r="H16" s="101"/>
      <c r="I16" s="138"/>
      <c r="J16" s="101"/>
      <c r="K16" s="190"/>
      <c r="L16" s="101"/>
      <c r="M16" s="101"/>
      <c r="N16" s="101"/>
      <c r="O16" s="190"/>
      <c r="P16" s="29"/>
      <c r="Q16" s="37"/>
      <c r="R16" s="198"/>
      <c r="S16" s="37"/>
      <c r="T16" s="37"/>
      <c r="U16" s="37"/>
      <c r="V16" s="198"/>
      <c r="W16" s="37"/>
      <c r="X16" s="86"/>
      <c r="Y16" s="198"/>
      <c r="Z16" s="37"/>
      <c r="AA16" s="37"/>
      <c r="AB16" s="29"/>
      <c r="AC16" s="198"/>
      <c r="AD16" s="94"/>
      <c r="AE16" s="100"/>
      <c r="AF16" s="100"/>
      <c r="AG16" s="197">
        <f>IF(AJ16&lt;&gt;"",AJ16,"")</f>
        <v>0</v>
      </c>
      <c r="AH16" s="100" t="str">
        <f>IF(AJ16&lt;&gt;"",IF(AK16="","",AK16),"")</f>
        <v>MIGUEL L RUGGERI</v>
      </c>
      <c r="AI16" s="137">
        <f>IF(AG16&lt;&gt;"",IF(AG18&lt;&gt;"",SMALL(AG16:AG18,1),""),"")</f>
        <v>0</v>
      </c>
      <c r="AJ16" s="266">
        <v>0</v>
      </c>
      <c r="AK16" s="162" t="str">
        <f>IF('09M GRP'!G5&gt;=3,'09M GRP'!J190,IF('09M GRP'!G5=2,"",IF('09M GRP'!G5=1,"","")))</f>
        <v>MIGUEL L RUGGERI</v>
      </c>
      <c r="AL16" s="29">
        <v>14</v>
      </c>
      <c r="AP16" s="31">
        <f>IF(AR16&lt;&gt;"",1+COUNTIF(AP8:AP15,"1")+COUNTIF(AP8:AP15,"2")+COUNTIF(AP8:AP15,"3")+COUNTIF(AP8:AP15,"4")+COUNTIF(AP8:AP15,"5")+COUNTIF(AP8:AP15,"6")+COUNTIF(AP8:AP15,"7")+COUNTIF(AP8:AP15,"8"),"")</f>
        <v>9</v>
      </c>
      <c r="AQ16" s="32" t="str">
        <f t="shared" si="1"/>
        <v>LUGAR</v>
      </c>
      <c r="AR16" s="111" t="str">
        <f>IF(AR8&lt;&gt;"",IF(G12=AR8,G14,IF(G14=AR8,G12,IF(G28=AR8,G30,IF(G30=AR8,G28,IF(AG12=AR8,AG14,IF(AG14=AR8,AG12,IF(AG28=AR8,AG30,IF(AG30=AR8,AG28,IF(G42=AR8,G44,IF(G44=AR8,G42,IF(G58=AR8,G60,IF(G60=AR8,G58,IF(AG42=AR8,AG44,IF(AG44=AR8,AG42,IF(AG58=AR8,AG60,IF(AG60=AR8,AG58)))))))))))))))),"")</f>
        <v>HEITOR GUIMARÃES</v>
      </c>
      <c r="AS16" s="33" t="str">
        <f>IFERROR(IF(AR16="","",VLOOKUP(AR16,LISTAS!$F$5:$G$1004,2,0)),"0")</f>
        <v>COLÉGIO MARCONI - GRU</v>
      </c>
      <c r="AT16" s="33">
        <f t="shared" si="0"/>
        <v>200</v>
      </c>
      <c r="AU16" s="33">
        <f t="shared" si="2"/>
        <v>200</v>
      </c>
    </row>
    <row r="17" spans="2:47" ht="18" customHeight="1" thickBot="1" x14ac:dyDescent="0.3">
      <c r="B17" s="133"/>
      <c r="C17" s="165" t="str">
        <f>IFERROR(IF(C16="","",VLOOKUP(C16,LISTAS!$F$5:$G$1004,2,0)),"0")</f>
        <v>COLÉGIO ATENEU</v>
      </c>
      <c r="D17" s="267"/>
      <c r="E17" s="105"/>
      <c r="F17" s="101"/>
      <c r="G17" s="190"/>
      <c r="H17" s="101"/>
      <c r="I17" s="138"/>
      <c r="J17" s="101"/>
      <c r="K17" s="190"/>
      <c r="L17" s="101"/>
      <c r="M17" s="101"/>
      <c r="N17" s="101"/>
      <c r="O17" s="190"/>
      <c r="P17" s="29"/>
      <c r="Q17" s="37"/>
      <c r="R17" s="198"/>
      <c r="S17" s="37"/>
      <c r="T17" s="37"/>
      <c r="U17" s="37"/>
      <c r="V17" s="198"/>
      <c r="W17" s="37"/>
      <c r="X17" s="86"/>
      <c r="Y17" s="198"/>
      <c r="Z17" s="37"/>
      <c r="AA17" s="37"/>
      <c r="AB17" s="29"/>
      <c r="AC17" s="198"/>
      <c r="AD17" s="94"/>
      <c r="AE17" s="100"/>
      <c r="AF17" s="100"/>
      <c r="AG17" s="197"/>
      <c r="AH17" s="100"/>
      <c r="AI17" s="143"/>
      <c r="AJ17" s="267"/>
      <c r="AK17" s="165" t="str">
        <f>IFERROR(IF(AK16="","",VLOOKUP(AK16,LISTAS!$F$5:$G$1004,2,0)),"0")</f>
        <v>COLEGIO PETROPOLIS</v>
      </c>
      <c r="AL17" s="29"/>
      <c r="AP17" s="31">
        <f>IF(AR17&lt;&gt;"",1+COUNTIF(AP8:AP16,"1")+COUNTIF(AP8:AP16,"2")+COUNTIF(AP8:AP16,"3")+COUNTIF(AP8:AP16,"4")+COUNTIF(AP8:AP16,"5")+COUNTIF(AP8:AP16,"6")+COUNTIF(AP8:AP16,"7")+COUNTIF(AP8:AP16,"8")+COUNTIF(AP8:AP16,"9"),"")</f>
        <v>10</v>
      </c>
      <c r="AQ17" s="32" t="str">
        <f t="shared" si="1"/>
        <v>LUGAR</v>
      </c>
      <c r="AR17" s="111" t="str">
        <f>IF(AR9&lt;&gt;"",IF(G12=AR9,G14,IF(G14=AR9,G12,IF(G28=AR9,G30,IF(G30=AR9,G28,IF(AG12=AR9,AG14,IF(AG14=AR9,AG12,IF(AG28=AR9,AG30,IF(AG30=AR9,AG28,IF(G42=AR9,G44,IF(G44=AR9,G42,IF(G58=AR9,G60,IF(G60=AR9,G58,IF(AG42=AR9,AG44,IF(AG44=AR9,AG42,IF(AG58=AR9,AG60,IF(AG60=AR9,AG58)))))))))))))))),"")</f>
        <v>HENRIQUE MORAIS GONSALES</v>
      </c>
      <c r="AS17" s="33" t="str">
        <f>IFERROR(IF(AR17="","",VLOOKUP(AR17,LISTAS!$F$5:$G$1004,2,0)),"0")</f>
        <v>PEN LIFE</v>
      </c>
      <c r="AT17" s="33">
        <f t="shared" si="0"/>
        <v>200</v>
      </c>
      <c r="AU17" s="33">
        <f t="shared" si="2"/>
        <v>200</v>
      </c>
    </row>
    <row r="18" spans="2:47" ht="18" customHeight="1" x14ac:dyDescent="0.25">
      <c r="B18" s="133">
        <v>16</v>
      </c>
      <c r="C18" s="162" t="str">
        <f>IF('09M GRP'!G5&gt;=3,'09M GRP'!J216,IF('09M GRP'!G5=2,"",IF('09M GRP'!G5=1,"","")))</f>
        <v>LUCAS SILVA MENEZES</v>
      </c>
      <c r="D18" s="266">
        <v>1</v>
      </c>
      <c r="E18" s="106">
        <f>IF(D18&lt;&gt;"",D18,"")</f>
        <v>1</v>
      </c>
      <c r="F18" s="101" t="str">
        <f>IF(D18&lt;&gt;"",IF(C18="","",C18),"")</f>
        <v>LUCAS SILVA MENEZES</v>
      </c>
      <c r="G18" s="190" t="str">
        <f>VLOOKUP(G16,E16:F18,2,0)</f>
        <v>LUIZ FELIPE MONZANI CARNEIRO</v>
      </c>
      <c r="H18" s="101"/>
      <c r="I18" s="138"/>
      <c r="J18" s="101"/>
      <c r="K18" s="190"/>
      <c r="L18" s="101"/>
      <c r="M18" s="101"/>
      <c r="N18" s="101"/>
      <c r="O18" s="190"/>
      <c r="P18" s="29"/>
      <c r="Q18" s="37"/>
      <c r="R18" s="198"/>
      <c r="S18" s="37"/>
      <c r="T18" s="37"/>
      <c r="U18" s="37"/>
      <c r="V18" s="198"/>
      <c r="W18" s="37"/>
      <c r="X18" s="86"/>
      <c r="Y18" s="198"/>
      <c r="Z18" s="37"/>
      <c r="AA18" s="37"/>
      <c r="AB18" s="29"/>
      <c r="AC18" s="198"/>
      <c r="AD18" s="94"/>
      <c r="AE18" s="100"/>
      <c r="AF18" s="100"/>
      <c r="AG18" s="197">
        <f>IF(AJ18&lt;&gt;"",AJ18,"")</f>
        <v>1</v>
      </c>
      <c r="AH18" s="100" t="str">
        <f>IF(AJ18&lt;&gt;"",IF(AK18="","",AK18),"")</f>
        <v>LUIGI BELLINI VOLTARELLI</v>
      </c>
      <c r="AI18" s="104" t="str">
        <f>VLOOKUP(AI16,AG16:AH18,2,0)</f>
        <v>MIGUEL L RUGGERI</v>
      </c>
      <c r="AJ18" s="266">
        <v>1</v>
      </c>
      <c r="AK18" s="162" t="str">
        <f>IF('09M GRP'!G5&gt;=3,'09M GRP'!J255,IF('09M GRP'!G5=2,"",IF('09M GRP'!G5=1,"","")))</f>
        <v>LUIGI BELLINI VOLTARELLI</v>
      </c>
      <c r="AL18" s="29">
        <v>19</v>
      </c>
      <c r="AP18" s="31">
        <f>IF(AR18&lt;&gt;"",1+COUNTIF(AP8:AP17,"1")+COUNTIF(AP8:AP17,"2")+COUNTIF(AP8:AP17,"3")+COUNTIF(AP8:AP17,"4")+COUNTIF(AP8:AP17,"5")+COUNTIF(AP8:AP17,"6")+COUNTIF(AP8:AP17,"7")+COUNTIF(AP8:AP17,"8")+COUNTIF(AP8:AP17,"9")+COUNTIF(AP8:AP17,"10"),"")</f>
        <v>11</v>
      </c>
      <c r="AQ18" s="32" t="str">
        <f t="shared" si="1"/>
        <v>LUGAR</v>
      </c>
      <c r="AR18" s="111" t="str">
        <f>IF(AR10&lt;&gt;"",IF(G12=AR10,G14,IF(G14=AR10,G12,IF(G28=AR10,G30,IF(G30=AR10,G28,IF(AG12=AR10,AG14,IF(AG14=AR10,AG12,IF(AG28=AR10,AG30,IF(AG30=AR10,AG28,IF(G42=AR10,G44,IF(G44=AR10,G42,IF(G58=AR10,G60,IF(G60=AR10,G58,IF(AG42=AR10,AG44,IF(AG44=AR10,AG42,IF(AG58=AR10,AG60,IF(AG60=AR10,AG58)))))))))))))))),"")</f>
        <v>BENICIO V. LIMA</v>
      </c>
      <c r="AS18" s="33" t="str">
        <f>IFERROR(IF(AR18="","",VLOOKUP(AR18,LISTAS!$F$5:$G$1004,2,0)),"0")</f>
        <v>RIO BRANCO - SBC</v>
      </c>
      <c r="AT18" s="33">
        <f t="shared" si="0"/>
        <v>200</v>
      </c>
      <c r="AU18" s="33">
        <f t="shared" si="2"/>
        <v>200</v>
      </c>
    </row>
    <row r="19" spans="2:47" ht="18" customHeight="1" thickBot="1" x14ac:dyDescent="0.3">
      <c r="B19" s="133"/>
      <c r="C19" s="165" t="str">
        <f>IFERROR(IF(C18="","",VLOOKUP(C18,LISTAS!$F$5:$G$1004,2,0)),"0")</f>
        <v>COLÉGIO ARBOS - UNIDADE SANTO ANDRÉ</v>
      </c>
      <c r="D19" s="267"/>
      <c r="E19" s="101"/>
      <c r="F19" s="101"/>
      <c r="G19" s="190"/>
      <c r="H19" s="101"/>
      <c r="I19" s="138"/>
      <c r="J19" s="101"/>
      <c r="K19" s="190"/>
      <c r="L19" s="101"/>
      <c r="M19" s="101"/>
      <c r="N19" s="101"/>
      <c r="O19" s="190"/>
      <c r="P19" s="29"/>
      <c r="Q19" s="37"/>
      <c r="R19" s="198"/>
      <c r="S19" s="37"/>
      <c r="T19" s="37"/>
      <c r="U19" s="37"/>
      <c r="V19" s="198"/>
      <c r="W19" s="37"/>
      <c r="X19" s="86"/>
      <c r="Y19" s="198"/>
      <c r="Z19" s="37"/>
      <c r="AA19" s="37"/>
      <c r="AB19" s="29"/>
      <c r="AC19" s="198"/>
      <c r="AD19" s="94"/>
      <c r="AE19" s="100"/>
      <c r="AF19" s="100"/>
      <c r="AG19" s="197"/>
      <c r="AH19" s="100"/>
      <c r="AI19" s="101"/>
      <c r="AJ19" s="267"/>
      <c r="AK19" s="165" t="str">
        <f>IFERROR(IF(AK18="","",VLOOKUP(AK18,LISTAS!$F$5:$G$1004,2,0)),"0")</f>
        <v>ESCOLA VILLARE</v>
      </c>
      <c r="AL19" s="29"/>
      <c r="AP19" s="31">
        <f>IF(AR19&lt;&gt;"",1+COUNTIF(AP8:AP18,"1")+COUNTIF(AP8:AP18,"2")+COUNTIF(AP8:AP18,"3")+COUNTIF(AP8:AP18,"4")+COUNTIF(AP8:AP18,"5")+COUNTIF(AP8:AP18,"6")+COUNTIF(AP8:AP18,"7")+COUNTIF(AP8:AP18,"8")+COUNTIF(AP8:AP18,"9")+COUNTIF(AP8:AP18,"10")+COUNTIF(AP8:AP18,"11"),"")</f>
        <v>12</v>
      </c>
      <c r="AQ19" s="32" t="str">
        <f t="shared" si="1"/>
        <v>LUGAR</v>
      </c>
      <c r="AR19" s="111" t="str">
        <f>IF(AR11&lt;&gt;"",IF(G12=AR11,G14,IF(G14=AR11,G12,IF(G28=AR11,G30,IF(G30=AR11,G28,IF(AG12=AR11,AG14,IF(AG14=AR11,AG12,IF(AG28=AR11,AG30,IF(AG30=AR11,AG28,IF(G42=AR11,G44,IF(G44=AR11,G42,IF(G58=AR11,G60,IF(G60=AR11,G58,IF(AG42=AR11,AG44,IF(AG44=AR11,AG42,IF(AG58=AR11,AG60,IF(AG60=AR11,AG58)))))))))))))))),"")</f>
        <v>JOÃO CONOVALOV CABRAL CAVELHO</v>
      </c>
      <c r="AS19" s="33" t="str">
        <f>IFERROR(IF(AR19="","",VLOOKUP(AR19,LISTAS!$F$5:$G$1004,2,0)),"0")</f>
        <v>COLÉGIO ARBOS - UNIDADE SANTO ANDRÉ</v>
      </c>
      <c r="AT19" s="33">
        <f t="shared" si="0"/>
        <v>200</v>
      </c>
      <c r="AU19" s="33">
        <f t="shared" si="2"/>
        <v>200</v>
      </c>
    </row>
    <row r="20" spans="2:47" ht="18" customHeight="1" x14ac:dyDescent="0.25">
      <c r="B20" s="133"/>
      <c r="C20" s="188"/>
      <c r="D20" s="29"/>
      <c r="E20" s="87"/>
      <c r="F20" s="87"/>
      <c r="G20" s="192"/>
      <c r="H20" s="29"/>
      <c r="I20" s="35"/>
      <c r="J20" s="29"/>
      <c r="K20" s="162" t="str">
        <f>IF(H12&lt;&gt;"",IF(H14&lt;&gt;"",IF(H12=H14,"",IF(H12&gt;H14,G12,G14)),""),"")</f>
        <v>LUCAS SILVA MENEZES</v>
      </c>
      <c r="L20" s="266">
        <v>0</v>
      </c>
      <c r="M20" s="101">
        <f>IF(L20&lt;&gt;"",L20,"")</f>
        <v>0</v>
      </c>
      <c r="N20" s="101" t="str">
        <f>IF(L20&lt;&gt;"",IF(K20="","",K20),"")</f>
        <v>LUCAS SILVA MENEZES</v>
      </c>
      <c r="O20" s="190">
        <f>IF(M20&lt;&gt;"",IF(M22&lt;&gt;"",SMALL(M20:N22,1),""),"")</f>
        <v>0</v>
      </c>
      <c r="P20" s="101"/>
      <c r="Q20" s="100"/>
      <c r="R20" s="272" t="s">
        <v>21</v>
      </c>
      <c r="S20" s="273"/>
      <c r="T20" s="273"/>
      <c r="U20" s="273"/>
      <c r="V20" s="273"/>
      <c r="W20" s="37"/>
      <c r="X20" s="86"/>
      <c r="Y20" s="198"/>
      <c r="Z20" s="37"/>
      <c r="AA20" s="37"/>
      <c r="AB20" s="266">
        <v>1</v>
      </c>
      <c r="AC20" s="162" t="str">
        <f>IF(AF12&lt;&gt;"",IF(AF14&lt;&gt;"",IF(AF12=AF14,"",IF(AF12&gt;AF14,AG12,AG14)),""),"")</f>
        <v>LUIGI BELLINI VOLTARELLI</v>
      </c>
      <c r="AD20" s="141"/>
      <c r="AE20" s="100"/>
      <c r="AF20" s="100"/>
      <c r="AG20" s="197"/>
      <c r="AH20" s="100"/>
      <c r="AI20" s="100"/>
      <c r="AJ20" s="29"/>
      <c r="AK20" s="188"/>
      <c r="AL20" s="29"/>
      <c r="AM20" s="23"/>
      <c r="AN20" s="23"/>
      <c r="AO20" s="23"/>
      <c r="AP20" s="31">
        <f>IF(AR20&lt;&gt;"",1+COUNTIF(AP8:AP19,"1")+COUNTIF(AP8:AP19,"2")+COUNTIF(AP8:AP19,"3")+COUNTIF(AP8:AP19,"4")+COUNTIF(AP8:AP19,"5")+COUNTIF(AP8:AP19,"6")+COUNTIF(AP8:AP19,"7")+COUNTIF(AP8:AP19,"8")+COUNTIF(AP8:AP19,"9")+COUNTIF(AP8:AP19,"10")+COUNTIF(AP8:AP19,"11")+COUNTIF(AP8:AP19,"12"),"")</f>
        <v>13</v>
      </c>
      <c r="AQ20" s="32" t="str">
        <f t="shared" si="1"/>
        <v>LUGAR</v>
      </c>
      <c r="AR20" s="111" t="str">
        <f>IF(AR12&lt;&gt;"",IF(G12=AR12,G14,IF(G14=AR12,G12,IF(G28=AR12,G30,IF(G30=AR12,G28,IF(AG12=AR12,AG14,IF(AG14=AR12,AG12,IF(AG28=AR12,AG30,IF(AG30=AR12,AG28,IF(G42=AR12,G44,IF(G44=AR12,G42,IF(G58=AR12,G60,IF(G60=AR12,G58,IF(AG42=AR12,AG44,IF(AG44=AR12,AG42,IF(AG58=AR12,AG60,IF(AG60=AR12,AG58)))))))))))))))),"")</f>
        <v>PABLO DE CAMPOS MOLEIRO</v>
      </c>
      <c r="AS20" s="33" t="str">
        <f>IFERROR(IF(AR20="","",VLOOKUP(AR20,LISTAS!$F$5:$G$1004,2,0)),"0")</f>
        <v>COLÉGIO ARBOS - UNIDADE SANTO ANDRÉ</v>
      </c>
      <c r="AT20" s="33">
        <f t="shared" si="0"/>
        <v>200</v>
      </c>
      <c r="AU20" s="33">
        <f t="shared" si="2"/>
        <v>200</v>
      </c>
    </row>
    <row r="21" spans="2:47" ht="18" customHeight="1" thickBot="1" x14ac:dyDescent="0.3">
      <c r="B21" s="133"/>
      <c r="C21" s="188"/>
      <c r="D21" s="29"/>
      <c r="E21" s="29"/>
      <c r="F21" s="29"/>
      <c r="G21" s="188"/>
      <c r="H21" s="29"/>
      <c r="I21" s="35"/>
      <c r="J21" s="29"/>
      <c r="K21" s="165" t="str">
        <f>IFERROR(IF(K20="","",VLOOKUP(K20,LISTAS!$F$5:$G$1004,2,0)),"0")</f>
        <v>COLÉGIO ARBOS - UNIDADE SANTO ANDRÉ</v>
      </c>
      <c r="L21" s="267"/>
      <c r="M21" s="101"/>
      <c r="N21" s="101"/>
      <c r="O21" s="190"/>
      <c r="P21" s="101"/>
      <c r="Q21" s="100"/>
      <c r="R21" s="272" t="s">
        <v>25</v>
      </c>
      <c r="S21" s="273"/>
      <c r="T21" s="273"/>
      <c r="U21" s="273"/>
      <c r="V21" s="273"/>
      <c r="W21" s="37"/>
      <c r="X21" s="86"/>
      <c r="Y21" s="198"/>
      <c r="Z21" s="37"/>
      <c r="AA21" s="37"/>
      <c r="AB21" s="267"/>
      <c r="AC21" s="165" t="str">
        <f>IFERROR(IF(AC20="","",VLOOKUP(AC20,LISTAS!$F$5:$G$1004,2,0)),"0")</f>
        <v>ESCOLA VILLARE</v>
      </c>
      <c r="AD21" s="37"/>
      <c r="AE21" s="144"/>
      <c r="AF21" s="100"/>
      <c r="AG21" s="197"/>
      <c r="AH21" s="100"/>
      <c r="AI21" s="100"/>
      <c r="AJ21" s="29"/>
      <c r="AK21" s="188"/>
      <c r="AL21" s="29"/>
      <c r="AM21" s="23"/>
      <c r="AN21" s="23"/>
      <c r="AO21" s="23"/>
      <c r="AP21" s="31">
        <f>IF(AR21&lt;&gt;"",1+COUNTIF(AP8:AP20,"1")+COUNTIF(AP8:AP20,"2")+COUNTIF(AP8:AP20,"3")+COUNTIF(AP8:AP20,"4")+COUNTIF(AP8:AP20,"5")+COUNTIF(AP8:AP20,"6")+COUNTIF(AP8:AP20,"7")+COUNTIF(AP8:AP20,"8")+COUNTIF(AP8:AP20,"9")+COUNTIF(AP8:AP20,"10")+COUNTIF(AP8:AP20,"11")+COUNTIF(AP8:AP20,"12")+COUNTIF(AP8:AP20,"13"),"")</f>
        <v>14</v>
      </c>
      <c r="AQ21" s="32" t="str">
        <f t="shared" si="1"/>
        <v>LUGAR</v>
      </c>
      <c r="AR21" s="111" t="str">
        <f>IF(AR13&lt;&gt;"",IF(G12=AR13,G14,IF(G14=AR13,G12,IF(G28=AR13,G30,IF(G30=AR13,G28,IF(AG12=AR13,AG14,IF(AG14=AR13,AG12,IF(AG28=AR13,AG30,IF(AG30=AR13,AG28,IF(G42=AR13,G44,IF(G44=AR13,G42,IF(G58=AR13,G60,IF(G60=AR13,G58,IF(AG42=AR13,AG44,IF(AG44=AR13,AG42,IF(AG58=AR13,AG60,IF(AG60=AR13,AG58)))))))))))))))),"")</f>
        <v xml:space="preserve">MATHEUS KAYO </v>
      </c>
      <c r="AS21" s="33" t="str">
        <f>IFERROR(IF(AR21="","",VLOOKUP(AR21,LISTAS!$F$5:$G$1004,2,0)),"0")</f>
        <v>ESCOLA INTERAÇÃO</v>
      </c>
      <c r="AT21" s="33">
        <f t="shared" si="0"/>
        <v>200</v>
      </c>
      <c r="AU21" s="33">
        <f t="shared" si="2"/>
        <v>200</v>
      </c>
    </row>
    <row r="22" spans="2:47" ht="18" customHeight="1" x14ac:dyDescent="0.25">
      <c r="B22" s="133"/>
      <c r="C22" s="188"/>
      <c r="D22" s="29"/>
      <c r="E22" s="29"/>
      <c r="F22" s="29"/>
      <c r="G22" s="188"/>
      <c r="H22" s="29"/>
      <c r="I22" s="35"/>
      <c r="J22" s="36"/>
      <c r="K22" s="162" t="str">
        <f>IF(H28&lt;&gt;"",IF(H30&lt;&gt;"",IF(H28=H30,"",IF(H28&gt;H30,G28,G30)),""),"")</f>
        <v>THEO AIOLFI CASTRO</v>
      </c>
      <c r="L22" s="266">
        <v>1</v>
      </c>
      <c r="M22" s="107">
        <f>IF(L22&lt;&gt;"",L22,"")</f>
        <v>1</v>
      </c>
      <c r="N22" s="101" t="str">
        <f>IF(L22&lt;&gt;"",IF(K22="","",K22),"")</f>
        <v>THEO AIOLFI CASTRO</v>
      </c>
      <c r="O22" s="190" t="str">
        <f>VLOOKUP(O20,M20:N22,2,0)</f>
        <v>LUCAS SILVA MENEZES</v>
      </c>
      <c r="P22" s="101"/>
      <c r="Q22" s="100"/>
      <c r="R22" s="205"/>
      <c r="S22" s="206"/>
      <c r="T22" s="206"/>
      <c r="U22" s="206"/>
      <c r="V22" s="205"/>
      <c r="W22" s="37"/>
      <c r="X22" s="86"/>
      <c r="Y22" s="198"/>
      <c r="Z22" s="94"/>
      <c r="AA22" s="96"/>
      <c r="AB22" s="266">
        <v>0</v>
      </c>
      <c r="AC22" s="162" t="str">
        <f>IF(AF28&lt;&gt;"",IF(AF30&lt;&gt;"",IF(AF28=AF30,"",IF(AF28&gt;AF30,AG28,AG30)),""),"")</f>
        <v>PIETRO TOLEDO</v>
      </c>
      <c r="AD22" s="37"/>
      <c r="AE22" s="144"/>
      <c r="AF22" s="100"/>
      <c r="AG22" s="197"/>
      <c r="AH22" s="100"/>
      <c r="AI22" s="100"/>
      <c r="AJ22" s="29"/>
      <c r="AK22" s="188"/>
      <c r="AL22" s="29"/>
      <c r="AP22" s="31">
        <f>IF(AR22&lt;&gt;"",1+COUNTIF(AP8:AP21,"1")+COUNTIF(AP8:AP21,"2")+COUNTIF(AP8:AP21,"3")+COUNTIF(AP8:AP21,"4")+COUNTIF(AP8:AP21,"5")+COUNTIF(AP8:AP21,"6")+COUNTIF(AP8:AP21,"7")+COUNTIF(AP8:AP21,"8")+COUNTIF(AP8:AP21,"9")+COUNTIF(AP8:AP21,"10")+COUNTIF(AP8:AP21,"11")+COUNTIF(AP8:AP21,"12")+COUNTIF(AP8:AP21,"13")+COUNTIF(AP8:AP21,"14"),"")</f>
        <v>15</v>
      </c>
      <c r="AQ22" s="32" t="str">
        <f t="shared" si="1"/>
        <v>LUGAR</v>
      </c>
      <c r="AR22" s="111" t="str">
        <f>IF(AR14&lt;&gt;"",IF(G12=AR14,G14,IF(G14=AR14,G12,IF(G28=AR14,G30,IF(G30=AR14,G28,IF(AG12=AR14,AG14,IF(AG14=AR14,AG12,IF(AG28=AR14,AG30,IF(AG30=AR14,AG28,IF(G42=AR14,G44,IF(G44=AR14,G42,IF(G58=AR14,G60,IF(G60=AR14,G58,IF(AG42=AR14,AG44,IF(AG44=AR14,AG42,IF(AG58=AR14,AG60,IF(AG60=AR14,AG58)))))))))))))))),"")</f>
        <v>LORENZO FONTOURA DA SILVA</v>
      </c>
      <c r="AS22" s="33" t="str">
        <f>IFERROR(IF(AR22="","",VLOOKUP(AR22,LISTAS!$F$5:$G$1004,2,0)),"0")</f>
        <v>AMERICAN ACADEMY SCHOOL SBC</v>
      </c>
      <c r="AT22" s="33">
        <f t="shared" si="0"/>
        <v>200</v>
      </c>
      <c r="AU22" s="33">
        <f t="shared" si="2"/>
        <v>200</v>
      </c>
    </row>
    <row r="23" spans="2:47" ht="18" customHeight="1" thickBot="1" x14ac:dyDescent="0.3">
      <c r="B23" s="133"/>
      <c r="C23" s="188"/>
      <c r="D23" s="29"/>
      <c r="E23" s="29"/>
      <c r="F23" s="29"/>
      <c r="G23" s="188"/>
      <c r="H23" s="29"/>
      <c r="I23" s="35"/>
      <c r="J23" s="29"/>
      <c r="K23" s="165" t="str">
        <f>IFERROR(IF(K22="","",VLOOKUP(K22,LISTAS!$F$5:$G$1004,2,0)),"0")</f>
        <v>EDUCANDÁRIO - S.A</v>
      </c>
      <c r="L23" s="267"/>
      <c r="M23" s="138"/>
      <c r="N23" s="101"/>
      <c r="O23" s="190"/>
      <c r="P23" s="101"/>
      <c r="Q23" s="100"/>
      <c r="R23" s="198"/>
      <c r="S23" s="37"/>
      <c r="T23" s="37"/>
      <c r="U23" s="37"/>
      <c r="V23" s="198"/>
      <c r="W23" s="37"/>
      <c r="X23" s="86"/>
      <c r="Y23" s="198"/>
      <c r="Z23" s="94"/>
      <c r="AA23" s="37"/>
      <c r="AB23" s="267"/>
      <c r="AC23" s="165" t="str">
        <f>IFERROR(IF(AC22="","",VLOOKUP(AC22,LISTAS!$F$5:$G$1004,2,0)),"0")</f>
        <v>COLÉGIO MARCONI - GRU</v>
      </c>
      <c r="AD23" s="37"/>
      <c r="AE23" s="144"/>
      <c r="AF23" s="100"/>
      <c r="AG23" s="197"/>
      <c r="AH23" s="100"/>
      <c r="AI23" s="100"/>
      <c r="AJ23" s="29"/>
      <c r="AK23" s="188"/>
      <c r="AL23" s="29"/>
      <c r="AP23" s="31">
        <f>IF(AR23&lt;&gt;"",1+COUNTIF(AP8:AP22,"1")+COUNTIF(AP8:AP22,"2")+COUNTIF(AP8:AP22,"3")+COUNTIF(AP8:AP22,"4")+COUNTIF(AP8:AP22,"5")+COUNTIF(AP8:AP22,"6")+COUNTIF(AP8:AP22,"7")+COUNTIF(AP8:AP22,"8")+COUNTIF(AP8:AP22,"9")+COUNTIF(AP8:AP22,"10")+COUNTIF(AP8:AP22,"11")+COUNTIF(AP8:AP22,"12")+COUNTIF(AP8:AP22,"13")+COUNTIF(AP8:AP22,"14")+COUNTIF(AP8:AP22,"15"),"")</f>
        <v>16</v>
      </c>
      <c r="AQ23" s="32" t="str">
        <f t="shared" si="1"/>
        <v>LUGAR</v>
      </c>
      <c r="AR23" s="111" t="str">
        <f>IF(AR15&lt;&gt;"",IF(G12=AR15,G14,IF(G14=AR15,G12,IF(G28=AR15,G30,IF(G30=AR15,G28,IF(AG12=AR15,AG14,IF(AG14=AR15,AG12,IF(AG28=AR15,AG30,IF(AG30=AR15,AG28,IF(G42=AR15,G44,IF(G44=AR15,G42,IF(G58=AR15,G60,IF(G60=AR15,G58,IF(AG42=AR15,AG44,IF(AG44=AR15,AG42,IF(AG58=AR15,AG60,IF(AG60=AR15,AG58)))))))))))))))),"")</f>
        <v>NICOLAS GRILLO HENRIQUE</v>
      </c>
      <c r="AS23" s="33" t="str">
        <f>IFERROR(IF(AR23="","",VLOOKUP(AR23,LISTAS!$F$5:$G$1004,2,0)),"0")</f>
        <v>PEN LIFE</v>
      </c>
      <c r="AT23" s="33">
        <f t="shared" si="0"/>
        <v>200</v>
      </c>
      <c r="AU23" s="33">
        <f t="shared" si="2"/>
        <v>200</v>
      </c>
    </row>
    <row r="24" spans="2:47" ht="18" customHeight="1" x14ac:dyDescent="0.25">
      <c r="B24" s="133">
        <v>9</v>
      </c>
      <c r="C24" s="162" t="str">
        <f>IF('09M GRP'!G5&gt;=3,'09M GRP'!J125,IF('09M GRP'!G5=2,"",IF('09M GRP'!G5=1,"","")))</f>
        <v>HENRIQUE MORAIS GONSALES</v>
      </c>
      <c r="D24" s="266">
        <v>1</v>
      </c>
      <c r="E24" s="101">
        <f>IF(D24&lt;&gt;"",D24,"")</f>
        <v>1</v>
      </c>
      <c r="F24" s="101" t="str">
        <f>IF(D24&lt;&gt;"",IF(C24="","",C24),"")</f>
        <v>HENRIQUE MORAIS GONSALES</v>
      </c>
      <c r="G24" s="190">
        <f>IF(E24&lt;&gt;"",IF(E26&lt;&gt;"",SMALL(E24:E26,1),""),"")</f>
        <v>0</v>
      </c>
      <c r="H24" s="101"/>
      <c r="I24" s="138"/>
      <c r="J24" s="101"/>
      <c r="K24" s="190"/>
      <c r="L24" s="101"/>
      <c r="M24" s="138"/>
      <c r="N24" s="101"/>
      <c r="O24" s="190"/>
      <c r="P24" s="101"/>
      <c r="Q24" s="100"/>
      <c r="R24" s="198"/>
      <c r="S24" s="37"/>
      <c r="T24" s="37"/>
      <c r="U24" s="37"/>
      <c r="V24" s="198"/>
      <c r="W24" s="37"/>
      <c r="X24" s="86"/>
      <c r="Y24" s="198"/>
      <c r="Z24" s="94"/>
      <c r="AA24" s="37"/>
      <c r="AB24" s="29"/>
      <c r="AC24" s="198"/>
      <c r="AD24" s="37"/>
      <c r="AE24" s="144"/>
      <c r="AF24" s="100"/>
      <c r="AG24" s="197">
        <f>IF(AJ24&lt;&gt;"",AJ24,"")</f>
        <v>1</v>
      </c>
      <c r="AH24" s="100" t="str">
        <f>IF(AJ24&lt;&gt;"",IF(AK24="","",AK24),"")</f>
        <v>PABLO DE CAMPOS MOLEIRO</v>
      </c>
      <c r="AI24" s="101">
        <f>IF(AG24&lt;&gt;"",IF(AG26&lt;&gt;"",SMALL(AG24:AG26,1),""),"")</f>
        <v>0</v>
      </c>
      <c r="AJ24" s="266">
        <v>1</v>
      </c>
      <c r="AK24" s="162" t="str">
        <f>IF('09M GRP'!G5&gt;=3,'09M GRP'!J294,IF('09M GRP'!G5=2,"",IF('09M GRP'!G5=1,"","")))</f>
        <v>PABLO DE CAMPOS MOLEIRO</v>
      </c>
      <c r="AL24" s="29">
        <v>22</v>
      </c>
      <c r="AP24" s="31">
        <f>IF(AR24&lt;&gt;"",1+COUNTIF(AP8:AP23,"1")+COUNTIF(AP8:AP23,"2")+COUNTIF(AP8:AP23,"3")+COUNTIF(AP8:AP23,"4")+COUNTIF(AP8:AP23,"5")+COUNTIF(AP8:AP23,"6")+COUNTIF(AP8:AP23,"7")+COUNTIF(AP8:AP23,"8")+COUNTIF(AP8:AP23,"9")+COUNTIF(AP8:AP23,"10")+COUNTIF(AP8:AP23,"11")+COUNTIF(AP8:AP23,"12")+COUNTIF(AP8:AP23,"13")+COUNTIF(AP8:AP23,"14")+COUNTIF(AP8:AP23,"15")+COUNTIF(AP8:AP23,"16"),"")</f>
        <v>17</v>
      </c>
      <c r="AQ24" s="32" t="str">
        <f t="shared" si="1"/>
        <v>LUGAR</v>
      </c>
      <c r="AR24" s="111" t="str">
        <f>IF(AR8&lt;&gt;"",IF(C8=AR8,G10,IF(C10=AR8,G10,IF(C16=AR8,G18,IF(C18=AR8,G18,IF(C38=AR8,G40,IF(C40=AR8,G40,IF(C46=AR8,G48,IF(C48=AR8,G48,IF(C24=AR8,G26,IF(C26=AR8,G26,IF(C32=AR8,G34,IF(C34=AR8,G34,IF(C54=AR8,G56,IF(C56=AR8,G56,IF(C62=AR8,G64,IF(C64=AR8,G64,IF(AK8=AR8,AI10,IF(AK10=AR8,AI10,IF(AK16=AR8,AI18,IF(AK18=AR8,AI18,IF(AK38=AR8,AI40,IF(AK40=AR8,AI40,IF(AK46=AR8,AI48,IF(AK48=AR8,AI48,IF(AK24=AR8,AI26,IF(AK26=AR8,AI26,IF(AK32=AR8,AI34,IF(AK34=AR8,AI34,IF(AK54=AR8,AI56,IF(AK56=AR8,AI56,IF(AK62=AR8,AI64,IF(AK64=AR8,AI64)))))))))))))))))))))))))))))))),"")</f>
        <v>MIGUEL L RUGGERI</v>
      </c>
      <c r="AS24" s="33" t="str">
        <f>IFERROR(IF(AR24="","",VLOOKUP(AR24,LISTAS!$F$5:$G$1004,2,0)),"0")</f>
        <v>COLEGIO PETROPOLIS</v>
      </c>
      <c r="AT24" s="33" t="str">
        <f t="shared" si="0"/>
        <v/>
      </c>
      <c r="AU24" s="33" t="str">
        <f t="shared" si="2"/>
        <v/>
      </c>
    </row>
    <row r="25" spans="2:47" ht="18" customHeight="1" thickBot="1" x14ac:dyDescent="0.3">
      <c r="B25" s="133"/>
      <c r="C25" s="165" t="str">
        <f>IFERROR(IF(C24="","",VLOOKUP(C24,LISTAS!$F$5:$G$1004,2,0)),"0")</f>
        <v>PEN LIFE</v>
      </c>
      <c r="D25" s="267"/>
      <c r="E25" s="101"/>
      <c r="F25" s="101"/>
      <c r="G25" s="190"/>
      <c r="H25" s="101"/>
      <c r="I25" s="138"/>
      <c r="J25" s="101"/>
      <c r="K25" s="190"/>
      <c r="L25" s="101"/>
      <c r="M25" s="138"/>
      <c r="N25" s="101"/>
      <c r="O25" s="190"/>
      <c r="P25" s="101"/>
      <c r="Q25" s="100"/>
      <c r="R25" s="198"/>
      <c r="S25" s="37"/>
      <c r="T25" s="37"/>
      <c r="U25" s="37"/>
      <c r="V25" s="198"/>
      <c r="W25" s="37"/>
      <c r="X25" s="86"/>
      <c r="Y25" s="198"/>
      <c r="Z25" s="94"/>
      <c r="AA25" s="37"/>
      <c r="AB25" s="29"/>
      <c r="AC25" s="198"/>
      <c r="AD25" s="37"/>
      <c r="AE25" s="144"/>
      <c r="AF25" s="100"/>
      <c r="AG25" s="197"/>
      <c r="AH25" s="100"/>
      <c r="AI25" s="101"/>
      <c r="AJ25" s="267"/>
      <c r="AK25" s="165" t="str">
        <f>IFERROR(IF(AK24="","",VLOOKUP(AK24,LISTAS!$F$5:$G$1004,2,0)),"0")</f>
        <v>COLÉGIO ARBOS - UNIDADE SANTO ANDRÉ</v>
      </c>
      <c r="AL25" s="29"/>
      <c r="AP25" s="31">
        <f>IF(AR25&lt;&gt;"",1+COUNTIF(AP8:AP24,"1")+COUNTIF(AP8:AP24,"2")+COUNTIF(AP8:AP24,"3")+COUNTIF(AP8:AP24,"4")+COUNTIF(AP8:AP24,"5")+COUNTIF(AP8:AP24,"6")+COUNTIF(AP8:AP24,"7")+COUNTIF(AP8:AP24,"8")+COUNTIF(AP8:AP24,"9")+COUNTIF(AP8:AP24,"10")+COUNTIF(AP8:AP24,"11")+COUNTIF(AP8:AP24,"12")+COUNTIF(AP8:AP24,"13")+COUNTIF(AP8:AP24,"14")+COUNTIF(AP8:AP24,"15")+COUNTIF(AP8:AP24,"16")+COUNTIF(AP8:AP24,"17"),"")</f>
        <v>18</v>
      </c>
      <c r="AQ25" s="32" t="str">
        <f t="shared" si="1"/>
        <v>LUGAR</v>
      </c>
      <c r="AR25" s="111" t="str">
        <f>IF(AR9&lt;&gt;"",IF(C8=AR9,G10,IF(C10=AR9,G10,IF(C16=AR9,G18,IF(C18=AR9,G18,IF(C38=AR9,G40,IF(C40=AR9,G40,IF(C46=AR9,G48,IF(C48=AR9,G48,IF(C24=AR9,G26,IF(C26=AR9,G26,IF(C32=AR9,G34,IF(C34=AR9,G34,IF(C54=AR9,G56,IF(C56=AR9,G56,IF(C62=AR9,G64,IF(C64=AR9,G64,IF(AK8=AR9,AI10,IF(AK10=AR9,AI10,IF(AK16=AR9,AI18,IF(AK18=AR9,AI18,IF(AK38=AR9,AI40,IF(AK40=AR9,AI40,IF(AK46=AR9,AI48,IF(AK48=AR9,AI48,IF(AK24=AR9,AI26,IF(AK26=AR9,AI26,IF(AK32=AR9,AI34,IF(AK34=AR9,AI34,IF(AK54=AR9,AI56,IF(AK56=AR9,AI56,IF(AK62=AR9,AI64,IF(AK64=AR9,AI64)))))))))))))))))))))))))))))))),"")</f>
        <v>JORGE HIDEKI DO AMARAL YAMAGUTI</v>
      </c>
      <c r="AS25" s="33" t="str">
        <f>IFERROR(IF(AR25="","",VLOOKUP(AR25,LISTAS!$F$5:$G$1004,2,0)),"0")</f>
        <v>ABACO IPIRANGA</v>
      </c>
      <c r="AT25" s="33" t="str">
        <f t="shared" si="0"/>
        <v/>
      </c>
      <c r="AU25" s="33" t="str">
        <f t="shared" si="2"/>
        <v/>
      </c>
    </row>
    <row r="26" spans="2:47" ht="18" customHeight="1" x14ac:dyDescent="0.25">
      <c r="B26" s="133">
        <v>24</v>
      </c>
      <c r="C26" s="162" t="str">
        <f>IF('09M GRP'!G5&gt;=3,'09M GRP'!J320,IF('09M GRP'!G5=2,"",IF('09M GRP'!G5=1,"","")))</f>
        <v>LORENZO GALASTRI PINTO</v>
      </c>
      <c r="D26" s="266">
        <v>0</v>
      </c>
      <c r="E26" s="107">
        <f>IF(D26&lt;&gt;"",D26,"")</f>
        <v>0</v>
      </c>
      <c r="F26" s="101" t="str">
        <f>IF(D26&lt;&gt;"",IF(C26="","",C26),"")</f>
        <v>LORENZO GALASTRI PINTO</v>
      </c>
      <c r="G26" s="190" t="str">
        <f>VLOOKUP(G24,E24:F26,2,0)</f>
        <v>LORENZO GALASTRI PINTO</v>
      </c>
      <c r="H26" s="101"/>
      <c r="I26" s="138"/>
      <c r="J26" s="101"/>
      <c r="K26" s="190"/>
      <c r="L26" s="101"/>
      <c r="M26" s="138"/>
      <c r="N26" s="101"/>
      <c r="O26" s="190"/>
      <c r="P26" s="101"/>
      <c r="Q26" s="100"/>
      <c r="R26" s="198"/>
      <c r="S26" s="37"/>
      <c r="T26" s="37"/>
      <c r="U26" s="37"/>
      <c r="V26" s="198"/>
      <c r="W26" s="37"/>
      <c r="X26" s="86"/>
      <c r="Y26" s="198"/>
      <c r="Z26" s="94"/>
      <c r="AA26" s="37"/>
      <c r="AB26" s="29"/>
      <c r="AC26" s="198"/>
      <c r="AD26" s="37"/>
      <c r="AE26" s="144"/>
      <c r="AF26" s="100"/>
      <c r="AG26" s="197">
        <f>IF(AJ26&lt;&gt;"",AJ26,"")</f>
        <v>0</v>
      </c>
      <c r="AH26" s="100" t="str">
        <f>IF(AJ26&lt;&gt;"",IF(AK26="","",AK26),"")</f>
        <v>LUCAS ANTONIO DA SILVA SOUZA</v>
      </c>
      <c r="AI26" s="102" t="str">
        <f>VLOOKUP(AI24,AG24:AH26,2,0)</f>
        <v>LUCAS ANTONIO DA SILVA SOUZA</v>
      </c>
      <c r="AJ26" s="266">
        <v>0</v>
      </c>
      <c r="AK26" s="162" t="str">
        <f>IF('09M GRP'!G5&gt;=3,'09M GRP'!J151,IF('09M GRP'!G5=2,"",IF('09M GRP'!G5=1,"","")))</f>
        <v>LUCAS ANTONIO DA SILVA SOUZA</v>
      </c>
      <c r="AL26" s="29">
        <v>11</v>
      </c>
      <c r="AM26" s="23"/>
      <c r="AN26" s="23"/>
      <c r="AO26" s="23"/>
      <c r="AP26" s="31">
        <f>IF(AR26&lt;&gt;"",1+COUNTIF(AP8:AP25,"1")+COUNTIF(AP8:AP25,"2")+COUNTIF(AP8:AP25,"3")+COUNTIF(AP8:AP25,"4")+COUNTIF(AP8:AP25,"5")+COUNTIF(AP8:AP25,"6")+COUNTIF(AP8:AP25,"7")+COUNTIF(AP8:AP25,"8")+COUNTIF(AP8:AP25,"9")+COUNTIF(AP8:AP25,"10")+COUNTIF(AP8:AP25,"11")+COUNTIF(AP8:AP25,"12")+COUNTIF(AP8:AP25,"13")+COUNTIF(AP8:AP25,"14")+COUNTIF(AP8:AP25,"15")+COUNTIF(AP8:AP25,"16")+COUNTIF(AP8:AP25,"17")+COUNTIF(AP8:AP25,"18"),"")</f>
        <v>19</v>
      </c>
      <c r="AQ26" s="32" t="str">
        <f t="shared" si="1"/>
        <v>LUGAR</v>
      </c>
      <c r="AR26" s="111" t="str">
        <f>IF(AR10&lt;&gt;"",IF(C8=AR10,G10,IF(C10=AR10,G10,IF(C16=AR10,G18,IF(C18=AR10,G18,IF(C38=AR10,G40,IF(C40=AR10,G40,IF(C46=AR10,G48,IF(C48=AR10,G48,IF(C24=AR10,G26,IF(C26=AR10,G26,IF(C32=AR10,G34,IF(C34=AR10,G34,IF(C54=AR10,G56,IF(C56=AR10,G56,IF(C62=AR10,G64,IF(C64=AR10,G64,IF(AK8=AR10,AI10,IF(AK10=AR10,AI10,IF(AK16=AR10,AI18,IF(AK18=AR10,AI18,IF(AK38=AR10,AI40,IF(AK40=AR10,AI40,IF(AK46=AR10,AI48,IF(AK48=AR10,AI48,IF(AK24=AR10,AI26,IF(AK26=AR10,AI26,IF(AK32=AR10,AI34,IF(AK34=AR10,AI34,IF(AK54=AR10,AI56,IF(AK56=AR10,AI56,IF(AK62=AR10,AI64,IF(AK64=AR10,AI64)))))))))))))))))))))))))))))))),"")</f>
        <v>MATEUS SIQUEIRA ZENKER</v>
      </c>
      <c r="AS26" s="33" t="str">
        <f>IFERROR(IF(AR26="","",VLOOKUP(AR26,LISTAS!$F$5:$G$1004,2,0)),"0")</f>
        <v>COLÉGIO ARBOS - UNIDADE SANTO ANDRÉ</v>
      </c>
      <c r="AT26" s="33" t="str">
        <f t="shared" si="0"/>
        <v/>
      </c>
      <c r="AU26" s="33" t="str">
        <f t="shared" si="2"/>
        <v/>
      </c>
    </row>
    <row r="27" spans="2:47" ht="18" customHeight="1" thickBot="1" x14ac:dyDescent="0.3">
      <c r="B27" s="133"/>
      <c r="C27" s="165" t="str">
        <f>IFERROR(IF(C26="","",VLOOKUP(C26,LISTAS!$F$5:$G$1004,2,0)),"0")</f>
        <v>EDUCANDÁRIO - S.A</v>
      </c>
      <c r="D27" s="267"/>
      <c r="E27" s="148"/>
      <c r="F27" s="101"/>
      <c r="G27" s="190"/>
      <c r="H27" s="101"/>
      <c r="I27" s="138"/>
      <c r="J27" s="101"/>
      <c r="K27" s="190"/>
      <c r="L27" s="101"/>
      <c r="M27" s="138"/>
      <c r="N27" s="101"/>
      <c r="O27" s="190"/>
      <c r="P27" s="101"/>
      <c r="Q27" s="100"/>
      <c r="R27" s="198"/>
      <c r="S27" s="37"/>
      <c r="T27" s="37"/>
      <c r="U27" s="37"/>
      <c r="V27" s="198"/>
      <c r="W27" s="37"/>
      <c r="X27" s="86"/>
      <c r="Y27" s="198"/>
      <c r="Z27" s="94"/>
      <c r="AA27" s="37"/>
      <c r="AB27" s="29"/>
      <c r="AC27" s="198"/>
      <c r="AD27" s="37"/>
      <c r="AE27" s="144"/>
      <c r="AF27" s="100"/>
      <c r="AG27" s="197"/>
      <c r="AH27" s="100"/>
      <c r="AI27" s="142"/>
      <c r="AJ27" s="267"/>
      <c r="AK27" s="165" t="str">
        <f>IFERROR(IF(AK26="","",VLOOKUP(AK26,LISTAS!$F$5:$G$1004,2,0)),"0")</f>
        <v>AMERICAN ACADEMY SCHOOL SBC</v>
      </c>
      <c r="AL27" s="29"/>
      <c r="AP27" s="31" t="str">
        <f>IF(AR27&lt;&gt;"",1+COUNTIF(AP8:AP26,"1")+COUNTIF(AP8:AP26,"2")+COUNTIF(AP8:AP26,"3")+COUNTIF(AP8:AP26,"4")+COUNTIF(AP8:AP26,"5")+COUNTIF(AP8:AP26,"6")+COUNTIF(AP8:AP26,"7")+COUNTIF(AP8:AP26,"8")+COUNTIF(AP8:AP26,"9")+COUNTIF(AP8:AP26,"10")+COUNTIF(AP8:AP26,"11")+COUNTIF(AP8:AP26,"12")+COUNTIF(AP8:AP26,"13")+COUNTIF(AP8:AP26,"14")+COUNTIF(AP8:AP26,"15")+COUNTIF(AP8:AP26,"16")+COUNTIF(AP8:AP26,"17")+COUNTIF(AP8:AP26,"18")+COUNTIF(AP8:AP26,"19"),"")</f>
        <v/>
      </c>
      <c r="AQ27" s="32" t="str">
        <f t="shared" si="1"/>
        <v/>
      </c>
      <c r="AR27" s="111" t="str">
        <f>IF(AR11&lt;&gt;"",IF(C8=AR11,G10,IF(C10=AR11,G10,IF(C16=AR11,G18,IF(C18=AR11,G18,IF(C38=AR11,G40,IF(C40=AR11,G40,IF(C46=AR11,G48,IF(C48=AR11,G48,IF(C24=AR11,G26,IF(C26=AR11,G26,IF(C32=AR11,G34,IF(C34=AR11,G34,IF(C54=AR11,G56,IF(C56=AR11,G56,IF(C62=AR11,G64,IF(C64=AR11,G64,IF(AK8=AR11,AI10,IF(AK10=AR11,AI10,IF(AK16=AR11,AI18,IF(AK18=AR11,AI18,IF(AK38=AR11,AI40,IF(AK40=AR11,AI40,IF(AK46=AR11,AI48,IF(AK48=AR11,AI48,IF(AK24=AR11,AI26,IF(AK26=AR11,AI26,IF(AK32=AR11,AI34,IF(AK34=AR11,AI34,IF(AK54=AR11,AI56,IF(AK56=AR11,AI56,IF(AK62=AR11,AI64,IF(AK64=AR11,AI64)))))))))))))))))))))))))))))))),"")</f>
        <v/>
      </c>
      <c r="AS27" s="33" t="str">
        <f>IFERROR(IF(AR27="","",VLOOKUP(AR27,LISTAS!$F$5:$G$1004,2,0)),"0")</f>
        <v/>
      </c>
      <c r="AT27" s="33" t="str">
        <f t="shared" si="0"/>
        <v/>
      </c>
      <c r="AU27" s="33" t="str">
        <f t="shared" si="2"/>
        <v/>
      </c>
    </row>
    <row r="28" spans="2:47" ht="18" customHeight="1" x14ac:dyDescent="0.25">
      <c r="B28" s="133"/>
      <c r="C28" s="188"/>
      <c r="D28" s="29"/>
      <c r="E28" s="29"/>
      <c r="F28" s="34"/>
      <c r="G28" s="162" t="str">
        <f>IF(D24&lt;&gt;"",IF(D26&lt;&gt;"",IF(D24=D26,"",IF(D24&gt;D26,C24,C26)),""),"")</f>
        <v>HENRIQUE MORAIS GONSALES</v>
      </c>
      <c r="H28" s="266">
        <v>0</v>
      </c>
      <c r="I28" s="148">
        <f>IF(H28&lt;&gt;"",H28,"")</f>
        <v>0</v>
      </c>
      <c r="J28" s="101" t="str">
        <f>IF(H28&lt;&gt;"",IF(G28="","",G28),"")</f>
        <v>HENRIQUE MORAIS GONSALES</v>
      </c>
      <c r="K28" s="190">
        <f>IF(I28&lt;&gt;"",IF(I30&lt;&gt;"",SMALL(I28:J30,1),""),"")</f>
        <v>0</v>
      </c>
      <c r="L28" s="101"/>
      <c r="M28" s="138"/>
      <c r="N28" s="101"/>
      <c r="O28" s="188"/>
      <c r="P28" s="29"/>
      <c r="Q28" s="37"/>
      <c r="R28" s="198"/>
      <c r="S28" s="37"/>
      <c r="T28" s="37"/>
      <c r="U28" s="37"/>
      <c r="V28" s="198"/>
      <c r="W28" s="37"/>
      <c r="X28" s="86"/>
      <c r="Y28" s="198"/>
      <c r="Z28" s="94"/>
      <c r="AA28" s="37"/>
      <c r="AB28" s="29"/>
      <c r="AC28" s="198"/>
      <c r="AD28" s="37"/>
      <c r="AE28" s="34"/>
      <c r="AF28" s="266">
        <v>0</v>
      </c>
      <c r="AG28" s="162" t="str">
        <f>IF(AJ24&lt;&gt;"",IF(AJ26&lt;&gt;"",IF(AJ24=AJ26,"",IF(AJ24&gt;AJ26,AK24,AK26)),""),"")</f>
        <v>PABLO DE CAMPOS MOLEIRO</v>
      </c>
      <c r="AH28" s="94"/>
      <c r="AI28" s="37"/>
      <c r="AJ28" s="29"/>
      <c r="AK28" s="188"/>
      <c r="AL28" s="29"/>
      <c r="AP28" s="31" t="str">
        <f>IF(AR28&lt;&gt;"",1+COUNTIF(AP8:AP27,"1")+COUNTIF(AP8:AP27,"2")+COUNTIF(AP8:AP27,"3")+COUNTIF(AP8:AP27,"4")+COUNTIF(AP8:AP27,"5")+COUNTIF(AP8:AP27,"6")+COUNTIF(AP8:AP27,"7")+COUNTIF(AP8:AP27,"8")+COUNTIF(AP8:AP27,"9")+COUNTIF(AP8:AP27,"10")+COUNTIF(AP8:AP27,"11")+COUNTIF(AP8:AP27,"12")+COUNTIF(AP8:AP27,"13")+COUNTIF(AP8:AP27,"14")+COUNTIF(AP8:AP27,"15")+COUNTIF(AP8:AP27,"16")+COUNTIF(AP8:AP27,"17")+COUNTIF(AP8:AP27,"18")+COUNTIF(AP8:AP27,"19")+COUNTIF(AP8:AP27,"20"),"")</f>
        <v/>
      </c>
      <c r="AQ28" s="32" t="str">
        <f t="shared" si="1"/>
        <v/>
      </c>
      <c r="AR28" s="111" t="str">
        <f>IF(AR12&lt;&gt;"",IF(C8=AR12,G10,IF(C10=AR12,G10,IF(C16=AR12,G18,IF(C18=AR12,G18,IF(C38=AR12,G40,IF(C40=AR12,G40,IF(C46=AR12,G48,IF(C48=AR12,G48,IF(C24=AR12,G26,IF(C26=AR12,G26,IF(C32=AR12,G34,IF(C34=AR12,G34,IF(C54=AR12,G56,IF(C56=AR12,G56,IF(C62=AR12,G64,IF(C64=AR12,G64,IF(AK8=AR12,AI10,IF(AK10=AR12,AI10,IF(AK16=AR12,AI18,IF(AK18=AR12,AI18,IF(AK38=AR12,AI40,IF(AK40=AR12,AI40,IF(AK46=AR12,AI48,IF(AK48=AR12,AI48,IF(AK24=AR12,AI26,IF(AK26=AR12,AI26,IF(AK32=AR12,AI34,IF(AK34=AR12,AI34,IF(AK54=AR12,AI56,IF(AK56=AR12,AI56,IF(AK62=AR12,AI64,IF(AK64=AR12,AI64)))))))))))))))))))))))))))))))),"")</f>
        <v/>
      </c>
      <c r="AS28" s="33" t="str">
        <f>IFERROR(IF(AR28="","",VLOOKUP(AR28,LISTAS!$F$5:$G$1004,2,0)),"0")</f>
        <v/>
      </c>
      <c r="AT28" s="33" t="str">
        <f t="shared" si="0"/>
        <v/>
      </c>
      <c r="AU28" s="33" t="str">
        <f t="shared" si="2"/>
        <v/>
      </c>
    </row>
    <row r="29" spans="2:47" ht="18" customHeight="1" thickBot="1" x14ac:dyDescent="0.3">
      <c r="B29" s="133"/>
      <c r="C29" s="188"/>
      <c r="D29" s="29"/>
      <c r="E29" s="29"/>
      <c r="F29" s="34"/>
      <c r="G29" s="165" t="str">
        <f>IFERROR(IF(G28="","",VLOOKUP(G28,LISTAS!$F$5:$G$1004,2,0)),"0")</f>
        <v>PEN LIFE</v>
      </c>
      <c r="H29" s="267"/>
      <c r="I29" s="105"/>
      <c r="J29" s="101"/>
      <c r="K29" s="190"/>
      <c r="L29" s="101"/>
      <c r="M29" s="138"/>
      <c r="N29" s="101"/>
      <c r="O29" s="188"/>
      <c r="P29" s="29"/>
      <c r="Q29" s="37"/>
      <c r="R29" s="198"/>
      <c r="S29" s="37"/>
      <c r="T29" s="37"/>
      <c r="U29" s="37"/>
      <c r="V29" s="198"/>
      <c r="W29" s="37"/>
      <c r="X29" s="86"/>
      <c r="Y29" s="198"/>
      <c r="Z29" s="94"/>
      <c r="AA29" s="37"/>
      <c r="AB29" s="29"/>
      <c r="AC29" s="198"/>
      <c r="AD29" s="37"/>
      <c r="AE29" s="140"/>
      <c r="AF29" s="267"/>
      <c r="AG29" s="165" t="str">
        <f>IFERROR(IF(AG28="","",VLOOKUP(AG28,LISTAS!$F$5:$G$1004,2,0)),"0")</f>
        <v>COLÉGIO ARBOS - UNIDADE SANTO ANDRÉ</v>
      </c>
      <c r="AH29" s="94"/>
      <c r="AI29" s="37"/>
      <c r="AJ29" s="29"/>
      <c r="AK29" s="188"/>
      <c r="AL29" s="29"/>
      <c r="AP29" s="31">
        <f>IF(AR29&lt;&gt;"",1+COUNTIF(AP8:AP28,"1")+COUNTIF(AP8:AP28,"2")+COUNTIF(AP8:AP28,"3")+COUNTIF(AP8:AP28,"4")+COUNTIF(AP8:AP28,"5")+COUNTIF(AP8:AP28,"6")+COUNTIF(AP8:AP28,"7")+COUNTIF(AP8:AP28,"8")+COUNTIF(AP8:AP28,"9")+COUNTIF(AP8:AP28,"10")+COUNTIF(AP8:AP28,"11")+COUNTIF(AP8:AP28,"12")+COUNTIF(AP8:AP28,"13")+COUNTIF(AP8:AP28,"14")+COUNTIF(AP8:AP28,"15")+COUNTIF(AP8:AP28,"16")+COUNTIF(AP8:AP28,"17")+COUNTIF(AP8:AP28,"18")+COUNTIF(AP8:AP28,"19")+COUNTIF(AP8:AP28,"20")+COUNTIF(AP8:AP28,"21"),"")</f>
        <v>20</v>
      </c>
      <c r="AQ29" s="32" t="str">
        <f t="shared" si="1"/>
        <v>LUGAR</v>
      </c>
      <c r="AR29" s="111" t="str">
        <f>IF(AR13&lt;&gt;"",IF(C8=AR13,G10,IF(C10=AR13,G10,IF(C16=AR13,G18,IF(C18=AR13,G18,IF(C38=AR13,G40,IF(C40=AR13,G40,IF(C46=AR13,G48,IF(C48=AR13,G48,IF(C24=AR13,G26,IF(C26=AR13,G26,IF(C32=AR13,G34,IF(C34=AR13,G34,IF(C54=AR13,G56,IF(C56=AR13,G56,IF(C62=AR13,G64,IF(C64=AR13,G64,IF(AK8=AR13,AI10,IF(AK10=AR13,AI10,IF(AK16=AR13,AI18,IF(AK18=AR13,AI18,IF(AK38=AR13,AI40,IF(AK40=AR13,AI40,IF(AK46=AR13,AI48,IF(AK48=AR13,AI48,IF(AK24=AR13,AI26,IF(AK26=AR13,AI26,IF(AK32=AR13,AI34,IF(AK34=AR13,AI34,IF(AK54=AR13,AI56,IF(AK56=AR13,AI56,IF(AK62=AR13,AI64,IF(AK64=AR13,AI64)))))))))))))))))))))))))))))))),"")</f>
        <v>LUIZ FELIPE MONZANI CARNEIRO</v>
      </c>
      <c r="AS29" s="33" t="str">
        <f>IFERROR(IF(AR29="","",VLOOKUP(AR29,LISTAS!$F$5:$G$1004,2,0)),"0")</f>
        <v>COLÉGIO ATENEU</v>
      </c>
      <c r="AT29" s="33" t="str">
        <f t="shared" si="0"/>
        <v/>
      </c>
      <c r="AU29" s="33" t="str">
        <f t="shared" si="2"/>
        <v/>
      </c>
    </row>
    <row r="30" spans="2:47" ht="18" customHeight="1" x14ac:dyDescent="0.25">
      <c r="B30" s="133"/>
      <c r="C30" s="188"/>
      <c r="D30" s="29"/>
      <c r="E30" s="35"/>
      <c r="F30" s="36"/>
      <c r="G30" s="162" t="str">
        <f>IF(D32&lt;&gt;"",IF(D34&lt;&gt;"",IF(D32=D34,"",IF(D32&gt;D34,C32,C34)),""),"")</f>
        <v>THEO AIOLFI CASTRO</v>
      </c>
      <c r="H30" s="266">
        <v>1</v>
      </c>
      <c r="I30" s="106">
        <f>IF(H30&lt;&gt;"",H30,"")</f>
        <v>1</v>
      </c>
      <c r="J30" s="101" t="str">
        <f>IF(H30&lt;&gt;"",IF(G30="","",G30),"")</f>
        <v>THEO AIOLFI CASTRO</v>
      </c>
      <c r="K30" s="190" t="str">
        <f>VLOOKUP(K28,I28:J30,2,0)</f>
        <v>HENRIQUE MORAIS GONSALES</v>
      </c>
      <c r="L30" s="101"/>
      <c r="M30" s="138"/>
      <c r="N30" s="101"/>
      <c r="O30" s="188"/>
      <c r="P30" s="29"/>
      <c r="Q30" s="37"/>
      <c r="R30" s="198"/>
      <c r="S30" s="37"/>
      <c r="T30" s="37"/>
      <c r="U30" s="37"/>
      <c r="V30" s="198"/>
      <c r="W30" s="37"/>
      <c r="X30" s="86"/>
      <c r="Y30" s="198"/>
      <c r="Z30" s="94"/>
      <c r="AA30" s="37"/>
      <c r="AB30" s="29"/>
      <c r="AC30" s="198"/>
      <c r="AD30" s="37"/>
      <c r="AE30" s="91"/>
      <c r="AF30" s="266">
        <v>1</v>
      </c>
      <c r="AG30" s="162" t="str">
        <f>IF(AJ32&lt;&gt;"",IF(AJ34&lt;&gt;"",IF(AJ32=AJ34,"",IF(AJ32&gt;AJ34,AK32,AK34)),""),"")</f>
        <v>PIETRO TOLEDO</v>
      </c>
      <c r="AH30" s="98"/>
      <c r="AI30" s="37"/>
      <c r="AJ30" s="29"/>
      <c r="AK30" s="188"/>
      <c r="AL30" s="29"/>
      <c r="AP30" s="31">
        <f>IF(AR30&lt;&gt;"",1+COUNTIF(AP8:AP29,"1")+COUNTIF(AP8:AP29,"2")+COUNTIF(AP8:AP29,"3")+COUNTIF(AP8:AP29,"4")+COUNTIF(AP8:AP29,"5")+COUNTIF(AP8:AP29,"6")+COUNTIF(AP8:AP29,"7")+COUNTIF(AP8:AP29,"8")+COUNTIF(AP8:AP29,"9")+COUNTIF(AP8:AP29,"10")+COUNTIF(AP8:AP29,"11")+COUNTIF(AP8:AP29,"12")+COUNTIF(AP8:AP29,"13")+COUNTIF(AP8:AP29,"14")+COUNTIF(AP8:AP29,"15")+COUNTIF(AP8:AP29,"16")+COUNTIF(AP8:AP29,"17")+COUNTIF(AP8:AP29,"18")+COUNTIF(AP8:AP29,"19")+COUNTIF(AP8:AP29,"20")+COUNTIF(AP8:AP29,"21")+COUNTIF(AP8:AP29,"22"),"")</f>
        <v>21</v>
      </c>
      <c r="AQ30" s="32" t="str">
        <f t="shared" si="1"/>
        <v>LUGAR</v>
      </c>
      <c r="AR30" s="111" t="str">
        <f>IF(AR14&lt;&gt;"",IF(C8=AR14,G10,IF(C10=AR14,G10,IF(C16=AR14,G18,IF(C18=AR14,G18,IF(C38=AR14,G40,IF(C40=AR14,G40,IF(C46=AR14,G48,IF(C48=AR14,G48,IF(C24=AR14,G26,IF(C26=AR14,G26,IF(C32=AR14,G34,IF(C34=AR14,G34,IF(C54=AR14,G56,IF(C56=AR14,G56,IF(C62=AR14,G64,IF(C64=AR14,G64,IF(AK8=AR14,AI10,IF(AK10=AR14,AI10,IF(AK16=AR14,AI18,IF(AK18=AR14,AI18,IF(AK38=AR14,AI40,IF(AK40=AR14,AI40,IF(AK46=AR14,AI48,IF(AK48=AR14,AI48,IF(AK24=AR14,AI26,IF(AK26=AR14,AI26,IF(AK32=AR14,AI34,IF(AK34=AR14,AI34,IF(AK54=AR14,AI56,IF(AK56=AR14,AI56,IF(AK62=AR14,AI64,IF(AK64=AR14,AI64)))))))))))))))))))))))))))))))),"")</f>
        <v>ARTHUR SARAIVA</v>
      </c>
      <c r="AS30" s="33" t="str">
        <f>IFERROR(IF(AR30="","",VLOOKUP(AR30,LISTAS!$F$5:$G$1004,2,0)),"0")</f>
        <v>COLÉGIO ATENEU</v>
      </c>
      <c r="AT30" s="33" t="str">
        <f t="shared" si="0"/>
        <v/>
      </c>
      <c r="AU30" s="33" t="str">
        <f t="shared" si="2"/>
        <v/>
      </c>
    </row>
    <row r="31" spans="2:47" ht="18" customHeight="1" thickBot="1" x14ac:dyDescent="0.3">
      <c r="B31" s="133"/>
      <c r="C31" s="188"/>
      <c r="D31" s="29"/>
      <c r="E31" s="35"/>
      <c r="F31" s="29"/>
      <c r="G31" s="165" t="str">
        <f>IFERROR(IF(G30="","",VLOOKUP(G30,LISTAS!$F$5:$G$1004,2,0)),"0")</f>
        <v>EDUCANDÁRIO - S.A</v>
      </c>
      <c r="H31" s="267"/>
      <c r="I31" s="101"/>
      <c r="J31" s="101"/>
      <c r="K31" s="190"/>
      <c r="L31" s="101"/>
      <c r="M31" s="138"/>
      <c r="N31" s="101"/>
      <c r="O31" s="188"/>
      <c r="P31" s="29"/>
      <c r="Q31" s="37"/>
      <c r="R31" s="198"/>
      <c r="S31" s="37"/>
      <c r="T31" s="37"/>
      <c r="U31" s="37"/>
      <c r="V31" s="198"/>
      <c r="W31" s="37"/>
      <c r="X31" s="86"/>
      <c r="Y31" s="198"/>
      <c r="Z31" s="94"/>
      <c r="AA31" s="37"/>
      <c r="AB31" s="29"/>
      <c r="AC31" s="198"/>
      <c r="AD31" s="37"/>
      <c r="AE31" s="37"/>
      <c r="AF31" s="267"/>
      <c r="AG31" s="165" t="str">
        <f>IFERROR(IF(AG30="","",VLOOKUP(AG30,LISTAS!$F$5:$G$1004,2,0)),"0")</f>
        <v>COLÉGIO MARCONI - GRU</v>
      </c>
      <c r="AH31" s="37"/>
      <c r="AI31" s="89"/>
      <c r="AJ31" s="29"/>
      <c r="AK31" s="188"/>
      <c r="AL31" s="29"/>
      <c r="AP31" s="31">
        <f>IF(AR31&lt;&gt;"",1+COUNTIF(AP8:AP30,"1")+COUNTIF(AP8:AP30,"2")+COUNTIF(AP8:AP30,"3")+COUNTIF(AP8:AP30,"4")+COUNTIF(AP8:AP30,"5")+COUNTIF(AP8:AP30,"6")+COUNTIF(AP8:AP30,"7")+COUNTIF(AP8:AP30,"8")+COUNTIF(AP8:AP30,"9")+COUNTIF(AP8:AP30,"10")+COUNTIF(AP8:AP30,"11")+COUNTIF(AP8:AP30,"12")+COUNTIF(AP8:AP30,"13")+COUNTIF(AP8:AP30,"14")+COUNTIF(AP8:AP30,"15")+COUNTIF(AP8:AP30,"16")+COUNTIF(AP8:AP30,"17")+COUNTIF(AP8:AP30,"18")+COUNTIF(AP8:AP30,"19")+COUNTIF(AP8:AP30,"20")+COUNTIF(AP8:AP30,"21")+COUNTIF(AP8:AP30,"22")+COUNTIF(AP8:AP30,"23"),"")</f>
        <v>22</v>
      </c>
      <c r="AQ31" s="32" t="str">
        <f t="shared" si="1"/>
        <v>LUGAR</v>
      </c>
      <c r="AR31" s="111" t="str">
        <f>IF(AR15&lt;&gt;"",IF(C8=AR15,G10,IF(C10=AR15,G10,IF(C16=AR15,G18,IF(C18=AR15,G18,IF(C38=AR15,G40,IF(C40=AR15,G40,IF(C46=AR15,G48,IF(C48=AR15,G48,IF(C24=AR15,G26,IF(C26=AR15,G26,IF(C32=AR15,G34,IF(C34=AR15,G34,IF(C54=AR15,G56,IF(C56=AR15,G56,IF(C62=AR15,G64,IF(C64=AR15,G64,IF(AK8=AR15,AI10,IF(AK10=AR15,AI10,IF(AK16=AR15,AI18,IF(AK18=AR15,AI18,IF(AK38=AR15,AI40,IF(AK40=AR15,AI40,IF(AK46=AR15,AI48,IF(AK48=AR15,AI48,IF(AK24=AR15,AI26,IF(AK26=AR15,AI26,IF(AK32=AR15,AI34,IF(AK34=AR15,AI34,IF(AK54=AR15,AI56,IF(AK56=AR15,AI56,IF(AK62=AR15,AI64,IF(AK64=AR15,AI64)))))))))))))))))))))))))))))))),"")</f>
        <v>ARTHUR HENRIQUE ROJA</v>
      </c>
      <c r="AS31" s="33" t="str">
        <f>IFERROR(IF(AR31="","",VLOOKUP(AR31,LISTAS!$F$5:$G$1004,2,0)),"0")</f>
        <v>ESCOLA VILLARE</v>
      </c>
      <c r="AT31" s="33" t="str">
        <f t="shared" si="0"/>
        <v/>
      </c>
      <c r="AU31" s="33" t="str">
        <f t="shared" si="2"/>
        <v/>
      </c>
    </row>
    <row r="32" spans="2:47" ht="18" customHeight="1" x14ac:dyDescent="0.25">
      <c r="B32" s="133">
        <v>25</v>
      </c>
      <c r="C32" s="162" t="str">
        <f>IF('09M GRP'!G5&gt;=3,'09M GRP'!J333,IF('09M GRP'!G5=2,"",IF('09M GRP'!G5=1,"","")))</f>
        <v>THEO AIOLFI CASTRO</v>
      </c>
      <c r="D32" s="266">
        <v>1</v>
      </c>
      <c r="E32" s="148">
        <f>IF(D32&lt;&gt;"",D32,"")</f>
        <v>1</v>
      </c>
      <c r="F32" s="101" t="str">
        <f>IF(D32&lt;&gt;"",IF(C32="","",C32),"")</f>
        <v>THEO AIOLFI CASTRO</v>
      </c>
      <c r="G32" s="190">
        <f>IF(E32&lt;&gt;"",IF(E34&lt;&gt;"",SMALL(E32:E34,1),""),"")</f>
        <v>0</v>
      </c>
      <c r="H32" s="101"/>
      <c r="I32" s="101"/>
      <c r="J32" s="101"/>
      <c r="K32" s="190"/>
      <c r="L32" s="101"/>
      <c r="M32" s="138"/>
      <c r="N32" s="101"/>
      <c r="O32" s="188"/>
      <c r="P32" s="29"/>
      <c r="Q32" s="37"/>
      <c r="R32" s="198"/>
      <c r="S32" s="37"/>
      <c r="T32" s="37"/>
      <c r="U32" s="37"/>
      <c r="V32" s="198"/>
      <c r="W32" s="37"/>
      <c r="X32" s="86"/>
      <c r="Y32" s="198"/>
      <c r="Z32" s="94"/>
      <c r="AA32" s="37"/>
      <c r="AB32" s="29"/>
      <c r="AC32" s="198"/>
      <c r="AD32" s="100"/>
      <c r="AE32" s="100"/>
      <c r="AF32" s="100"/>
      <c r="AG32" s="197">
        <f>IF(AJ32&lt;&gt;"",AJ32,"")</f>
        <v>0</v>
      </c>
      <c r="AH32" s="100" t="str">
        <f>IF(AJ32&lt;&gt;"",IF(AK32="","",AK32),"")</f>
        <v/>
      </c>
      <c r="AI32" s="137">
        <f>IF(AG32&lt;&gt;"",IF(AG34&lt;&gt;"",SMALL(AG32:AG34,1),""),"")</f>
        <v>0</v>
      </c>
      <c r="AJ32" s="266">
        <v>0</v>
      </c>
      <c r="AK32" s="162" t="str">
        <f>IF('09M GRP'!G5&gt;=3,'09M GRP'!J359,IF('09M GRP'!G5=2,"",IF('09M GRP'!G5=1,"","")))</f>
        <v/>
      </c>
      <c r="AL32" s="29">
        <v>27</v>
      </c>
      <c r="AP32" s="31" t="str">
        <f>IF(AR32&lt;&gt;"",1+COUNTIF(AP8:AP31,"1")+COUNTIF(AP8:AP31,"2")+COUNTIF(AP8:AP31,"3")+COUNTIF(AP8:AP31,"4")+COUNTIF(AP8:AP31,"5")+COUNTIF(AP8:AP31,"6")+COUNTIF(AP8:AP31,"7")+COUNTIF(AP8:AP31,"8")+COUNTIF(AP8:AP31,"9")+COUNTIF(AP8:AP31,"10")+COUNTIF(AP8:AP31,"11")+COUNTIF(AP8:AP31,"12")+COUNTIF(AP8:AP31,"13")+COUNTIF(AP8:AP31,"14")+COUNTIF(AP8:AP31,"15")+COUNTIF(AP8:AP31,"16")+COUNTIF(AP8:AP31,"17")+COUNTIF(AP8:AP31,"18")+COUNTIF(AP8:AP31,"19")+COUNTIF(AP8:AP31,"20")+COUNTIF(AP8:AP31,"21")+COUNTIF(AP8:AP31,"22")+COUNTIF(AP8:AP31,"23")+COUNTIF(AP8:AP31,"24"),"")</f>
        <v/>
      </c>
      <c r="AQ32" s="32" t="str">
        <f t="shared" si="1"/>
        <v/>
      </c>
      <c r="AR32" s="111" t="str">
        <f>IF(AR16&lt;&gt;"",IF(C8=AR16,G10,IF(C10=AR16,G10,IF(C16=AR16,G18,IF(C18=AR16,G18,IF(C38=AR16,G40,IF(C40=AR16,G40,IF(C46=AR16,G48,IF(C48=AR16,G48,IF(C24=AR16,G26,IF(C26=AR16,G26,IF(C32=AR16,G34,IF(C34=AR16,G34,IF(C54=AR16,G56,IF(C56=AR16,G56,IF(C62=AR16,G64,IF(C64=AR16,G64,IF(AK8=AR16,AI10,IF(AK10=AR16,AI10,IF(AK16=AR16,AI18,IF(AK18=AR16,AI18,IF(AK38=AR16,AI40,IF(AK40=AR16,AI40,IF(AK46=AR16,AI48,IF(AK48=AR16,AI48,IF(AK24=AR16,AI26,IF(AK26=AR16,AI26,IF(AK32=AR16,AI34,IF(AK34=AR16,AI34,IF(AK54=AR16,AI56,IF(AK56=AR16,AI56,IF(AK62=AR16,AI64,IF(AK64=AR16,AI64)))))))))))))))))))))))))))))))),"")</f>
        <v/>
      </c>
      <c r="AS32" s="33" t="str">
        <f>IFERROR(IF(AR32="","",VLOOKUP(AR32,LISTAS!$F$5:$G$1004,2,0)),"0")</f>
        <v/>
      </c>
      <c r="AT32" s="33" t="str">
        <f t="shared" si="0"/>
        <v/>
      </c>
      <c r="AU32" s="33" t="str">
        <f t="shared" si="2"/>
        <v/>
      </c>
    </row>
    <row r="33" spans="2:47" ht="18" customHeight="1" thickBot="1" x14ac:dyDescent="0.3">
      <c r="B33" s="133"/>
      <c r="C33" s="165" t="str">
        <f>IFERROR(IF(C32="","",VLOOKUP(C32,LISTAS!$F$5:$G$1004,2,0)),"0")</f>
        <v>EDUCANDÁRIO - S.A</v>
      </c>
      <c r="D33" s="267"/>
      <c r="E33" s="105"/>
      <c r="F33" s="101"/>
      <c r="G33" s="190"/>
      <c r="H33" s="101"/>
      <c r="I33" s="101"/>
      <c r="J33" s="101"/>
      <c r="K33" s="190"/>
      <c r="L33" s="101"/>
      <c r="M33" s="138"/>
      <c r="N33" s="101"/>
      <c r="O33" s="188"/>
      <c r="P33" s="29"/>
      <c r="Q33" s="37"/>
      <c r="R33" s="198"/>
      <c r="S33" s="37"/>
      <c r="T33" s="37"/>
      <c r="U33" s="37"/>
      <c r="V33" s="198"/>
      <c r="W33" s="37"/>
      <c r="X33" s="86"/>
      <c r="Y33" s="198"/>
      <c r="Z33" s="94"/>
      <c r="AA33" s="37"/>
      <c r="AB33" s="29"/>
      <c r="AC33" s="198"/>
      <c r="AD33" s="100"/>
      <c r="AE33" s="100"/>
      <c r="AF33" s="100"/>
      <c r="AG33" s="197"/>
      <c r="AH33" s="100"/>
      <c r="AI33" s="143"/>
      <c r="AJ33" s="267"/>
      <c r="AK33" s="165" t="str">
        <f>IFERROR(IF(AK32="","",VLOOKUP(AK32,LISTAS!$F$5:$G$1004,2,0)),"0")</f>
        <v/>
      </c>
      <c r="AL33" s="29"/>
      <c r="AP33" s="31">
        <f>IF(AR33&lt;&gt;"",1+COUNTIF(AP8:AP32,"1")+COUNTIF(AP8:AP32,"2")+COUNTIF(AP8:AP32,"3")+COUNTIF(AP8:AP32,"4")+COUNTIF(AP8:AP32,"5")+COUNTIF(AP8:AP32,"6")+COUNTIF(AP8:AP32,"7")+COUNTIF(AP8:AP32,"8")+COUNTIF(AP8:AP32,"9")+COUNTIF(AP8:AP32,"10")+COUNTIF(AP8:AP32,"11")+COUNTIF(AP8:AP32,"12")+COUNTIF(AP8:AP32,"13")+COUNTIF(AP8:AP32,"14")+COUNTIF(AP8:AP32,"15")+COUNTIF(AP8:AP32,"16")+COUNTIF(AP8:AP32,"17")+COUNTIF(AP8:AP32,"18")+COUNTIF(AP8:AP32,"19")+COUNTIF(AP8:AP32,"20")+COUNTIF(AP8:AP32,"21")+COUNTIF(AP8:AP32,"22")+COUNTIF(AP8:AP32,"23")+COUNTIF(AP8:AP32,"24")+COUNTIF(AP8:AP32,"25"),"")</f>
        <v>23</v>
      </c>
      <c r="AQ33" s="32" t="str">
        <f t="shared" si="1"/>
        <v>LUGAR</v>
      </c>
      <c r="AR33" s="111" t="str">
        <f>IF(AR17&lt;&gt;"",IF(C8=AR17,G10,IF(C10=AR17,G10,IF(C16=AR17,G18,IF(C18=AR17,G18,IF(C38=AR17,G40,IF(C40=AR17,G40,IF(C46=AR17,G48,IF(C48=AR17,G48,IF(C24=AR17,G26,IF(C26=AR17,G26,IF(C32=AR17,G34,IF(C34=AR17,G34,IF(C54=AR17,G56,IF(C56=AR17,G56,IF(C62=AR17,G64,IF(C64=AR17,G64,IF(AK8=AR17,AI10,IF(AK10=AR17,AI10,IF(AK16=AR17,AI18,IF(AK18=AR17,AI18,IF(AK38=AR17,AI40,IF(AK40=AR17,AI40,IF(AK46=AR17,AI48,IF(AK48=AR17,AI48,IF(AK24=AR17,AI26,IF(AK26=AR17,AI26,IF(AK32=AR17,AI34,IF(AK34=AR17,AI34,IF(AK54=AR17,AI56,IF(AK56=AR17,AI56,IF(AK62=AR17,AI64,IF(AK64=AR17,AI64)))))))))))))))))))))))))))))))),"")</f>
        <v>LORENZO GALASTRI PINTO</v>
      </c>
      <c r="AS33" s="33" t="str">
        <f>IFERROR(IF(AR33="","",VLOOKUP(AR33,LISTAS!$F$5:$G$1004,2,0)),"0")</f>
        <v>EDUCANDÁRIO - S.A</v>
      </c>
      <c r="AT33" s="33" t="str">
        <f t="shared" si="0"/>
        <v/>
      </c>
      <c r="AU33" s="33" t="str">
        <f t="shared" si="2"/>
        <v/>
      </c>
    </row>
    <row r="34" spans="2:47" ht="18" customHeight="1" thickBot="1" x14ac:dyDescent="0.3">
      <c r="B34" s="133">
        <v>8</v>
      </c>
      <c r="C34" s="162" t="str">
        <f>IF('09M GRP'!G5&gt;=3,'09M GRP'!J112,IF('09M GRP'!G5=2,"",IF('09M GRP'!G5=1,"","")))</f>
        <v>JORGE HIDEKI DO AMARAL YAMAGUTI</v>
      </c>
      <c r="D34" s="266">
        <v>0</v>
      </c>
      <c r="E34" s="106">
        <f>IF(D34&lt;&gt;"",D34,"")</f>
        <v>0</v>
      </c>
      <c r="F34" s="101" t="str">
        <f>IF(D34&lt;&gt;"",IF(C34="","",C34),"")</f>
        <v>JORGE HIDEKI DO AMARAL YAMAGUTI</v>
      </c>
      <c r="G34" s="190" t="str">
        <f>VLOOKUP(G32,E32:F34,2,0)</f>
        <v>JORGE HIDEKI DO AMARAL YAMAGUTI</v>
      </c>
      <c r="H34" s="101"/>
      <c r="I34" s="101"/>
      <c r="J34" s="101"/>
      <c r="K34" s="190"/>
      <c r="L34" s="101"/>
      <c r="M34" s="138"/>
      <c r="N34" s="101"/>
      <c r="O34" s="188"/>
      <c r="P34" s="29"/>
      <c r="Q34" s="37"/>
      <c r="R34" s="268" t="s">
        <v>37</v>
      </c>
      <c r="S34" s="268"/>
      <c r="T34" s="268"/>
      <c r="U34" s="268"/>
      <c r="V34" s="268"/>
      <c r="W34" s="37"/>
      <c r="X34" s="86"/>
      <c r="Y34" s="198"/>
      <c r="Z34" s="94"/>
      <c r="AA34" s="37"/>
      <c r="AB34" s="29"/>
      <c r="AC34" s="198"/>
      <c r="AD34" s="100"/>
      <c r="AE34" s="100"/>
      <c r="AF34" s="100"/>
      <c r="AG34" s="197">
        <f>IF(AJ34&lt;&gt;"",AJ34,"")</f>
        <v>1</v>
      </c>
      <c r="AH34" s="100" t="str">
        <f>IF(AJ34&lt;&gt;"",IF(AK34="","",AK34),"")</f>
        <v>PIETRO TOLEDO</v>
      </c>
      <c r="AI34" s="145" t="str">
        <f>VLOOKUP(AI32,AG32:AH34,2,0)</f>
        <v/>
      </c>
      <c r="AJ34" s="266">
        <v>1</v>
      </c>
      <c r="AK34" s="162" t="str">
        <f>IF('09M GRP'!G5&gt;=3,'09M GRP'!J86,IF('09M GRP'!G5=2,"",IF('09M GRP'!G5=1,"","")))</f>
        <v>PIETRO TOLEDO</v>
      </c>
      <c r="AL34" s="29">
        <v>6</v>
      </c>
      <c r="AP34" s="31" t="str">
        <f>IF(AR34&lt;&gt;"",1+COUNTIF(AP8:AP33,"1")+COUNTIF(AP8:AP33,"2")+COUNTIF(AP8:AP33,"3")+COUNTIF(AP8:AP33,"4")+COUNTIF(AP8:AP33,"5")+COUNTIF(AP8:AP33,"6")+COUNTIF(AP8:AP33,"7")+COUNTIF(AP8:AP33,"8")+COUNTIF(AP8:AP33,"9")+COUNTIF(AP8:AP33,"10")+COUNTIF(AP8:AP33,"11")+COUNTIF(AP8:AP33,"12")+COUNTIF(AP8:AP33,"13")+COUNTIF(AP8:AP33,"14")+COUNTIF(AP8:AP33,"15")+COUNTIF(AP8:AP33,"16")+COUNTIF(AP8:AP33,"17")+COUNTIF(AP8:AP33,"18")+COUNTIF(AP8:AP33,"19")+COUNTIF(AP8:AP33,"20")+COUNTIF(AP8:AP33,"21")+COUNTIF(AP8:AP33,"22")+COUNTIF(AP8:AP33,"23")+COUNTIF(AP8:AP33,"24")+COUNTIF(AP8:AP33,"25")+COUNTIF(AP8:AP33,"26"),"")</f>
        <v/>
      </c>
      <c r="AQ34" s="32" t="str">
        <f t="shared" si="1"/>
        <v/>
      </c>
      <c r="AR34" s="111" t="str">
        <f>IF(AR18&lt;&gt;"",IF(C8=AR18,G10,IF(C10=AR18,G10,IF(C16=AR18,G18,IF(C18=AR18,G18,IF(C38=AR18,G40,IF(C40=AR18,G40,IF(C46=AR18,G48,IF(C48=AR18,G48,IF(C24=AR18,G26,IF(C26=AR18,G26,IF(C32=AR18,G34,IF(C34=AR18,G34,IF(C54=AR18,G56,IF(C56=AR18,G56,IF(C62=AR18,G64,IF(C64=AR18,G64,IF(AK8=AR18,AI10,IF(AK10=AR18,AI10,IF(AK16=AR18,AI18,IF(AK18=AR18,AI18,IF(AK38=AR18,AI40,IF(AK40=AR18,AI40,IF(AK46=AR18,AI48,IF(AK48=AR18,AI48,IF(AK24=AR18,AI26,IF(AK26=AR18,AI26,IF(AK32=AR18,AI34,IF(AK34=AR18,AI34,IF(AK54=AR18,AI56,IF(AK56=AR18,AI56,IF(AK62=AR18,AI64,IF(AK64=AR18,AI64)))))))))))))))))))))))))))))))),"")</f>
        <v/>
      </c>
      <c r="AS34" s="33" t="str">
        <f>IFERROR(IF(AR34="","",VLOOKUP(AR34,LISTAS!$F$5:$G$1004,2,0)),"0")</f>
        <v/>
      </c>
      <c r="AT34" s="33" t="str">
        <f t="shared" si="0"/>
        <v/>
      </c>
      <c r="AU34" s="33" t="str">
        <f t="shared" si="2"/>
        <v/>
      </c>
    </row>
    <row r="35" spans="2:47" ht="18" customHeight="1" thickBot="1" x14ac:dyDescent="0.3">
      <c r="B35" s="133"/>
      <c r="C35" s="165" t="str">
        <f>IFERROR(IF(C34="","",VLOOKUP(C34,LISTAS!$F$5:$G$1004,2,0)),"0")</f>
        <v>ABACO IPIRANGA</v>
      </c>
      <c r="D35" s="267"/>
      <c r="E35" s="101"/>
      <c r="F35" s="101"/>
      <c r="G35" s="190"/>
      <c r="H35" s="101"/>
      <c r="I35" s="101"/>
      <c r="J35" s="101"/>
      <c r="K35" s="190"/>
      <c r="L35" s="101"/>
      <c r="M35" s="138"/>
      <c r="N35" s="101"/>
      <c r="O35" s="162" t="str">
        <f>IF(L20&lt;&gt;"",IF(L22&lt;&gt;"",IF(L20=L22,"",IF(L20&gt;L22,K20,K22)),""),"")</f>
        <v>THEO AIOLFI CASTRO</v>
      </c>
      <c r="P35" s="266">
        <v>1</v>
      </c>
      <c r="Q35" s="37"/>
      <c r="R35" s="189"/>
      <c r="S35" s="84"/>
      <c r="T35" s="84"/>
      <c r="U35" s="84"/>
      <c r="V35" s="189"/>
      <c r="W35" s="37"/>
      <c r="X35" s="266">
        <v>1</v>
      </c>
      <c r="Y35" s="162" t="str">
        <f>IF(AB20&lt;&gt;"",IF(AB22&lt;&gt;"",IF(AB20=AB22,"",IF(AB20&gt;AB22,AC20,AC22)),""),"")</f>
        <v>LUIGI BELLINI VOLTARELLI</v>
      </c>
      <c r="Z35" s="94"/>
      <c r="AA35" s="37"/>
      <c r="AB35" s="29"/>
      <c r="AC35" s="198"/>
      <c r="AD35" s="100"/>
      <c r="AE35" s="100"/>
      <c r="AF35" s="100"/>
      <c r="AG35" s="197"/>
      <c r="AH35" s="100"/>
      <c r="AI35" s="101"/>
      <c r="AJ35" s="267"/>
      <c r="AK35" s="165" t="str">
        <f>IFERROR(IF(AK34="","",VLOOKUP(AK34,LISTAS!$F$5:$G$1004,2,0)),"0")</f>
        <v>COLÉGIO MARCONI - GRU</v>
      </c>
      <c r="AL35" s="29"/>
      <c r="AP35" s="31">
        <f>IF(AR35&lt;&gt;"",1+COUNTIF(AP8:AP34,"1")+COUNTIF(AP8:AP34,"2")+COUNTIF(AP8:AP34,"3")+COUNTIF(AP8:AP34,"4")+COUNTIF(AP8:AP34,"5")+COUNTIF(AP8:AP34,"6")+COUNTIF(AP8:AP34,"7")+COUNTIF(AP8:AP34,"8")+COUNTIF(AP8:AP34,"9")+COUNTIF(AP8:AP34,"10")+COUNTIF(AP8:AP34,"11")+COUNTIF(AP8:AP34,"12")+COUNTIF(AP8:AP34,"13")+COUNTIF(AP8:AP34,"14")+COUNTIF(AP8:AP34,"15")+COUNTIF(AP8:AP34,"16")+COUNTIF(AP8:AP34,"17")+COUNTIF(AP8:AP34,"18")+COUNTIF(AP8:AP34,"19")+COUNTIF(AP8:AP34,"20")+COUNTIF(AP8:AP34,"21")+COUNTIF(AP8:AP34,"22")+COUNTIF(AP8:AP34,"23")+COUNTIF(AP8:AP34,"24")+COUNTIF(AP8:AP34,"25")+COUNTIF(AP8:AP34,"26")+COUNTIF(AP8:AP34,"27"),"")</f>
        <v>24</v>
      </c>
      <c r="AQ35" s="32" t="str">
        <f t="shared" si="1"/>
        <v>LUGAR</v>
      </c>
      <c r="AR35" s="111" t="str">
        <f>IF(AR19&lt;&gt;"",IF(C8=AR19,G10,IF(C10=AR19,G10,IF(C16=AR19,G18,IF(C18=AR19,G18,IF(C38=AR19,G40,IF(C40=AR19,G40,IF(C46=AR19,G48,IF(C48=AR19,G48,IF(C24=AR19,G26,IF(C26=AR19,G26,IF(C32=AR19,G34,IF(C34=AR19,G34,IF(C54=AR19,G56,IF(C56=AR19,G56,IF(C62=AR19,G64,IF(C64=AR19,G64,IF(AK8=AR19,AI10,IF(AK10=AR19,AI10,IF(AK16=AR19,AI18,IF(AK18=AR19,AI18,IF(AK38=AR19,AI40,IF(AK40=AR19,AI40,IF(AK46=AR19,AI48,IF(AK48=AR19,AI48,IF(AK24=AR19,AI26,IF(AK26=AR19,AI26,IF(AK32=AR19,AI34,IF(AK34=AR19,AI34,IF(AK54=AR19,AI56,IF(AK56=AR19,AI56,IF(AK62=AR19,AI64,IF(AK64=AR19,AI64)))))))))))))))))))))))))))))))),"")</f>
        <v>THEO FROEMMING MINEMATSU</v>
      </c>
      <c r="AS35" s="33" t="str">
        <f>IFERROR(IF(AR35="","",VLOOKUP(AR35,LISTAS!$F$5:$G$1004,2,0)),"0")</f>
        <v>ABACO IPIRANGA</v>
      </c>
      <c r="AT35" s="33" t="str">
        <f t="shared" si="0"/>
        <v/>
      </c>
      <c r="AU35" s="33" t="str">
        <f t="shared" si="2"/>
        <v/>
      </c>
    </row>
    <row r="36" spans="2:47" ht="18" customHeight="1" thickBot="1" x14ac:dyDescent="0.3">
      <c r="B36" s="133"/>
      <c r="C36" s="188"/>
      <c r="D36" s="29"/>
      <c r="E36" s="101"/>
      <c r="F36" s="101"/>
      <c r="G36" s="190"/>
      <c r="H36" s="101"/>
      <c r="I36" s="101"/>
      <c r="J36" s="101"/>
      <c r="K36" s="190"/>
      <c r="L36" s="101"/>
      <c r="M36" s="138"/>
      <c r="N36" s="101"/>
      <c r="O36" s="165" t="str">
        <f>IFERROR(IF(O35="","",VLOOKUP(O35,LISTAS!$F$5:$G$1004,2,0)),"0")</f>
        <v>EDUCANDÁRIO - S.A</v>
      </c>
      <c r="P36" s="267"/>
      <c r="Q36" s="37"/>
      <c r="R36" s="162" t="str">
        <f>IF(P35&lt;&gt;"",IF(P37&lt;&gt;"",IF(P35=P37,"",IF(P35&gt;P37,O35,O37)),""),"")</f>
        <v>THEO AIOLFI CASTRO</v>
      </c>
      <c r="S36" s="266">
        <v>0</v>
      </c>
      <c r="T36" s="269" t="s">
        <v>38</v>
      </c>
      <c r="U36" s="266">
        <v>1</v>
      </c>
      <c r="V36" s="162" t="str">
        <f>IF(X35&lt;&gt;"",IF(X37&lt;&gt;"",IF(X35=X37,"",IF(X35&gt;X37,Y35,Y37)),""),"")</f>
        <v>LUIGI BELLINI VOLTARELLI</v>
      </c>
      <c r="W36" s="141"/>
      <c r="X36" s="267"/>
      <c r="Y36" s="165" t="str">
        <f>IFERROR(IF(Y35="","",VLOOKUP(Y35,LISTAS!$F$5:$G$1004,2,0)),"0")</f>
        <v>ESCOLA VILLARE</v>
      </c>
      <c r="Z36" s="141"/>
      <c r="AA36" s="37"/>
      <c r="AB36" s="29"/>
      <c r="AC36" s="198"/>
      <c r="AD36" s="100"/>
      <c r="AE36" s="100"/>
      <c r="AF36" s="100"/>
      <c r="AG36" s="197"/>
      <c r="AH36" s="100"/>
      <c r="AI36" s="100"/>
      <c r="AJ36" s="29"/>
      <c r="AK36" s="188"/>
      <c r="AL36" s="29"/>
      <c r="AP36" s="31">
        <f>IF(AR36&lt;&gt;"",1+COUNTIF(AP8:AP35,"1")+COUNTIF(AP8:AP35,"2")+COUNTIF(AP8:AP35,"3")+COUNTIF(AP8:AP35,"4")+COUNTIF(AP8:AP35,"5")+COUNTIF(AP8:AP35,"6")+COUNTIF(AP8:AP35,"7")+COUNTIF(AP8:AP35,"8")+COUNTIF(AP8:AP35,"9")+COUNTIF(AP8:AP35,"10")+COUNTIF(AP8:AP35,"11")+COUNTIF(AP8:AP35,"12")+COUNTIF(AP8:AP35,"13")+COUNTIF(AP8:AP35,"14")+COUNTIF(AP8:AP35,"15")+COUNTIF(AP8:AP35,"16")+COUNTIF(AP8:AP35,"17")+COUNTIF(AP8:AP35,"18")+COUNTIF(AP8:AP35,"19")+COUNTIF(AP8:AP35,"20")+COUNTIF(AP8:AP35,"21")+COUNTIF(AP8:AP35,"22")+COUNTIF(AP8:AP35,"23")+COUNTIF(AP8:AP35,"24")+COUNTIF(AP8:AP35,"25")+COUNTIF(AP8:AP35,"26")+COUNTIF(AP8:AP35,"27")+COUNTIF(AP8:AP35,"28"),"")</f>
        <v>25</v>
      </c>
      <c r="AQ36" s="32" t="str">
        <f t="shared" si="1"/>
        <v>LUGAR</v>
      </c>
      <c r="AR36" s="111" t="str">
        <f>IF(AR20&lt;&gt;"",IF(C8=AR20,G10,IF(C10=AR20,G10,IF(C16=AR20,G18,IF(C18=AR20,G18,IF(C38=AR20,G40,IF(C40=AR20,G40,IF(C46=AR20,G48,IF(C48=AR20,G48,IF(C24=AR20,G26,IF(C26=AR20,G26,IF(C32=AR20,G34,IF(C34=AR20,G34,IF(C54=AR20,G56,IF(C56=AR20,G56,IF(C62=AR20,G64,IF(C64=AR20,G64,IF(AK8=AR20,AI10,IF(AK10=AR20,AI10,IF(AK16=AR20,AI18,IF(AK18=AR20,AI18,IF(AK38=AR20,AI40,IF(AK40=AR20,AI40,IF(AK46=AR20,AI48,IF(AK48=AR20,AI48,IF(AK24=AR20,AI26,IF(AK26=AR20,AI26,IF(AK32=AR20,AI34,IF(AK34=AR20,AI34,IF(AK54=AR20,AI56,IF(AK56=AR20,AI56,IF(AK62=AR20,AI64,IF(AK64=AR20,AI64)))))))))))))))))))))))))))))))),"")</f>
        <v>LUCAS ANTONIO DA SILVA SOUZA</v>
      </c>
      <c r="AS36" s="33" t="str">
        <f>IFERROR(IF(AR36="","",VLOOKUP(AR36,LISTAS!$F$5:$G$1004,2,0)),"0")</f>
        <v>AMERICAN ACADEMY SCHOOL SBC</v>
      </c>
      <c r="AT36" s="33" t="str">
        <f t="shared" si="0"/>
        <v/>
      </c>
      <c r="AU36" s="33" t="str">
        <f t="shared" si="2"/>
        <v/>
      </c>
    </row>
    <row r="37" spans="2:47" ht="18" customHeight="1" thickBot="1" x14ac:dyDescent="0.3">
      <c r="B37" s="133"/>
      <c r="C37" s="188"/>
      <c r="D37" s="29"/>
      <c r="E37" s="101"/>
      <c r="F37" s="101"/>
      <c r="G37" s="190"/>
      <c r="H37" s="101"/>
      <c r="I37" s="101"/>
      <c r="J37" s="101"/>
      <c r="K37" s="190"/>
      <c r="L37" s="101"/>
      <c r="M37" s="138"/>
      <c r="N37" s="102"/>
      <c r="O37" s="162" t="str">
        <f>IF(L50&lt;&gt;"",IF(L52&lt;&gt;"",IF(L50=L52,"",IF(L50&gt;L52,K50,K52)),""),"")</f>
        <v>ENZO BENTO DURANTE DA COSTA</v>
      </c>
      <c r="P37" s="266">
        <v>0</v>
      </c>
      <c r="Q37" s="97"/>
      <c r="R37" s="165" t="str">
        <f>IFERROR(IF(R36="","",VLOOKUP(R36,LISTAS!$F$5:$G$1004,2,0)),"0")</f>
        <v>EDUCANDÁRIO - S.A</v>
      </c>
      <c r="S37" s="267"/>
      <c r="T37" s="269"/>
      <c r="U37" s="267"/>
      <c r="V37" s="165" t="str">
        <f>IFERROR(IF(V36="","",VLOOKUP(V36,LISTAS!$F$5:$G$1004,2,0)),"0")</f>
        <v>ESCOLA VILLARE</v>
      </c>
      <c r="W37" s="98"/>
      <c r="X37" s="266">
        <v>0</v>
      </c>
      <c r="Y37" s="162" t="str">
        <f>IF(AB50&lt;&gt;"",IF(AB52&lt;&gt;"",IF(AB50=AB52,"",IF(AB50&gt;AB52,AC50,AC52)),""),"")</f>
        <v>LORENZO VEZARO MONTINI</v>
      </c>
      <c r="Z37" s="98"/>
      <c r="AA37" s="37"/>
      <c r="AB37" s="29"/>
      <c r="AC37" s="198"/>
      <c r="AD37" s="100"/>
      <c r="AE37" s="100"/>
      <c r="AF37" s="100"/>
      <c r="AG37" s="197"/>
      <c r="AH37" s="100"/>
      <c r="AI37" s="100"/>
      <c r="AJ37" s="29"/>
      <c r="AK37" s="188"/>
      <c r="AL37" s="29"/>
      <c r="AP37" s="31" t="str">
        <f>IF(AR37&lt;&gt;"",1+COUNTIF(AP8:AP36,"1")+COUNTIF(AP8:AP36,"2")+COUNTIF(AP8:AP36,"3")+COUNTIF(AP8:AP36,"4")+COUNTIF(AP8:AP36,"5")+COUNTIF(AP8:AP36,"6")+COUNTIF(AP8:AP36,"7")+COUNTIF(AP8:AP36,"8")+COUNTIF(AP8:AP36,"9")+COUNTIF(AP8:AP36,"10")+COUNTIF(AP8:AP36,"11")+COUNTIF(AP8:AP36,"12")+COUNTIF(AP8:AP36,"13")+COUNTIF(AP8:AP36,"14")+COUNTIF(AP8:AP36,"15")+COUNTIF(AP8:AP36,"16")+COUNTIF(AP8:AP36,"17")+COUNTIF(AP8:AP36,"18")+COUNTIF(AP8:AP36,"19")+COUNTIF(AP8:AP36,"20")+COUNTIF(AP8:AP36,"21")+COUNTIF(AP8:AP36,"22")+COUNTIF(AP8:AP36,"23")+COUNTIF(AP8:AP36,"24")+COUNTIF(AP8:AP36,"25")+COUNTIF(AP8:AP36,"26")+COUNTIF(AP8:AP36,"27")+COUNTIF(AP8:AP36,"28")+COUNTIF(AP8:AP36,"29"),"")</f>
        <v/>
      </c>
      <c r="AQ37" s="32" t="str">
        <f t="shared" si="1"/>
        <v/>
      </c>
      <c r="AR37" s="111" t="str">
        <f>IF(AR21&lt;&gt;"",IF(C8=AR21,G10,IF(C10=AR21,G10,IF(C16=AR21,G18,IF(C18=AR21,G18,IF(C38=AR21,G40,IF(C40=AR21,G40,IF(C46=AR21,G48,IF(C48=AR21,G48,IF(C24=AR21,G26,IF(C26=AR21,G26,IF(C32=AR21,G34,IF(C34=AR21,G34,IF(C54=AR21,G56,IF(C56=AR21,G56,IF(C62=AR21,G64,IF(C64=AR21,G64,IF(AK8=AR21,AI10,IF(AK10=AR21,AI10,IF(AK16=AR21,AI18,IF(AK18=AR21,AI18,IF(AK38=AR21,AI40,IF(AK40=AR21,AI40,IF(AK46=AR21,AI48,IF(AK48=AR21,AI48,IF(AK24=AR21,AI26,IF(AK26=AR21,AI26,IF(AK32=AR21,AI34,IF(AK34=AR21,AI34,IF(AK54=AR21,AI56,IF(AK56=AR21,AI56,IF(AK62=AR21,AI64,IF(AK64=AR21,AI64)))))))))))))))))))))))))))))))),"")</f>
        <v/>
      </c>
      <c r="AS37" s="33" t="str">
        <f>IFERROR(IF(AR37="","",VLOOKUP(AR37,LISTAS!$F$5:$G$1004,2,0)),"0")</f>
        <v/>
      </c>
      <c r="AT37" s="33" t="str">
        <f t="shared" si="0"/>
        <v/>
      </c>
      <c r="AU37" s="33" t="str">
        <f t="shared" si="2"/>
        <v/>
      </c>
    </row>
    <row r="38" spans="2:47" ht="18" customHeight="1" thickBot="1" x14ac:dyDescent="0.3">
      <c r="B38" s="133">
        <v>5</v>
      </c>
      <c r="C38" s="162" t="str">
        <f>IF('09M GRP'!G5&gt;=3,'09M GRP'!J73,IF('09M GRP'!G5=2,"",IF('09M GRP'!G5=1,'09M GRP'!J12,"")))</f>
        <v>NICOLAS GRILLO HENRIQUE</v>
      </c>
      <c r="D38" s="266">
        <v>1</v>
      </c>
      <c r="E38" s="101">
        <f>IF(D38&lt;&gt;"",D38,"")</f>
        <v>1</v>
      </c>
      <c r="F38" s="101" t="str">
        <f>IF(D38&lt;&gt;"",IF(C38="","",C38),"")</f>
        <v>NICOLAS GRILLO HENRIQUE</v>
      </c>
      <c r="G38" s="190">
        <f>IF(E38&lt;&gt;"",IF(E40&lt;&gt;"",SMALL(E38:E40,1),""),"")</f>
        <v>0</v>
      </c>
      <c r="H38" s="101"/>
      <c r="I38" s="101"/>
      <c r="J38" s="101"/>
      <c r="K38" s="190"/>
      <c r="L38" s="101"/>
      <c r="M38" s="138"/>
      <c r="N38" s="100"/>
      <c r="O38" s="165" t="str">
        <f>IFERROR(IF(O37="","",VLOOKUP(O37,LISTAS!$F$5:$G$1004,2,0)),"0")</f>
        <v>AMERICAN ACADEMY SCHOOL SBC</v>
      </c>
      <c r="P38" s="267"/>
      <c r="Q38" s="85"/>
      <c r="R38" s="198"/>
      <c r="S38" s="37"/>
      <c r="T38" s="37"/>
      <c r="U38" s="37"/>
      <c r="V38" s="198"/>
      <c r="W38" s="37"/>
      <c r="X38" s="267"/>
      <c r="Y38" s="165" t="str">
        <f>IFERROR(IF(Y37="","",VLOOKUP(Y37,LISTAS!$F$5:$G$1004,2,0)),"0")</f>
        <v>COLÉGIO ARBOS - UNIDADE SANTO ANDRÉ</v>
      </c>
      <c r="Z38" s="94"/>
      <c r="AA38" s="37"/>
      <c r="AB38" s="29"/>
      <c r="AC38" s="198"/>
      <c r="AD38" s="100"/>
      <c r="AE38" s="100"/>
      <c r="AF38" s="100"/>
      <c r="AG38" s="197">
        <f>IF(AJ38&lt;&gt;"",AJ38,"")</f>
        <v>0</v>
      </c>
      <c r="AH38" s="100" t="str">
        <f>IF(AJ38&lt;&gt;"",IF(AK38="","",AK38),"")</f>
        <v>ARTHUR SARAIVA</v>
      </c>
      <c r="AI38" s="101">
        <f>IF(AG38&lt;&gt;"",IF(AG40&lt;&gt;"",SMALL(AG38:AG40,1),""),"")</f>
        <v>0</v>
      </c>
      <c r="AJ38" s="266">
        <v>0</v>
      </c>
      <c r="AK38" s="162" t="str">
        <f>IF('09M GRP'!G5&gt;=3,'09M GRP'!J99,IF('09M GRP'!G5=2,"",IF('09M GRP'!G5=1,"","")))</f>
        <v>ARTHUR SARAIVA</v>
      </c>
      <c r="AL38" s="29">
        <v>7</v>
      </c>
      <c r="AP38" s="31">
        <f>IF(AR38&lt;&gt;"",1+COUNTIF(AP8:AP37,"1")+COUNTIF(AP8:AP37,"2")+COUNTIF(AP8:AP37,"3")+COUNTIF(AP8:AP37,"4")+COUNTIF(AP8:AP37,"5")+COUNTIF(AP8:AP37,"6")+COUNTIF(AP8:AP37,"7")+COUNTIF(AP8:AP37,"8")+COUNTIF(AP8:AP37,"9")+COUNTIF(AP8:AP37,"10")+COUNTIF(AP8:AP37,"11")+COUNTIF(AP8:AP37,"12")+COUNTIF(AP8:AP37,"13")+COUNTIF(AP8:AP37,"14")+COUNTIF(AP8:AP37,"15")+COUNTIF(AP8:AP37,"16")+COUNTIF(AP8:AP37,"17")+COUNTIF(AP8:AP37,"18")+COUNTIF(AP8:AP37,"19")+COUNTIF(AP8:AP37,"20")+COUNTIF(AP8:AP37,"21")+COUNTIF(AP8:AP37,"22")+COUNTIF(AP8:AP37,"23")+COUNTIF(AP8:AP37,"24")+COUNTIF(AP8:AP37,"25")+COUNTIF(AP8:AP37,"26")+COUNTIF(AP8:AP37,"27")+COUNTIF(AP8:AP37,"28")+COUNTIF(AP8:AP37,"29")+COUNTIF(AP8:AP37,"30"),"")</f>
        <v>26</v>
      </c>
      <c r="AQ38" s="32" t="str">
        <f t="shared" si="1"/>
        <v>LUGAR</v>
      </c>
      <c r="AR38" s="111" t="str">
        <f>IF(AR22&lt;&gt;"",IF(C8=AR22,G10,IF(C10=AR22,G10,IF(C16=AR22,G18,IF(C18=AR22,G18,IF(C38=AR22,G40,IF(C40=AR22,G40,IF(C46=AR22,G48,IF(C48=AR22,G48,IF(C24=AR22,G26,IF(C26=AR22,G26,IF(C32=AR22,G34,IF(C34=AR22,G34,IF(C54=AR22,G56,IF(C56=AR22,G56,IF(C62=AR22,G64,IF(C64=AR22,G64,IF(AK8=AR22,AI10,IF(AK10=AR22,AI10,IF(AK16=AR22,AI18,IF(AK18=AR22,AI18,IF(AK38=AR22,AI40,IF(AK40=AR22,AI40,IF(AK46=AR22,AI48,IF(AK48=AR22,AI48,IF(AK24=AR22,AI26,IF(AK26=AR22,AI26,IF(AK32=AR22,AI34,IF(AK34=AR22,AI34,IF(AK54=AR22,AI56,IF(AK56=AR22,AI56,IF(AK62=AR22,AI64,IF(AK64=AR22,AI64)))))))))))))))))))))))))))))))),"")</f>
        <v>MATHEUS GONÇALVES SARDELARI</v>
      </c>
      <c r="AS38" s="33" t="str">
        <f>IFERROR(IF(AR38="","",VLOOKUP(AR38,LISTAS!$F$5:$G$1004,2,0)),"0")</f>
        <v>IEBURIX -SBC</v>
      </c>
      <c r="AT38" s="33" t="str">
        <f t="shared" si="0"/>
        <v/>
      </c>
      <c r="AU38" s="33" t="str">
        <f t="shared" si="2"/>
        <v/>
      </c>
    </row>
    <row r="39" spans="2:47" ht="18" customHeight="1" thickBot="1" x14ac:dyDescent="0.3">
      <c r="B39" s="133"/>
      <c r="C39" s="165" t="str">
        <f>IFERROR(IF(C38="","",VLOOKUP(C38,LISTAS!$F$5:$G$1004,2,0)),"0")</f>
        <v>PEN LIFE</v>
      </c>
      <c r="D39" s="267"/>
      <c r="E39" s="101"/>
      <c r="F39" s="101"/>
      <c r="G39" s="190"/>
      <c r="H39" s="101"/>
      <c r="I39" s="101"/>
      <c r="J39" s="101"/>
      <c r="K39" s="190"/>
      <c r="L39" s="101"/>
      <c r="M39" s="138"/>
      <c r="N39" s="100"/>
      <c r="O39" s="197"/>
      <c r="P39" s="100"/>
      <c r="Q39" s="100"/>
      <c r="R39" s="198"/>
      <c r="S39" s="37"/>
      <c r="T39" s="37"/>
      <c r="U39" s="37"/>
      <c r="V39" s="198"/>
      <c r="W39" s="37"/>
      <c r="X39" s="86"/>
      <c r="Y39" s="198"/>
      <c r="Z39" s="94"/>
      <c r="AA39" s="37"/>
      <c r="AB39" s="29"/>
      <c r="AC39" s="198"/>
      <c r="AD39" s="100"/>
      <c r="AE39" s="100"/>
      <c r="AF39" s="100"/>
      <c r="AG39" s="197"/>
      <c r="AH39" s="100"/>
      <c r="AI39" s="101"/>
      <c r="AJ39" s="267"/>
      <c r="AK39" s="165" t="str">
        <f>IFERROR(IF(AK38="","",VLOOKUP(AK38,LISTAS!$F$5:$G$1004,2,0)),"0")</f>
        <v>COLÉGIO ATENEU</v>
      </c>
      <c r="AL39" s="29"/>
      <c r="AP39" s="31" t="str">
        <f>IF(AR39&lt;&gt;"",1+COUNTIF(AP8:AP38,"1")+COUNTIF(AP8:AP38,"2")+COUNTIF(AP8:AP38,"3")+COUNTIF(AP8:AP38,"4")+COUNTIF(AP8:AP38,"5")+COUNTIF(AP8:AP38,"6")+COUNTIF(AP8:AP38,"7")+COUNTIF(AP8:AP38,"8")+COUNTIF(AP8:AP38,"9")+COUNTIF(AP8:AP38,"10")+COUNTIF(AP8:AP38,"11")+COUNTIF(AP8:AP38,"12")+COUNTIF(AP8:AP38,"13")+COUNTIF(AP8:AP38,"14")+COUNTIF(AP8:AP38,"15")+COUNTIF(AP8:AP38,"16")+COUNTIF(AP8:AP38,"17")+COUNTIF(AP8:AP38,"18")+COUNTIF(AP8:AP38,"19")+COUNTIF(AP8:AP38,"20")+COUNTIF(AP8:AP38,"21")+COUNTIF(AP8:AP38,"22")+COUNTIF(AP8:AP38,"23")+COUNTIF(AP8:AP38,"24")+COUNTIF(AP8:AP38,"25")+COUNTIF(AP8:AP38,"26")+COUNTIF(AP8:AP38,"27")+COUNTIF(AP8:AP38,"28")+COUNTIF(AP8:AP38,"29")+COUNTIF(AP8:AP38,"30")+COUNTIF(AP8:AP38,"31"),"")</f>
        <v/>
      </c>
      <c r="AQ39" s="32" t="str">
        <f t="shared" si="1"/>
        <v/>
      </c>
      <c r="AR39" s="111" t="str">
        <f>IF(AR23&lt;&gt;"",IF(C8=AR23,G10,IF(C10=AR23,G10,IF(C16=AR23,G18,IF(C18=AR23,G18,IF(C38=AR23,G40,IF(C40=AR23,G40,IF(C46=AR23,G48,IF(C48=AR23,G48,IF(C24=AR23,G26,IF(C26=AR23,G26,IF(C32=AR23,G34,IF(C34=AR23,G34,IF(C54=AR23,G56,IF(C56=AR23,G56,IF(C62=AR23,G64,IF(C64=AR23,G64,IF(AK8=AR23,AI10,IF(AK10=AR23,AI10,IF(AK16=AR23,AI18,IF(AK18=AR23,AI18,IF(AK38=AR23,AI40,IF(AK40=AR23,AI40,IF(AK46=AR23,AI48,IF(AK48=AR23,AI48,IF(AK24=AR23,AI26,IF(AK26=AR23,AI26,IF(AK32=AR23,AI34,IF(AK34=AR23,AI34,IF(AK54=AR23,AI56,IF(AK56=AR23,AI56,IF(AK62=AR23,AI64,IF(AK64=AR23,AI64)))))))))))))))))))))))))))))))),"")</f>
        <v/>
      </c>
      <c r="AS39" s="33" t="str">
        <f>IFERROR(IF(AR39="","",VLOOKUP(AR39,LISTAS!$F$5:$G$1004,2,0)),"0")</f>
        <v/>
      </c>
      <c r="AT39" s="33" t="str">
        <f>IF(AP39="","",IF(AP39=1,400,IF(AP39=2,340,IF(AP39=3,300,IF(AP39=4,280,IF(AP39=5,270,IF(AP39=6,260,IF(AP39=7,250,IF(AP39=8,240,IF(AP39=9,200,IF(AP39=10,200,IF(AP39=11,200,IF(AP39=12,200,IF(AP39=13,200,IF(AP39=14,200,IF(AP39=15,200,IF(AP39=16,200,IF(AP39&gt;16,"",""))))))))))))))))))</f>
        <v/>
      </c>
      <c r="AU39" s="33" t="str">
        <f>IF(AP39="","",IF($AS$5="NÃO","",IF(AP39=1,400,IF(AP39=2,340,IF(AP39=3,300,IF(AP39=4,280,IF(AP39=5,270,IF(AP39=6,260,IF(AP39=7,250,IF(AP39=8,240,IF(AP39=9,200,IF(AP39=10,200,IF(AP39=11,200,IF(AP39=12,200,IF(AP39=13,200,IF(AP39=14,200,IF(AP39=15,200,IF(AP39=16,200,IF(AP39&gt;16,"","")))))))))))))))))))</f>
        <v/>
      </c>
    </row>
    <row r="40" spans="2:47" ht="18" customHeight="1" x14ac:dyDescent="0.25">
      <c r="B40" s="133">
        <v>28</v>
      </c>
      <c r="C40" s="162" t="str">
        <f>IF('09M GRP'!G5&gt;=3,'09M GRP'!J372,IF('09M GRP'!G5=2,"",IF('09M GRP'!G5=1,"","")))</f>
        <v/>
      </c>
      <c r="D40" s="266">
        <v>0</v>
      </c>
      <c r="E40" s="107">
        <f>IF(D40&lt;&gt;"",D40,"")</f>
        <v>0</v>
      </c>
      <c r="F40" s="101" t="str">
        <f>IF(D40&lt;&gt;"",IF(C40="","",C40),"")</f>
        <v/>
      </c>
      <c r="G40" s="190" t="str">
        <f>VLOOKUP(G38,E38:F40,2,0)</f>
        <v/>
      </c>
      <c r="H40" s="101"/>
      <c r="I40" s="101"/>
      <c r="J40" s="101"/>
      <c r="K40" s="190"/>
      <c r="L40" s="101"/>
      <c r="M40" s="138"/>
      <c r="N40" s="101">
        <f>IF(P35&lt;&gt;"",P35,"")</f>
        <v>1</v>
      </c>
      <c r="O40" s="190" t="str">
        <f>IF(P35&lt;&gt;"",O35,"")</f>
        <v>THEO AIOLFI CASTRO</v>
      </c>
      <c r="P40" s="101">
        <f>IF(N40&lt;&gt;"",IF(N42&lt;&gt;"",LARGE(N40:N42,1),""),"")</f>
        <v>1</v>
      </c>
      <c r="Q40" s="100"/>
      <c r="R40" s="198"/>
      <c r="S40" s="37"/>
      <c r="T40" s="37"/>
      <c r="U40" s="37"/>
      <c r="V40" s="198"/>
      <c r="W40" s="37"/>
      <c r="X40" s="86"/>
      <c r="Y40" s="198"/>
      <c r="Z40" s="94"/>
      <c r="AA40" s="37"/>
      <c r="AB40" s="29"/>
      <c r="AC40" s="198"/>
      <c r="AD40" s="100"/>
      <c r="AE40" s="100"/>
      <c r="AF40" s="100"/>
      <c r="AG40" s="197">
        <f>IF(AJ40&lt;&gt;"",AJ40,"")</f>
        <v>1</v>
      </c>
      <c r="AH40" s="100" t="str">
        <f>IF(AJ40&lt;&gt;"",IF(AK40="","",AK40),"")</f>
        <v>BERNARDO ROMA</v>
      </c>
      <c r="AI40" s="102" t="str">
        <f>VLOOKUP(AI38,AG38:AH40,2,0)</f>
        <v>ARTHUR SARAIVA</v>
      </c>
      <c r="AJ40" s="266">
        <v>1</v>
      </c>
      <c r="AK40" s="162" t="str">
        <f>IF('09M GRP'!G5&gt;=3,'09M GRP'!J346,IF('09M GRP'!G5=2,"",IF('09M GRP'!G5=1,"","")))</f>
        <v>BERNARDO ROMA</v>
      </c>
      <c r="AL40" s="29">
        <v>26</v>
      </c>
    </row>
    <row r="41" spans="2:47" ht="18" customHeight="1" thickBot="1" x14ac:dyDescent="0.3">
      <c r="B41" s="133"/>
      <c r="C41" s="165" t="str">
        <f>IFERROR(IF(C40="","",VLOOKUP(C40,LISTAS!$F$5:$G$1004,2,0)),"0")</f>
        <v/>
      </c>
      <c r="D41" s="267"/>
      <c r="E41" s="148"/>
      <c r="F41" s="101"/>
      <c r="G41" s="190"/>
      <c r="H41" s="101"/>
      <c r="I41" s="101"/>
      <c r="J41" s="101"/>
      <c r="K41" s="190"/>
      <c r="L41" s="101"/>
      <c r="M41" s="138"/>
      <c r="N41" s="101"/>
      <c r="O41" s="190"/>
      <c r="P41" s="101"/>
      <c r="Q41" s="100"/>
      <c r="R41" s="198"/>
      <c r="S41" s="37"/>
      <c r="T41" s="37"/>
      <c r="U41" s="37"/>
      <c r="V41" s="198"/>
      <c r="W41" s="37"/>
      <c r="X41" s="86"/>
      <c r="Y41" s="198"/>
      <c r="Z41" s="94"/>
      <c r="AA41" s="37"/>
      <c r="AB41" s="29"/>
      <c r="AC41" s="198"/>
      <c r="AD41" s="100"/>
      <c r="AE41" s="100"/>
      <c r="AF41" s="100"/>
      <c r="AG41" s="197"/>
      <c r="AH41" s="100"/>
      <c r="AI41" s="142"/>
      <c r="AJ41" s="267"/>
      <c r="AK41" s="165" t="str">
        <f>IFERROR(IF(AK40="","",VLOOKUP(AK40,LISTAS!$F$5:$G$1004,2,0)),"0")</f>
        <v>PEN LIFE</v>
      </c>
      <c r="AL41" s="29"/>
    </row>
    <row r="42" spans="2:47" ht="45" x14ac:dyDescent="0.25">
      <c r="B42" s="133"/>
      <c r="C42" s="188"/>
      <c r="D42" s="29"/>
      <c r="E42" s="29"/>
      <c r="F42" s="34"/>
      <c r="G42" s="162" t="str">
        <f>IF(D38&lt;&gt;"",IF(D40&lt;&gt;"",IF(D38=D40,"",IF(D38&gt;D40,C38,C40)),""),"")</f>
        <v>NICOLAS GRILLO HENRIQUE</v>
      </c>
      <c r="H42" s="266">
        <v>0</v>
      </c>
      <c r="I42" s="101">
        <f>IF(H42&lt;&gt;"",H42,"")</f>
        <v>0</v>
      </c>
      <c r="J42" s="101" t="str">
        <f>IF(H42&lt;&gt;"",IF(G42="","",G42),"")</f>
        <v>NICOLAS GRILLO HENRIQUE</v>
      </c>
      <c r="K42" s="190">
        <f>IF(I42&lt;&gt;"",IF(I44&lt;&gt;"",SMALL(I42:J44,1),""),"")</f>
        <v>0</v>
      </c>
      <c r="L42" s="101"/>
      <c r="M42" s="138"/>
      <c r="N42" s="101">
        <f>IF(P37&lt;&gt;"",P37,"")</f>
        <v>0</v>
      </c>
      <c r="O42" s="190" t="str">
        <f>IF(P37&lt;&gt;"",O37,"")</f>
        <v>ENZO BENTO DURANTE DA COSTA</v>
      </c>
      <c r="P42" s="101" t="str">
        <f>VLOOKUP(P40,N40:O42,2,0)</f>
        <v>THEO AIOLFI CASTRO</v>
      </c>
      <c r="Q42" s="100"/>
      <c r="R42" s="198"/>
      <c r="S42" s="37"/>
      <c r="T42" s="37"/>
      <c r="U42" s="37"/>
      <c r="V42" s="198"/>
      <c r="W42" s="37"/>
      <c r="X42" s="86"/>
      <c r="Y42" s="198"/>
      <c r="Z42" s="94"/>
      <c r="AA42" s="37"/>
      <c r="AB42" s="29"/>
      <c r="AC42" s="198"/>
      <c r="AD42" s="37"/>
      <c r="AE42" s="95"/>
      <c r="AF42" s="266">
        <v>1</v>
      </c>
      <c r="AG42" s="162" t="str">
        <f>IF(AJ38&lt;&gt;"",IF(AJ40&lt;&gt;"",IF(AJ38=AJ40,"",IF(AJ38&gt;AJ40,AK38,AK40)),""),"")</f>
        <v>BERNARDO ROMA</v>
      </c>
      <c r="AH42" s="94"/>
      <c r="AI42" s="37"/>
      <c r="AJ42" s="29"/>
      <c r="AK42" s="188"/>
      <c r="AL42" s="29"/>
    </row>
    <row r="43" spans="2:47" ht="17.25" thickBot="1" x14ac:dyDescent="0.3">
      <c r="B43" s="133"/>
      <c r="C43" s="188"/>
      <c r="D43" s="29"/>
      <c r="E43" s="29"/>
      <c r="F43" s="34"/>
      <c r="G43" s="165" t="str">
        <f>IFERROR(IF(G42="","",VLOOKUP(G42,LISTAS!$F$5:$G$1004,2,0)),"0")</f>
        <v>PEN LIFE</v>
      </c>
      <c r="H43" s="267"/>
      <c r="I43" s="101"/>
      <c r="J43" s="101"/>
      <c r="K43" s="190"/>
      <c r="L43" s="101"/>
      <c r="M43" s="138"/>
      <c r="N43" s="101"/>
      <c r="O43" s="190"/>
      <c r="P43" s="101"/>
      <c r="Q43" s="100"/>
      <c r="R43" s="198"/>
      <c r="S43" s="37"/>
      <c r="T43" s="37"/>
      <c r="U43" s="37"/>
      <c r="V43" s="198"/>
      <c r="W43" s="37"/>
      <c r="X43" s="86"/>
      <c r="Y43" s="198"/>
      <c r="Z43" s="94"/>
      <c r="AA43" s="37"/>
      <c r="AB43" s="29"/>
      <c r="AC43" s="198"/>
      <c r="AD43" s="37"/>
      <c r="AE43" s="95"/>
      <c r="AF43" s="267"/>
      <c r="AG43" s="165" t="str">
        <f>IFERROR(IF(AG42="","",VLOOKUP(AG42,LISTAS!$F$5:$G$1004,2,0)),"0")</f>
        <v>PEN LIFE</v>
      </c>
      <c r="AH43" s="94"/>
      <c r="AI43" s="37"/>
      <c r="AJ43" s="29"/>
      <c r="AK43" s="188"/>
      <c r="AL43" s="29"/>
    </row>
    <row r="44" spans="2:47" ht="18" customHeight="1" x14ac:dyDescent="0.25">
      <c r="B44" s="133"/>
      <c r="C44" s="188"/>
      <c r="D44" s="29"/>
      <c r="E44" s="35"/>
      <c r="F44" s="36"/>
      <c r="G44" s="162" t="str">
        <f>IF(D46&lt;&gt;"",IF(D48&lt;&gt;"",IF(D46=D48,"",IF(D46&gt;D48,C46,C48)),""),"")</f>
        <v>MATHEUS MAIA JAWORSKY</v>
      </c>
      <c r="H44" s="266">
        <v>1</v>
      </c>
      <c r="I44" s="107">
        <f>IF(H44&lt;&gt;"",H44,"")</f>
        <v>1</v>
      </c>
      <c r="J44" s="101" t="str">
        <f>IF(H44&lt;&gt;"",IF(G44="","",G44),"")</f>
        <v>MATHEUS MAIA JAWORSKY</v>
      </c>
      <c r="K44" s="190" t="str">
        <f>VLOOKUP(K42,I42:J44,2,0)</f>
        <v>NICOLAS GRILLO HENRIQUE</v>
      </c>
      <c r="L44" s="101"/>
      <c r="M44" s="138"/>
      <c r="N44" s="101">
        <f>IF(P35&lt;&gt;"",P35,"")</f>
        <v>1</v>
      </c>
      <c r="O44" s="190" t="str">
        <f>IF(P35&lt;&gt;"",O35,"")</f>
        <v>THEO AIOLFI CASTRO</v>
      </c>
      <c r="P44" s="101">
        <f>IF(N44&lt;&gt;"",IF(N46&lt;&gt;"",SMALL(N44:N46,1),""),"")</f>
        <v>0</v>
      </c>
      <c r="Q44" s="100"/>
      <c r="R44" s="198"/>
      <c r="S44" s="37"/>
      <c r="T44" s="37"/>
      <c r="U44" s="37"/>
      <c r="V44" s="198"/>
      <c r="W44" s="37"/>
      <c r="X44" s="86"/>
      <c r="Y44" s="198"/>
      <c r="Z44" s="94"/>
      <c r="AA44" s="37"/>
      <c r="AB44" s="29"/>
      <c r="AC44" s="198"/>
      <c r="AD44" s="94"/>
      <c r="AE44" s="96"/>
      <c r="AF44" s="266">
        <v>0</v>
      </c>
      <c r="AG44" s="162" t="str">
        <f>IF(AJ46&lt;&gt;"",IF(AJ48&lt;&gt;"",IF(AJ46=AJ48,"",IF(AJ46&gt;AJ48,AK46,AK48)),""),"")</f>
        <v>LORENZO FONTOURA DA SILVA</v>
      </c>
      <c r="AH44" s="98"/>
      <c r="AI44" s="37"/>
      <c r="AJ44" s="29"/>
      <c r="AK44" s="188"/>
      <c r="AL44" s="29"/>
    </row>
    <row r="45" spans="2:47" ht="18" customHeight="1" thickBot="1" x14ac:dyDescent="0.3">
      <c r="B45" s="133"/>
      <c r="C45" s="188"/>
      <c r="D45" s="29"/>
      <c r="E45" s="35"/>
      <c r="F45" s="29"/>
      <c r="G45" s="165" t="str">
        <f>IFERROR(IF(G44="","",VLOOKUP(G44,LISTAS!$F$5:$G$1004,2,0)),"0")</f>
        <v>COLÉGIO ARBOS - UNIDADE SANTO ANDRÉ</v>
      </c>
      <c r="H45" s="267"/>
      <c r="I45" s="138"/>
      <c r="J45" s="101"/>
      <c r="K45" s="190"/>
      <c r="L45" s="101"/>
      <c r="M45" s="138"/>
      <c r="N45" s="101"/>
      <c r="O45" s="190"/>
      <c r="P45" s="101"/>
      <c r="Q45" s="100"/>
      <c r="R45" s="198"/>
      <c r="S45" s="37"/>
      <c r="T45" s="37"/>
      <c r="U45" s="37"/>
      <c r="V45" s="198"/>
      <c r="W45" s="37"/>
      <c r="X45" s="86"/>
      <c r="Y45" s="198"/>
      <c r="Z45" s="37"/>
      <c r="AA45" s="89"/>
      <c r="AB45" s="29"/>
      <c r="AC45" s="198"/>
      <c r="AD45" s="94"/>
      <c r="AE45" s="37"/>
      <c r="AF45" s="267"/>
      <c r="AG45" s="165" t="str">
        <f>IFERROR(IF(AG44="","",VLOOKUP(AG44,LISTAS!$F$5:$G$1004,2,0)),"0")</f>
        <v>AMERICAN ACADEMY SCHOOL SBC</v>
      </c>
      <c r="AH45" s="37"/>
      <c r="AI45" s="89"/>
      <c r="AJ45" s="29"/>
      <c r="AK45" s="188"/>
      <c r="AL45" s="29"/>
    </row>
    <row r="46" spans="2:47" ht="18" customHeight="1" x14ac:dyDescent="0.25">
      <c r="B46" s="133">
        <v>12</v>
      </c>
      <c r="C46" s="162" t="str">
        <f>IF('09M GRP'!G5&gt;=3,'09M GRP'!J164,IF('09M GRP'!G5=2,"",IF('09M GRP'!G5=1,"","")))</f>
        <v>ARTHUR HENRIQUE ROJA</v>
      </c>
      <c r="D46" s="266">
        <v>0</v>
      </c>
      <c r="E46" s="148">
        <f>IF(D46&lt;&gt;"",D46,"")</f>
        <v>0</v>
      </c>
      <c r="F46" s="101" t="str">
        <f>IF(D46&lt;&gt;"",IF(C46="","",C46),"")</f>
        <v>ARTHUR HENRIQUE ROJA</v>
      </c>
      <c r="G46" s="190">
        <f>IF(E46&lt;&gt;"",IF(E48&lt;&gt;"",SMALL(E46:E48,1),""),"")</f>
        <v>0</v>
      </c>
      <c r="H46" s="101"/>
      <c r="I46" s="138"/>
      <c r="J46" s="101"/>
      <c r="K46" s="190"/>
      <c r="L46" s="101"/>
      <c r="M46" s="138"/>
      <c r="N46" s="101">
        <f>IF(P37&lt;&gt;"",P37,"")</f>
        <v>0</v>
      </c>
      <c r="O46" s="190" t="str">
        <f>IF(P37&lt;&gt;"",O37,"")</f>
        <v>ENZO BENTO DURANTE DA COSTA</v>
      </c>
      <c r="P46" s="101" t="str">
        <f>VLOOKUP(P44,N44:O46,2,0)</f>
        <v>ENZO BENTO DURANTE DA COSTA</v>
      </c>
      <c r="Q46" s="100"/>
      <c r="R46" s="198"/>
      <c r="S46" s="37"/>
      <c r="T46" s="37"/>
      <c r="U46" s="37"/>
      <c r="V46" s="198"/>
      <c r="W46" s="37"/>
      <c r="X46" s="86"/>
      <c r="Y46" s="198"/>
      <c r="Z46" s="37"/>
      <c r="AA46" s="89"/>
      <c r="AB46" s="29"/>
      <c r="AC46" s="198"/>
      <c r="AD46" s="94"/>
      <c r="AE46" s="100"/>
      <c r="AF46" s="100"/>
      <c r="AG46" s="197">
        <f>IF(AJ46&lt;&gt;"",AJ46,"")</f>
        <v>1</v>
      </c>
      <c r="AH46" s="100" t="str">
        <f>IF(AJ46&lt;&gt;"",IF(AK46="","",AK46),"")</f>
        <v>LORENZO FONTOURA DA SILVA</v>
      </c>
      <c r="AI46" s="137">
        <f>IF(AG46&lt;&gt;"",IF(AG48&lt;&gt;"",SMALL(AG46:AG48,1),""),"")</f>
        <v>0</v>
      </c>
      <c r="AJ46" s="266">
        <v>1</v>
      </c>
      <c r="AK46" s="162" t="str">
        <f>IF('09M GRP'!G5&gt;=3,'09M GRP'!J138,IF('09M GRP'!G5=2,"",IF('09M GRP'!G5=1,"","")))</f>
        <v>LORENZO FONTOURA DA SILVA</v>
      </c>
      <c r="AL46" s="29">
        <v>10</v>
      </c>
    </row>
    <row r="47" spans="2:47" ht="18" customHeight="1" thickBot="1" x14ac:dyDescent="0.3">
      <c r="B47" s="133"/>
      <c r="C47" s="165" t="str">
        <f>IFERROR(IF(C46="","",VLOOKUP(C46,LISTAS!$F$5:$G$1004,2,0)),"0")</f>
        <v>ESCOLA VILLARE</v>
      </c>
      <c r="D47" s="267"/>
      <c r="E47" s="105"/>
      <c r="F47" s="101"/>
      <c r="G47" s="190"/>
      <c r="H47" s="101"/>
      <c r="I47" s="138"/>
      <c r="J47" s="101"/>
      <c r="K47" s="190"/>
      <c r="L47" s="101"/>
      <c r="M47" s="138"/>
      <c r="N47" s="101"/>
      <c r="O47" s="190"/>
      <c r="P47" s="101"/>
      <c r="Q47" s="100"/>
      <c r="R47" s="198"/>
      <c r="S47" s="37"/>
      <c r="T47" s="37"/>
      <c r="U47" s="37"/>
      <c r="V47" s="198"/>
      <c r="W47" s="37"/>
      <c r="X47" s="86"/>
      <c r="Y47" s="198"/>
      <c r="Z47" s="37"/>
      <c r="AA47" s="89"/>
      <c r="AB47" s="29"/>
      <c r="AC47" s="198"/>
      <c r="AD47" s="94"/>
      <c r="AE47" s="100"/>
      <c r="AF47" s="100"/>
      <c r="AG47" s="197"/>
      <c r="AH47" s="100"/>
      <c r="AI47" s="143"/>
      <c r="AJ47" s="267"/>
      <c r="AK47" s="165" t="str">
        <f>IFERROR(IF(AK46="","",VLOOKUP(AK46,LISTAS!$F$5:$G$1004,2,0)),"0")</f>
        <v>AMERICAN ACADEMY SCHOOL SBC</v>
      </c>
      <c r="AL47" s="29"/>
    </row>
    <row r="48" spans="2:47" ht="18" customHeight="1" x14ac:dyDescent="0.25">
      <c r="B48" s="133">
        <v>21</v>
      </c>
      <c r="C48" s="162" t="str">
        <f>IF('09M GRP'!G5&gt;=3,'09M GRP'!J281,IF('09M GRP'!G5=2,"",IF('09M GRP'!G5=1,"","")))</f>
        <v>MATHEUS MAIA JAWORSKY</v>
      </c>
      <c r="D48" s="266">
        <v>1</v>
      </c>
      <c r="E48" s="106">
        <f>IF(D48&lt;&gt;"",D48,"")</f>
        <v>1</v>
      </c>
      <c r="F48" s="101" t="str">
        <f>IF(D48&lt;&gt;"",IF(C48="","",C48),"")</f>
        <v>MATHEUS MAIA JAWORSKY</v>
      </c>
      <c r="G48" s="190" t="str">
        <f>VLOOKUP(G46,E46:F48,2,0)</f>
        <v>ARTHUR HENRIQUE ROJA</v>
      </c>
      <c r="H48" s="101"/>
      <c r="I48" s="138"/>
      <c r="J48" s="101"/>
      <c r="K48" s="190"/>
      <c r="L48" s="101"/>
      <c r="M48" s="138"/>
      <c r="N48" s="101"/>
      <c r="O48" s="190"/>
      <c r="P48" s="101"/>
      <c r="Q48" s="100"/>
      <c r="R48" s="198"/>
      <c r="S48" s="37"/>
      <c r="T48" s="37"/>
      <c r="U48" s="37"/>
      <c r="V48" s="198"/>
      <c r="W48" s="37"/>
      <c r="X48" s="86"/>
      <c r="Y48" s="198"/>
      <c r="Z48" s="37"/>
      <c r="AA48" s="89"/>
      <c r="AB48" s="29"/>
      <c r="AC48" s="198"/>
      <c r="AD48" s="94"/>
      <c r="AE48" s="100"/>
      <c r="AF48" s="100"/>
      <c r="AG48" s="197">
        <f>IF(AJ48&lt;&gt;"",AJ48,"")</f>
        <v>0</v>
      </c>
      <c r="AH48" s="100" t="str">
        <f>IF(AJ48&lt;&gt;"",IF(AK48="","",AK48),"")</f>
        <v>MATHEUS GONÇALVES SARDELARI</v>
      </c>
      <c r="AI48" s="145" t="str">
        <f>VLOOKUP(AI46,AG46:AH48,2,0)</f>
        <v>MATHEUS GONÇALVES SARDELARI</v>
      </c>
      <c r="AJ48" s="266">
        <v>0</v>
      </c>
      <c r="AK48" s="162" t="str">
        <f>IF('09M GRP'!G5&gt;=3,'09M GRP'!J307,IF('09M GRP'!G5=2,"",IF('09M GRP'!G5=1,"","")))</f>
        <v>MATHEUS GONÇALVES SARDELARI</v>
      </c>
      <c r="AL48" s="29">
        <v>23</v>
      </c>
    </row>
    <row r="49" spans="2:41" ht="18" customHeight="1" thickBot="1" x14ac:dyDescent="0.3">
      <c r="B49" s="133"/>
      <c r="C49" s="165" t="str">
        <f>IFERROR(IF(C48="","",VLOOKUP(C48,LISTAS!$F$5:$G$1004,2,0)),"0")</f>
        <v>COLÉGIO ARBOS - UNIDADE SANTO ANDRÉ</v>
      </c>
      <c r="D49" s="267"/>
      <c r="E49" s="101"/>
      <c r="F49" s="101"/>
      <c r="G49" s="190"/>
      <c r="H49" s="101"/>
      <c r="I49" s="138"/>
      <c r="J49" s="101"/>
      <c r="K49" s="190"/>
      <c r="L49" s="101"/>
      <c r="M49" s="138"/>
      <c r="N49" s="101"/>
      <c r="O49" s="190"/>
      <c r="P49" s="101"/>
      <c r="Q49" s="100"/>
      <c r="R49" s="198"/>
      <c r="S49" s="37"/>
      <c r="T49" s="37"/>
      <c r="U49" s="37"/>
      <c r="V49" s="198"/>
      <c r="W49" s="37"/>
      <c r="X49" s="86"/>
      <c r="Y49" s="198"/>
      <c r="Z49" s="37"/>
      <c r="AA49" s="89"/>
      <c r="AB49" s="29"/>
      <c r="AC49" s="198"/>
      <c r="AD49" s="94"/>
      <c r="AE49" s="100"/>
      <c r="AF49" s="100"/>
      <c r="AG49" s="197"/>
      <c r="AH49" s="100"/>
      <c r="AI49" s="101"/>
      <c r="AJ49" s="267"/>
      <c r="AK49" s="165" t="str">
        <f>IFERROR(IF(AK48="","",VLOOKUP(AK48,LISTAS!$F$5:$G$1004,2,0)),"0")</f>
        <v>IEBURIX -SBC</v>
      </c>
      <c r="AL49" s="29"/>
    </row>
    <row r="50" spans="2:41" ht="18" customHeight="1" x14ac:dyDescent="0.25">
      <c r="B50" s="133"/>
      <c r="C50" s="188"/>
      <c r="D50" s="29"/>
      <c r="E50" s="101"/>
      <c r="F50" s="101"/>
      <c r="G50" s="190"/>
      <c r="H50" s="101"/>
      <c r="I50" s="138"/>
      <c r="J50" s="101"/>
      <c r="K50" s="162" t="str">
        <f>IF(H42&lt;&gt;"",IF(H44&lt;&gt;"",IF(H42=H44,"",IF(H42&gt;H44,G42,G44)),""),"")</f>
        <v>MATHEUS MAIA JAWORSKY</v>
      </c>
      <c r="L50" s="266">
        <v>0</v>
      </c>
      <c r="M50" s="148">
        <f>IF(L50&lt;&gt;"",L50,"")</f>
        <v>0</v>
      </c>
      <c r="N50" s="101" t="str">
        <f>IF(L50&lt;&gt;"",IF(K50="","",K50),"")</f>
        <v>MATHEUS MAIA JAWORSKY</v>
      </c>
      <c r="O50" s="190">
        <f>IF(M50&lt;&gt;"",IF(M52&lt;&gt;"",SMALL(M50:N52,1),""),"")</f>
        <v>0</v>
      </c>
      <c r="P50" s="101"/>
      <c r="Q50" s="88"/>
      <c r="R50" s="198"/>
      <c r="S50" s="37"/>
      <c r="T50" s="37"/>
      <c r="U50" s="37"/>
      <c r="V50" s="198"/>
      <c r="W50" s="37"/>
      <c r="X50" s="86"/>
      <c r="Y50" s="198"/>
      <c r="Z50" s="37"/>
      <c r="AA50" s="89"/>
      <c r="AB50" s="266">
        <v>0</v>
      </c>
      <c r="AC50" s="162" t="str">
        <f>IF(AF42&lt;&gt;"",IF(AF44&lt;&gt;"",IF(AF42=AF44,"",IF(AF42&gt;AF44,AG42,AG44)),""),"")</f>
        <v>BERNARDO ROMA</v>
      </c>
      <c r="AD50" s="141"/>
      <c r="AE50" s="100"/>
      <c r="AF50" s="100"/>
      <c r="AG50" s="197"/>
      <c r="AH50" s="100"/>
      <c r="AI50" s="100"/>
      <c r="AJ50" s="29"/>
      <c r="AK50" s="188"/>
      <c r="AL50" s="29"/>
    </row>
    <row r="51" spans="2:41" ht="18" customHeight="1" thickBot="1" x14ac:dyDescent="0.3">
      <c r="B51" s="133"/>
      <c r="C51" s="188"/>
      <c r="D51" s="29"/>
      <c r="E51" s="101"/>
      <c r="F51" s="101"/>
      <c r="G51" s="190"/>
      <c r="H51" s="101"/>
      <c r="I51" s="138"/>
      <c r="J51" s="101"/>
      <c r="K51" s="165" t="str">
        <f>IFERROR(IF(K50="","",VLOOKUP(K50,LISTAS!$F$5:$G$1004,2,0)),"0")</f>
        <v>COLÉGIO ARBOS - UNIDADE SANTO ANDRÉ</v>
      </c>
      <c r="L51" s="267"/>
      <c r="M51" s="105"/>
      <c r="N51" s="101"/>
      <c r="O51" s="190"/>
      <c r="P51" s="101"/>
      <c r="Q51" s="88"/>
      <c r="R51" s="198"/>
      <c r="S51" s="37"/>
      <c r="T51" s="37"/>
      <c r="U51" s="37"/>
      <c r="V51" s="198"/>
      <c r="W51" s="37"/>
      <c r="X51" s="86"/>
      <c r="Y51" s="198"/>
      <c r="Z51" s="37"/>
      <c r="AA51" s="139"/>
      <c r="AB51" s="267"/>
      <c r="AC51" s="165" t="str">
        <f>IFERROR(IF(AC50="","",VLOOKUP(AC50,LISTAS!$F$5:$G$1004,2,0)),"0")</f>
        <v>PEN LIFE</v>
      </c>
      <c r="AD51" s="37"/>
      <c r="AE51" s="144"/>
      <c r="AF51" s="100"/>
      <c r="AG51" s="197"/>
      <c r="AH51" s="100"/>
      <c r="AI51" s="100"/>
      <c r="AJ51" s="29"/>
      <c r="AK51" s="188"/>
      <c r="AL51" s="29"/>
    </row>
    <row r="52" spans="2:41" ht="18" customHeight="1" x14ac:dyDescent="0.25">
      <c r="B52" s="133"/>
      <c r="C52" s="188"/>
      <c r="D52" s="29"/>
      <c r="E52" s="101"/>
      <c r="F52" s="101"/>
      <c r="G52" s="190"/>
      <c r="H52" s="101"/>
      <c r="I52" s="138"/>
      <c r="J52" s="102"/>
      <c r="K52" s="162" t="str">
        <f>IF(H58&lt;&gt;"",IF(H60&lt;&gt;"",IF(H58=H60,"",IF(H58&gt;H60,G58,G60)),""),"")</f>
        <v>ENZO BENTO DURANTE DA COSTA</v>
      </c>
      <c r="L52" s="266">
        <v>1</v>
      </c>
      <c r="M52" s="106">
        <f>IF(L52&lt;&gt;"",L52,"")</f>
        <v>1</v>
      </c>
      <c r="N52" s="101" t="str">
        <f>IF(L52&lt;&gt;"",IF(K52="","",K52),"")</f>
        <v>ENZO BENTO DURANTE DA COSTA</v>
      </c>
      <c r="O52" s="190" t="str">
        <f>VLOOKUP(O50,M50:N52,2,0)</f>
        <v>MATHEUS MAIA JAWORSKY</v>
      </c>
      <c r="P52" s="101"/>
      <c r="Q52" s="88"/>
      <c r="R52" s="198"/>
      <c r="S52" s="37"/>
      <c r="T52" s="37"/>
      <c r="U52" s="37"/>
      <c r="V52" s="198"/>
      <c r="W52" s="37"/>
      <c r="X52" s="86"/>
      <c r="Y52" s="198"/>
      <c r="Z52" s="37"/>
      <c r="AA52" s="37"/>
      <c r="AB52" s="266">
        <v>1</v>
      </c>
      <c r="AC52" s="162" t="str">
        <f>IF(AF58&lt;&gt;"",IF(AF60&lt;&gt;"",IF(AF58=AF60,"",IF(AF58&gt;AF60,AG58,AG60)),""),"")</f>
        <v>LORENZO VEZARO MONTINI</v>
      </c>
      <c r="AD52" s="37"/>
      <c r="AE52" s="144"/>
      <c r="AF52" s="100"/>
      <c r="AG52" s="197"/>
      <c r="AH52" s="100"/>
      <c r="AI52" s="100"/>
      <c r="AJ52" s="29"/>
      <c r="AK52" s="188"/>
      <c r="AL52" s="29"/>
    </row>
    <row r="53" spans="2:41" ht="18" customHeight="1" thickBot="1" x14ac:dyDescent="0.3">
      <c r="B53" s="133"/>
      <c r="C53" s="188"/>
      <c r="D53" s="29"/>
      <c r="E53" s="101"/>
      <c r="F53" s="101"/>
      <c r="G53" s="190"/>
      <c r="H53" s="101"/>
      <c r="I53" s="138"/>
      <c r="J53" s="101"/>
      <c r="K53" s="165" t="str">
        <f>IFERROR(IF(K52="","",VLOOKUP(K52,LISTAS!$F$5:$G$1004,2,0)),"0")</f>
        <v>AMERICAN ACADEMY SCHOOL SBC</v>
      </c>
      <c r="L53" s="267"/>
      <c r="M53" s="101"/>
      <c r="N53" s="101"/>
      <c r="O53" s="190"/>
      <c r="P53" s="101"/>
      <c r="Q53" s="88"/>
      <c r="R53" s="198"/>
      <c r="S53" s="37"/>
      <c r="T53" s="37"/>
      <c r="U53" s="37"/>
      <c r="V53" s="198"/>
      <c r="W53" s="37"/>
      <c r="X53" s="86"/>
      <c r="Y53" s="198"/>
      <c r="Z53" s="37"/>
      <c r="AA53" s="37"/>
      <c r="AB53" s="267"/>
      <c r="AC53" s="165" t="str">
        <f>IFERROR(IF(AC52="","",VLOOKUP(AC52,LISTAS!$F$5:$G$1004,2,0)),"0")</f>
        <v>COLÉGIO ARBOS - UNIDADE SANTO ANDRÉ</v>
      </c>
      <c r="AD53" s="37"/>
      <c r="AE53" s="144"/>
      <c r="AF53" s="100"/>
      <c r="AG53" s="197"/>
      <c r="AH53" s="100"/>
      <c r="AI53" s="100"/>
      <c r="AJ53" s="29"/>
      <c r="AK53" s="188"/>
      <c r="AL53" s="29"/>
    </row>
    <row r="54" spans="2:41" ht="18" customHeight="1" x14ac:dyDescent="0.25">
      <c r="B54" s="133">
        <v>20</v>
      </c>
      <c r="C54" s="162" t="str">
        <f>IF('09M GRP'!G5&gt;=3,'09M GRP'!J268,IF('09M GRP'!G5=2,"",IF('09M GRP'!G5=1,"","")))</f>
        <v>THEO FROEMMING MINEMATSU</v>
      </c>
      <c r="D54" s="266">
        <v>0</v>
      </c>
      <c r="E54" s="101">
        <f>IF(D54&lt;&gt;"",D54,"")</f>
        <v>0</v>
      </c>
      <c r="F54" s="101" t="str">
        <f>IF(D54&lt;&gt;"",IF(C54="","",C54),"")</f>
        <v>THEO FROEMMING MINEMATSU</v>
      </c>
      <c r="G54" s="190">
        <f>IF(E54&lt;&gt;"",IF(E56&lt;&gt;"",SMALL(E54:E56,1),""),"")</f>
        <v>0</v>
      </c>
      <c r="H54" s="101"/>
      <c r="I54" s="138"/>
      <c r="J54" s="101"/>
      <c r="K54" s="192"/>
      <c r="L54" s="87"/>
      <c r="M54" s="101"/>
      <c r="N54" s="101"/>
      <c r="O54" s="190"/>
      <c r="P54" s="101"/>
      <c r="Q54" s="37"/>
      <c r="R54" s="198"/>
      <c r="S54" s="37"/>
      <c r="T54" s="37"/>
      <c r="U54" s="37"/>
      <c r="V54" s="198"/>
      <c r="W54" s="37"/>
      <c r="X54" s="86"/>
      <c r="Y54" s="198"/>
      <c r="Z54" s="37"/>
      <c r="AA54" s="37"/>
      <c r="AB54" s="29"/>
      <c r="AC54" s="198"/>
      <c r="AD54" s="37"/>
      <c r="AE54" s="144"/>
      <c r="AF54" s="100"/>
      <c r="AG54" s="197">
        <f>IF(AJ54&lt;&gt;"",AJ54,"")</f>
        <v>1</v>
      </c>
      <c r="AH54" s="100" t="str">
        <f>IF(AJ54&lt;&gt;"",IF(AK54="","",AK54),"")</f>
        <v>LORENZO VEZARO MONTINI</v>
      </c>
      <c r="AI54" s="101">
        <f>IF(AG54&lt;&gt;"",IF(AG56&lt;&gt;"",SMALL(AG54:AG56,1),""),"")</f>
        <v>0</v>
      </c>
      <c r="AJ54" s="266">
        <v>1</v>
      </c>
      <c r="AK54" s="162" t="str">
        <f>IF('09M GRP'!G5&gt;=3,'09M GRP'!J203,IF('09M GRP'!G5=2,"",IF('09M GRP'!G5=1,"","")))</f>
        <v>LORENZO VEZARO MONTINI</v>
      </c>
      <c r="AL54" s="29">
        <v>15</v>
      </c>
    </row>
    <row r="55" spans="2:41" ht="18" customHeight="1" thickBot="1" x14ac:dyDescent="0.3">
      <c r="B55" s="133"/>
      <c r="C55" s="165" t="str">
        <f>IFERROR(IF(C54="","",VLOOKUP(C54,LISTAS!$F$5:$G$1004,2,0)),"0")</f>
        <v>ABACO IPIRANGA</v>
      </c>
      <c r="D55" s="267"/>
      <c r="E55" s="101"/>
      <c r="F55" s="101"/>
      <c r="G55" s="190"/>
      <c r="H55" s="101"/>
      <c r="I55" s="138"/>
      <c r="J55" s="101"/>
      <c r="K55" s="192"/>
      <c r="L55" s="87"/>
      <c r="M55" s="101"/>
      <c r="N55" s="101"/>
      <c r="O55" s="190"/>
      <c r="P55" s="101"/>
      <c r="Q55" s="37"/>
      <c r="R55" s="198"/>
      <c r="S55" s="37"/>
      <c r="T55" s="37"/>
      <c r="U55" s="37"/>
      <c r="V55" s="198"/>
      <c r="W55" s="37"/>
      <c r="X55" s="86"/>
      <c r="Y55" s="198"/>
      <c r="Z55" s="37"/>
      <c r="AA55" s="37"/>
      <c r="AB55" s="29"/>
      <c r="AC55" s="198"/>
      <c r="AD55" s="37"/>
      <c r="AE55" s="144"/>
      <c r="AF55" s="100"/>
      <c r="AG55" s="197"/>
      <c r="AH55" s="100"/>
      <c r="AI55" s="101"/>
      <c r="AJ55" s="267"/>
      <c r="AK55" s="165" t="str">
        <f>IFERROR(IF(AK54="","",VLOOKUP(AK54,LISTAS!$F$5:$G$1004,2,0)),"0")</f>
        <v>COLÉGIO ARBOS - UNIDADE SANTO ANDRÉ</v>
      </c>
      <c r="AL55" s="29"/>
    </row>
    <row r="56" spans="2:41" ht="18" customHeight="1" x14ac:dyDescent="0.25">
      <c r="B56" s="133">
        <v>13</v>
      </c>
      <c r="C56" s="162" t="str">
        <f>IF('09M GRP'!G5&gt;=3,'09M GRP'!J177,IF('09M GRP'!G5=2,"",IF('09M GRP'!G5=1,"","")))</f>
        <v>JOÃO CONOVALOV CABRAL CAVELHO</v>
      </c>
      <c r="D56" s="266">
        <v>1</v>
      </c>
      <c r="E56" s="107">
        <f>IF(D56&lt;&gt;"",D56,"")</f>
        <v>1</v>
      </c>
      <c r="F56" s="101" t="str">
        <f>IF(D56&lt;&gt;"",IF(C56="","",C56),"")</f>
        <v>JOÃO CONOVALOV CABRAL CAVELHO</v>
      </c>
      <c r="G56" s="190" t="str">
        <f>VLOOKUP(G54,E54:F56,2,0)</f>
        <v>THEO FROEMMING MINEMATSU</v>
      </c>
      <c r="H56" s="101"/>
      <c r="I56" s="138"/>
      <c r="J56" s="101"/>
      <c r="K56" s="192"/>
      <c r="L56" s="87"/>
      <c r="M56" s="87"/>
      <c r="N56" s="29"/>
      <c r="O56" s="188"/>
      <c r="P56" s="29"/>
      <c r="Q56" s="37"/>
      <c r="R56" s="198"/>
      <c r="S56" s="37"/>
      <c r="T56" s="37"/>
      <c r="U56" s="37"/>
      <c r="V56" s="198"/>
      <c r="W56" s="37"/>
      <c r="X56" s="86"/>
      <c r="Y56" s="198"/>
      <c r="Z56" s="37"/>
      <c r="AA56" s="37"/>
      <c r="AB56" s="29"/>
      <c r="AC56" s="198"/>
      <c r="AD56" s="37"/>
      <c r="AE56" s="144"/>
      <c r="AF56" s="100"/>
      <c r="AG56" s="197">
        <f>IF(AJ56&lt;&gt;"",AJ56,"")</f>
        <v>0</v>
      </c>
      <c r="AH56" s="100" t="str">
        <f>IF(AJ56&lt;&gt;"",IF(AK56="","",AK56),"")</f>
        <v>MATEUS SIQUEIRA ZENKER</v>
      </c>
      <c r="AI56" s="102" t="str">
        <f>VLOOKUP(AI54,AG54:AH56,2,0)</f>
        <v>MATEUS SIQUEIRA ZENKER</v>
      </c>
      <c r="AJ56" s="266">
        <v>0</v>
      </c>
      <c r="AK56" s="162" t="str">
        <f>IF('09M GRP'!G5&gt;=3,'09M GRP'!J242,IF('09M GRP'!G5=2,"",IF('09M GRP'!G5=1,"","")))</f>
        <v>MATEUS SIQUEIRA ZENKER</v>
      </c>
      <c r="AL56" s="29">
        <v>18</v>
      </c>
      <c r="AN56" s="23"/>
      <c r="AO56" s="23"/>
    </row>
    <row r="57" spans="2:41" ht="18" customHeight="1" thickBot="1" x14ac:dyDescent="0.3">
      <c r="B57" s="133"/>
      <c r="C57" s="165" t="str">
        <f>IFERROR(IF(C56="","",VLOOKUP(C56,LISTAS!$F$5:$G$1004,2,0)),"0")</f>
        <v>COLÉGIO ARBOS - UNIDADE SANTO ANDRÉ</v>
      </c>
      <c r="D57" s="267"/>
      <c r="E57" s="148"/>
      <c r="F57" s="101"/>
      <c r="G57" s="190"/>
      <c r="H57" s="101"/>
      <c r="I57" s="138"/>
      <c r="J57" s="101"/>
      <c r="K57" s="192"/>
      <c r="L57" s="87"/>
      <c r="M57" s="87"/>
      <c r="N57" s="29"/>
      <c r="O57" s="188"/>
      <c r="P57" s="29"/>
      <c r="Q57" s="37"/>
      <c r="R57" s="198"/>
      <c r="S57" s="37"/>
      <c r="T57" s="37"/>
      <c r="U57" s="37"/>
      <c r="V57" s="198"/>
      <c r="W57" s="37"/>
      <c r="X57" s="86"/>
      <c r="Y57" s="198"/>
      <c r="Z57" s="37"/>
      <c r="AA57" s="37"/>
      <c r="AB57" s="29"/>
      <c r="AC57" s="198"/>
      <c r="AD57" s="37"/>
      <c r="AE57" s="144"/>
      <c r="AF57" s="100"/>
      <c r="AG57" s="197"/>
      <c r="AH57" s="146"/>
      <c r="AI57" s="101"/>
      <c r="AJ57" s="267"/>
      <c r="AK57" s="165" t="str">
        <f>IFERROR(IF(AK56="","",VLOOKUP(AK56,LISTAS!$F$5:$G$1004,2,0)),"0")</f>
        <v>COLÉGIO ARBOS - UNIDADE SANTO ANDRÉ</v>
      </c>
      <c r="AL57" s="29"/>
      <c r="AM57" s="23"/>
      <c r="AN57" s="23"/>
      <c r="AO57" s="23"/>
    </row>
    <row r="58" spans="2:41" ht="18" customHeight="1" x14ac:dyDescent="0.25">
      <c r="B58" s="133"/>
      <c r="C58" s="188"/>
      <c r="D58" s="29"/>
      <c r="E58" s="29"/>
      <c r="F58" s="34"/>
      <c r="G58" s="162" t="str">
        <f>IF(D54&lt;&gt;"",IF(D56&lt;&gt;"",IF(D54=D56,"",IF(D54&gt;D56,C54,C56)),""),"")</f>
        <v>JOÃO CONOVALOV CABRAL CAVELHO</v>
      </c>
      <c r="H58" s="266">
        <v>0</v>
      </c>
      <c r="I58" s="148">
        <f>IF(H58&lt;&gt;"",H58,"")</f>
        <v>0</v>
      </c>
      <c r="J58" s="101" t="str">
        <f>IF(H58&lt;&gt;"",IF(G58="","",G58),"")</f>
        <v>JOÃO CONOVALOV CABRAL CAVELHO</v>
      </c>
      <c r="K58" s="190">
        <f>IF(I58&lt;&gt;"",IF(I60&lt;&gt;"",SMALL(I58:J60,1),""),"")</f>
        <v>0</v>
      </c>
      <c r="L58" s="101"/>
      <c r="M58" s="101"/>
      <c r="N58" s="29"/>
      <c r="O58" s="188"/>
      <c r="P58" s="29"/>
      <c r="Q58" s="37"/>
      <c r="R58" s="198"/>
      <c r="S58" s="37"/>
      <c r="T58" s="37"/>
      <c r="U58" s="37"/>
      <c r="V58" s="198"/>
      <c r="W58" s="37"/>
      <c r="X58" s="86"/>
      <c r="Y58" s="198"/>
      <c r="Z58" s="37"/>
      <c r="AA58" s="37"/>
      <c r="AB58" s="29"/>
      <c r="AC58" s="198"/>
      <c r="AD58" s="37"/>
      <c r="AE58" s="89"/>
      <c r="AF58" s="266">
        <v>1</v>
      </c>
      <c r="AG58" s="162" t="str">
        <f>IF(AJ54&lt;&gt;"",IF(AJ56&lt;&gt;"",IF(AJ54=AJ56,"",IF(AJ54&gt;AJ56,AK54,AK56)),""),"")</f>
        <v>LORENZO VEZARO MONTINI</v>
      </c>
      <c r="AH58" s="94"/>
      <c r="AI58" s="37"/>
      <c r="AJ58" s="29"/>
      <c r="AK58" s="188"/>
      <c r="AL58" s="29"/>
      <c r="AM58" s="23"/>
    </row>
    <row r="59" spans="2:41" ht="18" customHeight="1" thickBot="1" x14ac:dyDescent="0.3">
      <c r="B59" s="133"/>
      <c r="C59" s="188"/>
      <c r="D59" s="29"/>
      <c r="E59" s="29"/>
      <c r="F59" s="34"/>
      <c r="G59" s="165" t="str">
        <f>IFERROR(IF(G58="","",VLOOKUP(G58,LISTAS!$F$5:$G$1004,2,0)),"0")</f>
        <v>COLÉGIO ARBOS - UNIDADE SANTO ANDRÉ</v>
      </c>
      <c r="H59" s="267"/>
      <c r="I59" s="105"/>
      <c r="J59" s="101"/>
      <c r="K59" s="190"/>
      <c r="L59" s="101"/>
      <c r="M59" s="101"/>
      <c r="N59" s="29"/>
      <c r="O59" s="188"/>
      <c r="P59" s="29"/>
      <c r="Q59" s="37"/>
      <c r="R59" s="198"/>
      <c r="S59" s="37"/>
      <c r="T59" s="37"/>
      <c r="U59" s="37"/>
      <c r="V59" s="198"/>
      <c r="W59" s="37"/>
      <c r="X59" s="86"/>
      <c r="Y59" s="198"/>
      <c r="Z59" s="37"/>
      <c r="AA59" s="37"/>
      <c r="AB59" s="29"/>
      <c r="AC59" s="198"/>
      <c r="AD59" s="37"/>
      <c r="AE59" s="90"/>
      <c r="AF59" s="267"/>
      <c r="AG59" s="165" t="str">
        <f>IFERROR(IF(AG58="","",VLOOKUP(AG58,LISTAS!$F$5:$G$1004,2,0)),"0")</f>
        <v>COLÉGIO ARBOS - UNIDADE SANTO ANDRÉ</v>
      </c>
      <c r="AH59" s="94"/>
      <c r="AI59" s="37"/>
      <c r="AJ59" s="29"/>
      <c r="AK59" s="188"/>
      <c r="AL59" s="29"/>
    </row>
    <row r="60" spans="2:41" ht="18" customHeight="1" x14ac:dyDescent="0.25">
      <c r="B60" s="133"/>
      <c r="C60" s="188"/>
      <c r="D60" s="29"/>
      <c r="E60" s="35"/>
      <c r="F60" s="36"/>
      <c r="G60" s="162" t="str">
        <f>IF(D62&lt;&gt;"",IF(D64&lt;&gt;"",IF(D62=D64,"",IF(D62&gt;D64,C62,C64)),""),"")</f>
        <v>ENZO BENTO DURANTE DA COSTA</v>
      </c>
      <c r="H60" s="266">
        <v>1</v>
      </c>
      <c r="I60" s="106">
        <f>IF(H60&lt;&gt;"",H60,"")</f>
        <v>1</v>
      </c>
      <c r="J60" s="101" t="str">
        <f>IF(H60&lt;&gt;"",IF(G60="","",G60),"")</f>
        <v>ENZO BENTO DURANTE DA COSTA</v>
      </c>
      <c r="K60" s="190" t="str">
        <f>VLOOKUP(K58,I58:J60,2,0)</f>
        <v>JOÃO CONOVALOV CABRAL CAVELHO</v>
      </c>
      <c r="L60" s="101"/>
      <c r="M60" s="101"/>
      <c r="N60" s="29"/>
      <c r="O60" s="188"/>
      <c r="P60" s="29"/>
      <c r="Q60" s="37"/>
      <c r="R60" s="198"/>
      <c r="S60" s="37"/>
      <c r="T60" s="37"/>
      <c r="U60" s="37"/>
      <c r="V60" s="198"/>
      <c r="W60" s="37"/>
      <c r="X60" s="86"/>
      <c r="Y60" s="198"/>
      <c r="Z60" s="37"/>
      <c r="AA60" s="37"/>
      <c r="AB60" s="29"/>
      <c r="AC60" s="198"/>
      <c r="AD60" s="37"/>
      <c r="AE60" s="91"/>
      <c r="AF60" s="266">
        <v>0</v>
      </c>
      <c r="AG60" s="162" t="str">
        <f>IF(AJ62&lt;&gt;"",IF(AJ64&lt;&gt;"",IF(AJ62=AJ64,"",IF(AJ62&gt;AJ64,AK62,AK64)),""),"")</f>
        <v>BENICIO V. LIMA</v>
      </c>
      <c r="AH60" s="98"/>
      <c r="AI60" s="37"/>
      <c r="AJ60" s="29"/>
      <c r="AK60" s="188"/>
      <c r="AL60" s="29"/>
    </row>
    <row r="61" spans="2:41" ht="18" customHeight="1" thickBot="1" x14ac:dyDescent="0.3">
      <c r="B61" s="133"/>
      <c r="C61" s="188"/>
      <c r="D61" s="29"/>
      <c r="E61" s="35"/>
      <c r="F61" s="29"/>
      <c r="G61" s="165" t="str">
        <f>IFERROR(IF(G60="","",VLOOKUP(G60,LISTAS!$F$5:$G$1004,2,0)),"0")</f>
        <v>AMERICAN ACADEMY SCHOOL SBC</v>
      </c>
      <c r="H61" s="267"/>
      <c r="I61" s="101"/>
      <c r="J61" s="101"/>
      <c r="K61" s="190"/>
      <c r="L61" s="101"/>
      <c r="M61" s="101"/>
      <c r="N61" s="29"/>
      <c r="O61" s="188"/>
      <c r="P61" s="29"/>
      <c r="Q61" s="37"/>
      <c r="R61" s="198"/>
      <c r="S61" s="37"/>
      <c r="T61" s="37"/>
      <c r="U61" s="37"/>
      <c r="V61" s="198"/>
      <c r="W61" s="37"/>
      <c r="X61" s="86"/>
      <c r="Y61" s="198"/>
      <c r="Z61" s="37"/>
      <c r="AA61" s="37"/>
      <c r="AB61" s="29"/>
      <c r="AC61" s="198"/>
      <c r="AD61" s="37"/>
      <c r="AE61" s="37"/>
      <c r="AF61" s="267"/>
      <c r="AG61" s="165" t="str">
        <f>IFERROR(IF(AG60="","",VLOOKUP(AG60,LISTAS!$F$5:$G$1004,2,0)),"0")</f>
        <v>RIO BRANCO - SBC</v>
      </c>
      <c r="AH61" s="37"/>
      <c r="AI61" s="89"/>
      <c r="AJ61" s="29"/>
      <c r="AK61" s="188"/>
      <c r="AL61" s="29"/>
    </row>
    <row r="62" spans="2:41" ht="18" customHeight="1" x14ac:dyDescent="0.25">
      <c r="B62" s="133">
        <v>29</v>
      </c>
      <c r="C62" s="162" t="str">
        <f>IF('09M GRP'!G5&gt;=3,'09M GRP'!J385,IF('09M GRP'!G5=2,"",IF('09M GRP'!G5=1,"","")))</f>
        <v/>
      </c>
      <c r="D62" s="266">
        <v>0</v>
      </c>
      <c r="E62" s="148">
        <f>IF(D62&lt;&gt;"",D62,"")</f>
        <v>0</v>
      </c>
      <c r="F62" s="101" t="str">
        <f>IF(D62&lt;&gt;"",IF(C62="","",C62),"")</f>
        <v/>
      </c>
      <c r="G62" s="190">
        <f>IF(E62&lt;&gt;"",IF(E64&lt;&gt;"",SMALL(E62:E64,1),""),"")</f>
        <v>0</v>
      </c>
      <c r="H62" s="101"/>
      <c r="I62" s="101"/>
      <c r="J62" s="101"/>
      <c r="K62" s="190"/>
      <c r="L62" s="101"/>
      <c r="M62" s="101"/>
      <c r="N62" s="29"/>
      <c r="O62" s="188"/>
      <c r="P62" s="29"/>
      <c r="Q62" s="37"/>
      <c r="R62" s="198"/>
      <c r="S62" s="37"/>
      <c r="T62" s="37"/>
      <c r="U62" s="37"/>
      <c r="V62" s="198"/>
      <c r="W62" s="37"/>
      <c r="X62" s="86"/>
      <c r="Y62" s="198"/>
      <c r="Z62" s="37"/>
      <c r="AA62" s="37"/>
      <c r="AB62" s="29"/>
      <c r="AC62" s="198"/>
      <c r="AD62" s="37"/>
      <c r="AE62" s="100"/>
      <c r="AF62" s="100"/>
      <c r="AG62" s="197">
        <f>IF(AJ62&lt;&gt;"",AJ62,"")</f>
        <v>0</v>
      </c>
      <c r="AH62" s="100" t="str">
        <f>IF(AJ62&lt;&gt;"",IF(AK62="","",AK62),"")</f>
        <v/>
      </c>
      <c r="AI62" s="137">
        <f>IF(AG62&lt;&gt;"",IF(AG64&lt;&gt;"",SMALL(AG62:AG64,1),""),"")</f>
        <v>0</v>
      </c>
      <c r="AJ62" s="266">
        <v>0</v>
      </c>
      <c r="AK62" s="162" t="str">
        <f>IF('09M GRP'!G5&gt;=3,'09M GRP'!J411,IF('09M GRP'!G5=2,"",IF('09M GRP'!G5=1,"","")))</f>
        <v/>
      </c>
      <c r="AL62" s="29">
        <v>31</v>
      </c>
    </row>
    <row r="63" spans="2:41" ht="18" customHeight="1" thickBot="1" x14ac:dyDescent="0.3">
      <c r="B63" s="133"/>
      <c r="C63" s="165" t="str">
        <f>IFERROR(IF(C62="","",VLOOKUP(C62,LISTAS!$F$5:$G$1004,2,0)),"0")</f>
        <v/>
      </c>
      <c r="D63" s="267"/>
      <c r="E63" s="105"/>
      <c r="F63" s="101"/>
      <c r="G63" s="190"/>
      <c r="H63" s="101"/>
      <c r="I63" s="101"/>
      <c r="J63" s="87"/>
      <c r="K63" s="188"/>
      <c r="L63" s="29"/>
      <c r="M63" s="29"/>
      <c r="N63" s="29"/>
      <c r="O63" s="188"/>
      <c r="P63" s="29"/>
      <c r="Q63" s="37"/>
      <c r="R63" s="198"/>
      <c r="S63" s="37"/>
      <c r="T63" s="37"/>
      <c r="U63" s="37"/>
      <c r="V63" s="198"/>
      <c r="W63" s="37"/>
      <c r="X63" s="86"/>
      <c r="Y63" s="198"/>
      <c r="Z63" s="37"/>
      <c r="AA63" s="37"/>
      <c r="AB63" s="29"/>
      <c r="AC63" s="198"/>
      <c r="AD63" s="37"/>
      <c r="AE63" s="100"/>
      <c r="AF63" s="100"/>
      <c r="AG63" s="197"/>
      <c r="AH63" s="100"/>
      <c r="AI63" s="103"/>
      <c r="AJ63" s="267"/>
      <c r="AK63" s="165" t="str">
        <f>IFERROR(IF(AK62="","",VLOOKUP(AK62,LISTAS!$F$5:$G$1004,2,0)),"0")</f>
        <v/>
      </c>
      <c r="AL63" s="29"/>
    </row>
    <row r="64" spans="2:41" ht="18" customHeight="1" x14ac:dyDescent="0.25">
      <c r="B64" s="133">
        <v>4</v>
      </c>
      <c r="C64" s="162" t="str">
        <f>IF('09M GRP'!G5&gt;=3,'09M GRP'!J60,IF('09M GRP'!G5=2,IF('09M GRP'!H8=3,"",'09M GRP'!J31),IF('09M GRP'!G5=1,'09M GRP'!J11,"")))</f>
        <v>ENZO BENTO DURANTE DA COSTA</v>
      </c>
      <c r="D64" s="266">
        <v>1</v>
      </c>
      <c r="E64" s="106">
        <f>IF(D64&lt;&gt;"",D64,"")</f>
        <v>1</v>
      </c>
      <c r="F64" s="101" t="str">
        <f>IF(D64&lt;&gt;"",IF(C64="","",C64),"")</f>
        <v>ENZO BENTO DURANTE DA COSTA</v>
      </c>
      <c r="G64" s="190" t="str">
        <f>VLOOKUP(G62,E62:F64,2,0)</f>
        <v/>
      </c>
      <c r="H64" s="101"/>
      <c r="I64" s="101"/>
      <c r="J64" s="87"/>
      <c r="K64" s="188"/>
      <c r="L64" s="29"/>
      <c r="M64" s="29"/>
      <c r="N64" s="29"/>
      <c r="O64" s="188"/>
      <c r="P64" s="29"/>
      <c r="Q64" s="37"/>
      <c r="R64" s="198"/>
      <c r="S64" s="37"/>
      <c r="T64" s="37"/>
      <c r="U64" s="37"/>
      <c r="V64" s="198"/>
      <c r="W64" s="37"/>
      <c r="X64" s="86"/>
      <c r="Y64" s="198"/>
      <c r="Z64" s="37"/>
      <c r="AA64" s="37"/>
      <c r="AB64" s="29"/>
      <c r="AC64" s="198"/>
      <c r="AD64" s="37"/>
      <c r="AE64" s="100"/>
      <c r="AF64" s="100"/>
      <c r="AG64" s="197">
        <f>IF(AJ64&lt;&gt;"",AJ64,"")</f>
        <v>1</v>
      </c>
      <c r="AH64" s="100" t="str">
        <f>IF(AJ64&lt;&gt;"",IF(AK64="","",AK64),"")</f>
        <v>BENICIO V. LIMA</v>
      </c>
      <c r="AI64" s="104" t="str">
        <f>VLOOKUP(AI62,AG62:AH64,2,0)</f>
        <v/>
      </c>
      <c r="AJ64" s="266">
        <v>1</v>
      </c>
      <c r="AK64" s="162" t="str">
        <f>IF('09M GRP'!G5&gt;=3,'09M GRP'!J30,IF('09M GRP'!G5=2,IF('09M GRP'!H8=3,'09M GRP'!J30,'09M GRP'!J30),IF('09M GRP'!G5=1,'09M GRP'!J9,"")))</f>
        <v>BENICIO V. LIMA</v>
      </c>
      <c r="AL64" s="29">
        <v>2</v>
      </c>
    </row>
    <row r="65" spans="2:47" ht="18" customHeight="1" thickBot="1" x14ac:dyDescent="0.3">
      <c r="B65" s="133"/>
      <c r="C65" s="165" t="str">
        <f>IFERROR(IF(C64="","",VLOOKUP(C64,LISTAS!$F$5:$G$1004,2,0)),"0")</f>
        <v>AMERICAN ACADEMY SCHOOL SBC</v>
      </c>
      <c r="D65" s="267"/>
      <c r="E65" s="101"/>
      <c r="F65" s="101"/>
      <c r="G65" s="190"/>
      <c r="H65" s="101"/>
      <c r="I65" s="101"/>
      <c r="J65" s="87"/>
      <c r="K65" s="188"/>
      <c r="L65" s="29"/>
      <c r="M65" s="29"/>
      <c r="N65" s="29"/>
      <c r="O65" s="188"/>
      <c r="P65" s="29"/>
      <c r="Q65" s="37"/>
      <c r="R65" s="198"/>
      <c r="S65" s="37"/>
      <c r="T65" s="37"/>
      <c r="U65" s="37"/>
      <c r="V65" s="198"/>
      <c r="W65" s="37"/>
      <c r="X65" s="86"/>
      <c r="Y65" s="198"/>
      <c r="Z65" s="37"/>
      <c r="AA65" s="37"/>
      <c r="AB65" s="29"/>
      <c r="AC65" s="198"/>
      <c r="AD65" s="37"/>
      <c r="AE65" s="100"/>
      <c r="AF65" s="100"/>
      <c r="AG65" s="197"/>
      <c r="AH65" s="100"/>
      <c r="AI65" s="101"/>
      <c r="AJ65" s="267"/>
      <c r="AK65" s="165" t="str">
        <f>IFERROR(IF(AK64="","",VLOOKUP(AK64,LISTAS!$F$5:$G$1004,2,0)),"0")</f>
        <v>RIO BRANCO - SBC</v>
      </c>
      <c r="AL65" s="29"/>
    </row>
    <row r="66" spans="2:47" ht="18" customHeight="1" x14ac:dyDescent="0.25">
      <c r="B66" s="133"/>
      <c r="C66" s="189"/>
      <c r="D66" s="84"/>
      <c r="E66" s="134"/>
      <c r="F66" s="134"/>
      <c r="G66" s="193"/>
      <c r="H66" s="134"/>
      <c r="I66" s="134"/>
      <c r="J66" s="134"/>
      <c r="K66" s="189"/>
      <c r="L66" s="84"/>
      <c r="M66" s="84"/>
      <c r="N66" s="84"/>
      <c r="O66" s="189"/>
      <c r="P66" s="84"/>
      <c r="Q66" s="37"/>
      <c r="R66" s="198"/>
      <c r="S66" s="37"/>
      <c r="T66" s="37"/>
      <c r="U66" s="37"/>
      <c r="V66" s="198"/>
      <c r="W66" s="37"/>
      <c r="X66" s="86"/>
      <c r="Y66" s="198"/>
      <c r="Z66" s="37"/>
      <c r="AA66" s="37"/>
      <c r="AB66" s="29"/>
      <c r="AC66" s="198"/>
      <c r="AD66" s="37"/>
      <c r="AE66" s="100"/>
      <c r="AF66" s="100"/>
      <c r="AG66" s="197"/>
      <c r="AH66" s="100"/>
      <c r="AI66" s="100"/>
      <c r="AJ66" s="84"/>
      <c r="AK66" s="189"/>
      <c r="AL66" s="29"/>
    </row>
    <row r="67" spans="2:47" ht="18" customHeight="1" x14ac:dyDescent="0.25">
      <c r="B67" s="29"/>
      <c r="C67" s="189"/>
      <c r="D67" s="84"/>
      <c r="E67" s="84"/>
      <c r="F67" s="84"/>
      <c r="G67" s="189"/>
      <c r="H67" s="84"/>
      <c r="I67" s="84"/>
      <c r="J67" s="84"/>
      <c r="K67" s="189"/>
      <c r="L67" s="84"/>
      <c r="M67" s="84"/>
      <c r="N67" s="84"/>
      <c r="O67" s="189"/>
      <c r="P67" s="84"/>
      <c r="Q67" s="37"/>
      <c r="R67" s="198"/>
      <c r="S67" s="37"/>
      <c r="T67" s="37"/>
      <c r="U67" s="37"/>
      <c r="V67" s="198"/>
      <c r="W67" s="37"/>
      <c r="X67" s="86"/>
      <c r="Y67" s="198"/>
      <c r="Z67" s="37"/>
      <c r="AA67" s="37"/>
      <c r="AB67" s="29"/>
      <c r="AC67" s="198"/>
      <c r="AD67" s="37"/>
      <c r="AE67" s="100"/>
      <c r="AF67" s="100"/>
      <c r="AG67" s="197"/>
      <c r="AH67" s="100"/>
      <c r="AI67" s="100"/>
      <c r="AJ67" s="84"/>
      <c r="AK67" s="189"/>
      <c r="AL67" s="29"/>
    </row>
    <row r="68" spans="2:47" ht="18" customHeight="1" x14ac:dyDescent="0.25">
      <c r="B68" s="22"/>
      <c r="C68" s="168"/>
      <c r="D68" s="22"/>
      <c r="E68" s="22"/>
      <c r="F68" s="22"/>
      <c r="G68" s="168"/>
      <c r="H68" s="22"/>
      <c r="I68" s="22"/>
      <c r="J68" s="22"/>
      <c r="K68" s="168"/>
      <c r="L68" s="22"/>
      <c r="M68" s="22"/>
      <c r="N68" s="22"/>
      <c r="O68" s="168"/>
      <c r="P68" s="22"/>
      <c r="W68" s="22"/>
      <c r="X68" s="22"/>
      <c r="Y68" s="168"/>
      <c r="Z68" s="22"/>
      <c r="AA68" s="22"/>
      <c r="AB68" s="22"/>
      <c r="AC68" s="168"/>
      <c r="AD68" s="22"/>
      <c r="AE68" s="22"/>
      <c r="AF68" s="22"/>
      <c r="AG68" s="168"/>
      <c r="AH68" s="22"/>
      <c r="AI68" s="22"/>
      <c r="AJ68" s="22"/>
      <c r="AK68" s="168"/>
    </row>
    <row r="69" spans="2:47" ht="18" customHeight="1" x14ac:dyDescent="0.25">
      <c r="B69" s="22"/>
      <c r="C69" s="168"/>
      <c r="D69" s="22"/>
      <c r="E69" s="22"/>
      <c r="F69" s="22"/>
      <c r="G69" s="168"/>
      <c r="H69" s="22"/>
      <c r="I69" s="22"/>
      <c r="J69" s="22"/>
      <c r="K69" s="168"/>
      <c r="L69" s="22"/>
      <c r="M69" s="22"/>
      <c r="N69" s="22"/>
      <c r="O69" s="168"/>
      <c r="P69" s="22"/>
      <c r="W69" s="22"/>
      <c r="X69" s="22"/>
      <c r="Y69" s="168"/>
      <c r="Z69" s="22"/>
      <c r="AA69" s="22"/>
      <c r="AB69" s="22"/>
      <c r="AC69" s="168"/>
      <c r="AD69" s="22"/>
      <c r="AE69" s="22"/>
      <c r="AF69" s="22"/>
      <c r="AG69" s="168"/>
      <c r="AH69" s="22"/>
      <c r="AI69" s="22"/>
      <c r="AJ69" s="22"/>
      <c r="AK69" s="168"/>
    </row>
    <row r="70" spans="2:47" ht="30" customHeight="1" x14ac:dyDescent="0.25">
      <c r="B70" s="249" t="s">
        <v>20</v>
      </c>
      <c r="C70" s="250"/>
      <c r="D70" s="250"/>
      <c r="E70" s="250"/>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0"/>
      <c r="AI70" s="250"/>
      <c r="AJ70" s="250"/>
      <c r="AK70" s="250"/>
      <c r="AL70" s="250"/>
      <c r="AP70" s="240" t="s">
        <v>4</v>
      </c>
      <c r="AQ70" s="240"/>
      <c r="AR70" s="240"/>
      <c r="AS70" s="240"/>
      <c r="AT70" s="240"/>
      <c r="AU70" s="240"/>
    </row>
    <row r="71" spans="2:47" ht="18" customHeight="1" thickBot="1" x14ac:dyDescent="0.3">
      <c r="B71" s="135"/>
      <c r="C71" s="187"/>
      <c r="D71" s="27"/>
      <c r="E71" s="27"/>
      <c r="F71" s="27"/>
      <c r="G71" s="191"/>
      <c r="H71" s="27"/>
      <c r="I71" s="27"/>
      <c r="J71" s="27"/>
      <c r="K71" s="195"/>
      <c r="L71" s="27"/>
      <c r="M71" s="27"/>
      <c r="N71" s="27"/>
      <c r="O71" s="195"/>
      <c r="P71" s="27"/>
      <c r="Q71" s="27"/>
      <c r="R71" s="195"/>
      <c r="S71" s="27"/>
      <c r="T71" s="27"/>
      <c r="U71" s="27"/>
      <c r="V71" s="195"/>
      <c r="W71" s="27"/>
      <c r="X71" s="26"/>
      <c r="Y71" s="195"/>
      <c r="Z71" s="27"/>
      <c r="AA71" s="27"/>
      <c r="AB71" s="92"/>
      <c r="AC71" s="195"/>
      <c r="AD71" s="27"/>
      <c r="AE71" s="150"/>
      <c r="AF71" s="150"/>
      <c r="AG71" s="200"/>
      <c r="AH71" s="150"/>
      <c r="AI71" s="150"/>
      <c r="AJ71" s="27"/>
      <c r="AK71" s="195"/>
      <c r="AL71" s="27"/>
      <c r="AP71" s="258" t="s">
        <v>3</v>
      </c>
      <c r="AQ71" s="260"/>
      <c r="AR71" s="132" t="s">
        <v>15</v>
      </c>
      <c r="AS71" s="132" t="s">
        <v>0</v>
      </c>
      <c r="AT71" s="132" t="s">
        <v>16</v>
      </c>
      <c r="AU71" s="132" t="s">
        <v>17</v>
      </c>
    </row>
    <row r="72" spans="2:47" ht="18" customHeight="1" x14ac:dyDescent="0.25">
      <c r="B72" s="136">
        <v>1</v>
      </c>
      <c r="C72" s="169" t="str">
        <f>IF('09M GRP'!G5&gt;=3,'09M GRP'!J9,IF('09M GRP'!G5=2,IF('09M GRP'!H8=3,'09M GRP'!J9,'09M GRP'!J10),IF('09M GRP'!G5=1,"","")))</f>
        <v>ARTHUR DAMIANI DANTAS</v>
      </c>
      <c r="D72" s="266">
        <v>1</v>
      </c>
      <c r="E72" s="101">
        <f>IF(D72&lt;&gt;"",D72,"")</f>
        <v>1</v>
      </c>
      <c r="F72" s="101" t="str">
        <f>IF(D72&lt;&gt;"",IF(C72="","",C72),"")</f>
        <v>ARTHUR DAMIANI DANTAS</v>
      </c>
      <c r="G72" s="190">
        <f>IF(E72&lt;&gt;"",IF(E74&lt;&gt;"",SMALL(E72:E74,1),""),"")</f>
        <v>0</v>
      </c>
      <c r="H72" s="101"/>
      <c r="I72" s="101"/>
      <c r="J72" s="101"/>
      <c r="K72" s="188"/>
      <c r="L72" s="29"/>
      <c r="M72" s="30"/>
      <c r="N72" s="30"/>
      <c r="O72" s="196"/>
      <c r="P72" s="30"/>
      <c r="Q72" s="37"/>
      <c r="R72" s="198"/>
      <c r="S72" s="37"/>
      <c r="T72" s="37"/>
      <c r="U72" s="37"/>
      <c r="V72" s="198"/>
      <c r="W72" s="37"/>
      <c r="X72" s="86"/>
      <c r="Y72" s="198"/>
      <c r="Z72" s="37"/>
      <c r="AA72" s="37"/>
      <c r="AB72" s="29"/>
      <c r="AC72" s="198"/>
      <c r="AD72" s="37"/>
      <c r="AE72" s="100"/>
      <c r="AF72" s="100"/>
      <c r="AG72" s="197">
        <f>IF(AJ72&lt;&gt;"",AJ72,"")</f>
        <v>1</v>
      </c>
      <c r="AH72" s="100" t="str">
        <f>IF(AJ72&lt;&gt;"",IF(AK72="","",AK72),"")</f>
        <v>THEO HENARE MINELLI DE SÁ</v>
      </c>
      <c r="AI72" s="101">
        <f>IF(AG72&lt;&gt;"",IF(AG74&lt;&gt;"",SMALL(AG72:AG74,1),""),"")</f>
        <v>0</v>
      </c>
      <c r="AJ72" s="266">
        <v>1</v>
      </c>
      <c r="AK72" s="169" t="str">
        <f>IF('09M GRP'!G5&gt;=3,'09M GRP'!J48,IF('09M GRP'!G5=2,IF('09M GRP'!H8=3,"",'09M GRP'!J11),IF('09M GRP'!G5=1,"","")))</f>
        <v>THEO HENARE MINELLI DE SÁ</v>
      </c>
      <c r="AL72" s="99">
        <v>3</v>
      </c>
      <c r="AP72" s="31">
        <f>IF(AR72&lt;&gt;"",1,"")</f>
        <v>1</v>
      </c>
      <c r="AQ72" s="32" t="str">
        <f>IF(AP72&lt;&gt;"","LUGAR","")</f>
        <v>LUGAR</v>
      </c>
      <c r="AR72" s="33" t="str">
        <f>IF(S100&lt;&gt;"",IF(U100&lt;&gt;"",IF(S100=U100,"",IF(S100&gt;U100,R100,V100)),""),"")</f>
        <v>FELIPE PERDÃO BERTI SANCHES</v>
      </c>
      <c r="AS72" s="33" t="str">
        <f>IFERROR(IF(AR72="","",VLOOKUP(AR72,LISTAS!$F$5:$G$1004,2,0)),"0")</f>
        <v>PEN LIFE</v>
      </c>
      <c r="AT72" s="33">
        <f>IF(AP72="","",IF(AP72=1,180,IF(AP72=2,170,IF(AP72=3,150,IF(AP72=4,140,IF(AP72=5,135,IF(AP72=6,130,IF(AP72=7,120,IF(AP72=8,110,IF(AP72=9,105,IF(AP72=10,105,IF(AP72=11,105,IF(AP72=12,105,IF(AP72=13,105,IF(AP72=14,105,IF(AP72=15,105,IF(AP72=16,105,IF(AP72&gt;16,"",""))))))))))))))))))</f>
        <v>180</v>
      </c>
      <c r="AU72" s="33">
        <f>IF(AP72="","",IF($AS$5="NÃO","",IF(AP72=1,180,IF(AP72=2,170,IF(AP72=3,150,IF(AP72=4,140,IF(AP72=5,135,IF(AP72=6,130,IF(AP72=7,120,IF(AP72=8,110,IF(AP72=9,105,IF(AP72=10,105,IF(AP72=11,105,IF(AP72=12,105,IF(AP72=13,105,IF(AP72=14,105,IF(AP72=15,105,IF(AP72=16,105,IF(AP72&gt;16,"","")))))))))))))))))))</f>
        <v>180</v>
      </c>
    </row>
    <row r="73" spans="2:47" ht="18" customHeight="1" thickBot="1" x14ac:dyDescent="0.3">
      <c r="B73" s="136"/>
      <c r="C73" s="170" t="str">
        <f>IFERROR(IF(C72="","",VLOOKUP(C72,LISTAS!$F$5:$G$1004,2,0)),"0")</f>
        <v>COLÉGIO ARBOS - UNIDADE SANTO ANDRÉ</v>
      </c>
      <c r="D73" s="267"/>
      <c r="E73" s="101"/>
      <c r="F73" s="101"/>
      <c r="G73" s="190"/>
      <c r="H73" s="101"/>
      <c r="I73" s="101"/>
      <c r="J73" s="101"/>
      <c r="K73" s="188"/>
      <c r="L73" s="29"/>
      <c r="M73" s="30"/>
      <c r="N73" s="30"/>
      <c r="O73" s="196"/>
      <c r="P73" s="30"/>
      <c r="Q73" s="37"/>
      <c r="R73" s="198"/>
      <c r="S73" s="37"/>
      <c r="T73" s="37"/>
      <c r="U73" s="37"/>
      <c r="V73" s="198"/>
      <c r="W73" s="37"/>
      <c r="X73" s="86"/>
      <c r="Y73" s="198"/>
      <c r="Z73" s="37"/>
      <c r="AA73" s="37"/>
      <c r="AB73" s="29"/>
      <c r="AC73" s="198"/>
      <c r="AD73" s="37"/>
      <c r="AE73" s="100"/>
      <c r="AF73" s="100"/>
      <c r="AG73" s="197"/>
      <c r="AH73" s="100"/>
      <c r="AI73" s="101"/>
      <c r="AJ73" s="267"/>
      <c r="AK73" s="170" t="str">
        <f>IFERROR(IF(AK72="","",VLOOKUP(AK72,LISTAS!$F$5:$G$1004,2,0)),"0")</f>
        <v>PEN LIFE</v>
      </c>
      <c r="AL73" s="99"/>
      <c r="AP73" s="31">
        <f>IF(AR73&lt;&gt;"",1+COUNTIF(AP72,"1"),"")</f>
        <v>2</v>
      </c>
      <c r="AQ73" s="32" t="str">
        <f t="shared" ref="AQ73:AQ103" si="3">IF(AP73&lt;&gt;"","LUGAR","")</f>
        <v>LUGAR</v>
      </c>
      <c r="AR73" s="33" t="str">
        <f>IF(S100&lt;&gt;"",IF(U100&lt;&gt;"",IF(S100=U100,"",IF(S100&lt;U100,R100,V100)),""),"")</f>
        <v>ARTHUR DAMIANI DANTAS</v>
      </c>
      <c r="AS73" s="33" t="str">
        <f>IFERROR(IF(AR73="","",VLOOKUP(AR73,LISTAS!$F$5:$G$1004,2,0)),"0")</f>
        <v>COLÉGIO ARBOS - UNIDADE SANTO ANDRÉ</v>
      </c>
      <c r="AT73" s="33">
        <f t="shared" ref="AT73:AT102" si="4">IF(AP73="","",IF(AP73=1,180,IF(AP73=2,170,IF(AP73=3,150,IF(AP73=4,140,IF(AP73=5,135,IF(AP73=6,130,IF(AP73=7,120,IF(AP73=8,110,IF(AP73=9,105,IF(AP73=10,105,IF(AP73=11,105,IF(AP73=12,105,IF(AP73=13,105,IF(AP73=14,105,IF(AP73=15,105,IF(AP73=16,105,IF(AP73&gt;16,"",""))))))))))))))))))</f>
        <v>170</v>
      </c>
      <c r="AU73" s="33">
        <f t="shared" ref="AU73:AU102" si="5">IF(AP73="","",IF($AS$5="NÃO","",IF(AP73=1,180,IF(AP73=2,170,IF(AP73=3,150,IF(AP73=4,140,IF(AP73=5,135,IF(AP73=6,130,IF(AP73=7,120,IF(AP73=8,110,IF(AP73=9,105,IF(AP73=10,105,IF(AP73=11,105,IF(AP73=12,105,IF(AP73=13,105,IF(AP73=14,105,IF(AP73=15,105,IF(AP73=16,105,IF(AP73&gt;16,"","")))))))))))))))))))</f>
        <v>170</v>
      </c>
    </row>
    <row r="74" spans="2:47" ht="18" customHeight="1" x14ac:dyDescent="0.25">
      <c r="B74" s="133">
        <v>32</v>
      </c>
      <c r="C74" s="169" t="str">
        <f>IF('09M GRP'!G5&gt;=3,'09M GRP'!J425,IF('09M GRP'!G5=2,"",IF('09M GRP'!G5=1,"","")))</f>
        <v/>
      </c>
      <c r="D74" s="266">
        <v>0</v>
      </c>
      <c r="E74" s="107">
        <f>IF(D74&lt;&gt;"",D74,"")</f>
        <v>0</v>
      </c>
      <c r="F74" s="101" t="str">
        <f>IF(D74&lt;&gt;"",IF(C74="","",C74),"")</f>
        <v/>
      </c>
      <c r="G74" s="190" t="str">
        <f>VLOOKUP(G72,E72:F74,2,0)</f>
        <v/>
      </c>
      <c r="H74" s="101"/>
      <c r="I74" s="101"/>
      <c r="J74" s="101"/>
      <c r="K74" s="188"/>
      <c r="L74" s="29"/>
      <c r="M74" s="30"/>
      <c r="N74" s="30"/>
      <c r="O74" s="196"/>
      <c r="P74" s="30"/>
      <c r="Q74" s="37"/>
      <c r="R74" s="198"/>
      <c r="S74" s="37"/>
      <c r="T74" s="37"/>
      <c r="U74" s="37"/>
      <c r="V74" s="198"/>
      <c r="W74" s="37"/>
      <c r="X74" s="86"/>
      <c r="Y74" s="198"/>
      <c r="Z74" s="37"/>
      <c r="AA74" s="37"/>
      <c r="AB74" s="29"/>
      <c r="AC74" s="198"/>
      <c r="AD74" s="37"/>
      <c r="AE74" s="100"/>
      <c r="AF74" s="100"/>
      <c r="AG74" s="197">
        <f>IF(AJ74&lt;&gt;"",AJ74,"")</f>
        <v>0</v>
      </c>
      <c r="AH74" s="100" t="str">
        <f>IF(AJ74&lt;&gt;"",IF(AK74="","",AK74),"")</f>
        <v/>
      </c>
      <c r="AI74" s="102" t="str">
        <f>VLOOKUP(AI72,AG72:AH74,2,0)</f>
        <v/>
      </c>
      <c r="AJ74" s="266">
        <v>0</v>
      </c>
      <c r="AK74" s="169" t="str">
        <f>IF('09M GRP'!G5&gt;=3,'09M GRP'!J399,IF('09M GRP'!G5=2,"",IF('09M GRP'!G5=1,"","")))</f>
        <v/>
      </c>
      <c r="AL74" s="29">
        <v>30</v>
      </c>
      <c r="AP74" s="31">
        <f>IF(AR74&lt;&gt;"",1+COUNTIF(AP72:AP73,"1")+COUNTIF(AP72:AP73,"2"),"")</f>
        <v>3</v>
      </c>
      <c r="AQ74" s="32" t="str">
        <f t="shared" si="3"/>
        <v>LUGAR</v>
      </c>
      <c r="AR74" s="111" t="str">
        <f>IF(AR72&lt;&gt;"",IF(O99=AR72,O101,IF(O101=AR72,O99,IF(Y99=AR72,Y101,IF(Y101=AR72,Y99)))),"")</f>
        <v>THEO HENARE MINELLI DE SÁ</v>
      </c>
      <c r="AS74" s="33" t="str">
        <f>IFERROR(IF(AR74="","",VLOOKUP(AR74,LISTAS!$F$5:$G$1004,2,0)),"0")</f>
        <v>PEN LIFE</v>
      </c>
      <c r="AT74" s="33">
        <f t="shared" si="4"/>
        <v>150</v>
      </c>
      <c r="AU74" s="33">
        <f t="shared" si="5"/>
        <v>150</v>
      </c>
    </row>
    <row r="75" spans="2:47" ht="18" customHeight="1" thickBot="1" x14ac:dyDescent="0.3">
      <c r="B75" s="133"/>
      <c r="C75" s="170" t="str">
        <f>IFERROR(IF(C74="","",VLOOKUP(C74,LISTAS!$F$5:$G$1004,2,0)),"0")</f>
        <v/>
      </c>
      <c r="D75" s="267"/>
      <c r="E75" s="148"/>
      <c r="F75" s="101"/>
      <c r="G75" s="190"/>
      <c r="H75" s="101"/>
      <c r="I75" s="101"/>
      <c r="J75" s="101"/>
      <c r="K75" s="188"/>
      <c r="L75" s="29"/>
      <c r="M75" s="30"/>
      <c r="N75" s="30"/>
      <c r="O75" s="196"/>
      <c r="P75" s="30"/>
      <c r="Q75" s="37"/>
      <c r="R75" s="198"/>
      <c r="S75" s="37"/>
      <c r="T75" s="37"/>
      <c r="U75" s="37"/>
      <c r="V75" s="198"/>
      <c r="W75" s="37"/>
      <c r="X75" s="86"/>
      <c r="Y75" s="198"/>
      <c r="Z75" s="37"/>
      <c r="AA75" s="37"/>
      <c r="AB75" s="29"/>
      <c r="AC75" s="198"/>
      <c r="AD75" s="37"/>
      <c r="AE75" s="100"/>
      <c r="AF75" s="100"/>
      <c r="AG75" s="197"/>
      <c r="AH75" s="100"/>
      <c r="AI75" s="142"/>
      <c r="AJ75" s="267"/>
      <c r="AK75" s="170" t="str">
        <f>IFERROR(IF(AK74="","",VLOOKUP(AK74,LISTAS!$F$5:$G$1004,2,0)),"0")</f>
        <v/>
      </c>
      <c r="AL75" s="29"/>
      <c r="AP75" s="31">
        <f>IF(AR75&lt;&gt;"",1+COUNTIF(AP72:AP74,"1")+COUNTIF(AP72:AP74,"2")+COUNTIF(AP72:AP74,"3"),"")</f>
        <v>4</v>
      </c>
      <c r="AQ75" s="32" t="str">
        <f t="shared" si="3"/>
        <v>LUGAR</v>
      </c>
      <c r="AR75" s="111" t="str">
        <f>IF(AR73&lt;&gt;"",IF(O99=AR73,O101,IF(O101=AR73,O99,IF(Y99=AR73,Y101,IF(Y101=AR73,Y99)))),"")</f>
        <v>ALFREDO KULLIAN DI LIDDO</v>
      </c>
      <c r="AS75" s="33" t="str">
        <f>IFERROR(IF(AR75="","",VLOOKUP(AR75,LISTAS!$F$5:$G$1004,2,0)),"0")</f>
        <v>ESCOLA VILLARE</v>
      </c>
      <c r="AT75" s="33">
        <f t="shared" si="4"/>
        <v>140</v>
      </c>
      <c r="AU75" s="33">
        <f t="shared" si="5"/>
        <v>140</v>
      </c>
    </row>
    <row r="76" spans="2:47" ht="18" customHeight="1" x14ac:dyDescent="0.25">
      <c r="B76" s="133"/>
      <c r="C76" s="188"/>
      <c r="D76" s="29"/>
      <c r="E76" s="29"/>
      <c r="F76" s="34"/>
      <c r="G76" s="169" t="str">
        <f>IF(D72&lt;&gt;"",IF(D74&lt;&gt;"",IF(D72=D74,"",IF(D72&gt;D74,C72,C74)),""),"")</f>
        <v>ARTHUR DAMIANI DANTAS</v>
      </c>
      <c r="H76" s="266">
        <v>1</v>
      </c>
      <c r="I76" s="101">
        <f>IF(H76&lt;&gt;"",H76,"")</f>
        <v>1</v>
      </c>
      <c r="J76" s="101" t="str">
        <f>IF(H76&lt;&gt;"",IF(G76="","",G76),"")</f>
        <v>ARTHUR DAMIANI DANTAS</v>
      </c>
      <c r="K76" s="190">
        <f>IF(I76&lt;&gt;"",IF(I78&lt;&gt;"",SMALL(I76:J78,1),""),"")</f>
        <v>0</v>
      </c>
      <c r="L76" s="101"/>
      <c r="M76" s="101"/>
      <c r="N76" s="29"/>
      <c r="O76" s="188"/>
      <c r="P76" s="29"/>
      <c r="Q76" s="37"/>
      <c r="R76" s="198"/>
      <c r="S76" s="37"/>
      <c r="T76" s="37"/>
      <c r="U76" s="37"/>
      <c r="V76" s="198"/>
      <c r="W76" s="37"/>
      <c r="X76" s="86"/>
      <c r="Y76" s="198"/>
      <c r="Z76" s="37"/>
      <c r="AA76" s="37"/>
      <c r="AB76" s="29"/>
      <c r="AC76" s="198"/>
      <c r="AD76" s="37"/>
      <c r="AE76" s="95"/>
      <c r="AF76" s="266">
        <v>1</v>
      </c>
      <c r="AG76" s="169" t="str">
        <f>IF(AJ72&lt;&gt;"",IF(AJ74&lt;&gt;"",IF(AJ72=AJ74,"",IF(AJ72&gt;AJ74,AK72,AK74)),""),"")</f>
        <v>THEO HENARE MINELLI DE SÁ</v>
      </c>
      <c r="AH76" s="94"/>
      <c r="AI76" s="37"/>
      <c r="AJ76" s="29"/>
      <c r="AK76" s="188"/>
      <c r="AL76" s="29"/>
      <c r="AP76" s="31">
        <f>IF(AR76&lt;&gt;"",1+COUNTIF(AP72:AP75,"1")+COUNTIF(AP72:AP75,"2")+COUNTIF(AP72:AP75,"3")+COUNTIF(AP72:AP75,"4"),"")</f>
        <v>5</v>
      </c>
      <c r="AQ76" s="32" t="str">
        <f t="shared" si="3"/>
        <v>LUGAR</v>
      </c>
      <c r="AR76" s="111" t="str">
        <f>IF(AR72&lt;&gt;"",IF(K84=AR72,K86,IF(K86=AR72,K84,IF(K114=AR72,K116,IF(K116=AR72,K114,IF(AC84=AR72,AC86,IF(AC86=AR72,AC84,IF(AC114=AR72,AC116,IF(AC116=AR72,AC114)))))))),"")</f>
        <v>HENRIQUE MARTINS MONTOUTO</v>
      </c>
      <c r="AS76" s="33" t="str">
        <f>IFERROR(IF(AR76="","",VLOOKUP(AR76,LISTAS!$F$5:$G$1004,2,0)),"0")</f>
        <v>COLÉGIO ATENEU</v>
      </c>
      <c r="AT76" s="33">
        <f t="shared" si="4"/>
        <v>135</v>
      </c>
      <c r="AU76" s="33">
        <f t="shared" si="5"/>
        <v>135</v>
      </c>
    </row>
    <row r="77" spans="2:47" ht="18" customHeight="1" thickBot="1" x14ac:dyDescent="0.3">
      <c r="B77" s="133"/>
      <c r="C77" s="188"/>
      <c r="D77" s="29"/>
      <c r="E77" s="29"/>
      <c r="F77" s="34"/>
      <c r="G77" s="170" t="str">
        <f>IFERROR(IF(G76="","",VLOOKUP(G76,LISTAS!$F$5:$G$1004,2,0)),"0")</f>
        <v>COLÉGIO ARBOS - UNIDADE SANTO ANDRÉ</v>
      </c>
      <c r="H77" s="267"/>
      <c r="I77" s="101"/>
      <c r="J77" s="101"/>
      <c r="K77" s="190"/>
      <c r="L77" s="101"/>
      <c r="M77" s="101"/>
      <c r="N77" s="29"/>
      <c r="O77" s="188"/>
      <c r="P77" s="29"/>
      <c r="Q77" s="37"/>
      <c r="R77" s="198"/>
      <c r="S77" s="37"/>
      <c r="T77" s="37"/>
      <c r="U77" s="37"/>
      <c r="V77" s="198"/>
      <c r="W77" s="37"/>
      <c r="X77" s="86"/>
      <c r="Y77" s="198"/>
      <c r="Z77" s="37"/>
      <c r="AA77" s="37"/>
      <c r="AB77" s="29"/>
      <c r="AC77" s="198"/>
      <c r="AD77" s="37"/>
      <c r="AE77" s="95"/>
      <c r="AF77" s="267"/>
      <c r="AG77" s="170" t="str">
        <f>IFERROR(IF(AG76="","",VLOOKUP(AG76,LISTAS!$F$5:$G$1004,2,0)),"0")</f>
        <v>PEN LIFE</v>
      </c>
      <c r="AH77" s="94"/>
      <c r="AI77" s="37"/>
      <c r="AJ77" s="29"/>
      <c r="AK77" s="188"/>
      <c r="AL77" s="29"/>
      <c r="AP77" s="31">
        <f>IF(AR77&lt;&gt;"",1+COUNTIF(AP72:AP76,"1")+COUNTIF(AP72:AP76,"2")+COUNTIF(AP72:AP76,"3")+COUNTIF(AP72:AP76,"4")+COUNTIF(AP72:AP76,"5"),"")</f>
        <v>6</v>
      </c>
      <c r="AQ77" s="32" t="str">
        <f t="shared" si="3"/>
        <v>LUGAR</v>
      </c>
      <c r="AR77" s="111" t="str">
        <f>IF(AR73&lt;&gt;"",IF(K84=AR73,K86,IF(K86=AR73,K84,IF(K114=AR73,K116,IF(K116=AR73,K114,IF(AC84=AR73,AC86,IF(AC86=AR73,AC84,IF(AC114=AR73,AC116,IF(AC116=AR73,AC114)))))))),"")</f>
        <v>FRANCISCO OLIVEIRA MARIN</v>
      </c>
      <c r="AS77" s="33" t="str">
        <f>IFERROR(IF(AR77="","",VLOOKUP(AR77,LISTAS!$F$5:$G$1004,2,0)),"0")</f>
        <v>COLÉGIO SÃO MAURO</v>
      </c>
      <c r="AT77" s="33">
        <f t="shared" si="4"/>
        <v>130</v>
      </c>
      <c r="AU77" s="33">
        <f t="shared" si="5"/>
        <v>130</v>
      </c>
    </row>
    <row r="78" spans="2:47" x14ac:dyDescent="0.25">
      <c r="B78" s="133"/>
      <c r="C78" s="188"/>
      <c r="D78" s="29"/>
      <c r="E78" s="35"/>
      <c r="F78" s="36"/>
      <c r="G78" s="169" t="str">
        <f>IF(D80&lt;&gt;"",IF(D82&lt;&gt;"",IF(D80=D82,"",IF(D80&gt;D82,C80,C82)),""),"")</f>
        <v/>
      </c>
      <c r="H78" s="266">
        <v>0</v>
      </c>
      <c r="I78" s="107">
        <f>IF(H78&lt;&gt;"",H78,"")</f>
        <v>0</v>
      </c>
      <c r="J78" s="101" t="str">
        <f>IF(H78&lt;&gt;"",IF(G78="","",G78),"")</f>
        <v/>
      </c>
      <c r="K78" s="190" t="str">
        <f>VLOOKUP(K76,I76:J78,2,0)</f>
        <v/>
      </c>
      <c r="L78" s="101"/>
      <c r="M78" s="101"/>
      <c r="N78" s="29"/>
      <c r="O78" s="188"/>
      <c r="P78" s="29"/>
      <c r="Q78" s="37"/>
      <c r="R78" s="198"/>
      <c r="S78" s="37"/>
      <c r="T78" s="37"/>
      <c r="U78" s="37"/>
      <c r="V78" s="198"/>
      <c r="W78" s="37"/>
      <c r="X78" s="86"/>
      <c r="Y78" s="198"/>
      <c r="Z78" s="37"/>
      <c r="AA78" s="37"/>
      <c r="AB78" s="29"/>
      <c r="AC78" s="198"/>
      <c r="AD78" s="94"/>
      <c r="AE78" s="96"/>
      <c r="AF78" s="266">
        <v>0</v>
      </c>
      <c r="AG78" s="169" t="str">
        <f>IF(AJ80&lt;&gt;"",IF(AJ82&lt;&gt;"",IF(AJ80=AJ82,"",IF(AJ80&gt;AJ82,AK80,AK82)),""),"")</f>
        <v/>
      </c>
      <c r="AH78" s="98"/>
      <c r="AI78" s="37"/>
      <c r="AJ78" s="29"/>
      <c r="AK78" s="188"/>
      <c r="AL78" s="29"/>
      <c r="AP78" s="31">
        <f>IF(AR78&lt;&gt;"",1+COUNTIF(AP72:AP77,"1")+COUNTIF(AP72:AP77,"2")+COUNTIF(AP72:AP77,"3")+COUNTIF(AP72:AP77,"4")+COUNTIF(AP72:AP77,"5")+COUNTIF(AP72:AP77,"6"),"")</f>
        <v>7</v>
      </c>
      <c r="AQ78" s="32" t="str">
        <f t="shared" si="3"/>
        <v>LUGAR</v>
      </c>
      <c r="AR78" s="111" t="str">
        <f>IF(AR74&lt;&gt;"",IF(K84=AR74,K86,IF(K86=AR74,K84,IF(K114=AR74,K116,IF(K116=AR74,K114,IF(AC84=AR74,AC86,IF(AC86=AR74,AC84,IF(AC114=AR74,AC116,IF(AC116=AR74,AC114)))))))),"")</f>
        <v>PEDRO</v>
      </c>
      <c r="AS78" s="33" t="str">
        <f>IFERROR(IF(AR78="","",VLOOKUP(AR78,LISTAS!$F$5:$G$1004,2,0)),"0")</f>
        <v>COLÉGIO ATENEU</v>
      </c>
      <c r="AT78" s="33">
        <f t="shared" si="4"/>
        <v>120</v>
      </c>
      <c r="AU78" s="33">
        <f t="shared" si="5"/>
        <v>120</v>
      </c>
    </row>
    <row r="79" spans="2:47" ht="17.25" thickBot="1" x14ac:dyDescent="0.3">
      <c r="B79" s="133"/>
      <c r="C79" s="188"/>
      <c r="D79" s="29"/>
      <c r="E79" s="35"/>
      <c r="F79" s="29"/>
      <c r="G79" s="170" t="str">
        <f>IFERROR(IF(G78="","",VLOOKUP(G78,LISTAS!$F$5:$G$1004,2,0)),"0")</f>
        <v/>
      </c>
      <c r="H79" s="267"/>
      <c r="I79" s="138"/>
      <c r="J79" s="101"/>
      <c r="K79" s="190"/>
      <c r="L79" s="101"/>
      <c r="M79" s="101"/>
      <c r="N79" s="29"/>
      <c r="O79" s="188"/>
      <c r="P79" s="29"/>
      <c r="Q79" s="37"/>
      <c r="R79" s="198"/>
      <c r="S79" s="37"/>
      <c r="T79" s="37"/>
      <c r="U79" s="37"/>
      <c r="V79" s="198"/>
      <c r="W79" s="37"/>
      <c r="X79" s="86"/>
      <c r="Y79" s="198"/>
      <c r="Z79" s="37"/>
      <c r="AA79" s="37"/>
      <c r="AB79" s="29"/>
      <c r="AC79" s="198"/>
      <c r="AD79" s="94"/>
      <c r="AE79" s="37"/>
      <c r="AF79" s="267"/>
      <c r="AG79" s="170" t="str">
        <f>IFERROR(IF(AG78="","",VLOOKUP(AG78,LISTAS!$F$5:$G$1004,2,0)),"0")</f>
        <v/>
      </c>
      <c r="AH79" s="37"/>
      <c r="AI79" s="89"/>
      <c r="AJ79" s="29"/>
      <c r="AK79" s="188"/>
      <c r="AL79" s="29"/>
      <c r="AP79" s="31">
        <f>IF(AR79&lt;&gt;"",1+COUNTIF(AP72:AP78,"1")+COUNTIF(AP72:AP78,"2")+COUNTIF(AP72:AP78,"3")+COUNTIF(AP72:AP78,"4")+COUNTIF(AP72:AP78,"5")+COUNTIF(AP72:AP78,"6")+COUNTIF(AP72:AP78,"7"),"")</f>
        <v>8</v>
      </c>
      <c r="AQ79" s="32" t="str">
        <f t="shared" si="3"/>
        <v>LUGAR</v>
      </c>
      <c r="AR79" s="111" t="str">
        <f>IF(AR75&lt;&gt;"",IF(K84=AR75,K86,IF(K86=AR75,K84,IF(K114=AR75,K116,IF(K116=AR75,K114,IF(AC84=AR75,AC86,IF(AC86=AR75,AC84,IF(AC114=AR75,AC116,IF(AC116=AR75,AC114)))))))),"")</f>
        <v>ENRICO LUPINARI PALERMO</v>
      </c>
      <c r="AS79" s="33" t="str">
        <f>IFERROR(IF(AR79="","",VLOOKUP(AR79,LISTAS!$F$5:$G$1004,2,0)),"0")</f>
        <v>ABACO IPIRANGA</v>
      </c>
      <c r="AT79" s="33">
        <f t="shared" si="4"/>
        <v>110</v>
      </c>
      <c r="AU79" s="33">
        <f t="shared" si="5"/>
        <v>110</v>
      </c>
    </row>
    <row r="80" spans="2:47" ht="18" customHeight="1" x14ac:dyDescent="0.25">
      <c r="B80" s="133">
        <v>17</v>
      </c>
      <c r="C80" s="169" t="str">
        <f>IF('09M GRP'!G5&gt;=3,'09M GRP'!J230,IF('09M GRP'!G5=2,"",IF('09M GRP'!G5=1,"","")))</f>
        <v>NICOLAS LOPES MOURA DE OLIVEIRA</v>
      </c>
      <c r="D80" s="266">
        <v>0</v>
      </c>
      <c r="E80" s="148">
        <f>IF(D80&lt;&gt;"",D80,"")</f>
        <v>0</v>
      </c>
      <c r="F80" s="101" t="str">
        <f>IF(D80&lt;&gt;"",IF(C80="","",C80),"")</f>
        <v>NICOLAS LOPES MOURA DE OLIVEIRA</v>
      </c>
      <c r="G80" s="190">
        <f>IF(E80&lt;&gt;"",IF(E82&lt;&gt;"",SMALL(E80:E82,1),""),"")</f>
        <v>0</v>
      </c>
      <c r="H80" s="101"/>
      <c r="I80" s="138"/>
      <c r="J80" s="101"/>
      <c r="K80" s="190"/>
      <c r="L80" s="101"/>
      <c r="M80" s="101"/>
      <c r="N80" s="29"/>
      <c r="O80" s="188"/>
      <c r="P80" s="29"/>
      <c r="Q80" s="37"/>
      <c r="R80" s="198"/>
      <c r="S80" s="37"/>
      <c r="T80" s="37"/>
      <c r="U80" s="37"/>
      <c r="V80" s="198"/>
      <c r="W80" s="37"/>
      <c r="X80" s="86"/>
      <c r="Y80" s="198"/>
      <c r="Z80" s="37"/>
      <c r="AA80" s="37"/>
      <c r="AB80" s="29"/>
      <c r="AC80" s="198"/>
      <c r="AD80" s="146"/>
      <c r="AE80" s="100"/>
      <c r="AF80" s="100"/>
      <c r="AG80" s="197">
        <f>IF(AJ80&lt;&gt;"",AJ80,"")</f>
        <v>0</v>
      </c>
      <c r="AH80" s="100" t="str">
        <f>IF(AJ80&lt;&gt;"",IF(AK80="","",AK80),"")</f>
        <v>JOAQUIM STAUB DA SILVA</v>
      </c>
      <c r="AI80" s="137">
        <f>IF(AG80&lt;&gt;"",IF(AG82&lt;&gt;"",SMALL(AG80:AG82,1),""),"")</f>
        <v>0</v>
      </c>
      <c r="AJ80" s="266">
        <v>0</v>
      </c>
      <c r="AK80" s="169" t="str">
        <f>IF('09M GRP'!G5&gt;=3,'09M GRP'!J191,IF('09M GRP'!G5=2,"",IF('09M GRP'!G5=1,"","")))</f>
        <v>JOAQUIM STAUB DA SILVA</v>
      </c>
      <c r="AL80" s="29">
        <v>14</v>
      </c>
      <c r="AP80" s="31">
        <f>IF(AR80&lt;&gt;"",1+COUNTIF(AP72:AP79,"1")+COUNTIF(AP72:AP79,"2")+COUNTIF(AP72:AP79,"3")+COUNTIF(AP72:AP79,"4")+COUNTIF(AP72:AP79,"5")+COUNTIF(AP72:AP79,"6")+COUNTIF(AP72:AP79,"7")+COUNTIF(AP72:AP79,"8"),"")</f>
        <v>9</v>
      </c>
      <c r="AQ80" s="32" t="str">
        <f t="shared" si="3"/>
        <v>LUGAR</v>
      </c>
      <c r="AR80" s="111" t="str">
        <f>IF(AR72&lt;&gt;"",IF(G76=AR72,G78,IF(G78=AR72,G76,IF(G92=AR72,G94,IF(G94=AR72,G92,IF(AG76=AR72,AG78,IF(AG78=AR72,AG76,IF(AG92=AR72,AG94,IF(AG94=AR72,AG92,IF(G106=AR72,G108,IF(G108=AR72,G106,IF(G122=AR72,G124,IF(G124=AR72,G122,IF(AG106=AR72,AG108,IF(AG108=AR72,AG106,IF(AG122=AR72,AG124,IF(AG124=AR72,AG122)))))))))))))))),"")</f>
        <v>ARTHUR PULIDO CARMONA</v>
      </c>
      <c r="AS80" s="33" t="str">
        <f>IFERROR(IF(AR80="","",VLOOKUP(AR80,LISTAS!$F$5:$G$1004,2,0)),"0")</f>
        <v>COLÉGIO ATENEU</v>
      </c>
      <c r="AT80" s="33">
        <f t="shared" si="4"/>
        <v>105</v>
      </c>
      <c r="AU80" s="33">
        <f t="shared" si="5"/>
        <v>105</v>
      </c>
    </row>
    <row r="81" spans="2:47" ht="18" customHeight="1" thickBot="1" x14ac:dyDescent="0.3">
      <c r="B81" s="133"/>
      <c r="C81" s="170" t="str">
        <f>IFERROR(IF(C80="","",VLOOKUP(C80,LISTAS!$F$5:$G$1004,2,0)),"0")</f>
        <v>ABACO IPIRANGA</v>
      </c>
      <c r="D81" s="267"/>
      <c r="E81" s="105"/>
      <c r="F81" s="101"/>
      <c r="G81" s="190"/>
      <c r="H81" s="101"/>
      <c r="I81" s="138"/>
      <c r="J81" s="29"/>
      <c r="K81" s="188"/>
      <c r="L81" s="29"/>
      <c r="M81" s="29"/>
      <c r="N81" s="29"/>
      <c r="O81" s="188"/>
      <c r="P81" s="29"/>
      <c r="Q81" s="37"/>
      <c r="R81" s="198"/>
      <c r="S81" s="37"/>
      <c r="T81" s="37"/>
      <c r="U81" s="37"/>
      <c r="V81" s="198"/>
      <c r="W81" s="37"/>
      <c r="X81" s="86"/>
      <c r="Y81" s="198"/>
      <c r="Z81" s="37"/>
      <c r="AA81" s="37"/>
      <c r="AB81" s="29"/>
      <c r="AC81" s="198"/>
      <c r="AD81" s="146"/>
      <c r="AE81" s="100"/>
      <c r="AF81" s="100"/>
      <c r="AG81" s="197"/>
      <c r="AH81" s="100"/>
      <c r="AI81" s="143"/>
      <c r="AJ81" s="267"/>
      <c r="AK81" s="170" t="str">
        <f>IFERROR(IF(AK80="","",VLOOKUP(AK80,LISTAS!$F$5:$G$1004,2,0)),"0")</f>
        <v>COLÉGIO ATENEU</v>
      </c>
      <c r="AL81" s="29"/>
      <c r="AP81" s="31" t="str">
        <f>IF(AR81&lt;&gt;"",1+COUNTIF(AP72:AP80,"1")+COUNTIF(AP72:AP80,"2")+COUNTIF(AP72:AP80,"3")+COUNTIF(AP72:AP80,"4")+COUNTIF(AP72:AP80,"5")+COUNTIF(AP72:AP80,"6")+COUNTIF(AP72:AP80,"7")+COUNTIF(AP72:AP80,"8")+COUNTIF(AP72:AP80,"9"),"")</f>
        <v/>
      </c>
      <c r="AQ81" s="32" t="str">
        <f t="shared" si="3"/>
        <v/>
      </c>
      <c r="AR81" s="111" t="str">
        <f>IF(AR73&lt;&gt;"",IF(G76=AR73,G78,IF(G78=AR73,G76,IF(G92=AR73,G94,IF(G94=AR73,G92,IF(AG76=AR73,AG78,IF(AG78=AR73,AG76,IF(AG92=AR73,AG94,IF(AG94=AR73,AG92,IF(G106=AR73,G108,IF(G108=AR73,G106,IF(G122=AR73,G124,IF(G124=AR73,G122,IF(AG106=AR73,AG108,IF(AG108=AR73,AG106,IF(AG122=AR73,AG124,IF(AG124=AR73,AG122)))))))))))))))),"")</f>
        <v/>
      </c>
      <c r="AS81" s="33" t="str">
        <f>IFERROR(IF(AR81="","",VLOOKUP(AR81,LISTAS!$F$5:$G$1004,2,0)),"0")</f>
        <v/>
      </c>
      <c r="AT81" s="33" t="str">
        <f t="shared" si="4"/>
        <v/>
      </c>
      <c r="AU81" s="33" t="str">
        <f t="shared" si="5"/>
        <v/>
      </c>
    </row>
    <row r="82" spans="2:47" ht="18" customHeight="1" x14ac:dyDescent="0.25">
      <c r="B82" s="133">
        <v>16</v>
      </c>
      <c r="C82" s="169" t="str">
        <f>IF('09M GRP'!G5&gt;=3,'09M GRP'!J217,IF('09M GRP'!G5=2,"",IF('09M GRP'!G5=1,"","")))</f>
        <v>FELIPE FERRAZ FERREIRA MONTEIRO</v>
      </c>
      <c r="D82" s="266">
        <v>0</v>
      </c>
      <c r="E82" s="106">
        <f>IF(D82&lt;&gt;"",D82,"")</f>
        <v>0</v>
      </c>
      <c r="F82" s="101" t="str">
        <f>IF(D82&lt;&gt;"",IF(C82="","",C82),"")</f>
        <v>FELIPE FERRAZ FERREIRA MONTEIRO</v>
      </c>
      <c r="G82" s="190" t="str">
        <f>VLOOKUP(G80,E80:F82,2,0)</f>
        <v>NICOLAS LOPES MOURA DE OLIVEIRA</v>
      </c>
      <c r="H82" s="101"/>
      <c r="I82" s="138"/>
      <c r="J82" s="29"/>
      <c r="K82" s="188"/>
      <c r="L82" s="29"/>
      <c r="M82" s="29"/>
      <c r="N82" s="29"/>
      <c r="O82" s="188"/>
      <c r="P82" s="29"/>
      <c r="Q82" s="37"/>
      <c r="R82" s="198"/>
      <c r="S82" s="37"/>
      <c r="T82" s="37"/>
      <c r="U82" s="37"/>
      <c r="V82" s="198"/>
      <c r="W82" s="37"/>
      <c r="X82" s="86"/>
      <c r="Y82" s="198"/>
      <c r="Z82" s="37"/>
      <c r="AA82" s="37"/>
      <c r="AB82" s="29"/>
      <c r="AC82" s="198"/>
      <c r="AD82" s="146"/>
      <c r="AE82" s="100"/>
      <c r="AF82" s="100"/>
      <c r="AG82" s="197">
        <f>IF(AJ82&lt;&gt;"",AJ82,"")</f>
        <v>0</v>
      </c>
      <c r="AH82" s="100" t="str">
        <f>IF(AJ82&lt;&gt;"",IF(AK82="","",AK82),"")</f>
        <v>MATHEUS HENRIQUE SGOBI</v>
      </c>
      <c r="AI82" s="104" t="str">
        <f>VLOOKUP(AI80,AG80:AH82,2,0)</f>
        <v>JOAQUIM STAUB DA SILVA</v>
      </c>
      <c r="AJ82" s="266">
        <v>0</v>
      </c>
      <c r="AK82" s="169" t="str">
        <f>IF('09M GRP'!G5&gt;=3,'09M GRP'!J256,IF('09M GRP'!G5=2,"",IF('09M GRP'!G5=1,"","")))</f>
        <v>MATHEUS HENRIQUE SGOBI</v>
      </c>
      <c r="AL82" s="29">
        <v>19</v>
      </c>
      <c r="AP82" s="31" t="str">
        <f>IF(AR82&lt;&gt;"",1+COUNTIF(AP72:AP81,"1")+COUNTIF(AP72:AP81,"2")+COUNTIF(AP72:AP81,"3")+COUNTIF(AP72:AP81,"4")+COUNTIF(AP72:AP81,"5")+COUNTIF(AP72:AP81,"6")+COUNTIF(AP72:AP81,"7")+COUNTIF(AP72:AP81,"8")+COUNTIF(AP72:AP81,"9")+COUNTIF(AP72:AP81,"10"),"")</f>
        <v/>
      </c>
      <c r="AQ82" s="32" t="str">
        <f t="shared" si="3"/>
        <v/>
      </c>
      <c r="AR82" s="111" t="str">
        <f>IF(AR74&lt;&gt;"",IF(G76=AR74,G78,IF(G78=AR74,G76,IF(G92=AR74,G94,IF(G94=AR74,G92,IF(AG76=AR74,AG78,IF(AG78=AR74,AG76,IF(AG92=AR74,AG94,IF(AG94=AR74,AG92,IF(G106=AR74,G108,IF(G108=AR74,G106,IF(G122=AR74,G124,IF(G124=AR74,G122,IF(AG106=AR74,AG108,IF(AG108=AR74,AG106,IF(AG122=AR74,AG124,IF(AG124=AR74,AG122)))))))))))))))),"")</f>
        <v/>
      </c>
      <c r="AS82" s="33" t="str">
        <f>IFERROR(IF(AR82="","",VLOOKUP(AR82,LISTAS!$F$5:$G$1004,2,0)),"0")</f>
        <v/>
      </c>
      <c r="AT82" s="33" t="str">
        <f t="shared" si="4"/>
        <v/>
      </c>
      <c r="AU82" s="33" t="str">
        <f t="shared" si="5"/>
        <v/>
      </c>
    </row>
    <row r="83" spans="2:47" ht="18" customHeight="1" thickBot="1" x14ac:dyDescent="0.3">
      <c r="B83" s="133"/>
      <c r="C83" s="170" t="str">
        <f>IFERROR(IF(C82="","",VLOOKUP(C82,LISTAS!$F$5:$G$1004,2,0)),"0")</f>
        <v>PEN LIFE</v>
      </c>
      <c r="D83" s="267"/>
      <c r="E83" s="101"/>
      <c r="F83" s="101"/>
      <c r="G83" s="190"/>
      <c r="H83" s="101"/>
      <c r="I83" s="138"/>
      <c r="J83" s="29"/>
      <c r="K83" s="188"/>
      <c r="L83" s="29"/>
      <c r="M83" s="29"/>
      <c r="N83" s="29"/>
      <c r="O83" s="188"/>
      <c r="P83" s="29"/>
      <c r="Q83" s="37"/>
      <c r="R83" s="198"/>
      <c r="S83" s="37"/>
      <c r="T83" s="37"/>
      <c r="U83" s="37"/>
      <c r="V83" s="198"/>
      <c r="W83" s="37"/>
      <c r="X83" s="86"/>
      <c r="Y83" s="198"/>
      <c r="Z83" s="37"/>
      <c r="AA83" s="37"/>
      <c r="AB83" s="29"/>
      <c r="AC83" s="198"/>
      <c r="AD83" s="146"/>
      <c r="AE83" s="100"/>
      <c r="AF83" s="100"/>
      <c r="AG83" s="197"/>
      <c r="AH83" s="100"/>
      <c r="AI83" s="101"/>
      <c r="AJ83" s="267"/>
      <c r="AK83" s="170" t="str">
        <f>IFERROR(IF(AK82="","",VLOOKUP(AK82,LISTAS!$F$5:$G$1004,2,0)),"0")</f>
        <v>COLÉGIO ARBOS - UNIDADE SANTO ANDRÉ</v>
      </c>
      <c r="AL83" s="29"/>
      <c r="AP83" s="31">
        <f>IF(AR83&lt;&gt;"",1+COUNTIF(AP72:AP82,"1")+COUNTIF(AP72:AP82,"2")+COUNTIF(AP72:AP82,"3")+COUNTIF(AP72:AP82,"4")+COUNTIF(AP72:AP82,"5")+COUNTIF(AP72:AP82,"6")+COUNTIF(AP72:AP82,"7")+COUNTIF(AP72:AP82,"8")+COUNTIF(AP72:AP82,"9")+COUNTIF(AP72:AP82,"10")+COUNTIF(AP72:AP82,"11"),"")</f>
        <v>10</v>
      </c>
      <c r="AQ83" s="32" t="str">
        <f t="shared" si="3"/>
        <v>LUGAR</v>
      </c>
      <c r="AR83" s="111" t="str">
        <f>IF(AR75&lt;&gt;"",IF(G76=AR75,G78,IF(G78=AR75,G76,IF(G92=AR75,G94,IF(G94=AR75,G92,IF(AG76=AR75,AG78,IF(AG78=AR75,AG76,IF(AG92=AR75,AG94,IF(AG94=AR75,AG92,IF(G106=AR75,G108,IF(G108=AR75,G106,IF(G122=AR75,G124,IF(G124=AR75,G122,IF(AG106=AR75,AG108,IF(AG108=AR75,AG106,IF(AG122=AR75,AG124,IF(AG124=AR75,AG122)))))))))))))))),"")</f>
        <v>DAVI CRUZ SANTOS</v>
      </c>
      <c r="AS83" s="33" t="str">
        <f>IFERROR(IF(AR83="","",VLOOKUP(AR83,LISTAS!$F$5:$G$1004,2,0)),"0")</f>
        <v>LICEU JARDIM</v>
      </c>
      <c r="AT83" s="33">
        <f t="shared" si="4"/>
        <v>105</v>
      </c>
      <c r="AU83" s="33">
        <f t="shared" si="5"/>
        <v>105</v>
      </c>
    </row>
    <row r="84" spans="2:47" ht="18" customHeight="1" x14ac:dyDescent="0.25">
      <c r="B84" s="133"/>
      <c r="C84" s="188"/>
      <c r="D84" s="29"/>
      <c r="E84" s="29"/>
      <c r="F84" s="29"/>
      <c r="G84" s="188"/>
      <c r="H84" s="29"/>
      <c r="I84" s="35"/>
      <c r="J84" s="29"/>
      <c r="K84" s="169" t="str">
        <f>IF(H76&lt;&gt;"",IF(H78&lt;&gt;"",IF(H76=H78,"",IF(H76&gt;H78,G76,G78)),""),"")</f>
        <v>ARTHUR DAMIANI DANTAS</v>
      </c>
      <c r="L84" s="266">
        <v>1</v>
      </c>
      <c r="M84" s="101">
        <f>IF(L84&lt;&gt;"",L84,"")</f>
        <v>1</v>
      </c>
      <c r="N84" s="101" t="str">
        <f>IF(L84&lt;&gt;"",IF(K84="","",K84),"")</f>
        <v>ARTHUR DAMIANI DANTAS</v>
      </c>
      <c r="O84" s="190">
        <f>IF(M84&lt;&gt;"",IF(M86&lt;&gt;"",SMALL(M84:N86,1),""),"")</f>
        <v>0</v>
      </c>
      <c r="P84" s="101"/>
      <c r="Q84" s="37"/>
      <c r="R84" s="272" t="s">
        <v>86</v>
      </c>
      <c r="S84" s="273"/>
      <c r="T84" s="273"/>
      <c r="U84" s="273"/>
      <c r="V84" s="273"/>
      <c r="W84" s="37"/>
      <c r="X84" s="86"/>
      <c r="Y84" s="198"/>
      <c r="Z84" s="37"/>
      <c r="AA84" s="37"/>
      <c r="AB84" s="266">
        <v>1</v>
      </c>
      <c r="AC84" s="169" t="str">
        <f>IF(AF76&lt;&gt;"",IF(AF78&lt;&gt;"",IF(AF76=AF78,"",IF(AF76&gt;AF78,AG76,AG78)),""),"")</f>
        <v>THEO HENARE MINELLI DE SÁ</v>
      </c>
      <c r="AD84" s="147"/>
      <c r="AE84" s="100"/>
      <c r="AF84" s="100"/>
      <c r="AG84" s="197"/>
      <c r="AH84" s="100"/>
      <c r="AI84" s="100"/>
      <c r="AJ84" s="29"/>
      <c r="AK84" s="188"/>
      <c r="AL84" s="29"/>
      <c r="AP84" s="31">
        <f>IF(AR84&lt;&gt;"",1+COUNTIF(AP72:AP83,"1")+COUNTIF(AP72:AP83,"2")+COUNTIF(AP72:AP83,"3")+COUNTIF(AP72:AP83,"4")+COUNTIF(AP72:AP83,"5")+COUNTIF(AP72:AP83,"6")+COUNTIF(AP72:AP83,"7")+COUNTIF(AP72:AP83,"8")+COUNTIF(AP72:AP83,"9")+COUNTIF(AP72:AP83,"10")+COUNTIF(AP72:AP83,"11")+COUNTIF(AP72:AP83,"12"),"")</f>
        <v>11</v>
      </c>
      <c r="AQ84" s="32" t="str">
        <f t="shared" si="3"/>
        <v>LUGAR</v>
      </c>
      <c r="AR84" s="111" t="str">
        <f>IF(AR76&lt;&gt;"",IF(G76=AR76,G78,IF(G78=AR76,G76,IF(G92=AR76,G94,IF(G94=AR76,G92,IF(AG76=AR76,AG78,IF(AG78=AR76,AG76,IF(AG92=AR76,AG94,IF(AG94=AR76,AG92,IF(G106=AR76,G108,IF(G108=AR76,G106,IF(G122=AR76,G124,IF(G124=AR76,G122,IF(AG106=AR76,AG108,IF(AG108=AR76,AG106,IF(AG122=AR76,AG124,IF(AG124=AR76,AG122)))))))))))))))),"")</f>
        <v>THEO RIBEIRO</v>
      </c>
      <c r="AS84" s="33" t="str">
        <f>IFERROR(IF(AR84="","",VLOOKUP(AR84,LISTAS!$F$5:$G$1004,2,0)),"0")</f>
        <v>COLÉGIO ATENEU</v>
      </c>
      <c r="AT84" s="33">
        <f t="shared" si="4"/>
        <v>105</v>
      </c>
      <c r="AU84" s="33">
        <f t="shared" si="5"/>
        <v>105</v>
      </c>
    </row>
    <row r="85" spans="2:47" ht="18" customHeight="1" thickBot="1" x14ac:dyDescent="0.3">
      <c r="B85" s="133"/>
      <c r="C85" s="188"/>
      <c r="D85" s="29"/>
      <c r="E85" s="29"/>
      <c r="F85" s="29"/>
      <c r="G85" s="188"/>
      <c r="H85" s="29"/>
      <c r="I85" s="35"/>
      <c r="J85" s="29"/>
      <c r="K85" s="170" t="str">
        <f>IFERROR(IF(K84="","",VLOOKUP(K84,LISTAS!$F$5:$G$1004,2,0)),"0")</f>
        <v>COLÉGIO ARBOS - UNIDADE SANTO ANDRÉ</v>
      </c>
      <c r="L85" s="267"/>
      <c r="M85" s="101"/>
      <c r="N85" s="101"/>
      <c r="O85" s="190"/>
      <c r="P85" s="101"/>
      <c r="Q85" s="37"/>
      <c r="R85" s="272" t="s">
        <v>25</v>
      </c>
      <c r="S85" s="273"/>
      <c r="T85" s="273"/>
      <c r="U85" s="273"/>
      <c r="V85" s="273"/>
      <c r="W85" s="37"/>
      <c r="X85" s="86"/>
      <c r="Y85" s="198"/>
      <c r="Z85" s="37"/>
      <c r="AA85" s="37"/>
      <c r="AB85" s="267"/>
      <c r="AC85" s="170" t="str">
        <f>IFERROR(IF(AC84="","",VLOOKUP(AC84,LISTAS!$F$5:$G$1004,2,0)),"0")</f>
        <v>PEN LIFE</v>
      </c>
      <c r="AD85" s="37"/>
      <c r="AE85" s="89"/>
      <c r="AF85" s="37"/>
      <c r="AG85" s="198"/>
      <c r="AH85" s="37"/>
      <c r="AI85" s="37"/>
      <c r="AJ85" s="29"/>
      <c r="AK85" s="188"/>
      <c r="AL85" s="29"/>
      <c r="AP85" s="31">
        <f>IF(AR85&lt;&gt;"",1+COUNTIF(AP72:AP84,"1")+COUNTIF(AP72:AP84,"2")+COUNTIF(AP72:AP84,"3")+COUNTIF(AP72:AP84,"4")+COUNTIF(AP72:AP84,"5")+COUNTIF(AP72:AP84,"6")+COUNTIF(AP72:AP84,"7")+COUNTIF(AP72:AP84,"8")+COUNTIF(AP72:AP84,"9")+COUNTIF(AP72:AP84,"10")+COUNTIF(AP72:AP84,"11")+COUNTIF(AP72:AP84,"12")+COUNTIF(AP72:AP84,"13"),"")</f>
        <v>12</v>
      </c>
      <c r="AQ85" s="32" t="str">
        <f t="shared" si="3"/>
        <v>LUGAR</v>
      </c>
      <c r="AR85" s="111" t="str">
        <f>IF(AR77&lt;&gt;"",IF(G76=AR77,G78,IF(G78=AR77,G76,IF(G92=AR77,G94,IF(G94=AR77,G92,IF(AG76=AR77,AG78,IF(AG78=AR77,AG76,IF(AG92=AR77,AG94,IF(AG94=AR77,AG92,IF(G106=AR77,G108,IF(G108=AR77,G106,IF(G122=AR77,G124,IF(G124=AR77,G122,IF(AG106=AR77,AG108,IF(AG108=AR77,AG106,IF(AG122=AR77,AG124,IF(AG124=AR77,AG122)))))))))))))))),"")</f>
        <v>RAFAEL ALAHMAR MADLUM BARATELLA</v>
      </c>
      <c r="AS85" s="33" t="str">
        <f>IFERROR(IF(AR85="","",VLOOKUP(AR85,LISTAS!$F$5:$G$1004,2,0)),"0")</f>
        <v>COLÉGIO ARBOS - UNIDADE SANTO ANDRÉ</v>
      </c>
      <c r="AT85" s="33">
        <f t="shared" si="4"/>
        <v>105</v>
      </c>
      <c r="AU85" s="33">
        <f t="shared" si="5"/>
        <v>105</v>
      </c>
    </row>
    <row r="86" spans="2:47" ht="18" customHeight="1" x14ac:dyDescent="0.25">
      <c r="B86" s="133"/>
      <c r="C86" s="188"/>
      <c r="D86" s="29"/>
      <c r="E86" s="29"/>
      <c r="F86" s="29"/>
      <c r="G86" s="188"/>
      <c r="H86" s="29"/>
      <c r="I86" s="35"/>
      <c r="J86" s="36"/>
      <c r="K86" s="169" t="str">
        <f>IF(H92&lt;&gt;"",IF(H94&lt;&gt;"",IF(H92=H94,"",IF(H92&gt;H94,G92,G94)),""),"")</f>
        <v>FRANCISCO OLIVEIRA MARIN</v>
      </c>
      <c r="L86" s="266">
        <v>0</v>
      </c>
      <c r="M86" s="107">
        <f>IF(L86&lt;&gt;"",L86,"")</f>
        <v>0</v>
      </c>
      <c r="N86" s="101" t="str">
        <f>IF(L86&lt;&gt;"",IF(K86="","",K86),"")</f>
        <v>FRANCISCO OLIVEIRA MARIN</v>
      </c>
      <c r="O86" s="190" t="str">
        <f>VLOOKUP(O84,M84:N86,2,0)</f>
        <v>FRANCISCO OLIVEIRA MARIN</v>
      </c>
      <c r="P86" s="101"/>
      <c r="Q86" s="37"/>
      <c r="R86" s="198"/>
      <c r="S86" s="37"/>
      <c r="T86" s="37"/>
      <c r="U86" s="37"/>
      <c r="V86" s="198"/>
      <c r="W86" s="37"/>
      <c r="X86" s="86"/>
      <c r="Y86" s="198"/>
      <c r="Z86" s="94"/>
      <c r="AA86" s="96"/>
      <c r="AB86" s="266">
        <v>0</v>
      </c>
      <c r="AC86" s="169" t="str">
        <f>IF(AF92&lt;&gt;"",IF(AF94&lt;&gt;"",IF(AF92=AF94,"",IF(AF92&gt;AF94,AG92,AG94)),""),"")</f>
        <v>PEDRO</v>
      </c>
      <c r="AD86" s="37"/>
      <c r="AE86" s="89"/>
      <c r="AF86" s="37"/>
      <c r="AG86" s="198"/>
      <c r="AH86" s="37"/>
      <c r="AI86" s="37"/>
      <c r="AJ86" s="29"/>
      <c r="AK86" s="188"/>
      <c r="AL86" s="29"/>
      <c r="AP86" s="31">
        <f>IF(AR86&lt;&gt;"",1+COUNTIF(AP72:AP85,"1")+COUNTIF(AP72:AP85,"2")+COUNTIF(AP72:AP85,"3")+COUNTIF(AP72:AP85,"4")+COUNTIF(AP72:AP85,"5")+COUNTIF(AP72:AP85,"6")+COUNTIF(AP72:AP85,"7")+COUNTIF(AP72:AP85,"8")+COUNTIF(AP72:AP85,"9")+COUNTIF(AP72:AP85,"10")+COUNTIF(AP72:AP85,"11")+COUNTIF(AP72:AP85,"12")+COUNTIF(AP72:AP85,"13")+COUNTIF(AP72:AP85,"14"),"")</f>
        <v>13</v>
      </c>
      <c r="AQ86" s="32" t="str">
        <f t="shared" si="3"/>
        <v>LUGAR</v>
      </c>
      <c r="AR86" s="111" t="str">
        <f>IF(AR78&lt;&gt;"",IF(G76=AR78,G78,IF(G78=AR78,G76,IF(G92=AR78,G94,IF(G94=AR78,G92,IF(AG76=AR78,AG78,IF(AG78=AR78,AG76,IF(AG92=AR78,AG94,IF(AG94=AR78,AG92,IF(G106=AR78,G108,IF(G108=AR78,G106,IF(G122=AR78,G124,IF(G124=AR78,G122,IF(AG106=AR78,AG108,IF(AG108=AR78,AG106,IF(AG122=AR78,AG124,IF(AG124=AR78,AG122)))))))))))))))),"")</f>
        <v>BERNARDO AGUILAR MARIN</v>
      </c>
      <c r="AS86" s="33" t="str">
        <f>IFERROR(IF(AR86="","",VLOOKUP(AR86,LISTAS!$F$5:$G$1004,2,0)),"0")</f>
        <v>COLÉGIO ARBOS DE SÃO BERNARDO DO CAMPO</v>
      </c>
      <c r="AT86" s="33">
        <f t="shared" si="4"/>
        <v>105</v>
      </c>
      <c r="AU86" s="33">
        <f t="shared" si="5"/>
        <v>105</v>
      </c>
    </row>
    <row r="87" spans="2:47" ht="18" customHeight="1" thickBot="1" x14ac:dyDescent="0.3">
      <c r="B87" s="133"/>
      <c r="C87" s="188"/>
      <c r="D87" s="29"/>
      <c r="E87" s="29"/>
      <c r="F87" s="29"/>
      <c r="G87" s="188"/>
      <c r="H87" s="29"/>
      <c r="I87" s="35"/>
      <c r="J87" s="29"/>
      <c r="K87" s="170" t="str">
        <f>IFERROR(IF(K86="","",VLOOKUP(K86,LISTAS!$F$5:$G$1004,2,0)),"0")</f>
        <v>COLÉGIO SÃO MAURO</v>
      </c>
      <c r="L87" s="267"/>
      <c r="M87" s="138"/>
      <c r="N87" s="101"/>
      <c r="O87" s="190"/>
      <c r="P87" s="101"/>
      <c r="Q87" s="37"/>
      <c r="R87" s="198"/>
      <c r="S87" s="37"/>
      <c r="T87" s="37"/>
      <c r="U87" s="37"/>
      <c r="V87" s="198"/>
      <c r="W87" s="37"/>
      <c r="X87" s="86"/>
      <c r="Y87" s="198"/>
      <c r="Z87" s="94"/>
      <c r="AA87" s="37"/>
      <c r="AB87" s="267"/>
      <c r="AC87" s="170" t="str">
        <f>IFERROR(IF(AC86="","",VLOOKUP(AC86,LISTAS!$F$5:$G$1004,2,0)),"0")</f>
        <v>COLÉGIO ATENEU</v>
      </c>
      <c r="AD87" s="37"/>
      <c r="AE87" s="89"/>
      <c r="AF87" s="37"/>
      <c r="AG87" s="198"/>
      <c r="AH87" s="37"/>
      <c r="AI87" s="37"/>
      <c r="AJ87" s="29"/>
      <c r="AK87" s="188"/>
      <c r="AL87" s="29"/>
      <c r="AP87" s="31">
        <f>IF(AR87&lt;&gt;"",1+COUNTIF(AP72:AP86,"1")+COUNTIF(AP72:AP86,"2")+COUNTIF(AP72:AP86,"3")+COUNTIF(AP72:AP86,"4")+COUNTIF(AP72:AP86,"5")+COUNTIF(AP72:AP86,"6")+COUNTIF(AP72:AP86,"7")+COUNTIF(AP72:AP86,"8")+COUNTIF(AP72:AP86,"9")+COUNTIF(AP72:AP86,"10")+COUNTIF(AP72:AP86,"11")+COUNTIF(AP72:AP86,"12")+COUNTIF(AP72:AP86,"13")+COUNTIF(AP72:AP86,"14")+COUNTIF(AP72:AP86,"15"),"")</f>
        <v>14</v>
      </c>
      <c r="AQ87" s="32" t="str">
        <f t="shared" si="3"/>
        <v>LUGAR</v>
      </c>
      <c r="AR87" s="111" t="str">
        <f>IF(AR79&lt;&gt;"",IF(G76=AR79,G78,IF(G78=AR79,G76,IF(G92=AR79,G94,IF(G94=AR79,G92,IF(AG76=AR79,AG78,IF(AG78=AR79,AG76,IF(AG92=AR79,AG94,IF(AG94=AR79,AG92,IF(G106=AR79,G108,IF(G108=AR79,G106,IF(G122=AR79,G124,IF(G124=AR79,G122,IF(AG106=AR79,AG108,IF(AG108=AR79,AG106,IF(AG122=AR79,AG124,IF(AG124=AR79,AG122)))))))))))))))),"")</f>
        <v>CAUÃ NUNES BARROS</v>
      </c>
      <c r="AS87" s="33" t="str">
        <f>IFERROR(IF(AR87="","",VLOOKUP(AR87,LISTAS!$F$5:$G$1004,2,0)),"0")</f>
        <v>ESCOLA VILLARE</v>
      </c>
      <c r="AT87" s="33">
        <f t="shared" si="4"/>
        <v>105</v>
      </c>
      <c r="AU87" s="33">
        <f t="shared" si="5"/>
        <v>105</v>
      </c>
    </row>
    <row r="88" spans="2:47" ht="18" customHeight="1" x14ac:dyDescent="0.25">
      <c r="B88" s="133">
        <v>9</v>
      </c>
      <c r="C88" s="169" t="str">
        <f>IF('09M GRP'!G5&gt;=3,'09M GRP'!J126,IF('09M GRP'!G5=2,"",IF('09M GRP'!G5=1,"","")))</f>
        <v>RAFAEL CARRADORI ZACHARIAS</v>
      </c>
      <c r="D88" s="266">
        <v>0</v>
      </c>
      <c r="E88" s="101">
        <f>IF(D88&lt;&gt;"",D88,"")</f>
        <v>0</v>
      </c>
      <c r="F88" s="101" t="str">
        <f>IF(D88&lt;&gt;"",IF(C88="","",C88),"")</f>
        <v>RAFAEL CARRADORI ZACHARIAS</v>
      </c>
      <c r="G88" s="190">
        <f>IF(E88&lt;&gt;"",IF(E90&lt;&gt;"",SMALL(E88:E90,1),""),"")</f>
        <v>0</v>
      </c>
      <c r="H88" s="101"/>
      <c r="I88" s="138"/>
      <c r="J88" s="101"/>
      <c r="K88" s="190"/>
      <c r="L88" s="29"/>
      <c r="M88" s="138"/>
      <c r="N88" s="101"/>
      <c r="O88" s="190"/>
      <c r="P88" s="101"/>
      <c r="Q88" s="37"/>
      <c r="R88" s="198"/>
      <c r="S88" s="37"/>
      <c r="T88" s="37"/>
      <c r="U88" s="37"/>
      <c r="V88" s="198"/>
      <c r="W88" s="37"/>
      <c r="X88" s="86"/>
      <c r="Y88" s="198"/>
      <c r="Z88" s="94"/>
      <c r="AA88" s="37"/>
      <c r="AB88" s="29"/>
      <c r="AC88" s="198"/>
      <c r="AD88" s="100"/>
      <c r="AE88" s="144"/>
      <c r="AF88" s="100"/>
      <c r="AG88" s="197">
        <f>IF(AJ88&lt;&gt;"",AJ88,"")</f>
        <v>1</v>
      </c>
      <c r="AH88" s="100" t="str">
        <f>IF(AJ88&lt;&gt;"",IF(AK88="","",AK88),"")</f>
        <v>PEDRO</v>
      </c>
      <c r="AI88" s="101">
        <f>IF(AG88&lt;&gt;"",IF(AG90&lt;&gt;"",SMALL(AG88:AG90,1),""),"")</f>
        <v>0</v>
      </c>
      <c r="AJ88" s="266">
        <v>1</v>
      </c>
      <c r="AK88" s="169" t="str">
        <f>IF('09M GRP'!G5&gt;=3,'09M GRP'!J295,IF('09M GRP'!G5=2,"",IF('09M GRP'!G5=1,"","")))</f>
        <v>PEDRO</v>
      </c>
      <c r="AL88" s="29">
        <v>22</v>
      </c>
      <c r="AP88" s="31">
        <f>IF(AR88&lt;&gt;"",1+COUNTIF(AP72:AP87,"1")+COUNTIF(AP72:AP87,"2")+COUNTIF(AP72:AP87,"3")+COUNTIF(AP72:AP87,"4")+COUNTIF(AP72:AP87,"5")+COUNTIF(AP72:AP87,"6")+COUNTIF(AP72:AP87,"7")+COUNTIF(AP72:AP87,"8")+COUNTIF(AP72:AP87,"9")+COUNTIF(AP72:AP87,"10")+COUNTIF(AP72:AP87,"11")+COUNTIF(AP72:AP87,"12")+COUNTIF(AP72:AP87,"13")+COUNTIF(AP72:AP87,"14")+COUNTIF(AP72:AP87,"15")+COUNTIF(AP72:AP87,"16"),"")</f>
        <v>15</v>
      </c>
      <c r="AQ88" s="32" t="str">
        <f t="shared" si="3"/>
        <v>LUGAR</v>
      </c>
      <c r="AR88" s="111" t="str">
        <f>IF(AR72&lt;&gt;"",IF(C72=AR72,G74,IF(C74=AR72,G74,IF(C80=AR72,G82,IF(C82=AR72,G82,IF(C102=AR72,G104,IF(C104=AR72,G104,IF(C110=AR72,G112,IF(C112=AR72,G112,IF(C88=AR72,G90,IF(C90=AR72,G90,IF(C96=AR72,G98,IF(C98=AR72,G98,IF(C118=AR72,G120,IF(C120=AR72,G120,IF(C126=AR72,G128,IF(C128=AR72,G128,IF(AK72=AR72,AI74,IF(AK74=AR72,AI74,IF(AK80=AR72,AI82,IF(AK82=AR72,AI82,IF(AK102=AR72,AI104,IF(AK104=AR72,AI104,IF(AK110=AR72,AI112,IF(AK112=AR72,AI112,IF(AK88=AR72,AI90,IF(AK90=AR72,AI90,IF(AK96=AR72,AI98,IF(AK98=AR72,AI98,IF(AK118=AR72,AI120,IF(AK120=AR72,AI120,IF(AK126=AR72,AI128,IF(AK128=AR72,AI128)))))))))))))))))))))))))))))))),"")</f>
        <v>ARTHUR RIBEIRO DELGADO</v>
      </c>
      <c r="AS88" s="33" t="str">
        <f>IFERROR(IF(AR88="","",VLOOKUP(AR88,LISTAS!$F$5:$G$1004,2,0)),"0")</f>
        <v>PEN LIFE</v>
      </c>
      <c r="AT88" s="33">
        <f t="shared" si="4"/>
        <v>105</v>
      </c>
      <c r="AU88" s="33">
        <f t="shared" si="5"/>
        <v>105</v>
      </c>
    </row>
    <row r="89" spans="2:47" ht="18" customHeight="1" thickBot="1" x14ac:dyDescent="0.3">
      <c r="B89" s="133"/>
      <c r="C89" s="170" t="str">
        <f>IFERROR(IF(C88="","",VLOOKUP(C88,LISTAS!$F$5:$G$1004,2,0)),"0")</f>
        <v>COLÉGIO ARBOS - UNIDADE SANTO ANDRÉ</v>
      </c>
      <c r="D89" s="267"/>
      <c r="E89" s="101"/>
      <c r="F89" s="101"/>
      <c r="G89" s="190"/>
      <c r="H89" s="101"/>
      <c r="I89" s="138"/>
      <c r="J89" s="101"/>
      <c r="K89" s="190"/>
      <c r="L89" s="29"/>
      <c r="M89" s="35"/>
      <c r="N89" s="29"/>
      <c r="O89" s="188"/>
      <c r="P89" s="29"/>
      <c r="Q89" s="37"/>
      <c r="R89" s="198"/>
      <c r="S89" s="37"/>
      <c r="T89" s="37"/>
      <c r="U89" s="37"/>
      <c r="V89" s="198"/>
      <c r="W89" s="37"/>
      <c r="X89" s="86"/>
      <c r="Y89" s="198"/>
      <c r="Z89" s="94"/>
      <c r="AA89" s="37"/>
      <c r="AB89" s="29"/>
      <c r="AC89" s="198"/>
      <c r="AD89" s="100"/>
      <c r="AE89" s="144"/>
      <c r="AF89" s="100"/>
      <c r="AG89" s="197"/>
      <c r="AH89" s="100"/>
      <c r="AI89" s="101"/>
      <c r="AJ89" s="267"/>
      <c r="AK89" s="170" t="str">
        <f>IFERROR(IF(AK88="","",VLOOKUP(AK88,LISTAS!$F$5:$G$1004,2,0)),"0")</f>
        <v>COLÉGIO ATENEU</v>
      </c>
      <c r="AL89" s="29"/>
      <c r="AP89" s="31" t="str">
        <f>IF(AR89&lt;&gt;"",1+COUNTIF(AP72:AP88,"1")+COUNTIF(AP72:AP88,"2")+COUNTIF(AP72:AP88,"3")+COUNTIF(AP72:AP88,"4")+COUNTIF(AP72:AP88,"5")+COUNTIF(AP72:AP88,"6")+COUNTIF(AP72:AP88,"7")+COUNTIF(AP72:AP88,"8")+COUNTIF(AP72:AP88,"9")+COUNTIF(AP72:AP88,"10")+COUNTIF(AP72:AP88,"11")+COUNTIF(AP72:AP88,"12")+COUNTIF(AP72:AP88,"13")+COUNTIF(AP72:AP88,"14")+COUNTIF(AP72:AP88,"15")+COUNTIF(AP72:AP88,"16")+COUNTIF(AP72:AP88,"17"),"")</f>
        <v/>
      </c>
      <c r="AQ89" s="32" t="str">
        <f t="shared" si="3"/>
        <v/>
      </c>
      <c r="AR89" s="111" t="str">
        <f>IF(AR73&lt;&gt;"",IF(C72=AR73,G74,IF(C74=AR73,G74,IF(C80=AR73,G82,IF(C82=AR73,G82,IF(C102=AR73,G104,IF(C104=AR73,G104,IF(C110=AR73,G112,IF(C112=AR73,G112,IF(C88=AR73,G90,IF(C90=AR73,G90,IF(C96=AR73,G98,IF(C98=AR73,G98,IF(C118=AR73,G120,IF(C120=AR73,G120,IF(C126=AR73,G128,IF(C128=AR73,G128,IF(AK72=AR73,AI74,IF(AK74=AR73,AI74,IF(AK80=AR73,AI82,IF(AK82=AR73,AI82,IF(AK102=AR73,AI104,IF(AK104=AR73,AI104,IF(AK110=AR73,AI112,IF(AK112=AR73,AI112,IF(AK88=AR73,AI90,IF(AK90=AR73,AI90,IF(AK96=AR73,AI98,IF(AK98=AR73,AI98,IF(AK118=AR73,AI120,IF(AK120=AR73,AI120,IF(AK126=AR73,AI128,IF(AK128=AR73,AI128)))))))))))))))))))))))))))))))),"")</f>
        <v/>
      </c>
      <c r="AS89" s="33" t="str">
        <f>IFERROR(IF(AR89="","",VLOOKUP(AR89,LISTAS!$F$5:$G$1004,2,0)),"0")</f>
        <v/>
      </c>
      <c r="AT89" s="33" t="str">
        <f t="shared" si="4"/>
        <v/>
      </c>
      <c r="AU89" s="33" t="str">
        <f t="shared" si="5"/>
        <v/>
      </c>
    </row>
    <row r="90" spans="2:47" ht="18" customHeight="1" x14ac:dyDescent="0.25">
      <c r="B90" s="133">
        <v>24</v>
      </c>
      <c r="C90" s="169" t="str">
        <f>IF('09M GRP'!G5&gt;=3,'09M GRP'!J321,IF('09M GRP'!G5=2,"",IF('09M GRP'!G5=1,"","")))</f>
        <v>RAFAEL ALAHMAR MADLUM BARATELLA</v>
      </c>
      <c r="D90" s="266">
        <v>1</v>
      </c>
      <c r="E90" s="107">
        <f>IF(D90&lt;&gt;"",D90,"")</f>
        <v>1</v>
      </c>
      <c r="F90" s="101" t="str">
        <f>IF(D90&lt;&gt;"",IF(C90="","",C90),"")</f>
        <v>RAFAEL ALAHMAR MADLUM BARATELLA</v>
      </c>
      <c r="G90" s="190" t="str">
        <f>VLOOKUP(G88,E88:F90,2,0)</f>
        <v>RAFAEL CARRADORI ZACHARIAS</v>
      </c>
      <c r="H90" s="101"/>
      <c r="I90" s="138"/>
      <c r="J90" s="101"/>
      <c r="K90" s="190"/>
      <c r="L90" s="29"/>
      <c r="M90" s="35"/>
      <c r="N90" s="29"/>
      <c r="O90" s="188"/>
      <c r="P90" s="29"/>
      <c r="Q90" s="37"/>
      <c r="R90" s="198"/>
      <c r="S90" s="37"/>
      <c r="T90" s="37"/>
      <c r="U90" s="37"/>
      <c r="V90" s="198"/>
      <c r="W90" s="37"/>
      <c r="X90" s="86"/>
      <c r="Y90" s="198"/>
      <c r="Z90" s="94"/>
      <c r="AA90" s="37"/>
      <c r="AB90" s="29"/>
      <c r="AC90" s="198"/>
      <c r="AD90" s="100"/>
      <c r="AE90" s="144"/>
      <c r="AF90" s="100"/>
      <c r="AG90" s="197">
        <f>IF(AJ90&lt;&gt;"",AJ90,"")</f>
        <v>0</v>
      </c>
      <c r="AH90" s="100" t="str">
        <f>IF(AJ90&lt;&gt;"",IF(AK90="","",AK90),"")</f>
        <v>GUSTAVO DI MATTEO CANEPA GERARDI</v>
      </c>
      <c r="AI90" s="102" t="str">
        <f>VLOOKUP(AI88,AG88:AH90,2,0)</f>
        <v>GUSTAVO DI MATTEO CANEPA GERARDI</v>
      </c>
      <c r="AJ90" s="266">
        <v>0</v>
      </c>
      <c r="AK90" s="169" t="str">
        <f>IF('09M GRP'!G5&gt;=3,'09M GRP'!J152,IF('09M GRP'!G5=2,"",IF('09M GRP'!G5=1,"","")))</f>
        <v>GUSTAVO DI MATTEO CANEPA GERARDI</v>
      </c>
      <c r="AL90" s="29">
        <v>11</v>
      </c>
      <c r="AP90" s="31" t="str">
        <f>IF(AR90&lt;&gt;"",1+COUNTIF(AP72:AP89,"1")+COUNTIF(AP72:AP89,"2")+COUNTIF(AP72:AP89,"3")+COUNTIF(AP72:AP89,"4")+COUNTIF(AP72:AP89,"5")+COUNTIF(AP72:AP89,"6")+COUNTIF(AP72:AP89,"7")+COUNTIF(AP72:AP89,"8")+COUNTIF(AP72:AP89,"9")+COUNTIF(AP72:AP89,"10")+COUNTIF(AP72:AP89,"11")+COUNTIF(AP72:AP89,"12")+COUNTIF(AP72:AP89,"13")+COUNTIF(AP72:AP89,"14")+COUNTIF(AP72:AP89,"15")+COUNTIF(AP72:AP89,"16")+COUNTIF(AP72:AP89,"17")+COUNTIF(AP72:AP89,"18"),"")</f>
        <v/>
      </c>
      <c r="AQ90" s="32" t="str">
        <f t="shared" si="3"/>
        <v/>
      </c>
      <c r="AR90" s="111" t="str">
        <f>IF(AR74&lt;&gt;"",IF(C72=AR74,G74,IF(C74=AR74,G74,IF(C80=AR74,G82,IF(C82=AR74,G82,IF(C102=AR74,G104,IF(C104=AR74,G104,IF(C110=AR74,G112,IF(C112=AR74,G112,IF(C88=AR74,G90,IF(C90=AR74,G90,IF(C96=AR74,G98,IF(C98=AR74,G98,IF(C118=AR74,G120,IF(C120=AR74,G120,IF(C126=AR74,G128,IF(C128=AR74,G128,IF(AK72=AR74,AI74,IF(AK74=AR74,AI74,IF(AK80=AR74,AI82,IF(AK82=AR74,AI82,IF(AK102=AR74,AI104,IF(AK104=AR74,AI104,IF(AK110=AR74,AI112,IF(AK112=AR74,AI112,IF(AK88=AR74,AI90,IF(AK90=AR74,AI90,IF(AK96=AR74,AI98,IF(AK98=AR74,AI98,IF(AK118=AR74,AI120,IF(AK120=AR74,AI120,IF(AK126=AR74,AI128,IF(AK128=AR74,AI128)))))))))))))))))))))))))))))))),"")</f>
        <v/>
      </c>
      <c r="AS90" s="33" t="str">
        <f>IFERROR(IF(AR90="","",VLOOKUP(AR90,LISTAS!$F$5:$G$1004,2,0)),"0")</f>
        <v/>
      </c>
      <c r="AT90" s="33" t="str">
        <f t="shared" si="4"/>
        <v/>
      </c>
      <c r="AU90" s="33" t="str">
        <f t="shared" si="5"/>
        <v/>
      </c>
    </row>
    <row r="91" spans="2:47" ht="18" customHeight="1" thickBot="1" x14ac:dyDescent="0.3">
      <c r="B91" s="133"/>
      <c r="C91" s="170" t="str">
        <f>IFERROR(IF(C90="","",VLOOKUP(C90,LISTAS!$F$5:$G$1004,2,0)),"0")</f>
        <v>COLÉGIO ARBOS - UNIDADE SANTO ANDRÉ</v>
      </c>
      <c r="D91" s="267"/>
      <c r="E91" s="148"/>
      <c r="F91" s="101"/>
      <c r="G91" s="190"/>
      <c r="H91" s="101"/>
      <c r="I91" s="138"/>
      <c r="J91" s="101"/>
      <c r="K91" s="190"/>
      <c r="L91" s="29"/>
      <c r="M91" s="35"/>
      <c r="N91" s="29"/>
      <c r="O91" s="188"/>
      <c r="P91" s="29"/>
      <c r="Q91" s="37"/>
      <c r="R91" s="198"/>
      <c r="S91" s="37"/>
      <c r="T91" s="37"/>
      <c r="U91" s="37"/>
      <c r="V91" s="198"/>
      <c r="W91" s="37"/>
      <c r="X91" s="86"/>
      <c r="Y91" s="198"/>
      <c r="Z91" s="94"/>
      <c r="AA91" s="37"/>
      <c r="AB91" s="29"/>
      <c r="AC91" s="198"/>
      <c r="AD91" s="100"/>
      <c r="AE91" s="144"/>
      <c r="AF91" s="100"/>
      <c r="AG91" s="197"/>
      <c r="AH91" s="100"/>
      <c r="AI91" s="142"/>
      <c r="AJ91" s="267"/>
      <c r="AK91" s="170" t="str">
        <f>IFERROR(IF(AK90="","",VLOOKUP(AK90,LISTAS!$F$5:$G$1004,2,0)),"0")</f>
        <v>COLÉGIO ARBOS - UNIDADE SANTO ANDRÉ</v>
      </c>
      <c r="AL91" s="29"/>
      <c r="AP91" s="31" t="str">
        <f>IF(AR91&lt;&gt;"",1+COUNTIF(AP72:AP90,"1")+COUNTIF(AP72:AP90,"2")+COUNTIF(AP72:AP90,"3")+COUNTIF(AP72:AP90,"4")+COUNTIF(AP72:AP90,"5")+COUNTIF(AP72:AP90,"6")+COUNTIF(AP72:AP90,"7")+COUNTIF(AP72:AP90,"8")+COUNTIF(AP72:AP90,"9")+COUNTIF(AP72:AP90,"10")+COUNTIF(AP72:AP90,"11")+COUNTIF(AP72:AP90,"12")+COUNTIF(AP72:AP90,"13")+COUNTIF(AP72:AP90,"14")+COUNTIF(AP72:AP90,"15")+COUNTIF(AP72:AP90,"16")+COUNTIF(AP72:AP90,"17")+COUNTIF(AP72:AP90,"18")+COUNTIF(AP72:AP90,"19"),"")</f>
        <v/>
      </c>
      <c r="AQ91" s="32" t="str">
        <f t="shared" si="3"/>
        <v/>
      </c>
      <c r="AR91" s="111" t="str">
        <f>IF(AR75&lt;&gt;"",IF(C72=AR75,G74,IF(C74=AR75,G74,IF(C80=AR75,G82,IF(C82=AR75,G82,IF(C102=AR75,G104,IF(C104=AR75,G104,IF(C110=AR75,G112,IF(C112=AR75,G112,IF(C88=AR75,G90,IF(C90=AR75,G90,IF(C96=AR75,G98,IF(C98=AR75,G98,IF(C118=AR75,G120,IF(C120=AR75,G120,IF(C126=AR75,G128,IF(C128=AR75,G128,IF(AK72=AR75,AI74,IF(AK74=AR75,AI74,IF(AK80=AR75,AI82,IF(AK82=AR75,AI82,IF(AK102=AR75,AI104,IF(AK104=AR75,AI104,IF(AK110=AR75,AI112,IF(AK112=AR75,AI112,IF(AK88=AR75,AI90,IF(AK90=AR75,AI90,IF(AK96=AR75,AI98,IF(AK98=AR75,AI98,IF(AK118=AR75,AI120,IF(AK120=AR75,AI120,IF(AK126=AR75,AI128,IF(AK128=AR75,AI128)))))))))))))))))))))))))))))))),"")</f>
        <v/>
      </c>
      <c r="AS91" s="33" t="str">
        <f>IFERROR(IF(AR91="","",VLOOKUP(AR91,LISTAS!$F$5:$G$1004,2,0)),"0")</f>
        <v/>
      </c>
      <c r="AT91" s="33" t="str">
        <f t="shared" si="4"/>
        <v/>
      </c>
      <c r="AU91" s="33" t="str">
        <f t="shared" si="5"/>
        <v/>
      </c>
    </row>
    <row r="92" spans="2:47" ht="18" customHeight="1" x14ac:dyDescent="0.25">
      <c r="B92" s="133"/>
      <c r="C92" s="188"/>
      <c r="D92" s="29"/>
      <c r="E92" s="29"/>
      <c r="F92" s="34"/>
      <c r="G92" s="169" t="str">
        <f>IF(D88&lt;&gt;"",IF(D90&lt;&gt;"",IF(D88=D90,"",IF(D88&gt;D90,C88,C90)),""),"")</f>
        <v>RAFAEL ALAHMAR MADLUM BARATELLA</v>
      </c>
      <c r="H92" s="266">
        <v>0</v>
      </c>
      <c r="I92" s="148">
        <f>IF(H92&lt;&gt;"",H92,"")</f>
        <v>0</v>
      </c>
      <c r="J92" s="101" t="str">
        <f>IF(H92&lt;&gt;"",IF(G92="","",G92),"")</f>
        <v>RAFAEL ALAHMAR MADLUM BARATELLA</v>
      </c>
      <c r="K92" s="190">
        <f>IF(I92&lt;&gt;"",IF(I94&lt;&gt;"",SMALL(I92:J94,1),""),"")</f>
        <v>0</v>
      </c>
      <c r="L92" s="101"/>
      <c r="M92" s="138"/>
      <c r="N92" s="101"/>
      <c r="O92" s="190"/>
      <c r="P92" s="29"/>
      <c r="Q92" s="37"/>
      <c r="R92" s="198"/>
      <c r="S92" s="37"/>
      <c r="T92" s="37"/>
      <c r="U92" s="37"/>
      <c r="V92" s="198"/>
      <c r="W92" s="37"/>
      <c r="X92" s="86"/>
      <c r="Y92" s="198"/>
      <c r="Z92" s="94"/>
      <c r="AA92" s="37"/>
      <c r="AB92" s="29"/>
      <c r="AC92" s="198"/>
      <c r="AD92" s="37"/>
      <c r="AE92" s="34"/>
      <c r="AF92" s="266">
        <v>1</v>
      </c>
      <c r="AG92" s="169" t="str">
        <f>IF(AJ88&lt;&gt;"",IF(AJ90&lt;&gt;"",IF(AJ88=AJ90,"",IF(AJ88&gt;AJ90,AK88,AK90)),""),"")</f>
        <v>PEDRO</v>
      </c>
      <c r="AH92" s="94"/>
      <c r="AI92" s="37"/>
      <c r="AJ92" s="29"/>
      <c r="AK92" s="188"/>
      <c r="AL92" s="29"/>
      <c r="AN92" s="23"/>
      <c r="AO92" s="23"/>
      <c r="AP92" s="31">
        <f>IF(AR92&lt;&gt;"",1+COUNTIF(AP72:AP91,"1")+COUNTIF(AP72:AP91,"2")+COUNTIF(AP72:AP91,"3")+COUNTIF(AP72:AP91,"4")+COUNTIF(AP72:AP91,"5")+COUNTIF(AP72:AP91,"6")+COUNTIF(AP72:AP91,"7")+COUNTIF(AP72:AP91,"8")+COUNTIF(AP72:AP91,"9")+COUNTIF(AP72:AP91,"10")+COUNTIF(AP72:AP91,"11")+COUNTIF(AP72:AP91,"12")+COUNTIF(AP72:AP91,"13")+COUNTIF(AP72:AP91,"14")+COUNTIF(AP72:AP91,"15")+COUNTIF(AP72:AP91,"16")+COUNTIF(AP72:AP91,"17")+COUNTIF(AP72:AP91,"18")+COUNTIF(AP72:AP91,"19")+COUNTIF(AP72:AP91,"20"),"")</f>
        <v>16</v>
      </c>
      <c r="AQ92" s="32" t="str">
        <f t="shared" si="3"/>
        <v>LUGAR</v>
      </c>
      <c r="AR92" s="111" t="str">
        <f>IF(AR76&lt;&gt;"",IF(C72=AR76,G74,IF(C74=AR76,G74,IF(C80=AR76,G82,IF(C82=AR76,G82,IF(C102=AR76,G104,IF(C104=AR76,G104,IF(C110=AR76,G112,IF(C112=AR76,G112,IF(C88=AR76,G90,IF(C90=AR76,G90,IF(C96=AR76,G98,IF(C98=AR76,G98,IF(C118=AR76,G120,IF(C120=AR76,G120,IF(C126=AR76,G128,IF(C128=AR76,G128,IF(AK72=AR76,AI74,IF(AK74=AR76,AI74,IF(AK80=AR76,AI82,IF(AK82=AR76,AI82,IF(AK102=AR76,AI104,IF(AK104=AR76,AI104,IF(AK110=AR76,AI112,IF(AK112=AR76,AI112,IF(AK88=AR76,AI90,IF(AK90=AR76,AI90,IF(AK96=AR76,AI98,IF(AK98=AR76,AI98,IF(AK118=AR76,AI120,IF(AK120=AR76,AI120,IF(AK126=AR76,AI128,IF(AK128=AR76,AI128)))))))))))))))))))))))))))))))),"")</f>
        <v>PEDRO LIMA ARAUJO</v>
      </c>
      <c r="AS92" s="33" t="str">
        <f>IFERROR(IF(AR92="","",VLOOKUP(AR92,LISTAS!$F$5:$G$1004,2,0)),"0")</f>
        <v>COLÉGIO ARBOS - UNIDADE SANTO ANDRÉ</v>
      </c>
      <c r="AT92" s="33">
        <f t="shared" si="4"/>
        <v>105</v>
      </c>
      <c r="AU92" s="33">
        <f t="shared" si="5"/>
        <v>105</v>
      </c>
    </row>
    <row r="93" spans="2:47" ht="18" customHeight="1" thickBot="1" x14ac:dyDescent="0.3">
      <c r="B93" s="133"/>
      <c r="C93" s="188"/>
      <c r="D93" s="29"/>
      <c r="E93" s="29"/>
      <c r="F93" s="34"/>
      <c r="G93" s="170" t="str">
        <f>IFERROR(IF(G92="","",VLOOKUP(G92,LISTAS!$F$5:$G$1004,2,0)),"0")</f>
        <v>COLÉGIO ARBOS - UNIDADE SANTO ANDRÉ</v>
      </c>
      <c r="H93" s="267"/>
      <c r="I93" s="105"/>
      <c r="J93" s="101"/>
      <c r="K93" s="190"/>
      <c r="L93" s="101"/>
      <c r="M93" s="138"/>
      <c r="N93" s="101"/>
      <c r="O93" s="190"/>
      <c r="P93" s="29"/>
      <c r="Q93" s="37"/>
      <c r="R93" s="198"/>
      <c r="S93" s="37"/>
      <c r="T93" s="37"/>
      <c r="U93" s="37"/>
      <c r="V93" s="198"/>
      <c r="W93" s="37"/>
      <c r="X93" s="86"/>
      <c r="Y93" s="198"/>
      <c r="Z93" s="94"/>
      <c r="AA93" s="37"/>
      <c r="AB93" s="29"/>
      <c r="AC93" s="198"/>
      <c r="AD93" s="37"/>
      <c r="AE93" s="140"/>
      <c r="AF93" s="267"/>
      <c r="AG93" s="170" t="str">
        <f>IFERROR(IF(AG92="","",VLOOKUP(AG92,LISTAS!$F$5:$G$1004,2,0)),"0")</f>
        <v>COLÉGIO ATENEU</v>
      </c>
      <c r="AH93" s="94"/>
      <c r="AI93" s="37"/>
      <c r="AJ93" s="29"/>
      <c r="AK93" s="188"/>
      <c r="AL93" s="29"/>
      <c r="AM93" s="23"/>
      <c r="AN93" s="23"/>
      <c r="AO93" s="23"/>
      <c r="AP93" s="31">
        <f>IF(AR93&lt;&gt;"",1+COUNTIF(AP72:AP92,"1")+COUNTIF(AP72:AP92,"2")+COUNTIF(AP72:AP92,"3")+COUNTIF(AP72:AP92,"4")+COUNTIF(AP72:AP92,"5")+COUNTIF(AP72:AP92,"6")+COUNTIF(AP72:AP92,"7")+COUNTIF(AP72:AP92,"8")+COUNTIF(AP72:AP92,"9")+COUNTIF(AP72:AP92,"10")+COUNTIF(AP72:AP92,"11")+COUNTIF(AP72:AP92,"12")+COUNTIF(AP72:AP92,"13")+COUNTIF(AP72:AP92,"14")+COUNTIF(AP72:AP92,"15")+COUNTIF(AP72:AP92,"16")+COUNTIF(AP72:AP92,"17")+COUNTIF(AP72:AP92,"18")+COUNTIF(AP72:AP92,"19")+COUNTIF(AP72:AP92,"20")+COUNTIF(AP72:AP92,"21"),"")</f>
        <v>17</v>
      </c>
      <c r="AQ93" s="32" t="str">
        <f t="shared" si="3"/>
        <v>LUGAR</v>
      </c>
      <c r="AR93" s="111" t="str">
        <f>IF(AR77&lt;&gt;"",IF(C72=AR77,G74,IF(C74=AR77,G74,IF(C80=AR77,G82,IF(C82=AR77,G82,IF(C102=AR77,G104,IF(C104=AR77,G104,IF(C110=AR77,G112,IF(C112=AR77,G112,IF(C88=AR77,G90,IF(C90=AR77,G90,IF(C96=AR77,G98,IF(C98=AR77,G98,IF(C118=AR77,G120,IF(C120=AR77,G120,IF(C126=AR77,G128,IF(C128=AR77,G128,IF(AK72=AR77,AI74,IF(AK74=AR77,AI74,IF(AK80=AR77,AI82,IF(AK82=AR77,AI82,IF(AK102=AR77,AI104,IF(AK104=AR77,AI104,IF(AK110=AR77,AI112,IF(AK112=AR77,AI112,IF(AK88=AR77,AI90,IF(AK90=AR77,AI90,IF(AK96=AR77,AI98,IF(AK98=AR77,AI98,IF(AK118=AR77,AI120,IF(AK120=AR77,AI120,IF(AK126=AR77,AI128,IF(AK128=AR77,AI128)))))))))))))))))))))))))))))))),"")</f>
        <v>THOMAS AUGUSTO COSTA TABOA</v>
      </c>
      <c r="AS93" s="33" t="str">
        <f>IFERROR(IF(AR93="","",VLOOKUP(AR93,LISTAS!$F$5:$G$1004,2,0)),"0")</f>
        <v>COLÉGIO ARBOS - UNIDADE SANTO ANDRÉ</v>
      </c>
      <c r="AT93" s="33" t="str">
        <f t="shared" si="4"/>
        <v/>
      </c>
      <c r="AU93" s="33" t="str">
        <f t="shared" si="5"/>
        <v/>
      </c>
    </row>
    <row r="94" spans="2:47" ht="18" customHeight="1" x14ac:dyDescent="0.25">
      <c r="B94" s="133"/>
      <c r="C94" s="188"/>
      <c r="D94" s="29"/>
      <c r="E94" s="35"/>
      <c r="F94" s="36"/>
      <c r="G94" s="169" t="str">
        <f>IF(D96&lt;&gt;"",IF(D98&lt;&gt;"",IF(D96=D98,"",IF(D96&gt;D98,C96,C98)),""),"")</f>
        <v>FRANCISCO OLIVEIRA MARIN</v>
      </c>
      <c r="H94" s="266">
        <v>1</v>
      </c>
      <c r="I94" s="106">
        <f>IF(H94&lt;&gt;"",H94,"")</f>
        <v>1</v>
      </c>
      <c r="J94" s="101" t="str">
        <f>IF(H94&lt;&gt;"",IF(G94="","",G94),"")</f>
        <v>FRANCISCO OLIVEIRA MARIN</v>
      </c>
      <c r="K94" s="190" t="str">
        <f>VLOOKUP(K92,I92:J94,2,0)</f>
        <v>RAFAEL ALAHMAR MADLUM BARATELLA</v>
      </c>
      <c r="L94" s="101"/>
      <c r="M94" s="138"/>
      <c r="N94" s="101"/>
      <c r="O94" s="190"/>
      <c r="P94" s="29"/>
      <c r="Q94" s="37"/>
      <c r="R94" s="198"/>
      <c r="S94" s="37"/>
      <c r="T94" s="37"/>
      <c r="U94" s="37"/>
      <c r="V94" s="198"/>
      <c r="W94" s="37"/>
      <c r="X94" s="86"/>
      <c r="Y94" s="198"/>
      <c r="Z94" s="94"/>
      <c r="AA94" s="37"/>
      <c r="AB94" s="29"/>
      <c r="AC94" s="198"/>
      <c r="AD94" s="37"/>
      <c r="AE94" s="91"/>
      <c r="AF94" s="266">
        <v>0</v>
      </c>
      <c r="AG94" s="169" t="str">
        <f>IF(AJ96&lt;&gt;"",IF(AJ98&lt;&gt;"",IF(AJ96=AJ98,"",IF(AJ96&gt;AJ98,AK96,AK98)),""),"")</f>
        <v>BERNARDO AGUILAR MARIN</v>
      </c>
      <c r="AH94" s="98"/>
      <c r="AI94" s="37"/>
      <c r="AJ94" s="29"/>
      <c r="AK94" s="188"/>
      <c r="AL94" s="29"/>
      <c r="AM94" s="23"/>
      <c r="AP94" s="31">
        <f>IF(AR94&lt;&gt;"",1+COUNTIF(AP72:AP93,"1")+COUNTIF(AP72:AP93,"2")+COUNTIF(AP72:AP93,"3")+COUNTIF(AP72:AP93,"4")+COUNTIF(AP72:AP93,"5")+COUNTIF(AP72:AP93,"6")+COUNTIF(AP72:AP93,"7")+COUNTIF(AP72:AP93,"8")+COUNTIF(AP72:AP93,"9")+COUNTIF(AP72:AP93,"10")+COUNTIF(AP72:AP93,"11")+COUNTIF(AP72:AP93,"12")+COUNTIF(AP72:AP93,"13")+COUNTIF(AP72:AP93,"14")+COUNTIF(AP72:AP93,"15")+COUNTIF(AP72:AP93,"16")+COUNTIF(AP72:AP93,"17")+COUNTIF(AP72:AP93,"18")+COUNTIF(AP72:AP93,"19")+COUNTIF(AP72:AP93,"20")+COUNTIF(AP72:AP93,"21")+COUNTIF(AP72:AP93,"22"),"")</f>
        <v>18</v>
      </c>
      <c r="AQ94" s="32" t="str">
        <f t="shared" si="3"/>
        <v>LUGAR</v>
      </c>
      <c r="AR94" s="111" t="str">
        <f>IF(AR78&lt;&gt;"",IF(C72=AR78,G74,IF(C74=AR78,G74,IF(C80=AR78,G82,IF(C82=AR78,G82,IF(C102=AR78,G104,IF(C104=AR78,G104,IF(C110=AR78,G112,IF(C112=AR78,G112,IF(C88=AR78,G90,IF(C90=AR78,G90,IF(C96=AR78,G98,IF(C98=AR78,G98,IF(C118=AR78,G120,IF(C120=AR78,G120,IF(C126=AR78,G128,IF(C128=AR78,G128,IF(AK72=AR78,AI74,IF(AK74=AR78,AI74,IF(AK80=AR78,AI82,IF(AK82=AR78,AI82,IF(AK102=AR78,AI104,IF(AK104=AR78,AI104,IF(AK110=AR78,AI112,IF(AK112=AR78,AI112,IF(AK88=AR78,AI90,IF(AK90=AR78,AI90,IF(AK96=AR78,AI98,IF(AK98=AR78,AI98,IF(AK118=AR78,AI120,IF(AK120=AR78,AI120,IF(AK126=AR78,AI128,IF(AK128=AR78,AI128)))))))))))))))))))))))))))))))),"")</f>
        <v>GUSTAVO DI MATTEO CANEPA GERARDI</v>
      </c>
      <c r="AS94" s="33" t="str">
        <f>IFERROR(IF(AR94="","",VLOOKUP(AR94,LISTAS!$F$5:$G$1004,2,0)),"0")</f>
        <v>COLÉGIO ARBOS - UNIDADE SANTO ANDRÉ</v>
      </c>
      <c r="AT94" s="33" t="str">
        <f t="shared" si="4"/>
        <v/>
      </c>
      <c r="AU94" s="33" t="str">
        <f t="shared" si="5"/>
        <v/>
      </c>
    </row>
    <row r="95" spans="2:47" ht="18" customHeight="1" thickBot="1" x14ac:dyDescent="0.3">
      <c r="B95" s="133"/>
      <c r="C95" s="188"/>
      <c r="D95" s="29"/>
      <c r="E95" s="35"/>
      <c r="F95" s="29"/>
      <c r="G95" s="170" t="str">
        <f>IFERROR(IF(G94="","",VLOOKUP(G94,LISTAS!$F$5:$G$1004,2,0)),"0")</f>
        <v>COLÉGIO SÃO MAURO</v>
      </c>
      <c r="H95" s="267"/>
      <c r="I95" s="101"/>
      <c r="J95" s="101"/>
      <c r="K95" s="190"/>
      <c r="L95" s="101"/>
      <c r="M95" s="138"/>
      <c r="N95" s="101"/>
      <c r="O95" s="190"/>
      <c r="P95" s="29"/>
      <c r="Q95" s="37"/>
      <c r="R95" s="198"/>
      <c r="S95" s="37"/>
      <c r="T95" s="37"/>
      <c r="U95" s="37"/>
      <c r="V95" s="198"/>
      <c r="W95" s="37"/>
      <c r="X95" s="86"/>
      <c r="Y95" s="198"/>
      <c r="Z95" s="94"/>
      <c r="AA95" s="37"/>
      <c r="AB95" s="29"/>
      <c r="AC95" s="198"/>
      <c r="AD95" s="37"/>
      <c r="AE95" s="37"/>
      <c r="AF95" s="267"/>
      <c r="AG95" s="170" t="str">
        <f>IFERROR(IF(AG94="","",VLOOKUP(AG94,LISTAS!$F$5:$G$1004,2,0)),"0")</f>
        <v>COLÉGIO ARBOS DE SÃO BERNARDO DO CAMPO</v>
      </c>
      <c r="AH95" s="37"/>
      <c r="AI95" s="89"/>
      <c r="AJ95" s="29"/>
      <c r="AK95" s="188"/>
      <c r="AL95" s="29"/>
      <c r="AP95" s="31" t="str">
        <f>IF(AR95&lt;&gt;"",1+COUNTIF(AP72:AP94,"1")+COUNTIF(AP72:AP94,"2")+COUNTIF(AP72:AP94,"3")+COUNTIF(AP72:AP94,"4")+COUNTIF(AP72:AP94,"5")+COUNTIF(AP72:AP94,"6")+COUNTIF(AP72:AP94,"7")+COUNTIF(AP72:AP94,"8")+COUNTIF(AP72:AP94,"9")+COUNTIF(AP72:AP94,"10")+COUNTIF(AP72:AP94,"11")+COUNTIF(AP72:AP94,"12")+COUNTIF(AP72:AP94,"13")+COUNTIF(AP72:AP94,"14")+COUNTIF(AP72:AP94,"15")+COUNTIF(AP72:AP94,"16")+COUNTIF(AP72:AP94,"17")+COUNTIF(AP72:AP94,"18")+COUNTIF(AP72:AP94,"19")+COUNTIF(AP72:AP94,"20")+COUNTIF(AP72:AP94,"21")+COUNTIF(AP72:AP94,"22")+COUNTIF(AP72:AP94,"23"),"")</f>
        <v/>
      </c>
      <c r="AQ95" s="32" t="str">
        <f t="shared" si="3"/>
        <v/>
      </c>
      <c r="AR95" s="111" t="str">
        <f>IF(AR79&lt;&gt;"",IF(C72=AR79,G74,IF(C74=AR79,G74,IF(C80=AR79,G82,IF(C82=AR79,G82,IF(C102=AR79,G104,IF(C104=AR79,G104,IF(C110=AR79,G112,IF(C112=AR79,G112,IF(C88=AR79,G90,IF(C90=AR79,G90,IF(C96=AR79,G98,IF(C98=AR79,G98,IF(C118=AR79,G120,IF(C120=AR79,G120,IF(C126=AR79,G128,IF(C128=AR79,G128,IF(AK72=AR79,AI74,IF(AK74=AR79,AI74,IF(AK80=AR79,AI82,IF(AK82=AR79,AI82,IF(AK102=AR79,AI104,IF(AK104=AR79,AI104,IF(AK110=AR79,AI112,IF(AK112=AR79,AI112,IF(AK88=AR79,AI90,IF(AK90=AR79,AI90,IF(AK96=AR79,AI98,IF(AK98=AR79,AI98,IF(AK118=AR79,AI120,IF(AK120=AR79,AI120,IF(AK126=AR79,AI128,IF(AK128=AR79,AI128)))))))))))))))))))))))))))))))),"")</f>
        <v/>
      </c>
      <c r="AS95" s="33" t="str">
        <f>IFERROR(IF(AR95="","",VLOOKUP(AR95,LISTAS!$F$5:$G$1004,2,0)),"0")</f>
        <v/>
      </c>
      <c r="AT95" s="33" t="str">
        <f t="shared" si="4"/>
        <v/>
      </c>
      <c r="AU95" s="33" t="str">
        <f t="shared" si="5"/>
        <v/>
      </c>
    </row>
    <row r="96" spans="2:47" ht="18" customHeight="1" x14ac:dyDescent="0.25">
      <c r="B96" s="133">
        <v>25</v>
      </c>
      <c r="C96" s="169" t="str">
        <f>IF('09M GRP'!G5&gt;=3,'09M GRP'!J334,IF('09M GRP'!G5=2,"",IF('09M GRP'!G5=1,"","")))</f>
        <v>FRANCISCO OLIVEIRA MARIN</v>
      </c>
      <c r="D96" s="266">
        <v>1</v>
      </c>
      <c r="E96" s="148">
        <f>IF(D96&lt;&gt;"",D96,"")</f>
        <v>1</v>
      </c>
      <c r="F96" s="101" t="str">
        <f>IF(D96&lt;&gt;"",IF(C96="","",C96),"")</f>
        <v>FRANCISCO OLIVEIRA MARIN</v>
      </c>
      <c r="G96" s="190">
        <f>IF(E96&lt;&gt;"",IF(E98&lt;&gt;"",SMALL(E96:E98,1),""),"")</f>
        <v>0</v>
      </c>
      <c r="H96" s="101"/>
      <c r="I96" s="101"/>
      <c r="J96" s="101"/>
      <c r="K96" s="190"/>
      <c r="L96" s="101"/>
      <c r="M96" s="138"/>
      <c r="N96" s="101"/>
      <c r="O96" s="190"/>
      <c r="P96" s="29"/>
      <c r="Q96" s="37"/>
      <c r="R96" s="198"/>
      <c r="S96" s="37"/>
      <c r="T96" s="37"/>
      <c r="U96" s="37"/>
      <c r="V96" s="198"/>
      <c r="W96" s="37"/>
      <c r="X96" s="86"/>
      <c r="Y96" s="198"/>
      <c r="Z96" s="94"/>
      <c r="AA96" s="37"/>
      <c r="AB96" s="29"/>
      <c r="AC96" s="198"/>
      <c r="AD96" s="37"/>
      <c r="AE96" s="100"/>
      <c r="AF96" s="100"/>
      <c r="AG96" s="197">
        <f>IF(AJ96&lt;&gt;"",AJ96,"")</f>
        <v>0</v>
      </c>
      <c r="AH96" s="100" t="str">
        <f>IF(AJ96&lt;&gt;"",IF(AK96="","",AK96),"")</f>
        <v/>
      </c>
      <c r="AI96" s="137">
        <f>IF(AG96&lt;&gt;"",IF(AG98&lt;&gt;"",SMALL(AG96:AG98,1),""),"")</f>
        <v>0</v>
      </c>
      <c r="AJ96" s="266">
        <v>0</v>
      </c>
      <c r="AK96" s="169" t="str">
        <f>IF('09M GRP'!G5&gt;=3,'09M GRP'!J360,IF('09M GRP'!G5=2,"",IF('09M GRP'!G5=1,"","")))</f>
        <v/>
      </c>
      <c r="AL96" s="29">
        <v>27</v>
      </c>
      <c r="AP96" s="31" t="str">
        <f>IF(AR96&lt;&gt;"",1+COUNTIF(AP72:AP95,"1")+COUNTIF(AP72:AP95,"2")+COUNTIF(AP72:AP95,"3")+COUNTIF(AP72:AP95,"4")+COUNTIF(AP72:AP95,"5")+COUNTIF(AP72:AP95,"6")+COUNTIF(AP72:AP95,"7")+COUNTIF(AP72:AP95,"8")+COUNTIF(AP72:AP95,"9")+COUNTIF(AP72:AP95,"10")+COUNTIF(AP72:AP95,"11")+COUNTIF(AP72:AP95,"12")+COUNTIF(AP72:AP95,"13")+COUNTIF(AP72:AP95,"14")+COUNTIF(AP72:AP95,"15")+COUNTIF(AP72:AP95,"16")+COUNTIF(AP72:AP95,"17")+COUNTIF(AP72:AP95,"18")+COUNTIF(AP72:AP95,"19")+COUNTIF(AP72:AP95,"20")+COUNTIF(AP72:AP95,"21")+COUNTIF(AP72:AP95,"22")+COUNTIF(AP72:AP95,"23")+COUNTIF(AP72:AP95,"24"),"")</f>
        <v/>
      </c>
      <c r="AQ96" s="32" t="str">
        <f t="shared" si="3"/>
        <v/>
      </c>
      <c r="AR96" s="111" t="str">
        <f>IF(AR80&lt;&gt;"",IF(C72=AR80,G74,IF(C74=AR80,G74,IF(C80=AR80,G82,IF(C82=AR80,G82,IF(C102=AR80,G104,IF(C104=AR80,G104,IF(C110=AR80,G112,IF(C112=AR80,G112,IF(C88=AR80,G90,IF(C90=AR80,G90,IF(C96=AR80,G98,IF(C98=AR80,G98,IF(C118=AR80,G120,IF(C120=AR80,G120,IF(C126=AR80,G128,IF(C128=AR80,G128,IF(AK72=AR80,AI74,IF(AK74=AR80,AI74,IF(AK80=AR80,AI82,IF(AK82=AR80,AI82,IF(AK102=AR80,AI104,IF(AK104=AR80,AI104,IF(AK110=AR80,AI112,IF(AK112=AR80,AI112,IF(AK88=AR80,AI90,IF(AK90=AR80,AI90,IF(AK96=AR80,AI98,IF(AK98=AR80,AI98,IF(AK118=AR80,AI120,IF(AK120=AR80,AI120,IF(AK126=AR80,AI128,IF(AK128=AR80,AI128)))))))))))))))))))))))))))))))),"")</f>
        <v/>
      </c>
      <c r="AS96" s="33" t="str">
        <f>IFERROR(IF(AR96="","",VLOOKUP(AR96,LISTAS!$F$5:$G$1004,2,0)),"0")</f>
        <v/>
      </c>
      <c r="AT96" s="33" t="str">
        <f t="shared" si="4"/>
        <v/>
      </c>
      <c r="AU96" s="33" t="str">
        <f t="shared" si="5"/>
        <v/>
      </c>
    </row>
    <row r="97" spans="2:47" ht="18" customHeight="1" thickBot="1" x14ac:dyDescent="0.3">
      <c r="B97" s="133"/>
      <c r="C97" s="170" t="str">
        <f>IFERROR(IF(C96="","",VLOOKUP(C96,LISTAS!$F$5:$G$1004,2,0)),"0")</f>
        <v>COLÉGIO SÃO MAURO</v>
      </c>
      <c r="D97" s="267"/>
      <c r="E97" s="105"/>
      <c r="F97" s="101"/>
      <c r="G97" s="190"/>
      <c r="H97" s="101"/>
      <c r="I97" s="101"/>
      <c r="J97" s="101"/>
      <c r="K97" s="190"/>
      <c r="L97" s="29"/>
      <c r="M97" s="35"/>
      <c r="N97" s="29"/>
      <c r="O97" s="188"/>
      <c r="P97" s="29"/>
      <c r="Q97" s="37"/>
      <c r="R97" s="198"/>
      <c r="S97" s="37"/>
      <c r="T97" s="37"/>
      <c r="U97" s="37"/>
      <c r="V97" s="198"/>
      <c r="W97" s="37"/>
      <c r="X97" s="86"/>
      <c r="Y97" s="198"/>
      <c r="Z97" s="94"/>
      <c r="AA97" s="37"/>
      <c r="AB97" s="29"/>
      <c r="AC97" s="198"/>
      <c r="AD97" s="37"/>
      <c r="AE97" s="100"/>
      <c r="AF97" s="100"/>
      <c r="AG97" s="197"/>
      <c r="AH97" s="100"/>
      <c r="AI97" s="143"/>
      <c r="AJ97" s="267"/>
      <c r="AK97" s="170" t="str">
        <f>IFERROR(IF(AK96="","",VLOOKUP(AK96,LISTAS!$F$5:$G$1004,2,0)),"0")</f>
        <v/>
      </c>
      <c r="AL97" s="29"/>
      <c r="AP97" s="31" t="str">
        <f>IF(AR97&lt;&gt;"",1+COUNTIF(AP72:AP96,"1")+COUNTIF(AP72:AP96,"2")+COUNTIF(AP72:AP96,"3")+COUNTIF(AP72:AP96,"4")+COUNTIF(AP72:AP96,"5")+COUNTIF(AP72:AP96,"6")+COUNTIF(AP72:AP96,"7")+COUNTIF(AP72:AP96,"8")+COUNTIF(AP72:AP96,"9")+COUNTIF(AP72:AP96,"10")+COUNTIF(AP72:AP96,"11")+COUNTIF(AP72:AP96,"12")+COUNTIF(AP72:AP96,"13")+COUNTIF(AP72:AP96,"14")+COUNTIF(AP72:AP96,"15")+COUNTIF(AP72:AP96,"16")+COUNTIF(AP72:AP96,"17")+COUNTIF(AP72:AP96,"18")+COUNTIF(AP72:AP96,"19")+COUNTIF(AP72:AP96,"20")+COUNTIF(AP72:AP96,"21")+COUNTIF(AP72:AP96,"22")+COUNTIF(AP72:AP96,"23")+COUNTIF(AP72:AP96,"24")+COUNTIF(AP72:AP96,"25"),"")</f>
        <v/>
      </c>
      <c r="AQ97" s="32" t="str">
        <f t="shared" si="3"/>
        <v/>
      </c>
      <c r="AR97" s="111" t="str">
        <f>IF(AR81&lt;&gt;"",IF(C72=AR81,G74,IF(C74=AR81,G74,IF(C80=AR81,G82,IF(C82=AR81,G82,IF(C102=AR81,G104,IF(C104=AR81,G104,IF(C110=AR81,G112,IF(C112=AR81,G112,IF(C88=AR81,G90,IF(C90=AR81,G90,IF(C96=AR81,G98,IF(C98=AR81,G98,IF(C118=AR81,G120,IF(C120=AR81,G120,IF(C126=AR81,G128,IF(C128=AR81,G128,IF(AK72=AR81,AI74,IF(AK74=AR81,AI74,IF(AK80=AR81,AI82,IF(AK82=AR81,AI82,IF(AK102=AR81,AI104,IF(AK104=AR81,AI104,IF(AK110=AR81,AI112,IF(AK112=AR81,AI112,IF(AK88=AR81,AI90,IF(AK90=AR81,AI90,IF(AK96=AR81,AI98,IF(AK98=AR81,AI98,IF(AK118=AR81,AI120,IF(AK120=AR81,AI120,IF(AK126=AR81,AI128,IF(AK128=AR81,AI128)))))))))))))))))))))))))))))))),"")</f>
        <v/>
      </c>
      <c r="AS97" s="33" t="str">
        <f>IFERROR(IF(AR97="","",VLOOKUP(AR97,LISTAS!$F$5:$G$1004,2,0)),"0")</f>
        <v/>
      </c>
      <c r="AT97" s="33" t="str">
        <f t="shared" si="4"/>
        <v/>
      </c>
      <c r="AU97" s="33" t="str">
        <f t="shared" si="5"/>
        <v/>
      </c>
    </row>
    <row r="98" spans="2:47" ht="18" customHeight="1" thickBot="1" x14ac:dyDescent="0.3">
      <c r="B98" s="133">
        <v>8</v>
      </c>
      <c r="C98" s="169" t="str">
        <f>IF('09M GRP'!G5&gt;=3,'09M GRP'!J113,IF('09M GRP'!G5=2,"",IF('09M GRP'!G5=1,"","")))</f>
        <v>THOMAS AUGUSTO COSTA TABOA</v>
      </c>
      <c r="D98" s="266">
        <v>0</v>
      </c>
      <c r="E98" s="106">
        <f>IF(D98&lt;&gt;"",D98,"")</f>
        <v>0</v>
      </c>
      <c r="F98" s="101" t="str">
        <f>IF(D98&lt;&gt;"",IF(C98="","",C98),"")</f>
        <v>THOMAS AUGUSTO COSTA TABOA</v>
      </c>
      <c r="G98" s="190" t="str">
        <f>VLOOKUP(G96,E96:F98,2,0)</f>
        <v>THOMAS AUGUSTO COSTA TABOA</v>
      </c>
      <c r="H98" s="101"/>
      <c r="I98" s="101"/>
      <c r="J98" s="101"/>
      <c r="K98" s="190"/>
      <c r="L98" s="29"/>
      <c r="M98" s="35"/>
      <c r="N98" s="29"/>
      <c r="O98" s="188"/>
      <c r="P98" s="29"/>
      <c r="Q98" s="37"/>
      <c r="R98" s="268" t="s">
        <v>37</v>
      </c>
      <c r="S98" s="268"/>
      <c r="T98" s="268"/>
      <c r="U98" s="268"/>
      <c r="V98" s="268"/>
      <c r="W98" s="37"/>
      <c r="X98" s="86"/>
      <c r="Y98" s="198"/>
      <c r="Z98" s="94"/>
      <c r="AA98" s="37"/>
      <c r="AB98" s="29"/>
      <c r="AC98" s="198"/>
      <c r="AD98" s="37"/>
      <c r="AE98" s="100"/>
      <c r="AF98" s="100"/>
      <c r="AG98" s="197">
        <f>IF(AJ98&lt;&gt;"",AJ98,"")</f>
        <v>1</v>
      </c>
      <c r="AH98" s="100" t="str">
        <f>IF(AJ98&lt;&gt;"",IF(AK98="","",AK98),"")</f>
        <v>BERNARDO AGUILAR MARIN</v>
      </c>
      <c r="AI98" s="145" t="str">
        <f>VLOOKUP(AI96,AG96:AH98,2,0)</f>
        <v/>
      </c>
      <c r="AJ98" s="266">
        <v>1</v>
      </c>
      <c r="AK98" s="169" t="str">
        <f>IF('09M GRP'!G5&gt;=3,'09M GRP'!J87,IF('09M GRP'!G5=2,"",IF('09M GRP'!G5=1,"","")))</f>
        <v>BERNARDO AGUILAR MARIN</v>
      </c>
      <c r="AL98" s="29">
        <v>6</v>
      </c>
      <c r="AN98" s="23"/>
      <c r="AO98" s="23"/>
      <c r="AP98" s="31" t="str">
        <f>IF(AR98&lt;&gt;"",1+COUNTIF(AP72:AP97,"1")+COUNTIF(AP72:AP97,"2")+COUNTIF(AP72:AP97,"3")+COUNTIF(AP72:AP97,"4")+COUNTIF(AP72:AP97,"5")+COUNTIF(AP72:AP97,"6")+COUNTIF(AP72:AP97,"7")+COUNTIF(AP72:AP97,"8")+COUNTIF(AP72:AP97,"9")+COUNTIF(AP72:AP97,"10")+COUNTIF(AP72:AP97,"11")+COUNTIF(AP72:AP97,"12")+COUNTIF(AP72:AP97,"13")+COUNTIF(AP72:AP97,"14")+COUNTIF(AP72:AP97,"15")+COUNTIF(AP72:AP97,"16")+COUNTIF(AP72:AP97,"17")+COUNTIF(AP72:AP97,"18")+COUNTIF(AP72:AP97,"19")+COUNTIF(AP72:AP97,"20")+COUNTIF(AP72:AP97,"21")+COUNTIF(AP72:AP97,"22")+COUNTIF(AP72:AP97,"23")+COUNTIF(AP72:AP97,"24")+COUNTIF(AP72:AP97,"25")+COUNTIF(AP72:AP97,"26"),"")</f>
        <v/>
      </c>
      <c r="AQ98" s="32" t="str">
        <f t="shared" si="3"/>
        <v/>
      </c>
      <c r="AR98" s="111" t="str">
        <f>IF(AR82&lt;&gt;"",IF(C72=AR82,G74,IF(C74=AR82,G74,IF(C80=AR82,G82,IF(C82=AR82,G82,IF(C102=AR82,G104,IF(C104=AR82,G104,IF(C110=AR82,G112,IF(C112=AR82,G112,IF(C88=AR82,G90,IF(C90=AR82,G90,IF(C96=AR82,G98,IF(C98=AR82,G98,IF(C118=AR82,G120,IF(C120=AR82,G120,IF(C126=AR82,G128,IF(C128=AR82,G128,IF(AK72=AR82,AI74,IF(AK74=AR82,AI74,IF(AK80=AR82,AI82,IF(AK82=AR82,AI82,IF(AK102=AR82,AI104,IF(AK104=AR82,AI104,IF(AK110=AR82,AI112,IF(AK112=AR82,AI112,IF(AK88=AR82,AI90,IF(AK90=AR82,AI90,IF(AK96=AR82,AI98,IF(AK98=AR82,AI98,IF(AK118=AR82,AI120,IF(AK120=AR82,AI120,IF(AK126=AR82,AI128,IF(AK128=AR82,AI128)))))))))))))))))))))))))))))))),"")</f>
        <v/>
      </c>
      <c r="AS98" s="33" t="str">
        <f>IFERROR(IF(AR98="","",VLOOKUP(AR98,LISTAS!$F$5:$G$1004,2,0)),"0")</f>
        <v/>
      </c>
      <c r="AT98" s="33" t="str">
        <f t="shared" si="4"/>
        <v/>
      </c>
      <c r="AU98" s="33" t="str">
        <f t="shared" si="5"/>
        <v/>
      </c>
    </row>
    <row r="99" spans="2:47" ht="18" customHeight="1" thickBot="1" x14ac:dyDescent="0.3">
      <c r="B99" s="133"/>
      <c r="C99" s="170" t="str">
        <f>IFERROR(IF(C98="","",VLOOKUP(C98,LISTAS!$F$5:$G$1004,2,0)),"0")</f>
        <v>COLÉGIO ARBOS - UNIDADE SANTO ANDRÉ</v>
      </c>
      <c r="D99" s="267"/>
      <c r="E99" s="101"/>
      <c r="F99" s="101"/>
      <c r="G99" s="190"/>
      <c r="H99" s="101"/>
      <c r="I99" s="101"/>
      <c r="J99" s="101"/>
      <c r="K99" s="190"/>
      <c r="L99" s="29"/>
      <c r="M99" s="35"/>
      <c r="N99" s="29"/>
      <c r="O99" s="169" t="str">
        <f>IF(L84&lt;&gt;"",IF(L86&lt;&gt;"",IF(L84=L86,"",IF(L84&gt;L86,K84,K86)),""),"")</f>
        <v>ARTHUR DAMIANI DANTAS</v>
      </c>
      <c r="P99" s="266">
        <v>1</v>
      </c>
      <c r="Q99" s="37"/>
      <c r="R99" s="189"/>
      <c r="S99" s="84"/>
      <c r="T99" s="84"/>
      <c r="U99" s="84"/>
      <c r="V99" s="189"/>
      <c r="W99" s="37"/>
      <c r="X99" s="266">
        <v>0</v>
      </c>
      <c r="Y99" s="169" t="str">
        <f>IF(AB84&lt;&gt;"",IF(AB86&lt;&gt;"",IF(AB84=AB86,"",IF(AB84&gt;AB86,AC84,AC86)),""),"")</f>
        <v>THEO HENARE MINELLI DE SÁ</v>
      </c>
      <c r="Z99" s="94"/>
      <c r="AA99" s="37"/>
      <c r="AB99" s="29"/>
      <c r="AC99" s="198"/>
      <c r="AD99" s="37"/>
      <c r="AE99" s="100"/>
      <c r="AF99" s="100"/>
      <c r="AG99" s="197"/>
      <c r="AH99" s="100"/>
      <c r="AI99" s="101"/>
      <c r="AJ99" s="267"/>
      <c r="AK99" s="170" t="str">
        <f>IFERROR(IF(AK98="","",VLOOKUP(AK98,LISTAS!$F$5:$G$1004,2,0)),"0")</f>
        <v>COLÉGIO ARBOS DE SÃO BERNARDO DO CAMPO</v>
      </c>
      <c r="AL99" s="29"/>
      <c r="AM99" s="23"/>
      <c r="AP99" s="31">
        <f>IF(AR99&lt;&gt;"",1+COUNTIF(AP72:AP98,"1")+COUNTIF(AP72:AP98,"2")+COUNTIF(AP72:AP98,"3")+COUNTIF(AP72:AP98,"4")+COUNTIF(AP72:AP98,"5")+COUNTIF(AP72:AP98,"6")+COUNTIF(AP72:AP98,"7")+COUNTIF(AP72:AP98,"8")+COUNTIF(AP72:AP98,"9")+COUNTIF(AP72:AP98,"10")+COUNTIF(AP72:AP98,"11")+COUNTIF(AP72:AP98,"12")+COUNTIF(AP72:AP98,"13")+COUNTIF(AP72:AP98,"14")+COUNTIF(AP72:AP98,"15")+COUNTIF(AP72:AP98,"16")+COUNTIF(AP72:AP98,"17")+COUNTIF(AP72:AP98,"18")+COUNTIF(AP72:AP98,"19")+COUNTIF(AP72:AP98,"20")+COUNTIF(AP72:AP98,"21")+COUNTIF(AP72:AP98,"22")+COUNTIF(AP72:AP98,"23")+COUNTIF(AP72:AP98,"24")+COUNTIF(AP72:AP98,"25")+COUNTIF(AP72:AP98,"26")+COUNTIF(AP72:AP98,"27"),"")</f>
        <v>19</v>
      </c>
      <c r="AQ99" s="32" t="str">
        <f t="shared" si="3"/>
        <v>LUGAR</v>
      </c>
      <c r="AR99" s="111" t="str">
        <f>IF(AR83&lt;&gt;"",IF(C72=AR83,G74,IF(C74=AR83,G74,IF(C80=AR83,G82,IF(C82=AR83,G82,IF(C102=AR83,G104,IF(C104=AR83,G104,IF(C110=AR83,G112,IF(C112=AR83,G112,IF(C88=AR83,G90,IF(C90=AR83,G90,IF(C96=AR83,G98,IF(C98=AR83,G98,IF(C118=AR83,G120,IF(C120=AR83,G120,IF(C126=AR83,G128,IF(C128=AR83,G128,IF(AK72=AR83,AI74,IF(AK74=AR83,AI74,IF(AK80=AR83,AI82,IF(AK82=AR83,AI82,IF(AK102=AR83,AI104,IF(AK104=AR83,AI104,IF(AK110=AR83,AI112,IF(AK112=AR83,AI112,IF(AK88=AR83,AI90,IF(AK90=AR83,AI90,IF(AK96=AR83,AI98,IF(AK98=AR83,AI98,IF(AK118=AR83,AI120,IF(AK120=AR83,AI120,IF(AK126=AR83,AI128,IF(AK128=AR83,AI128)))))))))))))))))))))))))))))))),"")</f>
        <v>TIAGO PARONETO REZENDE</v>
      </c>
      <c r="AS99" s="33" t="str">
        <f>IFERROR(IF(AR99="","",VLOOKUP(AR99,LISTAS!$F$5:$G$1004,2,0)),"0")</f>
        <v>ABACO IPIRANGA</v>
      </c>
      <c r="AT99" s="33" t="str">
        <f t="shared" si="4"/>
        <v/>
      </c>
      <c r="AU99" s="33" t="str">
        <f t="shared" si="5"/>
        <v/>
      </c>
    </row>
    <row r="100" spans="2:47" ht="18" customHeight="1" thickBot="1" x14ac:dyDescent="0.3">
      <c r="B100" s="133"/>
      <c r="C100" s="188"/>
      <c r="D100" s="29"/>
      <c r="E100" s="101"/>
      <c r="F100" s="101"/>
      <c r="G100" s="190"/>
      <c r="H100" s="101"/>
      <c r="I100" s="101"/>
      <c r="J100" s="101"/>
      <c r="K100" s="190"/>
      <c r="L100" s="29"/>
      <c r="M100" s="35"/>
      <c r="N100" s="29"/>
      <c r="O100" s="170" t="str">
        <f>IFERROR(IF(O99="","",VLOOKUP(O99,LISTAS!$F$5:$G$1004,2,0)),"0")</f>
        <v>COLÉGIO ARBOS - UNIDADE SANTO ANDRÉ</v>
      </c>
      <c r="P100" s="267"/>
      <c r="Q100" s="37"/>
      <c r="R100" s="169" t="str">
        <f>IF(P99&lt;&gt;"",IF(P101&lt;&gt;"",IF(P99=P101,"",IF(P99&gt;P101,O99,O101)),""),"")</f>
        <v>ARTHUR DAMIANI DANTAS</v>
      </c>
      <c r="S100" s="266">
        <v>0</v>
      </c>
      <c r="T100" s="269" t="s">
        <v>38</v>
      </c>
      <c r="U100" s="266">
        <v>1</v>
      </c>
      <c r="V100" s="169" t="str">
        <f>IF(X99&lt;&gt;"",IF(X101&lt;&gt;"",IF(X99=X101,"",IF(X99&gt;X101,Y99,Y101)),""),"")</f>
        <v>FELIPE PERDÃO BERTI SANCHES</v>
      </c>
      <c r="W100" s="141"/>
      <c r="X100" s="267"/>
      <c r="Y100" s="170" t="str">
        <f>IFERROR(IF(Y99="","",VLOOKUP(Y99,LISTAS!$F$5:$G$1004,2,0)),"0")</f>
        <v>PEN LIFE</v>
      </c>
      <c r="Z100" s="141"/>
      <c r="AA100" s="37"/>
      <c r="AB100" s="29"/>
      <c r="AC100" s="198"/>
      <c r="AD100" s="37"/>
      <c r="AE100" s="100"/>
      <c r="AF100" s="100"/>
      <c r="AG100" s="197"/>
      <c r="AH100" s="100"/>
      <c r="AI100" s="100"/>
      <c r="AJ100" s="29"/>
      <c r="AK100" s="188"/>
      <c r="AL100" s="29"/>
      <c r="AP100" s="31">
        <f>IF(AR100&lt;&gt;"",1+COUNTIF(AP72:AP99,"1")+COUNTIF(AP72:AP99,"2")+COUNTIF(AP72:AP99,"3")+COUNTIF(AP72:AP99,"4")+COUNTIF(AP72:AP99,"5")+COUNTIF(AP72:AP99,"6")+COUNTIF(AP72:AP99,"7")+COUNTIF(AP72:AP99,"8")+COUNTIF(AP72:AP99,"9")+COUNTIF(AP72:AP99,"10")+COUNTIF(AP72:AP99,"11")+COUNTIF(AP72:AP99,"12")+COUNTIF(AP72:AP99,"13")+COUNTIF(AP72:AP99,"14")+COUNTIF(AP72:AP99,"15")+COUNTIF(AP72:AP99,"16")+COUNTIF(AP72:AP99,"17")+COUNTIF(AP72:AP99,"18")+COUNTIF(AP72:AP99,"19")+COUNTIF(AP72:AP99,"20")+COUNTIF(AP72:AP99,"21")+COUNTIF(AP72:AP99,"22")+COUNTIF(AP72:AP99,"23")+COUNTIF(AP72:AP99,"24")+COUNTIF(AP72:AP99,"25")+COUNTIF(AP72:AP99,"26")+COUNTIF(AP72:AP99,"27")+COUNTIF(AP72:AP99,"28"),"")</f>
        <v>20</v>
      </c>
      <c r="AQ100" s="32" t="str">
        <f t="shared" si="3"/>
        <v>LUGAR</v>
      </c>
      <c r="AR100" s="111" t="str">
        <f>IF(AR84&lt;&gt;"",IF(C72=AR84,G74,IF(C74=AR84,G74,IF(C80=AR84,G82,IF(C82=AR84,G82,IF(C102=AR84,G104,IF(C104=AR84,G104,IF(C110=AR84,G112,IF(C112=AR84,G112,IF(C88=AR84,G90,IF(C90=AR84,G90,IF(C96=AR84,G98,IF(C98=AR84,G98,IF(C118=AR84,G120,IF(C120=AR84,G120,IF(C126=AR84,G128,IF(C128=AR84,G128,IF(AK72=AR84,AI74,IF(AK74=AR84,AI74,IF(AK80=AR84,AI82,IF(AK82=AR84,AI82,IF(AK102=AR84,AI104,IF(AK104=AR84,AI104,IF(AK110=AR84,AI112,IF(AK112=AR84,AI112,IF(AK88=AR84,AI90,IF(AK90=AR84,AI90,IF(AK96=AR84,AI98,IF(AK98=AR84,AI98,IF(AK118=AR84,AI120,IF(AK120=AR84,AI120,IF(AK126=AR84,AI128,IF(AK128=AR84,AI128)))))))))))))))))))))))))))))))),"")</f>
        <v>BRUNO VIEIRA MIRA</v>
      </c>
      <c r="AS100" s="33" t="str">
        <f>IFERROR(IF(AR100="","",VLOOKUP(AR100,LISTAS!$F$5:$G$1004,2,0)),"0")</f>
        <v>LICEU JARDIM</v>
      </c>
      <c r="AT100" s="33" t="str">
        <f t="shared" si="4"/>
        <v/>
      </c>
      <c r="AU100" s="33" t="str">
        <f t="shared" si="5"/>
        <v/>
      </c>
    </row>
    <row r="101" spans="2:47" ht="18" customHeight="1" thickBot="1" x14ac:dyDescent="0.3">
      <c r="B101" s="133"/>
      <c r="C101" s="188"/>
      <c r="D101" s="29"/>
      <c r="E101" s="101"/>
      <c r="F101" s="101"/>
      <c r="G101" s="190"/>
      <c r="H101" s="101"/>
      <c r="I101" s="101"/>
      <c r="J101" s="101"/>
      <c r="K101" s="190"/>
      <c r="L101" s="29"/>
      <c r="M101" s="35"/>
      <c r="N101" s="36"/>
      <c r="O101" s="169" t="str">
        <f>IF(L114&lt;&gt;"",IF(L116&lt;&gt;"",IF(L114=L116,"",IF(L114&gt;L116,K114,K116)),""),"")</f>
        <v>ALFREDO KULLIAN DI LIDDO</v>
      </c>
      <c r="P101" s="266">
        <v>0</v>
      </c>
      <c r="Q101" s="97"/>
      <c r="R101" s="170" t="str">
        <f>IFERROR(IF(R100="","",VLOOKUP(R100,LISTAS!$F$5:$G$1004,2,0)),"0")</f>
        <v>COLÉGIO ARBOS - UNIDADE SANTO ANDRÉ</v>
      </c>
      <c r="S101" s="267"/>
      <c r="T101" s="269"/>
      <c r="U101" s="267"/>
      <c r="V101" s="170" t="str">
        <f>IFERROR(IF(V100="","",VLOOKUP(V100,LISTAS!$F$5:$G$1004,2,0)),"0")</f>
        <v>PEN LIFE</v>
      </c>
      <c r="W101" s="98"/>
      <c r="X101" s="266">
        <v>1</v>
      </c>
      <c r="Y101" s="169" t="str">
        <f>IF(AB114&lt;&gt;"",IF(AB116&lt;&gt;"",IF(AB114=AB116,"",IF(AB114&gt;AB116,AC114,AC116)),""),"")</f>
        <v>FELIPE PERDÃO BERTI SANCHES</v>
      </c>
      <c r="Z101" s="98"/>
      <c r="AA101" s="37"/>
      <c r="AB101" s="29"/>
      <c r="AC101" s="198"/>
      <c r="AD101" s="37"/>
      <c r="AE101" s="100"/>
      <c r="AF101" s="100"/>
      <c r="AG101" s="197"/>
      <c r="AH101" s="100"/>
      <c r="AI101" s="100"/>
      <c r="AJ101" s="29"/>
      <c r="AK101" s="188"/>
      <c r="AL101" s="29"/>
      <c r="AP101" s="31">
        <f>IF(AR101&lt;&gt;"",1+COUNTIF(AP72:AP100,"1")+COUNTIF(AP72:AP100,"2")+COUNTIF(AP72:AP100,"3")+COUNTIF(AP72:AP100,"4")+COUNTIF(AP72:AP100,"5")+COUNTIF(AP72:AP100,"6")+COUNTIF(AP72:AP100,"7")+COUNTIF(AP72:AP100,"8")+COUNTIF(AP72:AP100,"9")+COUNTIF(AP72:AP100,"10")+COUNTIF(AP72:AP100,"11")+COUNTIF(AP72:AP100,"12")+COUNTIF(AP72:AP100,"13")+COUNTIF(AP72:AP100,"14")+COUNTIF(AP72:AP100,"15")+COUNTIF(AP72:AP100,"16")+COUNTIF(AP72:AP100,"17")+COUNTIF(AP72:AP100,"18")+COUNTIF(AP72:AP100,"19")+COUNTIF(AP72:AP100,"20")+COUNTIF(AP72:AP100,"21")+COUNTIF(AP72:AP100,"22")+COUNTIF(AP72:AP100,"23")+COUNTIF(AP72:AP100,"24")+COUNTIF(AP72:AP100,"25")+COUNTIF(AP72:AP100,"26")+COUNTIF(AP72:AP100,"27")+COUNTIF(AP72:AP100,"28")+COUNTIF(AP72:AP100,"29"),"")</f>
        <v>21</v>
      </c>
      <c r="AQ101" s="32" t="str">
        <f t="shared" si="3"/>
        <v>LUGAR</v>
      </c>
      <c r="AR101" s="111" t="str">
        <f>IF(AR85&lt;&gt;"",IF(C72=AR85,G74,IF(C74=AR85,G74,IF(C80=AR85,G82,IF(C82=AR85,G82,IF(C102=AR85,G104,IF(C104=AR85,G104,IF(C110=AR85,G112,IF(C112=AR85,G112,IF(C88=AR85,G90,IF(C90=AR85,G90,IF(C96=AR85,G98,IF(C98=AR85,G98,IF(C118=AR85,G120,IF(C120=AR85,G120,IF(C126=AR85,G128,IF(C128=AR85,G128,IF(AK72=AR85,AI74,IF(AK74=AR85,AI74,IF(AK80=AR85,AI82,IF(AK82=AR85,AI82,IF(AK102=AR85,AI104,IF(AK104=AR85,AI104,IF(AK110=AR85,AI112,IF(AK112=AR85,AI112,IF(AK88=AR85,AI90,IF(AK90=AR85,AI90,IF(AK96=AR85,AI98,IF(AK98=AR85,AI98,IF(AK118=AR85,AI120,IF(AK120=AR85,AI120,IF(AK126=AR85,AI128,IF(AK128=AR85,AI128)))))))))))))))))))))))))))))))),"")</f>
        <v>RAFAEL CARRADORI ZACHARIAS</v>
      </c>
      <c r="AS101" s="33" t="str">
        <f>IFERROR(IF(AR101="","",VLOOKUP(AR101,LISTAS!$F$5:$G$1004,2,0)),"0")</f>
        <v>COLÉGIO ARBOS - UNIDADE SANTO ANDRÉ</v>
      </c>
      <c r="AT101" s="33" t="str">
        <f t="shared" si="4"/>
        <v/>
      </c>
      <c r="AU101" s="33" t="str">
        <f t="shared" si="5"/>
        <v/>
      </c>
    </row>
    <row r="102" spans="2:47" ht="18" customHeight="1" thickBot="1" x14ac:dyDescent="0.3">
      <c r="B102" s="133">
        <v>5</v>
      </c>
      <c r="C102" s="169" t="str">
        <f>IF('09M GRP'!G5&gt;=3,'09M GRP'!J74,IF('09M GRP'!G5=2,"",IF('09M GRP'!G5=1,"","")))</f>
        <v>ALFREDO KULLIAN DI LIDDO</v>
      </c>
      <c r="D102" s="266">
        <v>1</v>
      </c>
      <c r="E102" s="101">
        <f>IF(D102&lt;&gt;"",D102,"")</f>
        <v>1</v>
      </c>
      <c r="F102" s="101" t="str">
        <f>IF(D102&lt;&gt;"",IF(C102="","",C102),"")</f>
        <v>ALFREDO KULLIAN DI LIDDO</v>
      </c>
      <c r="G102" s="190">
        <f>IF(E102&lt;&gt;"",IF(E104&lt;&gt;"",SMALL(E102:E104,1),""),"")</f>
        <v>0</v>
      </c>
      <c r="H102" s="101"/>
      <c r="I102" s="101"/>
      <c r="J102" s="101"/>
      <c r="K102" s="190"/>
      <c r="L102" s="101"/>
      <c r="M102" s="138"/>
      <c r="N102" s="100"/>
      <c r="O102" s="170" t="str">
        <f>IFERROR(IF(O101="","",VLOOKUP(O101,LISTAS!$F$5:$G$1004,2,0)),"0")</f>
        <v>ESCOLA VILLARE</v>
      </c>
      <c r="P102" s="267"/>
      <c r="Q102" s="85"/>
      <c r="R102" s="198"/>
      <c r="S102" s="37"/>
      <c r="T102" s="37"/>
      <c r="U102" s="37"/>
      <c r="V102" s="198"/>
      <c r="W102" s="37"/>
      <c r="X102" s="267"/>
      <c r="Y102" s="170" t="str">
        <f>IFERROR(IF(Y101="","",VLOOKUP(Y101,LISTAS!$F$5:$G$1004,2,0)),"0")</f>
        <v>PEN LIFE</v>
      </c>
      <c r="Z102" s="94"/>
      <c r="AA102" s="37"/>
      <c r="AB102" s="29"/>
      <c r="AC102" s="198"/>
      <c r="AD102" s="37"/>
      <c r="AE102" s="100"/>
      <c r="AF102" s="100"/>
      <c r="AG102" s="197">
        <f>IF(AJ102&lt;&gt;"",AJ102,"")</f>
        <v>0</v>
      </c>
      <c r="AH102" s="100" t="str">
        <f>IF(AJ102&lt;&gt;"",IF(AK102="","",AK102),"")</f>
        <v>BRUNO VIEIRA MIRA</v>
      </c>
      <c r="AI102" s="101">
        <f>IF(AG102&lt;&gt;"",IF(AG104&lt;&gt;"",SMALL(AG102:AG104,1),""),"")</f>
        <v>0</v>
      </c>
      <c r="AJ102" s="266">
        <v>0</v>
      </c>
      <c r="AK102" s="169" t="str">
        <f>IF('09M GRP'!G5&gt;=3,'09M GRP'!J100,IF('09M GRP'!G5=2,"",IF('09M GRP'!G5=1,"","")))</f>
        <v>BRUNO VIEIRA MIRA</v>
      </c>
      <c r="AL102" s="29">
        <v>7</v>
      </c>
      <c r="AP102" s="31" t="str">
        <f>IF(AR102&lt;&gt;"",1+COUNTIF(AP72:AP101,"1")+COUNTIF(AP72:AP101,"2")+COUNTIF(AP72:AP101,"3")+COUNTIF(AP72:AP101,"4")+COUNTIF(AP72:AP101,"5")+COUNTIF(AP72:AP101,"6")+COUNTIF(AP72:AP101,"7")+COUNTIF(AP72:AP101,"8")+COUNTIF(AP72:AP101,"9")+COUNTIF(AP72:AP101,"10")+COUNTIF(AP72:AP101,"11")+COUNTIF(AP72:AP101,"12")+COUNTIF(AP72:AP101,"13")+COUNTIF(AP72:AP101,"14")+COUNTIF(AP72:AP101,"15")+COUNTIF(AP72:AP101,"16")+COUNTIF(AP72:AP101,"17")+COUNTIF(AP72:AP101,"18")+COUNTIF(AP72:AP101,"19")+COUNTIF(AP72:AP101,"20")+COUNTIF(AP72:AP101,"21")+COUNTIF(AP72:AP101,"22")+COUNTIF(AP72:AP101,"23")+COUNTIF(AP72:AP101,"24")+COUNTIF(AP72:AP101,"25")+COUNTIF(AP72:AP101,"26")+COUNTIF(AP72:AP101,"27")+COUNTIF(AP72:AP101,"28")+COUNTIF(AP72:AP101,"29")+COUNTIF(AP72:AP101,"30"),"")</f>
        <v/>
      </c>
      <c r="AQ102" s="32" t="str">
        <f t="shared" si="3"/>
        <v/>
      </c>
      <c r="AR102" s="111" t="str">
        <f>IF(AR86&lt;&gt;"",IF(C72=AR86,G74,IF(C74=AR86,G74,IF(C80=AR86,G82,IF(C82=AR86,G82,IF(C102=AR86,G104,IF(C104=AR86,G104,IF(C110=AR86,G112,IF(C112=AR86,G112,IF(C88=AR86,G90,IF(C90=AR86,G90,IF(C96=AR86,G98,IF(C98=AR86,G98,IF(C118=AR86,G120,IF(C120=AR86,G120,IF(C126=AR86,G128,IF(C128=AR86,G128,IF(AK72=AR86,AI74,IF(AK74=AR86,AI74,IF(AK80=AR86,AI82,IF(AK82=AR86,AI82,IF(AK102=AR86,AI104,IF(AK104=AR86,AI104,IF(AK110=AR86,AI112,IF(AK112=AR86,AI112,IF(AK88=AR86,AI90,IF(AK90=AR86,AI90,IF(AK96=AR86,AI98,IF(AK98=AR86,AI98,IF(AK118=AR86,AI120,IF(AK120=AR86,AI120,IF(AK126=AR86,AI128,IF(AK128=AR86,AI128)))))))))))))))))))))))))))))))),"")</f>
        <v/>
      </c>
      <c r="AS102" s="33" t="str">
        <f>IFERROR(IF(AR102="","",VLOOKUP(AR102,LISTAS!$F$5:$G$1004,2,0)),"0")</f>
        <v/>
      </c>
      <c r="AT102" s="33" t="str">
        <f t="shared" si="4"/>
        <v/>
      </c>
      <c r="AU102" s="33" t="str">
        <f t="shared" si="5"/>
        <v/>
      </c>
    </row>
    <row r="103" spans="2:47" ht="18" customHeight="1" thickBot="1" x14ac:dyDescent="0.3">
      <c r="B103" s="133"/>
      <c r="C103" s="170" t="str">
        <f>IFERROR(IF(C102="","",VLOOKUP(C102,LISTAS!$F$5:$G$1004,2,0)),"0")</f>
        <v>ESCOLA VILLARE</v>
      </c>
      <c r="D103" s="267"/>
      <c r="E103" s="101"/>
      <c r="F103" s="101"/>
      <c r="G103" s="190"/>
      <c r="H103" s="101"/>
      <c r="I103" s="101"/>
      <c r="J103" s="101"/>
      <c r="K103" s="190"/>
      <c r="L103" s="101"/>
      <c r="M103" s="138"/>
      <c r="N103" s="100"/>
      <c r="O103" s="197"/>
      <c r="P103" s="100"/>
      <c r="Q103" s="85"/>
      <c r="R103" s="198"/>
      <c r="S103" s="37"/>
      <c r="T103" s="37"/>
      <c r="U103" s="37"/>
      <c r="V103" s="198"/>
      <c r="W103" s="37"/>
      <c r="X103" s="86"/>
      <c r="Y103" s="198"/>
      <c r="Z103" s="94"/>
      <c r="AA103" s="37"/>
      <c r="AB103" s="29"/>
      <c r="AC103" s="198"/>
      <c r="AD103" s="37"/>
      <c r="AE103" s="100"/>
      <c r="AF103" s="100"/>
      <c r="AG103" s="197"/>
      <c r="AH103" s="100"/>
      <c r="AI103" s="101"/>
      <c r="AJ103" s="267"/>
      <c r="AK103" s="170" t="str">
        <f>IFERROR(IF(AK102="","",VLOOKUP(AK102,LISTAS!$F$5:$G$1004,2,0)),"0")</f>
        <v>LICEU JARDIM</v>
      </c>
      <c r="AL103" s="29"/>
      <c r="AP103" s="31">
        <f>IF(AR103&lt;&gt;"",1+COUNTIF(AP72:AP102,"1")+COUNTIF(AP72:AP102,"2")+COUNTIF(AP72:AP102,"3")+COUNTIF(AP72:AP102,"4")+COUNTIF(AP72:AP102,"5")+COUNTIF(AP72:AP102,"6")+COUNTIF(AP72:AP102,"7")+COUNTIF(AP72:AP102,"8")+COUNTIF(AP72:AP102,"9")+COUNTIF(AP72:AP102,"10")+COUNTIF(AP72:AP102,"11")+COUNTIF(AP72:AP102,"12")+COUNTIF(AP72:AP102,"13")+COUNTIF(AP72:AP102,"14")+COUNTIF(AP72:AP102,"15")+COUNTIF(AP72:AP102,"16")+COUNTIF(AP72:AP102,"17")+COUNTIF(AP72:AP102,"18")+COUNTIF(AP72:AP102,"19")+COUNTIF(AP72:AP102,"20")+COUNTIF(AP72:AP102,"21")+COUNTIF(AP72:AP102,"22")+COUNTIF(AP72:AP102,"23")+COUNTIF(AP72:AP102,"24")+COUNTIF(AP72:AP102,"25")+COUNTIF(AP72:AP102,"26")+COUNTIF(AP72:AP102,"27")+COUNTIF(AP72:AP102,"28")+COUNTIF(AP72:AP102,"29")+COUNTIF(AP72:AP102,"30")+COUNTIF(AP72:AP102,"31"),"")</f>
        <v>22</v>
      </c>
      <c r="AQ103" s="32" t="str">
        <f t="shared" si="3"/>
        <v>LUGAR</v>
      </c>
      <c r="AR103" s="111" t="str">
        <f>IF(AR87&lt;&gt;"",IF(C72=AR87,G74,IF(C74=AR87,G74,IF(C80=AR87,G82,IF(C82=AR87,G82,IF(C102=AR87,G104,IF(C104=AR87,G104,IF(C110=AR87,G112,IF(C112=AR87,G112,IF(C88=AR87,G90,IF(C90=AR87,G90,IF(C96=AR87,G98,IF(C98=AR87,G98,IF(C118=AR87,G120,IF(C120=AR87,G120,IF(C126=AR87,G128,IF(C128=AR87,G128,IF(AK72=AR87,AI74,IF(AK74=AR87,AI74,IF(AK80=AR87,AI82,IF(AK82=AR87,AI82,IF(AK102=AR87,AI104,IF(AK104=AR87,AI104,IF(AK110=AR87,AI112,IF(AK112=AR87,AI112,IF(AK88=AR87,AI90,IF(AK90=AR87,AI90,IF(AK96=AR87,AI98,IF(AK98=AR87,AI98,IF(AK118=AR87,AI120,IF(AK120=AR87,AI120,IF(AK126=AR87,AI128,IF(AK128=AR87,AI128)))))))))))))))))))))))))))))))),"")</f>
        <v>MATHEUS JARDIM CASSI</v>
      </c>
      <c r="AS103" s="33" t="str">
        <f>IFERROR(IF(AR103="","",VLOOKUP(AR103,LISTAS!$F$5:$G$1004,2,0)),"0")</f>
        <v>ESCOLA IL SOLE</v>
      </c>
      <c r="AT103" s="33" t="str">
        <f>IF(AP103="","",IF(AP103=1,180,IF(AP103=2,170,IF(AP103=3,150,IF(AP103=4,140,IF(AP103=5,135,IF(AP103=6,130,IF(AP103=7,120,IF(AP103=8,110,IF(AP103=9,105,IF(AP103=10,105,IF(AP103=11,105,IF(AP103=12,105,IF(AP103=13,105,IF(AP103=14,105,IF(AP103=15,105,IF(AP103=16,105,IF(AP103&gt;16,"",""))))))))))))))))))</f>
        <v/>
      </c>
      <c r="AU103" s="33" t="str">
        <f>IF(AP103="","",IF($AS$5="NÃO","",IF(AP103=1,180,IF(AP103=2,170,IF(AP103=3,150,IF(AP103=4,140,IF(AP103=5,135,IF(AP103=6,130,IF(AP103=7,120,IF(AP103=8,110,IF(AP103=9,105,IF(AP103=10,105,IF(AP103=11,105,IF(AP103=12,105,IF(AP103=13,105,IF(AP103=14,105,IF(AP103=15,105,IF(AP103=16,105,IF(AP103&gt;16,"","")))))))))))))))))))</f>
        <v/>
      </c>
    </row>
    <row r="104" spans="2:47" ht="18" customHeight="1" x14ac:dyDescent="0.25">
      <c r="B104" s="133">
        <v>28</v>
      </c>
      <c r="C104" s="169" t="str">
        <f>IF('09M GRP'!G5&gt;=3,'09M GRP'!J373,IF('09M GRP'!G5=2,"",IF('09M GRP'!G5=1,"","")))</f>
        <v/>
      </c>
      <c r="D104" s="266">
        <v>0</v>
      </c>
      <c r="E104" s="107">
        <f>IF(D104&lt;&gt;"",D104,"")</f>
        <v>0</v>
      </c>
      <c r="F104" s="101" t="str">
        <f>IF(D104&lt;&gt;"",IF(C104="","",C104),"")</f>
        <v/>
      </c>
      <c r="G104" s="190" t="str">
        <f>VLOOKUP(G102,E102:F104,2,0)</f>
        <v/>
      </c>
      <c r="H104" s="101"/>
      <c r="I104" s="101"/>
      <c r="J104" s="101"/>
      <c r="K104" s="190"/>
      <c r="L104" s="101"/>
      <c r="M104" s="138"/>
      <c r="N104" s="101">
        <f>IF(P99&lt;&gt;"",P99,"")</f>
        <v>1</v>
      </c>
      <c r="O104" s="190" t="str">
        <f>IF(P99&lt;&gt;"",O99,"")</f>
        <v>ARTHUR DAMIANI DANTAS</v>
      </c>
      <c r="P104" s="101">
        <f>IF(N104&lt;&gt;"",IF(N106&lt;&gt;"",LARGE(N104:N106,1),""),"")</f>
        <v>1</v>
      </c>
      <c r="Q104" s="88"/>
      <c r="R104" s="199"/>
      <c r="S104" s="37"/>
      <c r="T104" s="37"/>
      <c r="U104" s="37"/>
      <c r="V104" s="198"/>
      <c r="W104" s="37"/>
      <c r="X104" s="86"/>
      <c r="Y104" s="198"/>
      <c r="Z104" s="94"/>
      <c r="AA104" s="37"/>
      <c r="AB104" s="29"/>
      <c r="AC104" s="198"/>
      <c r="AD104" s="37"/>
      <c r="AE104" s="100"/>
      <c r="AF104" s="100"/>
      <c r="AG104" s="197">
        <f>IF(AJ104&lt;&gt;"",AJ104,"")</f>
        <v>1</v>
      </c>
      <c r="AH104" s="100" t="str">
        <f>IF(AJ104&lt;&gt;"",IF(AK104="","",AK104),"")</f>
        <v>THEO RIBEIRO</v>
      </c>
      <c r="AI104" s="102" t="str">
        <f>VLOOKUP(AI102,AG102:AH104,2,0)</f>
        <v>BRUNO VIEIRA MIRA</v>
      </c>
      <c r="AJ104" s="266">
        <v>1</v>
      </c>
      <c r="AK104" s="169" t="str">
        <f>IF('09M GRP'!G5&gt;=3,'09M GRP'!J347,IF('09M GRP'!G5=2,"",IF('09M GRP'!G5=1,"","")))</f>
        <v>THEO RIBEIRO</v>
      </c>
      <c r="AL104" s="29">
        <v>26</v>
      </c>
    </row>
    <row r="105" spans="2:47" ht="18" customHeight="1" thickBot="1" x14ac:dyDescent="0.3">
      <c r="B105" s="133"/>
      <c r="C105" s="170" t="str">
        <f>IFERROR(IF(C104="","",VLOOKUP(C104,LISTAS!$F$5:$G$1004,2,0)),"0")</f>
        <v/>
      </c>
      <c r="D105" s="267"/>
      <c r="E105" s="148"/>
      <c r="F105" s="101"/>
      <c r="G105" s="190"/>
      <c r="H105" s="101"/>
      <c r="I105" s="101"/>
      <c r="J105" s="101"/>
      <c r="K105" s="190"/>
      <c r="L105" s="101"/>
      <c r="M105" s="138"/>
      <c r="N105" s="101"/>
      <c r="O105" s="190"/>
      <c r="P105" s="101"/>
      <c r="Q105" s="88"/>
      <c r="R105" s="199"/>
      <c r="S105" s="37"/>
      <c r="T105" s="37"/>
      <c r="U105" s="37"/>
      <c r="V105" s="198"/>
      <c r="W105" s="37"/>
      <c r="X105" s="86"/>
      <c r="Y105" s="198"/>
      <c r="Z105" s="94"/>
      <c r="AA105" s="37"/>
      <c r="AB105" s="29"/>
      <c r="AC105" s="198"/>
      <c r="AD105" s="37"/>
      <c r="AE105" s="100"/>
      <c r="AF105" s="100"/>
      <c r="AG105" s="197"/>
      <c r="AH105" s="100"/>
      <c r="AI105" s="142"/>
      <c r="AJ105" s="267"/>
      <c r="AK105" s="170" t="str">
        <f>IFERROR(IF(AK104="","",VLOOKUP(AK104,LISTAS!$F$5:$G$1004,2,0)),"0")</f>
        <v>COLÉGIO ATENEU</v>
      </c>
      <c r="AL105" s="29"/>
    </row>
    <row r="106" spans="2:47" ht="18" customHeight="1" x14ac:dyDescent="0.25">
      <c r="B106" s="133"/>
      <c r="C106" s="188"/>
      <c r="D106" s="29"/>
      <c r="E106" s="29"/>
      <c r="F106" s="34"/>
      <c r="G106" s="169" t="str">
        <f>IF(D102&lt;&gt;"",IF(D104&lt;&gt;"",IF(D102=D104,"",IF(D102&gt;D104,C102,C104)),""),"")</f>
        <v>ALFREDO KULLIAN DI LIDDO</v>
      </c>
      <c r="H106" s="266">
        <v>1</v>
      </c>
      <c r="I106" s="101">
        <f>IF(H106&lt;&gt;"",H106,"")</f>
        <v>1</v>
      </c>
      <c r="J106" s="101" t="str">
        <f>IF(H106&lt;&gt;"",IF(G106="","",G106),"")</f>
        <v>ALFREDO KULLIAN DI LIDDO</v>
      </c>
      <c r="K106" s="190">
        <f>IF(I106&lt;&gt;"",IF(I108&lt;&gt;"",SMALL(I106:J108,1),""),"")</f>
        <v>0</v>
      </c>
      <c r="L106" s="101"/>
      <c r="M106" s="138"/>
      <c r="N106" s="101">
        <f>IF(P101&lt;&gt;"",P101,"")</f>
        <v>0</v>
      </c>
      <c r="O106" s="190" t="str">
        <f>IF(P101&lt;&gt;"",O101,"")</f>
        <v>ALFREDO KULLIAN DI LIDDO</v>
      </c>
      <c r="P106" s="101" t="str">
        <f>VLOOKUP(P104,N104:O106,2,0)</f>
        <v>ARTHUR DAMIANI DANTAS</v>
      </c>
      <c r="Q106" s="100"/>
      <c r="R106" s="197"/>
      <c r="S106" s="37"/>
      <c r="T106" s="37"/>
      <c r="U106" s="37"/>
      <c r="V106" s="198"/>
      <c r="W106" s="37"/>
      <c r="X106" s="86"/>
      <c r="Y106" s="198"/>
      <c r="Z106" s="94"/>
      <c r="AA106" s="37"/>
      <c r="AB106" s="29"/>
      <c r="AC106" s="198"/>
      <c r="AD106" s="37"/>
      <c r="AE106" s="95"/>
      <c r="AF106" s="266">
        <v>0</v>
      </c>
      <c r="AG106" s="169" t="str">
        <f>IF(AJ102&lt;&gt;"",IF(AJ104&lt;&gt;"",IF(AJ102=AJ104,"",IF(AJ102&gt;AJ104,AK102,AK104)),""),"")</f>
        <v>THEO RIBEIRO</v>
      </c>
      <c r="AH106" s="94"/>
      <c r="AI106" s="37"/>
      <c r="AJ106" s="29"/>
      <c r="AK106" s="188"/>
      <c r="AL106" s="29"/>
    </row>
    <row r="107" spans="2:47" ht="18" customHeight="1" thickBot="1" x14ac:dyDescent="0.3">
      <c r="B107" s="133"/>
      <c r="C107" s="188"/>
      <c r="D107" s="29"/>
      <c r="E107" s="29"/>
      <c r="F107" s="34"/>
      <c r="G107" s="170" t="str">
        <f>IFERROR(IF(G106="","",VLOOKUP(G106,LISTAS!$F$5:$G$1004,2,0)),"0")</f>
        <v>ESCOLA VILLARE</v>
      </c>
      <c r="H107" s="267"/>
      <c r="I107" s="101"/>
      <c r="J107" s="101"/>
      <c r="K107" s="190"/>
      <c r="L107" s="101"/>
      <c r="M107" s="138"/>
      <c r="N107" s="101"/>
      <c r="O107" s="190"/>
      <c r="P107" s="101"/>
      <c r="Q107" s="100"/>
      <c r="R107" s="197"/>
      <c r="S107" s="37"/>
      <c r="T107" s="37"/>
      <c r="U107" s="37"/>
      <c r="V107" s="198"/>
      <c r="W107" s="37"/>
      <c r="X107" s="86"/>
      <c r="Y107" s="198"/>
      <c r="Z107" s="94"/>
      <c r="AA107" s="37"/>
      <c r="AB107" s="29"/>
      <c r="AC107" s="198"/>
      <c r="AD107" s="37"/>
      <c r="AE107" s="95"/>
      <c r="AF107" s="267"/>
      <c r="AG107" s="170" t="str">
        <f>IFERROR(IF(AG106="","",VLOOKUP(AG106,LISTAS!$F$5:$G$1004,2,0)),"0")</f>
        <v>COLÉGIO ATENEU</v>
      </c>
      <c r="AH107" s="94"/>
      <c r="AI107" s="37"/>
      <c r="AJ107" s="29"/>
      <c r="AK107" s="188"/>
      <c r="AL107" s="29"/>
    </row>
    <row r="108" spans="2:47" ht="18" customHeight="1" x14ac:dyDescent="0.25">
      <c r="B108" s="133"/>
      <c r="C108" s="188"/>
      <c r="D108" s="29"/>
      <c r="E108" s="35"/>
      <c r="F108" s="36"/>
      <c r="G108" s="169" t="str">
        <f>IF(D110&lt;&gt;"",IF(D112&lt;&gt;"",IF(D110=D112,"",IF(D110&gt;D112,C110,C112)),""),"")</f>
        <v>DAVI CRUZ SANTOS</v>
      </c>
      <c r="H108" s="266">
        <v>0</v>
      </c>
      <c r="I108" s="107">
        <f>IF(H108&lt;&gt;"",H108,"")</f>
        <v>0</v>
      </c>
      <c r="J108" s="101" t="str">
        <f>IF(H108&lt;&gt;"",IF(G108="","",G108),"")</f>
        <v>DAVI CRUZ SANTOS</v>
      </c>
      <c r="K108" s="190" t="str">
        <f>VLOOKUP(K106,I106:J108,2,0)</f>
        <v>DAVI CRUZ SANTOS</v>
      </c>
      <c r="L108" s="101"/>
      <c r="M108" s="138"/>
      <c r="N108" s="101">
        <f>IF(P99&lt;&gt;"",P99,"")</f>
        <v>1</v>
      </c>
      <c r="O108" s="190" t="str">
        <f>IF(P99&lt;&gt;"",O99,"")</f>
        <v>ARTHUR DAMIANI DANTAS</v>
      </c>
      <c r="P108" s="101">
        <f>IF(N108&lt;&gt;"",IF(N110&lt;&gt;"",SMALL(N108:N110,1),""),"")</f>
        <v>0</v>
      </c>
      <c r="Q108" s="100"/>
      <c r="R108" s="197"/>
      <c r="S108" s="37"/>
      <c r="T108" s="37"/>
      <c r="U108" s="37"/>
      <c r="V108" s="198"/>
      <c r="W108" s="37"/>
      <c r="X108" s="86"/>
      <c r="Y108" s="198"/>
      <c r="Z108" s="94"/>
      <c r="AA108" s="37"/>
      <c r="AB108" s="29"/>
      <c r="AC108" s="198"/>
      <c r="AD108" s="94"/>
      <c r="AE108" s="96"/>
      <c r="AF108" s="266">
        <v>1</v>
      </c>
      <c r="AG108" s="169" t="str">
        <f>IF(AJ110&lt;&gt;"",IF(AJ112&lt;&gt;"",IF(AJ110=AJ112,"",IF(AJ110&gt;AJ112,AK110,AK112)),""),"")</f>
        <v>HENRIQUE MARTINS MONTOUTO</v>
      </c>
      <c r="AH108" s="98"/>
      <c r="AI108" s="37"/>
      <c r="AJ108" s="29"/>
      <c r="AK108" s="188"/>
      <c r="AL108" s="29"/>
    </row>
    <row r="109" spans="2:47" ht="18" customHeight="1" thickBot="1" x14ac:dyDescent="0.3">
      <c r="B109" s="133"/>
      <c r="C109" s="188"/>
      <c r="D109" s="29"/>
      <c r="E109" s="35"/>
      <c r="F109" s="29"/>
      <c r="G109" s="170" t="str">
        <f>IFERROR(IF(G108="","",VLOOKUP(G108,LISTAS!$F$5:$G$1004,2,0)),"0")</f>
        <v>LICEU JARDIM</v>
      </c>
      <c r="H109" s="267"/>
      <c r="I109" s="138"/>
      <c r="J109" s="101"/>
      <c r="K109" s="190"/>
      <c r="L109" s="101"/>
      <c r="M109" s="138"/>
      <c r="N109" s="101"/>
      <c r="O109" s="190"/>
      <c r="P109" s="101"/>
      <c r="Q109" s="100"/>
      <c r="R109" s="197"/>
      <c r="S109" s="37"/>
      <c r="T109" s="37"/>
      <c r="U109" s="37"/>
      <c r="V109" s="198"/>
      <c r="W109" s="37"/>
      <c r="X109" s="86"/>
      <c r="Y109" s="198"/>
      <c r="Z109" s="37"/>
      <c r="AA109" s="89"/>
      <c r="AB109" s="29"/>
      <c r="AC109" s="198"/>
      <c r="AD109" s="94"/>
      <c r="AE109" s="37"/>
      <c r="AF109" s="267"/>
      <c r="AG109" s="170" t="str">
        <f>IFERROR(IF(AG108="","",VLOOKUP(AG108,LISTAS!$F$5:$G$1004,2,0)),"0")</f>
        <v>COLÉGIO ATENEU</v>
      </c>
      <c r="AH109" s="37"/>
      <c r="AI109" s="89"/>
      <c r="AJ109" s="29"/>
      <c r="AK109" s="188"/>
      <c r="AL109" s="29"/>
    </row>
    <row r="110" spans="2:47" ht="18" customHeight="1" x14ac:dyDescent="0.25">
      <c r="B110" s="133">
        <v>12</v>
      </c>
      <c r="C110" s="169" t="str">
        <f>IF('09M GRP'!G5&gt;=3,'09M GRP'!J165,IF('09M GRP'!G5=2,"",IF('09M GRP'!G5=1,"","")))</f>
        <v>DAVI CRUZ SANTOS</v>
      </c>
      <c r="D110" s="266">
        <v>1</v>
      </c>
      <c r="E110" s="148">
        <f>IF(D110&lt;&gt;"",D110,"")</f>
        <v>1</v>
      </c>
      <c r="F110" s="101" t="str">
        <f>IF(D110&lt;&gt;"",IF(C110="","",C110),"")</f>
        <v>DAVI CRUZ SANTOS</v>
      </c>
      <c r="G110" s="190">
        <f>IF(E110&lt;&gt;"",IF(E112&lt;&gt;"",SMALL(E110:E112,1),""),"")</f>
        <v>0</v>
      </c>
      <c r="H110" s="29"/>
      <c r="I110" s="138"/>
      <c r="J110" s="101"/>
      <c r="K110" s="190"/>
      <c r="L110" s="101"/>
      <c r="M110" s="138"/>
      <c r="N110" s="101">
        <f>IF(P101&lt;&gt;"",P101,"")</f>
        <v>0</v>
      </c>
      <c r="O110" s="190" t="str">
        <f>IF(P101&lt;&gt;"",O101,"")</f>
        <v>ALFREDO KULLIAN DI LIDDO</v>
      </c>
      <c r="P110" s="101" t="str">
        <f>VLOOKUP(P108,N108:O110,2,0)</f>
        <v>ALFREDO KULLIAN DI LIDDO</v>
      </c>
      <c r="Q110" s="100"/>
      <c r="R110" s="197"/>
      <c r="S110" s="37"/>
      <c r="T110" s="37"/>
      <c r="U110" s="37"/>
      <c r="V110" s="198"/>
      <c r="W110" s="37"/>
      <c r="X110" s="86"/>
      <c r="Y110" s="198"/>
      <c r="Z110" s="37"/>
      <c r="AA110" s="89"/>
      <c r="AB110" s="29"/>
      <c r="AC110" s="198"/>
      <c r="AD110" s="94"/>
      <c r="AE110" s="100"/>
      <c r="AF110" s="100"/>
      <c r="AG110" s="197">
        <f>IF(AJ110&lt;&gt;"",AJ110,"")</f>
        <v>1</v>
      </c>
      <c r="AH110" s="100" t="str">
        <f>IF(AJ110&lt;&gt;"",IF(AK110="","",AK110),"")</f>
        <v>HENRIQUE MARTINS MONTOUTO</v>
      </c>
      <c r="AI110" s="137">
        <f>IF(AG110&lt;&gt;"",IF(AG112&lt;&gt;"",SMALL(AG110:AG112,1),""),"")</f>
        <v>0</v>
      </c>
      <c r="AJ110" s="266">
        <v>1</v>
      </c>
      <c r="AK110" s="169" t="str">
        <f>IF('09M GRP'!G5&gt;=3,'09M GRP'!J139,IF('09M GRP'!G5=2,"",IF('09M GRP'!G5=1,"","")))</f>
        <v>HENRIQUE MARTINS MONTOUTO</v>
      </c>
      <c r="AL110" s="29">
        <v>10</v>
      </c>
    </row>
    <row r="111" spans="2:47" ht="18" customHeight="1" thickBot="1" x14ac:dyDescent="0.3">
      <c r="B111" s="133"/>
      <c r="C111" s="170" t="str">
        <f>IFERROR(IF(C110="","",VLOOKUP(C110,LISTAS!$F$5:$G$1004,2,0)),"0")</f>
        <v>LICEU JARDIM</v>
      </c>
      <c r="D111" s="267"/>
      <c r="E111" s="105"/>
      <c r="F111" s="101"/>
      <c r="G111" s="190"/>
      <c r="H111" s="29"/>
      <c r="I111" s="138"/>
      <c r="J111" s="101"/>
      <c r="K111" s="190"/>
      <c r="L111" s="101"/>
      <c r="M111" s="138"/>
      <c r="N111" s="101"/>
      <c r="O111" s="190"/>
      <c r="P111" s="101"/>
      <c r="Q111" s="100"/>
      <c r="R111" s="197"/>
      <c r="S111" s="37"/>
      <c r="T111" s="37"/>
      <c r="U111" s="37"/>
      <c r="V111" s="198"/>
      <c r="W111" s="37"/>
      <c r="X111" s="86"/>
      <c r="Y111" s="198"/>
      <c r="Z111" s="37"/>
      <c r="AA111" s="89"/>
      <c r="AB111" s="29"/>
      <c r="AC111" s="198"/>
      <c r="AD111" s="94"/>
      <c r="AE111" s="100"/>
      <c r="AF111" s="100"/>
      <c r="AG111" s="197"/>
      <c r="AH111" s="100"/>
      <c r="AI111" s="143"/>
      <c r="AJ111" s="267"/>
      <c r="AK111" s="170" t="str">
        <f>IFERROR(IF(AK110="","",VLOOKUP(AK110,LISTAS!$F$5:$G$1004,2,0)),"0")</f>
        <v>COLÉGIO ATENEU</v>
      </c>
      <c r="AL111" s="29"/>
    </row>
    <row r="112" spans="2:47" ht="18" customHeight="1" x14ac:dyDescent="0.25">
      <c r="B112" s="133">
        <v>21</v>
      </c>
      <c r="C112" s="169" t="str">
        <f>IF('09M GRP'!G5&gt;=3,'09M GRP'!J282,IF('09M GRP'!G5=2,"",IF('09M GRP'!G5=1,"","")))</f>
        <v>TIAGO PARONETO REZENDE</v>
      </c>
      <c r="D112" s="266">
        <v>0</v>
      </c>
      <c r="E112" s="106">
        <f>IF(D112&lt;&gt;"",D112,"")</f>
        <v>0</v>
      </c>
      <c r="F112" s="101" t="str">
        <f>IF(D112&lt;&gt;"",IF(C112="","",C112),"")</f>
        <v>TIAGO PARONETO REZENDE</v>
      </c>
      <c r="G112" s="190" t="str">
        <f>VLOOKUP(G110,E110:F112,2,0)</f>
        <v>TIAGO PARONETO REZENDE</v>
      </c>
      <c r="H112" s="29"/>
      <c r="I112" s="138"/>
      <c r="J112" s="101"/>
      <c r="K112" s="190"/>
      <c r="L112" s="101"/>
      <c r="M112" s="138"/>
      <c r="N112" s="101"/>
      <c r="O112" s="190"/>
      <c r="P112" s="101"/>
      <c r="Q112" s="100"/>
      <c r="R112" s="197"/>
      <c r="S112" s="37"/>
      <c r="T112" s="37"/>
      <c r="U112" s="37"/>
      <c r="V112" s="198"/>
      <c r="W112" s="37"/>
      <c r="X112" s="86"/>
      <c r="Y112" s="198"/>
      <c r="Z112" s="37"/>
      <c r="AA112" s="89"/>
      <c r="AB112" s="29"/>
      <c r="AC112" s="198"/>
      <c r="AD112" s="94"/>
      <c r="AE112" s="100"/>
      <c r="AF112" s="100"/>
      <c r="AG112" s="197">
        <f>IF(AJ112&lt;&gt;"",AJ112,"")</f>
        <v>0</v>
      </c>
      <c r="AH112" s="100" t="str">
        <f>IF(AJ112&lt;&gt;"",IF(AK112="","",AK112),"")</f>
        <v>PEDRO LIMA ARAUJO</v>
      </c>
      <c r="AI112" s="145" t="str">
        <f>VLOOKUP(AI110,AG110:AH112,2,0)</f>
        <v>PEDRO LIMA ARAUJO</v>
      </c>
      <c r="AJ112" s="266">
        <v>0</v>
      </c>
      <c r="AK112" s="169" t="str">
        <f>IF('09M GRP'!G5&gt;=3,'09M GRP'!J308,IF('09M GRP'!G5=2,"",IF('09M GRP'!G5=1,"","")))</f>
        <v>PEDRO LIMA ARAUJO</v>
      </c>
      <c r="AL112" s="29">
        <v>23</v>
      </c>
    </row>
    <row r="113" spans="2:38" ht="18" customHeight="1" thickBot="1" x14ac:dyDescent="0.3">
      <c r="B113" s="133"/>
      <c r="C113" s="170" t="str">
        <f>IFERROR(IF(C112="","",VLOOKUP(C112,LISTAS!$F$5:$G$1004,2,0)),"0")</f>
        <v>ABACO IPIRANGA</v>
      </c>
      <c r="D113" s="267"/>
      <c r="E113" s="101"/>
      <c r="F113" s="101"/>
      <c r="G113" s="190"/>
      <c r="H113" s="29"/>
      <c r="I113" s="138"/>
      <c r="J113" s="101"/>
      <c r="K113" s="190"/>
      <c r="L113" s="101"/>
      <c r="M113" s="138"/>
      <c r="N113" s="101"/>
      <c r="O113" s="190"/>
      <c r="P113" s="101"/>
      <c r="Q113" s="100"/>
      <c r="R113" s="197"/>
      <c r="S113" s="37"/>
      <c r="T113" s="37"/>
      <c r="U113" s="37"/>
      <c r="V113" s="198"/>
      <c r="W113" s="37"/>
      <c r="X113" s="86"/>
      <c r="Y113" s="198"/>
      <c r="Z113" s="37"/>
      <c r="AA113" s="89"/>
      <c r="AB113" s="29"/>
      <c r="AC113" s="198"/>
      <c r="AD113" s="94"/>
      <c r="AE113" s="100"/>
      <c r="AF113" s="100"/>
      <c r="AG113" s="197"/>
      <c r="AH113" s="100"/>
      <c r="AI113" s="101"/>
      <c r="AJ113" s="267"/>
      <c r="AK113" s="170" t="str">
        <f>IFERROR(IF(AK112="","",VLOOKUP(AK112,LISTAS!$F$5:$G$1004,2,0)),"0")</f>
        <v>COLÉGIO ARBOS - UNIDADE SANTO ANDRÉ</v>
      </c>
      <c r="AL113" s="29"/>
    </row>
    <row r="114" spans="2:38" ht="18" customHeight="1" x14ac:dyDescent="0.25">
      <c r="B114" s="133"/>
      <c r="C114" s="188"/>
      <c r="D114" s="29"/>
      <c r="E114" s="101"/>
      <c r="F114" s="101"/>
      <c r="G114" s="190"/>
      <c r="H114" s="29"/>
      <c r="I114" s="35"/>
      <c r="J114" s="29"/>
      <c r="K114" s="169" t="str">
        <f>IF(H106&lt;&gt;"",IF(H108&lt;&gt;"",IF(H106=H108,"",IF(H106&gt;H108,G106,G108)),""),"")</f>
        <v>ALFREDO KULLIAN DI LIDDO</v>
      </c>
      <c r="L114" s="266">
        <v>1</v>
      </c>
      <c r="M114" s="148">
        <f>IF(L114&lt;&gt;"",L114,"")</f>
        <v>1</v>
      </c>
      <c r="N114" s="101" t="str">
        <f>IF(L114&lt;&gt;"",IF(K114="","",K114),"")</f>
        <v>ALFREDO KULLIAN DI LIDDO</v>
      </c>
      <c r="O114" s="190">
        <f>IF(M114&lt;&gt;"",IF(M116&lt;&gt;"",SMALL(M114:N116,1),""),"")</f>
        <v>0</v>
      </c>
      <c r="P114" s="101"/>
      <c r="Q114" s="37"/>
      <c r="R114" s="198"/>
      <c r="S114" s="37"/>
      <c r="T114" s="37"/>
      <c r="U114" s="37"/>
      <c r="V114" s="198"/>
      <c r="W114" s="37"/>
      <c r="X114" s="86"/>
      <c r="Y114" s="198"/>
      <c r="Z114" s="37"/>
      <c r="AA114" s="89"/>
      <c r="AB114" s="266">
        <v>0</v>
      </c>
      <c r="AC114" s="169" t="str">
        <f>IF(AF106&lt;&gt;"",IF(AF108&lt;&gt;"",IF(AF106=AF108,"",IF(AF106&gt;AF108,AG106,AG108)),""),"")</f>
        <v>HENRIQUE MARTINS MONTOUTO</v>
      </c>
      <c r="AD114" s="141"/>
      <c r="AE114" s="37"/>
      <c r="AF114" s="88"/>
      <c r="AG114" s="199"/>
      <c r="AH114" s="88"/>
      <c r="AI114" s="88"/>
      <c r="AJ114" s="29"/>
      <c r="AK114" s="188"/>
      <c r="AL114" s="29"/>
    </row>
    <row r="115" spans="2:38" ht="18" customHeight="1" thickBot="1" x14ac:dyDescent="0.3">
      <c r="B115" s="133"/>
      <c r="C115" s="188"/>
      <c r="D115" s="29"/>
      <c r="E115" s="101"/>
      <c r="F115" s="101"/>
      <c r="G115" s="190"/>
      <c r="H115" s="29"/>
      <c r="I115" s="35"/>
      <c r="J115" s="29"/>
      <c r="K115" s="170" t="str">
        <f>IFERROR(IF(K114="","",VLOOKUP(K114,LISTAS!$F$5:$G$1004,2,0)),"0")</f>
        <v>ESCOLA VILLARE</v>
      </c>
      <c r="L115" s="267"/>
      <c r="M115" s="105"/>
      <c r="N115" s="101"/>
      <c r="O115" s="190"/>
      <c r="P115" s="101"/>
      <c r="Q115" s="37"/>
      <c r="R115" s="198"/>
      <c r="S115" s="37"/>
      <c r="T115" s="37"/>
      <c r="U115" s="37"/>
      <c r="V115" s="198"/>
      <c r="W115" s="37"/>
      <c r="X115" s="86"/>
      <c r="Y115" s="198"/>
      <c r="Z115" s="37"/>
      <c r="AA115" s="139"/>
      <c r="AB115" s="267"/>
      <c r="AC115" s="170" t="str">
        <f>IFERROR(IF(AC114="","",VLOOKUP(AC114,LISTAS!$F$5:$G$1004,2,0)),"0")</f>
        <v>COLÉGIO ATENEU</v>
      </c>
      <c r="AD115" s="37"/>
      <c r="AE115" s="89"/>
      <c r="AF115" s="88"/>
      <c r="AG115" s="199"/>
      <c r="AH115" s="88"/>
      <c r="AI115" s="88"/>
      <c r="AJ115" s="29"/>
      <c r="AK115" s="188"/>
      <c r="AL115" s="29"/>
    </row>
    <row r="116" spans="2:38" ht="18" customHeight="1" x14ac:dyDescent="0.25">
      <c r="B116" s="133"/>
      <c r="C116" s="188"/>
      <c r="D116" s="29"/>
      <c r="E116" s="29"/>
      <c r="F116" s="29"/>
      <c r="G116" s="188"/>
      <c r="H116" s="29"/>
      <c r="I116" s="35"/>
      <c r="J116" s="36"/>
      <c r="K116" s="169" t="str">
        <f>IF(H122&lt;&gt;"",IF(H124&lt;&gt;"",IF(H122=H124,"",IF(H122&gt;H124,G122,G124)),""),"")</f>
        <v>ENRICO LUPINARI PALERMO</v>
      </c>
      <c r="L116" s="266">
        <v>0</v>
      </c>
      <c r="M116" s="106">
        <f>IF(L116&lt;&gt;"",L116,"")</f>
        <v>0</v>
      </c>
      <c r="N116" s="101" t="str">
        <f>IF(L116&lt;&gt;"",IF(K116="","",K116),"")</f>
        <v>ENRICO LUPINARI PALERMO</v>
      </c>
      <c r="O116" s="190" t="str">
        <f>VLOOKUP(O114,M114:N116,2,0)</f>
        <v>ENRICO LUPINARI PALERMO</v>
      </c>
      <c r="P116" s="101"/>
      <c r="Q116" s="37"/>
      <c r="R116" s="198"/>
      <c r="S116" s="37"/>
      <c r="T116" s="37"/>
      <c r="U116" s="37"/>
      <c r="V116" s="198"/>
      <c r="W116" s="37"/>
      <c r="X116" s="86"/>
      <c r="Y116" s="198"/>
      <c r="Z116" s="37"/>
      <c r="AA116" s="37"/>
      <c r="AB116" s="266">
        <v>1</v>
      </c>
      <c r="AC116" s="169" t="str">
        <f>IF(AF122&lt;&gt;"",IF(AF124&lt;&gt;"",IF(AF122=AF124,"",IF(AF122&gt;AF124,AG122,AG124)),""),"")</f>
        <v>FELIPE PERDÃO BERTI SANCHES</v>
      </c>
      <c r="AD116" s="37"/>
      <c r="AE116" s="89"/>
      <c r="AF116" s="88"/>
      <c r="AG116" s="199"/>
      <c r="AH116" s="88"/>
      <c r="AI116" s="88"/>
      <c r="AJ116" s="29"/>
      <c r="AK116" s="188"/>
      <c r="AL116" s="29"/>
    </row>
    <row r="117" spans="2:38" ht="18" customHeight="1" thickBot="1" x14ac:dyDescent="0.3">
      <c r="B117" s="133"/>
      <c r="C117" s="188"/>
      <c r="D117" s="29"/>
      <c r="E117" s="29"/>
      <c r="F117" s="29"/>
      <c r="G117" s="188"/>
      <c r="H117" s="29"/>
      <c r="I117" s="35"/>
      <c r="J117" s="29"/>
      <c r="K117" s="170" t="str">
        <f>IFERROR(IF(K116="","",VLOOKUP(K116,LISTAS!$F$5:$G$1004,2,0)),"0")</f>
        <v>ABACO IPIRANGA</v>
      </c>
      <c r="L117" s="267"/>
      <c r="M117" s="101"/>
      <c r="N117" s="101"/>
      <c r="O117" s="190"/>
      <c r="P117" s="101"/>
      <c r="Q117" s="37"/>
      <c r="R117" s="198"/>
      <c r="S117" s="37"/>
      <c r="T117" s="37"/>
      <c r="U117" s="37"/>
      <c r="V117" s="198"/>
      <c r="W117" s="37"/>
      <c r="X117" s="86"/>
      <c r="Y117" s="198"/>
      <c r="Z117" s="37"/>
      <c r="AA117" s="37"/>
      <c r="AB117" s="267"/>
      <c r="AC117" s="170" t="str">
        <f>IFERROR(IF(AC116="","",VLOOKUP(AC116,LISTAS!$F$5:$G$1004,2,0)),"0")</f>
        <v>PEN LIFE</v>
      </c>
      <c r="AD117" s="37"/>
      <c r="AE117" s="89"/>
      <c r="AF117" s="88"/>
      <c r="AG117" s="199"/>
      <c r="AH117" s="88"/>
      <c r="AI117" s="88"/>
      <c r="AJ117" s="29"/>
      <c r="AK117" s="188"/>
      <c r="AL117" s="29"/>
    </row>
    <row r="118" spans="2:38" ht="18" customHeight="1" x14ac:dyDescent="0.25">
      <c r="B118" s="133">
        <v>20</v>
      </c>
      <c r="C118" s="169" t="str">
        <f>IF('09M GRP'!G5&gt;=3,'09M GRP'!J269,IF('09M GRP'!G5=2,"",IF('09M GRP'!G5=1,"","")))</f>
        <v>MATHEUS JARDIM CASSI</v>
      </c>
      <c r="D118" s="266">
        <v>0</v>
      </c>
      <c r="E118" s="101">
        <f>IF(D118&lt;&gt;"",D118,"")</f>
        <v>0</v>
      </c>
      <c r="F118" s="101" t="str">
        <f>IF(D118&lt;&gt;"",IF(C118="","",C118),"")</f>
        <v>MATHEUS JARDIM CASSI</v>
      </c>
      <c r="G118" s="190">
        <f>IF(E118&lt;&gt;"",IF(E120&lt;&gt;"",SMALL(E118:E120,1),""),"")</f>
        <v>0</v>
      </c>
      <c r="H118" s="101"/>
      <c r="I118" s="138"/>
      <c r="J118" s="101"/>
      <c r="K118" s="190"/>
      <c r="L118" s="101"/>
      <c r="M118" s="101"/>
      <c r="N118" s="101"/>
      <c r="O118" s="190"/>
      <c r="P118" s="101"/>
      <c r="Q118" s="37"/>
      <c r="R118" s="198"/>
      <c r="S118" s="37"/>
      <c r="T118" s="37"/>
      <c r="U118" s="37"/>
      <c r="V118" s="198"/>
      <c r="W118" s="37"/>
      <c r="X118" s="86"/>
      <c r="Y118" s="198"/>
      <c r="Z118" s="37"/>
      <c r="AA118" s="37"/>
      <c r="AB118" s="29"/>
      <c r="AC118" s="197"/>
      <c r="AD118" s="100"/>
      <c r="AE118" s="144"/>
      <c r="AF118" s="100"/>
      <c r="AG118" s="197">
        <f>IF(AJ118&lt;&gt;"",AJ118,"")</f>
        <v>1</v>
      </c>
      <c r="AH118" s="100" t="str">
        <f>IF(AJ118&lt;&gt;"",IF(AK118="","",AK118),"")</f>
        <v>FELIPE PERDÃO BERTI SANCHES</v>
      </c>
      <c r="AI118" s="101">
        <f>IF(AG118&lt;&gt;"",IF(AG120&lt;&gt;"",SMALL(AG118:AG120,1),""),"")</f>
        <v>0</v>
      </c>
      <c r="AJ118" s="266">
        <v>1</v>
      </c>
      <c r="AK118" s="169" t="str">
        <f>IF('09M GRP'!G5&gt;=3,'09M GRP'!J204,IF('09M GRP'!G5=2,"",IF('09M GRP'!G5=1,"","")))</f>
        <v>FELIPE PERDÃO BERTI SANCHES</v>
      </c>
      <c r="AL118" s="29">
        <v>15</v>
      </c>
    </row>
    <row r="119" spans="2:38" ht="18" customHeight="1" thickBot="1" x14ac:dyDescent="0.3">
      <c r="B119" s="133"/>
      <c r="C119" s="170" t="str">
        <f>IFERROR(IF(C118="","",VLOOKUP(C118,LISTAS!$F$5:$G$1004,2,0)),"0")</f>
        <v>ESCOLA IL SOLE</v>
      </c>
      <c r="D119" s="267"/>
      <c r="E119" s="101"/>
      <c r="F119" s="101"/>
      <c r="G119" s="190"/>
      <c r="H119" s="101"/>
      <c r="I119" s="138"/>
      <c r="J119" s="101"/>
      <c r="K119" s="190"/>
      <c r="L119" s="101"/>
      <c r="M119" s="101"/>
      <c r="N119" s="101"/>
      <c r="O119" s="190"/>
      <c r="P119" s="101"/>
      <c r="Q119" s="37"/>
      <c r="R119" s="198"/>
      <c r="S119" s="37"/>
      <c r="T119" s="37"/>
      <c r="U119" s="37"/>
      <c r="V119" s="198"/>
      <c r="W119" s="37"/>
      <c r="X119" s="86"/>
      <c r="Y119" s="198"/>
      <c r="Z119" s="37"/>
      <c r="AA119" s="37"/>
      <c r="AB119" s="29"/>
      <c r="AC119" s="197"/>
      <c r="AD119" s="100"/>
      <c r="AE119" s="144"/>
      <c r="AF119" s="100"/>
      <c r="AG119" s="197"/>
      <c r="AH119" s="100"/>
      <c r="AI119" s="101"/>
      <c r="AJ119" s="267"/>
      <c r="AK119" s="170" t="str">
        <f>IFERROR(IF(AK118="","",VLOOKUP(AK118,LISTAS!$F$5:$G$1004,2,0)),"0")</f>
        <v>PEN LIFE</v>
      </c>
      <c r="AL119" s="29"/>
    </row>
    <row r="120" spans="2:38" ht="18" customHeight="1" x14ac:dyDescent="0.25">
      <c r="B120" s="133">
        <v>13</v>
      </c>
      <c r="C120" s="169" t="str">
        <f>IF('09M GRP'!G5&gt;=3,'09M GRP'!J178,IF('09M GRP'!G5=2,"",IF('09M GRP'!G5=1,"","")))</f>
        <v>CAUÃ NUNES BARROS</v>
      </c>
      <c r="D120" s="266">
        <v>1</v>
      </c>
      <c r="E120" s="107">
        <f>IF(D120&lt;&gt;"",D120,"")</f>
        <v>1</v>
      </c>
      <c r="F120" s="101" t="str">
        <f>IF(D120&lt;&gt;"",IF(C120="","",C120),"")</f>
        <v>CAUÃ NUNES BARROS</v>
      </c>
      <c r="G120" s="190" t="str">
        <f>VLOOKUP(G118,E118:F120,2,0)</f>
        <v>MATHEUS JARDIM CASSI</v>
      </c>
      <c r="H120" s="101"/>
      <c r="I120" s="138"/>
      <c r="J120" s="101"/>
      <c r="K120" s="190"/>
      <c r="L120" s="101"/>
      <c r="M120" s="101"/>
      <c r="N120" s="101"/>
      <c r="O120" s="190"/>
      <c r="P120" s="101"/>
      <c r="Q120" s="37"/>
      <c r="R120" s="198"/>
      <c r="S120" s="37"/>
      <c r="T120" s="37"/>
      <c r="U120" s="37"/>
      <c r="V120" s="198"/>
      <c r="W120" s="37"/>
      <c r="X120" s="86"/>
      <c r="Y120" s="198"/>
      <c r="Z120" s="37"/>
      <c r="AA120" s="37"/>
      <c r="AB120" s="29"/>
      <c r="AC120" s="197"/>
      <c r="AD120" s="100"/>
      <c r="AE120" s="144"/>
      <c r="AF120" s="100"/>
      <c r="AG120" s="197">
        <f>IF(AJ120&lt;&gt;"",AJ120,"")</f>
        <v>0</v>
      </c>
      <c r="AH120" s="100" t="str">
        <f>IF(AJ120&lt;&gt;"",IF(AK120="","",AK120),"")</f>
        <v>ARTHUR RIBEIRO DELGADO</v>
      </c>
      <c r="AI120" s="102" t="str">
        <f>VLOOKUP(AI118,AG118:AH120,2,0)</f>
        <v>ARTHUR RIBEIRO DELGADO</v>
      </c>
      <c r="AJ120" s="266">
        <v>0</v>
      </c>
      <c r="AK120" s="169" t="str">
        <f>IF('09M GRP'!G5&gt;=3,'09M GRP'!J243,IF('09M GRP'!G5=2,"",IF('09M GRP'!G5=1,"","")))</f>
        <v>ARTHUR RIBEIRO DELGADO</v>
      </c>
      <c r="AL120" s="29">
        <v>18</v>
      </c>
    </row>
    <row r="121" spans="2:38" ht="18" customHeight="1" thickBot="1" x14ac:dyDescent="0.3">
      <c r="B121" s="133"/>
      <c r="C121" s="170" t="str">
        <f>IFERROR(IF(C120="","",VLOOKUP(C120,LISTAS!$F$5:$G$1004,2,0)),"0")</f>
        <v>ESCOLA VILLARE</v>
      </c>
      <c r="D121" s="267"/>
      <c r="E121" s="148"/>
      <c r="F121" s="101"/>
      <c r="G121" s="190"/>
      <c r="H121" s="101"/>
      <c r="I121" s="138"/>
      <c r="J121" s="101"/>
      <c r="K121" s="190"/>
      <c r="L121" s="101"/>
      <c r="M121" s="101"/>
      <c r="N121" s="101"/>
      <c r="O121" s="190"/>
      <c r="P121" s="101"/>
      <c r="Q121" s="37"/>
      <c r="R121" s="198"/>
      <c r="S121" s="37"/>
      <c r="T121" s="37"/>
      <c r="U121" s="37"/>
      <c r="V121" s="198"/>
      <c r="W121" s="37"/>
      <c r="X121" s="86"/>
      <c r="Y121" s="198"/>
      <c r="Z121" s="37"/>
      <c r="AA121" s="37"/>
      <c r="AB121" s="29"/>
      <c r="AC121" s="197"/>
      <c r="AD121" s="100"/>
      <c r="AE121" s="144"/>
      <c r="AF121" s="100"/>
      <c r="AG121" s="197"/>
      <c r="AH121" s="146"/>
      <c r="AI121" s="101"/>
      <c r="AJ121" s="267"/>
      <c r="AK121" s="170" t="str">
        <f>IFERROR(IF(AK120="","",VLOOKUP(AK120,LISTAS!$F$5:$G$1004,2,0)),"0")</f>
        <v>PEN LIFE</v>
      </c>
      <c r="AL121" s="29"/>
    </row>
    <row r="122" spans="2:38" ht="18" customHeight="1" x14ac:dyDescent="0.25">
      <c r="B122" s="133"/>
      <c r="C122" s="188"/>
      <c r="D122" s="29"/>
      <c r="E122" s="29"/>
      <c r="F122" s="34"/>
      <c r="G122" s="169" t="str">
        <f>IF(D118&lt;&gt;"",IF(D120&lt;&gt;"",IF(D118=D120,"",IF(D118&gt;D120,C118,C120)),""),"")</f>
        <v>CAUÃ NUNES BARROS</v>
      </c>
      <c r="H122" s="266">
        <v>0</v>
      </c>
      <c r="I122" s="148">
        <f>IF(H122&lt;&gt;"",H122,"")</f>
        <v>0</v>
      </c>
      <c r="J122" s="101" t="str">
        <f>IF(H122&lt;&gt;"",IF(G122="","",G122),"")</f>
        <v>CAUÃ NUNES BARROS</v>
      </c>
      <c r="K122" s="190">
        <f>IF(I122&lt;&gt;"",IF(I124&lt;&gt;"",SMALL(I122:J124,1),""),"")</f>
        <v>0</v>
      </c>
      <c r="L122" s="29"/>
      <c r="M122" s="29"/>
      <c r="N122" s="29"/>
      <c r="O122" s="188"/>
      <c r="P122" s="29"/>
      <c r="Q122" s="37"/>
      <c r="R122" s="198"/>
      <c r="S122" s="37"/>
      <c r="T122" s="37"/>
      <c r="U122" s="37"/>
      <c r="V122" s="198"/>
      <c r="W122" s="37"/>
      <c r="X122" s="86"/>
      <c r="Y122" s="198"/>
      <c r="Z122" s="37"/>
      <c r="AA122" s="37"/>
      <c r="AB122" s="29"/>
      <c r="AC122" s="198"/>
      <c r="AD122" s="37"/>
      <c r="AE122" s="89"/>
      <c r="AF122" s="266">
        <v>1</v>
      </c>
      <c r="AG122" s="169" t="str">
        <f>IF(AJ118&lt;&gt;"",IF(AJ120&lt;&gt;"",IF(AJ118=AJ120,"",IF(AJ118&gt;AJ120,AK118,AK120)),""),"")</f>
        <v>FELIPE PERDÃO BERTI SANCHES</v>
      </c>
      <c r="AH122" s="94"/>
      <c r="AI122" s="37"/>
      <c r="AJ122" s="29"/>
      <c r="AK122" s="188"/>
      <c r="AL122" s="29"/>
    </row>
    <row r="123" spans="2:38" ht="18" customHeight="1" thickBot="1" x14ac:dyDescent="0.3">
      <c r="B123" s="133"/>
      <c r="C123" s="188"/>
      <c r="D123" s="29"/>
      <c r="E123" s="29"/>
      <c r="F123" s="34"/>
      <c r="G123" s="170" t="str">
        <f>IFERROR(IF(G122="","",VLOOKUP(G122,LISTAS!$F$5:$G$1004,2,0)),"0")</f>
        <v>ESCOLA VILLARE</v>
      </c>
      <c r="H123" s="267"/>
      <c r="I123" s="105"/>
      <c r="J123" s="101"/>
      <c r="K123" s="190"/>
      <c r="L123" s="29"/>
      <c r="M123" s="29"/>
      <c r="N123" s="29"/>
      <c r="O123" s="188"/>
      <c r="P123" s="29"/>
      <c r="Q123" s="37"/>
      <c r="R123" s="198"/>
      <c r="S123" s="37"/>
      <c r="T123" s="37"/>
      <c r="U123" s="37"/>
      <c r="V123" s="198"/>
      <c r="W123" s="37"/>
      <c r="X123" s="86"/>
      <c r="Y123" s="198"/>
      <c r="Z123" s="37"/>
      <c r="AA123" s="37"/>
      <c r="AB123" s="29"/>
      <c r="AC123" s="198"/>
      <c r="AD123" s="37"/>
      <c r="AE123" s="90"/>
      <c r="AF123" s="267"/>
      <c r="AG123" s="170" t="str">
        <f>IFERROR(IF(AG122="","",VLOOKUP(AG122,LISTAS!$F$5:$G$1004,2,0)),"0")</f>
        <v>PEN LIFE</v>
      </c>
      <c r="AH123" s="94"/>
      <c r="AI123" s="37"/>
      <c r="AJ123" s="29"/>
      <c r="AK123" s="188"/>
      <c r="AL123" s="29"/>
    </row>
    <row r="124" spans="2:38" ht="18" customHeight="1" x14ac:dyDescent="0.25">
      <c r="B124" s="133"/>
      <c r="C124" s="188"/>
      <c r="D124" s="29"/>
      <c r="E124" s="35"/>
      <c r="F124" s="36"/>
      <c r="G124" s="169" t="str">
        <f>IF(D126&lt;&gt;"",IF(D128&lt;&gt;"",IF(D126=D128,"",IF(D126&gt;D128,C126,C128)),""),"")</f>
        <v>ENRICO LUPINARI PALERMO</v>
      </c>
      <c r="H124" s="266">
        <v>1</v>
      </c>
      <c r="I124" s="106">
        <f>IF(H124&lt;&gt;"",H124,"")</f>
        <v>1</v>
      </c>
      <c r="J124" s="101" t="str">
        <f>IF(H124&lt;&gt;"",IF(G124="","",G124),"")</f>
        <v>ENRICO LUPINARI PALERMO</v>
      </c>
      <c r="K124" s="190" t="str">
        <f>VLOOKUP(K122,I122:J124,2,0)</f>
        <v>CAUÃ NUNES BARROS</v>
      </c>
      <c r="L124" s="29"/>
      <c r="M124" s="29"/>
      <c r="N124" s="29"/>
      <c r="O124" s="188"/>
      <c r="P124" s="29"/>
      <c r="Q124" s="37"/>
      <c r="R124" s="198"/>
      <c r="S124" s="37"/>
      <c r="T124" s="37"/>
      <c r="U124" s="37"/>
      <c r="V124" s="198"/>
      <c r="W124" s="37"/>
      <c r="X124" s="86"/>
      <c r="Y124" s="198"/>
      <c r="Z124" s="37"/>
      <c r="AA124" s="37"/>
      <c r="AB124" s="29"/>
      <c r="AC124" s="198"/>
      <c r="AD124" s="37"/>
      <c r="AE124" s="91"/>
      <c r="AF124" s="266">
        <v>0</v>
      </c>
      <c r="AG124" s="169" t="str">
        <f>IF(AJ126&lt;&gt;"",IF(AJ128&lt;&gt;"",IF(AJ126=AJ128,"",IF(AJ126&gt;AJ128,AK126,AK128)),""),"")</f>
        <v>ARTHUR PULIDO CARMONA</v>
      </c>
      <c r="AH124" s="98"/>
      <c r="AI124" s="37"/>
      <c r="AJ124" s="29"/>
      <c r="AK124" s="188"/>
      <c r="AL124" s="29"/>
    </row>
    <row r="125" spans="2:38" ht="18" customHeight="1" thickBot="1" x14ac:dyDescent="0.3">
      <c r="B125" s="133"/>
      <c r="C125" s="188"/>
      <c r="D125" s="29"/>
      <c r="E125" s="35"/>
      <c r="F125" s="29"/>
      <c r="G125" s="170" t="str">
        <f>IFERROR(IF(G124="","",VLOOKUP(G124,LISTAS!$F$5:$G$1004,2,0)),"0")</f>
        <v>ABACO IPIRANGA</v>
      </c>
      <c r="H125" s="267"/>
      <c r="I125" s="101"/>
      <c r="J125" s="101"/>
      <c r="K125" s="190"/>
      <c r="L125" s="29"/>
      <c r="M125" s="29"/>
      <c r="N125" s="29"/>
      <c r="O125" s="188"/>
      <c r="P125" s="29"/>
      <c r="Q125" s="37"/>
      <c r="R125" s="198"/>
      <c r="S125" s="37"/>
      <c r="T125" s="37"/>
      <c r="U125" s="37"/>
      <c r="V125" s="198"/>
      <c r="W125" s="37"/>
      <c r="X125" s="86"/>
      <c r="Y125" s="198"/>
      <c r="Z125" s="37"/>
      <c r="AA125" s="37"/>
      <c r="AB125" s="29"/>
      <c r="AC125" s="198"/>
      <c r="AD125" s="37"/>
      <c r="AE125" s="37"/>
      <c r="AF125" s="267"/>
      <c r="AG125" s="170" t="str">
        <f>IFERROR(IF(AG124="","",VLOOKUP(AG124,LISTAS!$F$5:$G$1004,2,0)),"0")</f>
        <v>COLÉGIO ATENEU</v>
      </c>
      <c r="AH125" s="37"/>
      <c r="AI125" s="89"/>
      <c r="AJ125" s="29"/>
      <c r="AK125" s="188"/>
      <c r="AL125" s="29"/>
    </row>
    <row r="126" spans="2:38" ht="18" customHeight="1" x14ac:dyDescent="0.25">
      <c r="B126" s="133">
        <v>29</v>
      </c>
      <c r="C126" s="169" t="str">
        <f>IF('09M GRP'!G5&gt;=3,'09M GRP'!J386,IF('09M GRP'!G5=2,"",IF('09M GRP'!G5=1,"","")))</f>
        <v/>
      </c>
      <c r="D126" s="266">
        <v>0</v>
      </c>
      <c r="E126" s="148">
        <f>IF(D126&lt;&gt;"",D126,"")</f>
        <v>0</v>
      </c>
      <c r="F126" s="101" t="str">
        <f>IF(D126&lt;&gt;"",IF(C126="","",C126),"")</f>
        <v/>
      </c>
      <c r="G126" s="190">
        <f>IF(E126&lt;&gt;"",IF(E128&lt;&gt;"",SMALL(E126:E128,1),""),"")</f>
        <v>0</v>
      </c>
      <c r="H126" s="87"/>
      <c r="I126" s="29"/>
      <c r="J126" s="29"/>
      <c r="K126" s="188"/>
      <c r="L126" s="29"/>
      <c r="M126" s="29"/>
      <c r="N126" s="29"/>
      <c r="O126" s="188"/>
      <c r="P126" s="29"/>
      <c r="Q126" s="37"/>
      <c r="R126" s="198"/>
      <c r="S126" s="37"/>
      <c r="T126" s="37"/>
      <c r="U126" s="37"/>
      <c r="V126" s="198"/>
      <c r="W126" s="37"/>
      <c r="X126" s="86"/>
      <c r="Y126" s="198"/>
      <c r="Z126" s="37"/>
      <c r="AA126" s="37"/>
      <c r="AB126" s="29"/>
      <c r="AC126" s="198"/>
      <c r="AD126" s="37"/>
      <c r="AE126" s="100"/>
      <c r="AF126" s="100"/>
      <c r="AG126" s="197">
        <f>IF(AJ126&lt;&gt;"",AJ126,"")</f>
        <v>0</v>
      </c>
      <c r="AH126" s="100" t="str">
        <f>IF(AJ126&lt;&gt;"",IF(AK126="","",AK126),"")</f>
        <v/>
      </c>
      <c r="AI126" s="137">
        <f>IF(AG126&lt;&gt;"",IF(AG128&lt;&gt;"",SMALL(AG126:AG128,1),""),"")</f>
        <v>0</v>
      </c>
      <c r="AJ126" s="266">
        <v>0</v>
      </c>
      <c r="AK126" s="169" t="str">
        <f>IF('09M GRP'!G5&gt;=3,'09M GRP'!J412,IF('09M GRP'!G5=2,"",IF('09M GRP'!G5=1,"","")))</f>
        <v/>
      </c>
      <c r="AL126" s="29">
        <v>31</v>
      </c>
    </row>
    <row r="127" spans="2:38" ht="18" customHeight="1" thickBot="1" x14ac:dyDescent="0.3">
      <c r="B127" s="133"/>
      <c r="C127" s="170" t="str">
        <f>IFERROR(IF(C126="","",VLOOKUP(C126,LISTAS!$F$5:$G$1004,2,0)),"0")</f>
        <v/>
      </c>
      <c r="D127" s="267"/>
      <c r="E127" s="105"/>
      <c r="F127" s="101"/>
      <c r="G127" s="190"/>
      <c r="H127" s="87"/>
      <c r="I127" s="29"/>
      <c r="J127" s="29"/>
      <c r="K127" s="188"/>
      <c r="L127" s="29"/>
      <c r="M127" s="29"/>
      <c r="N127" s="29"/>
      <c r="O127" s="188"/>
      <c r="P127" s="29"/>
      <c r="Q127" s="37"/>
      <c r="R127" s="198"/>
      <c r="S127" s="37"/>
      <c r="T127" s="37"/>
      <c r="U127" s="37"/>
      <c r="V127" s="198"/>
      <c r="W127" s="37"/>
      <c r="X127" s="86"/>
      <c r="Y127" s="198"/>
      <c r="Z127" s="37"/>
      <c r="AA127" s="37"/>
      <c r="AB127" s="29"/>
      <c r="AC127" s="198"/>
      <c r="AD127" s="37"/>
      <c r="AE127" s="100"/>
      <c r="AF127" s="100"/>
      <c r="AG127" s="197"/>
      <c r="AH127" s="100"/>
      <c r="AI127" s="103"/>
      <c r="AJ127" s="267"/>
      <c r="AK127" s="170" t="str">
        <f>IFERROR(IF(AK126="","",VLOOKUP(AK126,LISTAS!$F$5:$G$1004,2,0)),"0")</f>
        <v/>
      </c>
      <c r="AL127" s="29"/>
    </row>
    <row r="128" spans="2:38" ht="18" customHeight="1" x14ac:dyDescent="0.25">
      <c r="B128" s="133">
        <v>4</v>
      </c>
      <c r="C128" s="169" t="str">
        <f>IF('09M GRP'!G5&gt;=3,'09M GRP'!J61,IF('09M GRP'!G5=2,IF('09M GRP'!H8=3,"",'09M GRP'!J33),IF('09M GRP'!G5=1,"","")))</f>
        <v>ENRICO LUPINARI PALERMO</v>
      </c>
      <c r="D128" s="266">
        <v>1</v>
      </c>
      <c r="E128" s="106">
        <f>IF(D128&lt;&gt;"",D128,"")</f>
        <v>1</v>
      </c>
      <c r="F128" s="101" t="str">
        <f>IF(D128&lt;&gt;"",IF(C128="","",C128),"")</f>
        <v>ENRICO LUPINARI PALERMO</v>
      </c>
      <c r="G128" s="190" t="str">
        <f>VLOOKUP(G126,E126:F128,2,0)</f>
        <v/>
      </c>
      <c r="H128" s="87"/>
      <c r="I128" s="29"/>
      <c r="J128" s="29"/>
      <c r="K128" s="188"/>
      <c r="L128" s="29"/>
      <c r="M128" s="29"/>
      <c r="N128" s="29"/>
      <c r="O128" s="188"/>
      <c r="P128" s="29"/>
      <c r="Q128" s="37"/>
      <c r="R128" s="198"/>
      <c r="S128" s="37"/>
      <c r="T128" s="37"/>
      <c r="U128" s="37"/>
      <c r="V128" s="198"/>
      <c r="W128" s="37"/>
      <c r="X128" s="86"/>
      <c r="Y128" s="198"/>
      <c r="Z128" s="37"/>
      <c r="AA128" s="37"/>
      <c r="AB128" s="29"/>
      <c r="AC128" s="198"/>
      <c r="AD128" s="37"/>
      <c r="AE128" s="100"/>
      <c r="AF128" s="100"/>
      <c r="AG128" s="197">
        <f>IF(AJ128&lt;&gt;"",AJ128,"")</f>
        <v>1</v>
      </c>
      <c r="AH128" s="100" t="str">
        <f>IF(AJ128&lt;&gt;"",IF(AK128="","",AK128),"")</f>
        <v>ARTHUR PULIDO CARMONA</v>
      </c>
      <c r="AI128" s="104" t="str">
        <f>VLOOKUP(AI126,AG126:AH128,2,0)</f>
        <v/>
      </c>
      <c r="AJ128" s="266">
        <v>1</v>
      </c>
      <c r="AK128" s="169" t="str">
        <f>IF('09M GRP'!G5&gt;=3,'09M GRP'!J31,IF('09M GRP'!G5=2,IF('09M GRP'!H8=3,'09M GRP'!J31,'09M GRP'!J32),IF('09M GRP'!G5=1,"","")))</f>
        <v>ARTHUR PULIDO CARMONA</v>
      </c>
      <c r="AL128" s="29">
        <v>2</v>
      </c>
    </row>
    <row r="129" spans="2:48" ht="18" customHeight="1" thickBot="1" x14ac:dyDescent="0.3">
      <c r="B129" s="133"/>
      <c r="C129" s="170" t="str">
        <f>IFERROR(IF(C128="","",VLOOKUP(C128,LISTAS!$F$5:$G$1004,2,0)),"0")</f>
        <v>ABACO IPIRANGA</v>
      </c>
      <c r="D129" s="267"/>
      <c r="E129" s="101"/>
      <c r="F129" s="101"/>
      <c r="G129" s="190"/>
      <c r="H129" s="87"/>
      <c r="I129" s="29"/>
      <c r="J129" s="29"/>
      <c r="K129" s="188"/>
      <c r="L129" s="29"/>
      <c r="M129" s="29"/>
      <c r="N129" s="29"/>
      <c r="O129" s="188"/>
      <c r="P129" s="29"/>
      <c r="Q129" s="37"/>
      <c r="R129" s="198"/>
      <c r="S129" s="37"/>
      <c r="T129" s="37"/>
      <c r="U129" s="37"/>
      <c r="V129" s="198"/>
      <c r="W129" s="37"/>
      <c r="X129" s="86"/>
      <c r="Y129" s="198"/>
      <c r="Z129" s="37"/>
      <c r="AA129" s="37"/>
      <c r="AB129" s="29"/>
      <c r="AC129" s="198"/>
      <c r="AD129" s="37"/>
      <c r="AE129" s="100"/>
      <c r="AF129" s="100"/>
      <c r="AG129" s="197"/>
      <c r="AH129" s="100"/>
      <c r="AI129" s="101"/>
      <c r="AJ129" s="267"/>
      <c r="AK129" s="170" t="str">
        <f>IFERROR(IF(AK128="","",VLOOKUP(AK128,LISTAS!$F$5:$G$1004,2,0)),"0")</f>
        <v>COLÉGIO ATENEU</v>
      </c>
      <c r="AL129" s="29"/>
    </row>
    <row r="130" spans="2:48" ht="18" customHeight="1" x14ac:dyDescent="0.25">
      <c r="B130" s="133"/>
      <c r="C130" s="189"/>
      <c r="D130" s="84"/>
      <c r="E130" s="134"/>
      <c r="F130" s="134"/>
      <c r="G130" s="193"/>
      <c r="H130" s="134"/>
      <c r="I130" s="84"/>
      <c r="J130" s="84"/>
      <c r="K130" s="189"/>
      <c r="L130" s="84"/>
      <c r="M130" s="84"/>
      <c r="N130" s="84"/>
      <c r="O130" s="189"/>
      <c r="P130" s="84"/>
      <c r="Q130" s="37"/>
      <c r="R130" s="198"/>
      <c r="S130" s="37"/>
      <c r="T130" s="37"/>
      <c r="U130" s="37"/>
      <c r="V130" s="198"/>
      <c r="W130" s="37"/>
      <c r="X130" s="86"/>
      <c r="Y130" s="198"/>
      <c r="Z130" s="37"/>
      <c r="AA130" s="37"/>
      <c r="AB130" s="29"/>
      <c r="AC130" s="198"/>
      <c r="AD130" s="37"/>
      <c r="AE130" s="100"/>
      <c r="AF130" s="100"/>
      <c r="AG130" s="197"/>
      <c r="AH130" s="100"/>
      <c r="AI130" s="100"/>
      <c r="AJ130" s="84"/>
      <c r="AK130" s="189"/>
      <c r="AL130" s="29"/>
    </row>
    <row r="131" spans="2:48" ht="18" customHeight="1" x14ac:dyDescent="0.25">
      <c r="B131" s="29"/>
      <c r="C131" s="189"/>
      <c r="D131" s="84"/>
      <c r="E131" s="84"/>
      <c r="F131" s="84"/>
      <c r="G131" s="189"/>
      <c r="H131" s="84"/>
      <c r="I131" s="84"/>
      <c r="J131" s="84"/>
      <c r="K131" s="189"/>
      <c r="L131" s="84"/>
      <c r="M131" s="84"/>
      <c r="N131" s="84"/>
      <c r="O131" s="189"/>
      <c r="P131" s="84"/>
      <c r="Q131" s="37"/>
      <c r="R131" s="198"/>
      <c r="S131" s="37"/>
      <c r="T131" s="37"/>
      <c r="U131" s="37"/>
      <c r="V131" s="198"/>
      <c r="W131" s="37"/>
      <c r="X131" s="86"/>
      <c r="Y131" s="198"/>
      <c r="Z131" s="37"/>
      <c r="AA131" s="37"/>
      <c r="AB131" s="29"/>
      <c r="AC131" s="198"/>
      <c r="AD131" s="37"/>
      <c r="AE131" s="37"/>
      <c r="AF131" s="37"/>
      <c r="AG131" s="199"/>
      <c r="AH131" s="88"/>
      <c r="AI131" s="88"/>
      <c r="AJ131" s="84"/>
      <c r="AK131" s="189"/>
      <c r="AL131" s="29"/>
    </row>
    <row r="132" spans="2:48" ht="18" customHeight="1" x14ac:dyDescent="0.25">
      <c r="B132" s="22"/>
      <c r="C132" s="168"/>
      <c r="D132" s="22"/>
      <c r="E132" s="22"/>
      <c r="F132" s="22"/>
      <c r="G132" s="168"/>
      <c r="H132" s="22"/>
      <c r="I132" s="22"/>
      <c r="J132" s="22"/>
      <c r="K132" s="168"/>
      <c r="L132" s="22"/>
      <c r="M132" s="22"/>
      <c r="N132" s="22"/>
      <c r="O132" s="168"/>
      <c r="P132" s="22"/>
      <c r="W132" s="22"/>
      <c r="X132" s="22"/>
      <c r="Y132" s="168"/>
      <c r="Z132" s="22"/>
      <c r="AA132" s="22"/>
      <c r="AB132" s="22"/>
      <c r="AC132" s="168"/>
      <c r="AD132" s="22"/>
      <c r="AE132" s="22"/>
      <c r="AF132" s="22"/>
      <c r="AG132" s="168"/>
      <c r="AH132" s="22"/>
      <c r="AI132" s="22"/>
      <c r="AJ132" s="22"/>
      <c r="AK132" s="168"/>
    </row>
    <row r="133" spans="2:48" ht="18" customHeight="1" x14ac:dyDescent="0.25">
      <c r="B133" s="22"/>
      <c r="C133" s="168"/>
      <c r="D133" s="22"/>
      <c r="E133" s="22"/>
      <c r="F133" s="22"/>
      <c r="G133" s="168"/>
      <c r="H133" s="22"/>
      <c r="I133" s="22"/>
      <c r="J133" s="22"/>
      <c r="K133" s="168"/>
      <c r="L133" s="22"/>
      <c r="M133" s="22"/>
      <c r="N133" s="22"/>
      <c r="O133" s="168"/>
      <c r="P133" s="22"/>
      <c r="W133" s="22"/>
      <c r="X133" s="22"/>
      <c r="Y133" s="168"/>
      <c r="Z133" s="22"/>
      <c r="AA133" s="22"/>
      <c r="AB133" s="22"/>
      <c r="AC133" s="168"/>
      <c r="AD133" s="22"/>
      <c r="AE133" s="22"/>
      <c r="AF133" s="22"/>
      <c r="AG133" s="168"/>
      <c r="AH133" s="22"/>
      <c r="AI133" s="22"/>
      <c r="AJ133" s="22"/>
      <c r="AK133" s="168"/>
    </row>
    <row r="134" spans="2:48" ht="30" customHeight="1" x14ac:dyDescent="0.25">
      <c r="B134" s="251" t="s">
        <v>22</v>
      </c>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52"/>
      <c r="AE134" s="252"/>
      <c r="AF134" s="252"/>
      <c r="AG134" s="252"/>
      <c r="AH134" s="252"/>
      <c r="AI134" s="252"/>
      <c r="AJ134" s="252"/>
      <c r="AK134" s="252"/>
      <c r="AL134" s="252"/>
      <c r="AP134" s="241" t="s">
        <v>23</v>
      </c>
      <c r="AQ134" s="241"/>
      <c r="AR134" s="241"/>
      <c r="AS134" s="241"/>
      <c r="AT134" s="241"/>
      <c r="AU134" s="241"/>
    </row>
    <row r="135" spans="2:48" ht="18" customHeight="1" thickBot="1" x14ac:dyDescent="0.3">
      <c r="B135" s="135"/>
      <c r="C135" s="187"/>
      <c r="D135" s="27"/>
      <c r="E135" s="27"/>
      <c r="F135" s="27"/>
      <c r="G135" s="191"/>
      <c r="H135" s="27"/>
      <c r="I135" s="27"/>
      <c r="J135" s="27"/>
      <c r="K135" s="195"/>
      <c r="L135" s="27"/>
      <c r="M135" s="27"/>
      <c r="N135" s="27"/>
      <c r="O135" s="195"/>
      <c r="P135" s="27"/>
      <c r="Q135" s="27"/>
      <c r="R135" s="195"/>
      <c r="S135" s="27"/>
      <c r="T135" s="27"/>
      <c r="U135" s="27"/>
      <c r="V135" s="195"/>
      <c r="W135" s="27"/>
      <c r="X135" s="26"/>
      <c r="Y135" s="195"/>
      <c r="Z135" s="27"/>
      <c r="AA135" s="27"/>
      <c r="AB135" s="92"/>
      <c r="AC135" s="195"/>
      <c r="AD135" s="27"/>
      <c r="AE135" s="27"/>
      <c r="AF135" s="27"/>
      <c r="AG135" s="195"/>
      <c r="AH135" s="27"/>
      <c r="AI135" s="27"/>
      <c r="AJ135" s="27"/>
      <c r="AK135" s="195"/>
      <c r="AL135" s="27"/>
      <c r="AP135" s="258" t="s">
        <v>3</v>
      </c>
      <c r="AQ135" s="260"/>
      <c r="AR135" s="132" t="s">
        <v>15</v>
      </c>
      <c r="AS135" s="132" t="s">
        <v>0</v>
      </c>
      <c r="AT135" s="132" t="s">
        <v>16</v>
      </c>
      <c r="AU135" s="132" t="s">
        <v>17</v>
      </c>
    </row>
    <row r="136" spans="2:48" ht="18" customHeight="1" x14ac:dyDescent="0.25">
      <c r="B136" s="136">
        <v>1</v>
      </c>
      <c r="C136" s="171" t="str">
        <f>IF('09M GRP'!G5&gt;=3,'09M GRP'!J10,IF('09M GRP'!G5=2,IF('09M GRP'!H8=3,'09M GRP'!J10,""),IF('09M GRP'!G5=1,"","")))</f>
        <v>BERNARDO DE BRITO BANDEIRA</v>
      </c>
      <c r="D136" s="266">
        <v>1</v>
      </c>
      <c r="E136" s="101">
        <f>IF(D136&lt;&gt;"",D136,"")</f>
        <v>1</v>
      </c>
      <c r="F136" s="101" t="str">
        <f>IF(D136&lt;&gt;"",IF(C136="","",C136),"")</f>
        <v>BERNARDO DE BRITO BANDEIRA</v>
      </c>
      <c r="G136" s="190">
        <f>IF(E136&lt;&gt;"",IF(E138&lt;&gt;"",SMALL(E136:E138,1),""),"")</f>
        <v>0</v>
      </c>
      <c r="H136" s="101"/>
      <c r="I136" s="101"/>
      <c r="J136" s="101"/>
      <c r="K136" s="190"/>
      <c r="L136" s="29"/>
      <c r="M136" s="30"/>
      <c r="N136" s="30"/>
      <c r="O136" s="196"/>
      <c r="P136" s="30"/>
      <c r="Q136" s="37"/>
      <c r="R136" s="198"/>
      <c r="S136" s="37"/>
      <c r="T136" s="37"/>
      <c r="U136" s="37"/>
      <c r="V136" s="198"/>
      <c r="W136" s="37"/>
      <c r="X136" s="86"/>
      <c r="Y136" s="198"/>
      <c r="Z136" s="37"/>
      <c r="AA136" s="37"/>
      <c r="AB136" s="29"/>
      <c r="AC136" s="198"/>
      <c r="AD136" s="37"/>
      <c r="AE136" s="37"/>
      <c r="AF136" s="37"/>
      <c r="AG136" s="197">
        <f>IF(AJ136&lt;&gt;"",AJ136,"")</f>
        <v>1</v>
      </c>
      <c r="AH136" s="100" t="str">
        <f>IF(AJ136&lt;&gt;"",IF(AK136="","",AK136),"")</f>
        <v>ENRICO FRIAS SIGOLI DE PAULA</v>
      </c>
      <c r="AI136" s="101">
        <f>IF(AG136&lt;&gt;"",IF(AG138&lt;&gt;"",SMALL(AG136:AG138,1),""),"")</f>
        <v>0</v>
      </c>
      <c r="AJ136" s="266">
        <v>1</v>
      </c>
      <c r="AK136" s="171" t="str">
        <f>IF('09M GRP'!G5&gt;=3,'09M GRP'!J49,IF('09M GRP'!G5=2,"",IF('09M GRP'!G5=1,"","")))</f>
        <v>ENRICO FRIAS SIGOLI DE PAULA</v>
      </c>
      <c r="AL136" s="99">
        <v>3</v>
      </c>
      <c r="AP136" s="31">
        <f>IF(AR136&lt;&gt;"",1,"")</f>
        <v>1</v>
      </c>
      <c r="AQ136" s="32" t="str">
        <f>IF(AP136&lt;&gt;"","LUGAR","")</f>
        <v>LUGAR</v>
      </c>
      <c r="AR136" s="33" t="str">
        <f>IF(S164&lt;&gt;"",IF(U164&lt;&gt;"",IF(S164=U164,"",IF(S164&gt;U164,R164,V164)),""),"")</f>
        <v>LORENZO MASCARI BRANDINO</v>
      </c>
      <c r="AS136" s="33" t="str">
        <f>IFERROR(IF(AR136="","",VLOOKUP(AR136,LISTAS!$F$5:$G$1004,2,0)),"0")</f>
        <v>COLÉGIO ARBOS - UNIDADE SANTO ANDRÉ</v>
      </c>
      <c r="AT136" s="33">
        <f>IF(AP136="","",IF(AP136=1,100,IF(AP136=2,80,IF(AP136=3,70,IF(AP136=4,50,IF(AP136=5,45,IF(AP136=6,40,IF(AP136=7,35,IF(AP136=8,30,IF(AP136=9,28,IF(AP136=10,28,IF(AP136=11,28,IF(AP136=12,28,IF(AP136=13,28,IF(AP136=14,28,IF(AP136=15,28,IF(AP136=16,28,IF(AP136&gt;16,"",""))))))))))))))))))</f>
        <v>100</v>
      </c>
      <c r="AU136" s="33">
        <f>IF(AP136="","",IF($AS$5="NÃO","",IF(AP136=1,100,IF(AP136=2,80,IF(AP136=3,70,IF(AP136=4,50,IF(AP136=5,45,IF(AP136=6,40,IF(AP136=7,35,IF(AP136=8,30,IF(AP136=9,28,IF(AP136=10,28,IF(AP136=11,28,IF(AP136=12,28,IF(AP136=13,28,IF(AP136=14,28,IF(AP136=15,28,IF(AP136=16,28,IF(AP136&gt;16,"","")))))))))))))))))))</f>
        <v>100</v>
      </c>
    </row>
    <row r="137" spans="2:48" ht="18" customHeight="1" thickBot="1" x14ac:dyDescent="0.3">
      <c r="B137" s="136"/>
      <c r="C137" s="172" t="str">
        <f>IFERROR(IF(C136="","",VLOOKUP(C136,LISTAS!$F$5:$G$1004,2,0)),"0")</f>
        <v>ABACO IPIRANGA</v>
      </c>
      <c r="D137" s="267"/>
      <c r="E137" s="101"/>
      <c r="F137" s="101"/>
      <c r="G137" s="190"/>
      <c r="H137" s="101"/>
      <c r="I137" s="101"/>
      <c r="J137" s="101"/>
      <c r="K137" s="190"/>
      <c r="L137" s="29"/>
      <c r="M137" s="30"/>
      <c r="N137" s="30"/>
      <c r="O137" s="196"/>
      <c r="P137" s="30"/>
      <c r="Q137" s="37"/>
      <c r="R137" s="198"/>
      <c r="S137" s="37"/>
      <c r="T137" s="37"/>
      <c r="U137" s="37"/>
      <c r="V137" s="198"/>
      <c r="W137" s="37"/>
      <c r="X137" s="86"/>
      <c r="Y137" s="198"/>
      <c r="Z137" s="37"/>
      <c r="AA137" s="37"/>
      <c r="AB137" s="29"/>
      <c r="AC137" s="198"/>
      <c r="AD137" s="37"/>
      <c r="AE137" s="37"/>
      <c r="AF137" s="37"/>
      <c r="AG137" s="197"/>
      <c r="AH137" s="100"/>
      <c r="AI137" s="101"/>
      <c r="AJ137" s="267"/>
      <c r="AK137" s="172" t="str">
        <f>IFERROR(IF(AK136="","",VLOOKUP(AK136,LISTAS!$F$5:$G$1004,2,0)),"0")</f>
        <v>COLÉGIO ARBOS - UNIDADE SANTO ANDRÉ</v>
      </c>
      <c r="AL137" s="99"/>
      <c r="AP137" s="31">
        <f>IF(AR137&lt;&gt;"",1+COUNTIF(AP136,"1"),"")</f>
        <v>2</v>
      </c>
      <c r="AQ137" s="32" t="str">
        <f t="shared" ref="AQ137:AQ167" si="6">IF(AP137&lt;&gt;"","LUGAR","")</f>
        <v>LUGAR</v>
      </c>
      <c r="AR137" s="33" t="str">
        <f>IF(S164&lt;&gt;"",IF(U164&lt;&gt;"",IF(S164=U164,"",IF(S164&lt;U164,R164,V164)),""),"")</f>
        <v>VICENTE MOREIRA MEDINA</v>
      </c>
      <c r="AS137" s="33" t="str">
        <f>IFERROR(IF(AR137="","",VLOOKUP(AR137,LISTAS!$F$5:$G$1004,2,0)),"0")</f>
        <v>ABACO IPIRANGA</v>
      </c>
      <c r="AT137" s="33">
        <f t="shared" ref="AT137:AT166" si="7">IF(AP137="","",IF(AP137=1,100,IF(AP137=2,80,IF(AP137=3,70,IF(AP137=4,50,IF(AP137=5,45,IF(AP137=6,40,IF(AP137=7,35,IF(AP137=8,30,IF(AP137=9,28,IF(AP137=10,28,IF(AP137=11,28,IF(AP137=12,28,IF(AP137=13,28,IF(AP137=14,28,IF(AP137=15,28,IF(AP137=16,28,IF(AP137&gt;16,"",""))))))))))))))))))</f>
        <v>80</v>
      </c>
      <c r="AU137" s="33">
        <f t="shared" ref="AU137:AU166" si="8">IF(AP137="","",IF($AS$5="NÃO","",IF(AP137=1,100,IF(AP137=2,80,IF(AP137=3,70,IF(AP137=4,50,IF(AP137=5,45,IF(AP137=6,40,IF(AP137=7,35,IF(AP137=8,30,IF(AP137=9,28,IF(AP137=10,28,IF(AP137=11,28,IF(AP137=12,28,IF(AP137=13,28,IF(AP137=14,28,IF(AP137=15,28,IF(AP137=16,28,IF(AP137&gt;16,"","")))))))))))))))))))</f>
        <v>80</v>
      </c>
    </row>
    <row r="138" spans="2:48" ht="18" customHeight="1" x14ac:dyDescent="0.25">
      <c r="B138" s="133">
        <v>32</v>
      </c>
      <c r="C138" s="171" t="str">
        <f>IF('09M GRP'!G5&gt;=3,'09M GRP'!J426,IF('09M GRP'!G5=2,"",IF('09M GRP'!G5=1,"","")))</f>
        <v/>
      </c>
      <c r="D138" s="266">
        <v>0</v>
      </c>
      <c r="E138" s="107">
        <f>IF(D138&lt;&gt;"",D138,"")</f>
        <v>0</v>
      </c>
      <c r="F138" s="101" t="str">
        <f>IF(D138&lt;&gt;"",IF(C138="","",C138),"")</f>
        <v/>
      </c>
      <c r="G138" s="190" t="str">
        <f>VLOOKUP(G136,E136:F138,2,0)</f>
        <v/>
      </c>
      <c r="H138" s="101"/>
      <c r="I138" s="101"/>
      <c r="J138" s="101"/>
      <c r="K138" s="190"/>
      <c r="L138" s="29"/>
      <c r="M138" s="30"/>
      <c r="N138" s="30"/>
      <c r="O138" s="196"/>
      <c r="P138" s="30"/>
      <c r="Q138" s="37"/>
      <c r="R138" s="198"/>
      <c r="S138" s="37"/>
      <c r="T138" s="37"/>
      <c r="U138" s="37"/>
      <c r="V138" s="198"/>
      <c r="W138" s="37"/>
      <c r="X138" s="86"/>
      <c r="Y138" s="198"/>
      <c r="Z138" s="37"/>
      <c r="AA138" s="37"/>
      <c r="AB138" s="29"/>
      <c r="AC138" s="198"/>
      <c r="AD138" s="37"/>
      <c r="AE138" s="37"/>
      <c r="AF138" s="37"/>
      <c r="AG138" s="197">
        <f>IF(AJ138&lt;&gt;"",AJ138,"")</f>
        <v>0</v>
      </c>
      <c r="AH138" s="100" t="str">
        <f>IF(AJ138&lt;&gt;"",IF(AK138="","",AK138),"")</f>
        <v/>
      </c>
      <c r="AI138" s="102" t="str">
        <f>VLOOKUP(AI136,AG136:AH138,2,0)</f>
        <v/>
      </c>
      <c r="AJ138" s="266">
        <v>0</v>
      </c>
      <c r="AK138" s="171" t="str">
        <f>IF('09M GRP'!G5&gt;=3,'09M GRP'!J400,IF('09M GRP'!G5=2,"",IF('09M GRP'!G5=1,"","")))</f>
        <v/>
      </c>
      <c r="AL138" s="29">
        <v>30</v>
      </c>
      <c r="AP138" s="31">
        <f>IF(AR138&lt;&gt;"",1+COUNTIF(AP136:AP137,"1")+COUNTIF(AP136:AP137,"2"),"")</f>
        <v>3</v>
      </c>
      <c r="AQ138" s="32" t="str">
        <f t="shared" si="6"/>
        <v>LUGAR</v>
      </c>
      <c r="AR138" s="111" t="str">
        <f>IF(AR136&lt;&gt;"",IF(O163=AR136,O165,IF(O165=AR136,O163,IF(Y163=AR136,Y165,IF(Y165=AR136,Y163)))),"")</f>
        <v>DANIEL MAZZOCHI MARY</v>
      </c>
      <c r="AS138" s="33" t="str">
        <f>IFERROR(IF(AR138="","",VLOOKUP(AR138,LISTAS!$F$5:$G$1004,2,0)),"0")</f>
        <v>LICEU JARDIM</v>
      </c>
      <c r="AT138" s="33">
        <f t="shared" si="7"/>
        <v>70</v>
      </c>
      <c r="AU138" s="33">
        <f t="shared" si="8"/>
        <v>70</v>
      </c>
    </row>
    <row r="139" spans="2:48" ht="18" customHeight="1" thickBot="1" x14ac:dyDescent="0.3">
      <c r="B139" s="133"/>
      <c r="C139" s="172" t="str">
        <f>IFERROR(IF(C138="","",VLOOKUP(C138,LISTAS!$F$5:$G$1004,2,0)),"0")</f>
        <v/>
      </c>
      <c r="D139" s="267"/>
      <c r="E139" s="148"/>
      <c r="F139" s="101"/>
      <c r="G139" s="190"/>
      <c r="H139" s="101"/>
      <c r="I139" s="101"/>
      <c r="J139" s="101"/>
      <c r="K139" s="190"/>
      <c r="L139" s="29"/>
      <c r="M139" s="30"/>
      <c r="N139" s="30"/>
      <c r="O139" s="196"/>
      <c r="P139" s="30"/>
      <c r="Q139" s="37"/>
      <c r="R139" s="198"/>
      <c r="S139" s="37"/>
      <c r="T139" s="37"/>
      <c r="U139" s="37"/>
      <c r="V139" s="198"/>
      <c r="W139" s="37"/>
      <c r="X139" s="86"/>
      <c r="Y139" s="198"/>
      <c r="Z139" s="37"/>
      <c r="AA139" s="37"/>
      <c r="AB139" s="29"/>
      <c r="AC139" s="198"/>
      <c r="AD139" s="37"/>
      <c r="AE139" s="37"/>
      <c r="AF139" s="37"/>
      <c r="AG139" s="197"/>
      <c r="AH139" s="100"/>
      <c r="AI139" s="142"/>
      <c r="AJ139" s="267"/>
      <c r="AK139" s="172" t="str">
        <f>IFERROR(IF(AK138="","",VLOOKUP(AK138,LISTAS!$F$5:$G$1004,2,0)),"0")</f>
        <v/>
      </c>
      <c r="AL139" s="29"/>
      <c r="AP139" s="31">
        <f>IF(AR139&lt;&gt;"",1+COUNTIF(AP136:AP138,"1")+COUNTIF(AP136:AP138,"2")+COUNTIF(AP136:AP138,"3"),"")</f>
        <v>4</v>
      </c>
      <c r="AQ139" s="32" t="str">
        <f t="shared" si="6"/>
        <v>LUGAR</v>
      </c>
      <c r="AR139" s="111" t="str">
        <f>IF(AR137&lt;&gt;"",IF(O163=AR137,O165,IF(O165=AR137,O163,IF(Y163=AR137,Y165,IF(Y165=AR137,Y163)))),"")</f>
        <v>FELIPE RAFAEL CARDOZO</v>
      </c>
      <c r="AS139" s="33" t="str">
        <f>IFERROR(IF(AR139="","",VLOOKUP(AR139,LISTAS!$F$5:$G$1004,2,0)),"0")</f>
        <v>PEN LIFE</v>
      </c>
      <c r="AT139" s="33">
        <f t="shared" si="7"/>
        <v>50</v>
      </c>
      <c r="AU139" s="33">
        <f t="shared" si="8"/>
        <v>50</v>
      </c>
    </row>
    <row r="140" spans="2:48" ht="18" customHeight="1" x14ac:dyDescent="0.25">
      <c r="B140" s="133"/>
      <c r="C140" s="188"/>
      <c r="D140" s="29"/>
      <c r="E140" s="29"/>
      <c r="F140" s="34"/>
      <c r="G140" s="171" t="str">
        <f>IF(D136&lt;&gt;"",IF(D138&lt;&gt;"",IF(D136=D138,"",IF(D136&gt;D138,C136,C138)),""),"")</f>
        <v>BERNARDO DE BRITO BANDEIRA</v>
      </c>
      <c r="H140" s="266">
        <v>0</v>
      </c>
      <c r="I140" s="101">
        <f>IF(H140&lt;&gt;"",H140,"")</f>
        <v>0</v>
      </c>
      <c r="J140" s="101" t="str">
        <f>IF(H140&lt;&gt;"",IF(G140="","",G140),"")</f>
        <v>BERNARDO DE BRITO BANDEIRA</v>
      </c>
      <c r="K140" s="190">
        <f>IF(I140&lt;&gt;"",IF(I142&lt;&gt;"",SMALL(I140:J142,1),""),"")</f>
        <v>0</v>
      </c>
      <c r="L140" s="101"/>
      <c r="M140" s="101"/>
      <c r="N140" s="101"/>
      <c r="O140" s="188"/>
      <c r="P140" s="29"/>
      <c r="Q140" s="37"/>
      <c r="R140" s="198"/>
      <c r="S140" s="37"/>
      <c r="T140" s="37"/>
      <c r="U140" s="37"/>
      <c r="V140" s="198"/>
      <c r="W140" s="37"/>
      <c r="X140" s="86"/>
      <c r="Y140" s="198"/>
      <c r="Z140" s="37"/>
      <c r="AA140" s="37"/>
      <c r="AB140" s="29"/>
      <c r="AC140" s="198"/>
      <c r="AD140" s="37"/>
      <c r="AE140" s="95"/>
      <c r="AF140" s="266">
        <v>0</v>
      </c>
      <c r="AG140" s="171" t="str">
        <f>IF(AJ136&lt;&gt;"",IF(AJ138&lt;&gt;"",IF(AJ136=AJ138,"",IF(AJ136&gt;AJ138,AK136,AK138)),""),"")</f>
        <v>ENRICO FRIAS SIGOLI DE PAULA</v>
      </c>
      <c r="AH140" s="94"/>
      <c r="AI140" s="37"/>
      <c r="AJ140" s="29"/>
      <c r="AK140" s="188"/>
      <c r="AL140" s="29"/>
      <c r="AP140" s="31">
        <f>IF(AR140&lt;&gt;"",1+COUNTIF(AP136:AP139,"1")+COUNTIF(AP136:AP139,"2")+COUNTIF(AP136:AP139,"3")+COUNTIF(AP136:AP139,"4"),"")</f>
        <v>5</v>
      </c>
      <c r="AQ140" s="32" t="str">
        <f t="shared" si="6"/>
        <v>LUGAR</v>
      </c>
      <c r="AR140" s="111" t="str">
        <f>IF(AR136&lt;&gt;"",IF(K148=AR136,K150,IF(K150=AR136,K148,IF(K178=AR136,K180,IF(K180=AR136,K178,IF(AC148=AR136,AC150,IF(AC150=AR136,AC148,IF(AC178=AR136,AC180,IF(AC180=AR136,AC178)))))))),"")</f>
        <v>FELIPE PARONETO REZENDE</v>
      </c>
      <c r="AS140" s="33" t="str">
        <f>IFERROR(IF(AR140="","",VLOOKUP(AR140,LISTAS!$F$5:$G$1004,2,0)),"0")</f>
        <v>ABACO IPIRANGA</v>
      </c>
      <c r="AT140" s="33">
        <f t="shared" si="7"/>
        <v>45</v>
      </c>
      <c r="AU140" s="33">
        <f t="shared" si="8"/>
        <v>45</v>
      </c>
    </row>
    <row r="141" spans="2:48" ht="18" customHeight="1" thickBot="1" x14ac:dyDescent="0.3">
      <c r="B141" s="133"/>
      <c r="C141" s="188"/>
      <c r="D141" s="29"/>
      <c r="E141" s="29"/>
      <c r="F141" s="34"/>
      <c r="G141" s="172" t="str">
        <f>IFERROR(IF(G140="","",VLOOKUP(G140,LISTAS!$F$5:$G$1004,2,0)),"0")</f>
        <v>ABACO IPIRANGA</v>
      </c>
      <c r="H141" s="267"/>
      <c r="I141" s="101"/>
      <c r="J141" s="101"/>
      <c r="K141" s="190"/>
      <c r="L141" s="101"/>
      <c r="M141" s="101"/>
      <c r="N141" s="101"/>
      <c r="O141" s="188"/>
      <c r="P141" s="29"/>
      <c r="Q141" s="37"/>
      <c r="R141" s="198"/>
      <c r="S141" s="37"/>
      <c r="T141" s="37"/>
      <c r="U141" s="37"/>
      <c r="V141" s="198"/>
      <c r="W141" s="37"/>
      <c r="X141" s="86"/>
      <c r="Y141" s="198"/>
      <c r="Z141" s="37"/>
      <c r="AA141" s="37"/>
      <c r="AB141" s="29"/>
      <c r="AC141" s="198"/>
      <c r="AD141" s="37"/>
      <c r="AE141" s="95"/>
      <c r="AF141" s="267"/>
      <c r="AG141" s="172" t="str">
        <f>IFERROR(IF(AG140="","",VLOOKUP(AG140,LISTAS!$F$5:$G$1004,2,0)),"0")</f>
        <v>COLÉGIO ARBOS - UNIDADE SANTO ANDRÉ</v>
      </c>
      <c r="AH141" s="94"/>
      <c r="AI141" s="37"/>
      <c r="AJ141" s="29"/>
      <c r="AK141" s="188"/>
      <c r="AL141" s="29"/>
      <c r="AP141" s="31">
        <f>IF(AR141&lt;&gt;"",1+COUNTIF(AP136:AP140,"1")+COUNTIF(AP136:AP140,"2")+COUNTIF(AP136:AP140,"3")+COUNTIF(AP136:AP140,"4")+COUNTIF(AP136:AP140,"5"),"")</f>
        <v>6</v>
      </c>
      <c r="AQ141" s="32" t="str">
        <f t="shared" si="6"/>
        <v>LUGAR</v>
      </c>
      <c r="AR141" s="111" t="str">
        <f>IF(AR137&lt;&gt;"",IF(K148=AR137,K150,IF(K150=AR137,K148,IF(K178=AR137,K180,IF(K180=AR137,K178,IF(AC148=AR137,AC150,IF(AC150=AR137,AC148,IF(AC178=AR137,AC180,IF(AC180=AR137,AC178)))))))),"")</f>
        <v>BENJAMIN CAMARGO</v>
      </c>
      <c r="AS141" s="33" t="str">
        <f>IFERROR(IF(AR141="","",VLOOKUP(AR141,LISTAS!$F$5:$G$1004,2,0)),"0")</f>
        <v>IEBURIX -SBC</v>
      </c>
      <c r="AT141" s="33">
        <f t="shared" si="7"/>
        <v>40</v>
      </c>
      <c r="AU141" s="33">
        <f t="shared" si="8"/>
        <v>40</v>
      </c>
    </row>
    <row r="142" spans="2:48" ht="18" customHeight="1" x14ac:dyDescent="0.25">
      <c r="B142" s="133"/>
      <c r="C142" s="188"/>
      <c r="D142" s="29"/>
      <c r="E142" s="35"/>
      <c r="F142" s="36"/>
      <c r="G142" s="171" t="str">
        <f>IF(D144&lt;&gt;"",IF(D146&lt;&gt;"",IF(D144=D146,"",IF(D144&gt;D146,C144,C146)),""),"")</f>
        <v>VICENTE MOREIRA MEDINA</v>
      </c>
      <c r="H142" s="266">
        <v>1</v>
      </c>
      <c r="I142" s="107">
        <f>IF(H142&lt;&gt;"",H142,"")</f>
        <v>1</v>
      </c>
      <c r="J142" s="101" t="str">
        <f>IF(H142&lt;&gt;"",IF(G142="","",G142),"")</f>
        <v>VICENTE MOREIRA MEDINA</v>
      </c>
      <c r="K142" s="190" t="str">
        <f>VLOOKUP(K140,I140:J142,2,0)</f>
        <v>BERNARDO DE BRITO BANDEIRA</v>
      </c>
      <c r="L142" s="101"/>
      <c r="M142" s="101"/>
      <c r="N142" s="101"/>
      <c r="O142" s="188"/>
      <c r="P142" s="29"/>
      <c r="Q142" s="37"/>
      <c r="R142" s="198"/>
      <c r="S142" s="37"/>
      <c r="T142" s="37"/>
      <c r="U142" s="37"/>
      <c r="V142" s="198"/>
      <c r="W142" s="37"/>
      <c r="X142" s="86"/>
      <c r="Y142" s="198"/>
      <c r="Z142" s="37"/>
      <c r="AA142" s="37"/>
      <c r="AB142" s="29"/>
      <c r="AC142" s="198"/>
      <c r="AD142" s="94"/>
      <c r="AE142" s="96"/>
      <c r="AF142" s="266">
        <v>1</v>
      </c>
      <c r="AG142" s="171" t="str">
        <f>IF(AJ144&lt;&gt;"",IF(AJ146&lt;&gt;"",IF(AJ144=AJ146,"",IF(AJ144&gt;AJ146,AK144,AK146)),""),"")</f>
        <v>LORENZO MASCARI BRANDINO</v>
      </c>
      <c r="AH142" s="98"/>
      <c r="AI142" s="37"/>
      <c r="AJ142" s="29"/>
      <c r="AK142" s="188"/>
      <c r="AL142" s="29"/>
      <c r="AN142" s="2"/>
      <c r="AO142" s="2"/>
      <c r="AP142" s="31">
        <f>IF(AR142&lt;&gt;"",1+COUNTIF(AP136:AP141,"1")+COUNTIF(AP136:AP141,"2")+COUNTIF(AP136:AP141,"3")+COUNTIF(AP136:AP141,"4")+COUNTIF(AP136:AP141,"5")+COUNTIF(AP136:AP141,"6"),"")</f>
        <v>7</v>
      </c>
      <c r="AQ142" s="32" t="str">
        <f t="shared" si="6"/>
        <v>LUGAR</v>
      </c>
      <c r="AR142" s="111" t="str">
        <f>IF(AR138&lt;&gt;"",IF(K148=AR138,K150,IF(K150=AR138,K148,IF(K178=AR138,K180,IF(K180=AR138,K178,IF(AC148=AR138,AC150,IF(AC150=AR138,AC148,IF(AC178=AR138,AC180,IF(AC180=AR138,AC178)))))))),"")</f>
        <v>RODRIGO MASSINI JUNIOR</v>
      </c>
      <c r="AS142" s="33" t="str">
        <f>IFERROR(IF(AR142="","",VLOOKUP(AR142,LISTAS!$F$5:$G$1004,2,0)),"0")</f>
        <v>LICEU JARDIM</v>
      </c>
      <c r="AT142" s="33">
        <f t="shared" si="7"/>
        <v>35</v>
      </c>
      <c r="AU142" s="33">
        <f t="shared" si="8"/>
        <v>35</v>
      </c>
      <c r="AV142" s="2"/>
    </row>
    <row r="143" spans="2:48" ht="18" customHeight="1" thickBot="1" x14ac:dyDescent="0.3">
      <c r="B143" s="133"/>
      <c r="C143" s="188"/>
      <c r="D143" s="29"/>
      <c r="E143" s="35"/>
      <c r="F143" s="29"/>
      <c r="G143" s="172" t="str">
        <f>IFERROR(IF(G142="","",VLOOKUP(G142,LISTAS!$F$5:$G$1004,2,0)),"0")</f>
        <v>ABACO IPIRANGA</v>
      </c>
      <c r="H143" s="267"/>
      <c r="I143" s="138"/>
      <c r="J143" s="101"/>
      <c r="K143" s="190"/>
      <c r="L143" s="101"/>
      <c r="M143" s="101"/>
      <c r="N143" s="101"/>
      <c r="O143" s="188"/>
      <c r="P143" s="29"/>
      <c r="Q143" s="37"/>
      <c r="R143" s="198"/>
      <c r="S143" s="37"/>
      <c r="T143" s="37"/>
      <c r="U143" s="37"/>
      <c r="V143" s="198"/>
      <c r="W143" s="37"/>
      <c r="X143" s="86"/>
      <c r="Y143" s="198"/>
      <c r="Z143" s="37"/>
      <c r="AA143" s="37"/>
      <c r="AB143" s="29"/>
      <c r="AC143" s="198"/>
      <c r="AD143" s="94"/>
      <c r="AE143" s="37"/>
      <c r="AF143" s="267"/>
      <c r="AG143" s="172" t="str">
        <f>IFERROR(IF(AG142="","",VLOOKUP(AG142,LISTAS!$F$5:$G$1004,2,0)),"0")</f>
        <v>COLÉGIO ARBOS - UNIDADE SANTO ANDRÉ</v>
      </c>
      <c r="AH143" s="37"/>
      <c r="AI143" s="89"/>
      <c r="AJ143" s="29"/>
      <c r="AK143" s="188"/>
      <c r="AL143" s="29"/>
      <c r="AM143" s="2"/>
      <c r="AN143" s="2"/>
      <c r="AO143" s="2"/>
      <c r="AP143" s="31">
        <f>IF(AR143&lt;&gt;"",1+COUNTIF(AP136:AP142,"1")+COUNTIF(AP136:AP142,"2")+COUNTIF(AP136:AP142,"3")+COUNTIF(AP136:AP142,"4")+COUNTIF(AP136:AP142,"5")+COUNTIF(AP136:AP142,"6")+COUNTIF(AP136:AP142,"7"),"")</f>
        <v>8</v>
      </c>
      <c r="AQ143" s="32" t="str">
        <f t="shared" si="6"/>
        <v>LUGAR</v>
      </c>
      <c r="AR143" s="111" t="str">
        <f>IF(AR139&lt;&gt;"",IF(K148=AR139,K150,IF(K150=AR139,K148,IF(K178=AR139,K180,IF(K180=AR139,K178,IF(AC148=AR139,AC150,IF(AC150=AR139,AC148,IF(AC178=AR139,AC180,IF(AC180=AR139,AC178)))))))),"")</f>
        <v>FELIPE TAMANAGA PORRO</v>
      </c>
      <c r="AS143" s="33" t="str">
        <f>IFERROR(IF(AR143="","",VLOOKUP(AR143,LISTAS!$F$5:$G$1004,2,0)),"0")</f>
        <v>COLÉGIO ARBOS - UNIDADE SANTO ANDRÉ</v>
      </c>
      <c r="AT143" s="33">
        <f t="shared" si="7"/>
        <v>30</v>
      </c>
      <c r="AU143" s="33">
        <f t="shared" si="8"/>
        <v>30</v>
      </c>
      <c r="AV143" s="2"/>
    </row>
    <row r="144" spans="2:48" ht="18" customHeight="1" x14ac:dyDescent="0.25">
      <c r="B144" s="133">
        <v>17</v>
      </c>
      <c r="C144" s="171" t="str">
        <f>IF('09M GRP'!G5&gt;=3,'09M GRP'!J231,IF('09M GRP'!G5=2,"",IF('09M GRP'!G5=1,"","")))</f>
        <v>LUCCA BENJAMIN BARBOSA MORENO</v>
      </c>
      <c r="D144" s="266">
        <v>0</v>
      </c>
      <c r="E144" s="148">
        <f>IF(D144&lt;&gt;"",D144,"")</f>
        <v>0</v>
      </c>
      <c r="F144" s="101" t="str">
        <f>IF(D144&lt;&gt;"",IF(C144="","",C144),"")</f>
        <v>LUCCA BENJAMIN BARBOSA MORENO</v>
      </c>
      <c r="G144" s="190">
        <f>IF(E144&lt;&gt;"",IF(E146&lt;&gt;"",SMALL(E144:E146,1),""),"")</f>
        <v>0</v>
      </c>
      <c r="H144" s="101"/>
      <c r="I144" s="138"/>
      <c r="J144" s="29"/>
      <c r="K144" s="188"/>
      <c r="L144" s="29"/>
      <c r="M144" s="29"/>
      <c r="N144" s="29"/>
      <c r="O144" s="188"/>
      <c r="P144" s="29"/>
      <c r="Q144" s="37"/>
      <c r="R144" s="198"/>
      <c r="S144" s="37"/>
      <c r="T144" s="37"/>
      <c r="U144" s="37"/>
      <c r="V144" s="198"/>
      <c r="W144" s="37"/>
      <c r="X144" s="86"/>
      <c r="Y144" s="198"/>
      <c r="Z144" s="37"/>
      <c r="AA144" s="37"/>
      <c r="AB144" s="29"/>
      <c r="AC144" s="198"/>
      <c r="AD144" s="94"/>
      <c r="AE144" s="100"/>
      <c r="AF144" s="100"/>
      <c r="AG144" s="197">
        <f>IF(AJ144&lt;&gt;"",AJ144,"")</f>
        <v>1</v>
      </c>
      <c r="AH144" s="100" t="str">
        <f>IF(AJ144&lt;&gt;"",IF(AK144="","",AK144),"")</f>
        <v>LORENZO MASCARI BRANDINO</v>
      </c>
      <c r="AI144" s="137">
        <f>IF(AG144&lt;&gt;"",IF(AG146&lt;&gt;"",SMALL(AG144:AG146,1),""),"")</f>
        <v>0</v>
      </c>
      <c r="AJ144" s="266">
        <v>1</v>
      </c>
      <c r="AK144" s="171" t="str">
        <f>IF('09M GRP'!G5&gt;=3,'09M GRP'!J192,IF('09M GRP'!G5=2,"",IF('09M GRP'!G5=1,"","")))</f>
        <v>LORENZO MASCARI BRANDINO</v>
      </c>
      <c r="AL144" s="29">
        <v>14</v>
      </c>
      <c r="AM144" s="2"/>
      <c r="AP144" s="31">
        <f>IF(AR144&lt;&gt;"",1+COUNTIF(AP136:AP143,"1")+COUNTIF(AP136:AP143,"2")+COUNTIF(AP136:AP143,"3")+COUNTIF(AP136:AP143,"4")+COUNTIF(AP136:AP143,"5")+COUNTIF(AP136:AP143,"6")+COUNTIF(AP136:AP143,"7")+COUNTIF(AP136:AP143,"8"),"")</f>
        <v>9</v>
      </c>
      <c r="AQ144" s="32" t="str">
        <f t="shared" si="6"/>
        <v>LUGAR</v>
      </c>
      <c r="AR144" s="111" t="str">
        <f>IF(AR136&lt;&gt;"",IF(G140=AR136,G142,IF(G142=AR136,G140,IF(G156=AR136,G158,IF(G158=AR136,G156,IF(AG140=AR136,AG142,IF(AG142=AR136,AG140,IF(AG156=AR136,AG158,IF(AG158=AR136,AG156,IF(G170=AR136,G172,IF(G172=AR136,G170,IF(G186=AR136,G188,IF(G188=AR136,G186,IF(AG170=AR136,AG172,IF(AG172=AR136,AG170,IF(AG186=AR136,AG188,IF(AG188=AR136,AG186)))))))))))))))),"")</f>
        <v>ENRICO FRIAS SIGOLI DE PAULA</v>
      </c>
      <c r="AS144" s="33" t="str">
        <f>IFERROR(IF(AR144="","",VLOOKUP(AR144,LISTAS!$F$5:$G$1004,2,0)),"0")</f>
        <v>COLÉGIO ARBOS - UNIDADE SANTO ANDRÉ</v>
      </c>
      <c r="AT144" s="33">
        <f t="shared" si="7"/>
        <v>28</v>
      </c>
      <c r="AU144" s="33">
        <f t="shared" si="8"/>
        <v>28</v>
      </c>
    </row>
    <row r="145" spans="2:47" ht="18" customHeight="1" thickBot="1" x14ac:dyDescent="0.3">
      <c r="B145" s="133"/>
      <c r="C145" s="172" t="str">
        <f>IFERROR(IF(C144="","",VLOOKUP(C144,LISTAS!$F$5:$G$1004,2,0)),"0")</f>
        <v>COLÉGIO ARBOS - UNIDADE SANTO ANDRÉ</v>
      </c>
      <c r="D145" s="267"/>
      <c r="E145" s="105"/>
      <c r="F145" s="101"/>
      <c r="G145" s="190"/>
      <c r="H145" s="101"/>
      <c r="I145" s="138"/>
      <c r="J145" s="29"/>
      <c r="K145" s="188"/>
      <c r="L145" s="29"/>
      <c r="M145" s="29"/>
      <c r="N145" s="29"/>
      <c r="O145" s="188"/>
      <c r="P145" s="29"/>
      <c r="Q145" s="37"/>
      <c r="R145" s="198"/>
      <c r="S145" s="37"/>
      <c r="T145" s="37"/>
      <c r="U145" s="37"/>
      <c r="V145" s="198"/>
      <c r="W145" s="37"/>
      <c r="X145" s="86"/>
      <c r="Y145" s="198"/>
      <c r="Z145" s="37"/>
      <c r="AA145" s="37"/>
      <c r="AB145" s="29"/>
      <c r="AC145" s="198"/>
      <c r="AD145" s="94"/>
      <c r="AE145" s="100"/>
      <c r="AF145" s="100"/>
      <c r="AG145" s="197"/>
      <c r="AH145" s="100"/>
      <c r="AI145" s="143"/>
      <c r="AJ145" s="267"/>
      <c r="AK145" s="172" t="str">
        <f>IFERROR(IF(AK144="","",VLOOKUP(AK144,LISTAS!$F$5:$G$1004,2,0)),"0")</f>
        <v>COLÉGIO ARBOS - UNIDADE SANTO ANDRÉ</v>
      </c>
      <c r="AL145" s="29"/>
      <c r="AP145" s="31">
        <f>IF(AR145&lt;&gt;"",1+COUNTIF(AP136:AP144,"1")+COUNTIF(AP136:AP144,"2")+COUNTIF(AP136:AP144,"3")+COUNTIF(AP136:AP144,"4")+COUNTIF(AP136:AP144,"5")+COUNTIF(AP136:AP144,"6")+COUNTIF(AP136:AP144,"7")+COUNTIF(AP136:AP144,"8")+COUNTIF(AP136:AP144,"9"),"")</f>
        <v>10</v>
      </c>
      <c r="AQ145" s="32" t="str">
        <f t="shared" si="6"/>
        <v>LUGAR</v>
      </c>
      <c r="AR145" s="111" t="str">
        <f>IF(AR137&lt;&gt;"",IF(G140=AR137,G142,IF(G142=AR137,G140,IF(G156=AR137,G158,IF(G158=AR137,G156,IF(AG140=AR137,AG142,IF(AG142=AR137,AG140,IF(AG156=AR137,AG158,IF(AG158=AR137,AG156,IF(G170=AR137,G172,IF(G172=AR137,G170,IF(G186=AR137,G188,IF(G188=AR137,G186,IF(AG170=AR137,AG172,IF(AG172=AR137,AG170,IF(AG186=AR137,AG188,IF(AG188=AR137,AG186)))))))))))))))),"")</f>
        <v>BERNARDO DE BRITO BANDEIRA</v>
      </c>
      <c r="AS145" s="33" t="str">
        <f>IFERROR(IF(AR145="","",VLOOKUP(AR145,LISTAS!$F$5:$G$1004,2,0)),"0")</f>
        <v>ABACO IPIRANGA</v>
      </c>
      <c r="AT145" s="33">
        <f t="shared" si="7"/>
        <v>28</v>
      </c>
      <c r="AU145" s="33">
        <f t="shared" si="8"/>
        <v>28</v>
      </c>
    </row>
    <row r="146" spans="2:47" ht="18" customHeight="1" x14ac:dyDescent="0.25">
      <c r="B146" s="133">
        <v>16</v>
      </c>
      <c r="C146" s="171" t="str">
        <f>IF('09M GRP'!G5&gt;=3,'09M GRP'!J218,IF('09M GRP'!G5=2,"",IF('09M GRP'!G5=1,"","")))</f>
        <v>VICENTE MOREIRA MEDINA</v>
      </c>
      <c r="D146" s="266">
        <v>1</v>
      </c>
      <c r="E146" s="106">
        <f>IF(D146&lt;&gt;"",D146,"")</f>
        <v>1</v>
      </c>
      <c r="F146" s="101" t="str">
        <f>IF(D146&lt;&gt;"",IF(C146="","",C146),"")</f>
        <v>VICENTE MOREIRA MEDINA</v>
      </c>
      <c r="G146" s="190" t="str">
        <f>VLOOKUP(G144,E144:F146,2,0)</f>
        <v>LUCCA BENJAMIN BARBOSA MORENO</v>
      </c>
      <c r="H146" s="101"/>
      <c r="I146" s="138"/>
      <c r="J146" s="29"/>
      <c r="K146" s="188"/>
      <c r="L146" s="29"/>
      <c r="M146" s="29"/>
      <c r="N146" s="29"/>
      <c r="O146" s="188"/>
      <c r="P146" s="29"/>
      <c r="Q146" s="37"/>
      <c r="R146" s="198"/>
      <c r="S146" s="37"/>
      <c r="T146" s="37"/>
      <c r="U146" s="37"/>
      <c r="V146" s="198"/>
      <c r="W146" s="37"/>
      <c r="X146" s="86"/>
      <c r="Y146" s="198"/>
      <c r="Z146" s="37"/>
      <c r="AA146" s="37"/>
      <c r="AB146" s="29"/>
      <c r="AC146" s="198"/>
      <c r="AD146" s="94"/>
      <c r="AE146" s="100"/>
      <c r="AF146" s="100"/>
      <c r="AG146" s="197">
        <f>IF(AJ146&lt;&gt;"",AJ146,"")</f>
        <v>0</v>
      </c>
      <c r="AH146" s="100" t="str">
        <f>IF(AJ146&lt;&gt;"",IF(AK146="","",AK146),"")</f>
        <v>MATEUS DE BRITO ALINERI</v>
      </c>
      <c r="AI146" s="104" t="str">
        <f>VLOOKUP(AI144,AG144:AH146,2,0)</f>
        <v>MATEUS DE BRITO ALINERI</v>
      </c>
      <c r="AJ146" s="266">
        <v>0</v>
      </c>
      <c r="AK146" s="171" t="str">
        <f>IF('09M GRP'!G5&gt;=3,'09M GRP'!J257,IF('09M GRP'!G5=2,"",IF('09M GRP'!G5=1,"","")))</f>
        <v>MATEUS DE BRITO ALINERI</v>
      </c>
      <c r="AL146" s="29">
        <v>19</v>
      </c>
      <c r="AP146" s="31">
        <f>IF(AR146&lt;&gt;"",1+COUNTIF(AP136:AP145,"1")+COUNTIF(AP136:AP145,"2")+COUNTIF(AP136:AP145,"3")+COUNTIF(AP136:AP145,"4")+COUNTIF(AP136:AP145,"5")+COUNTIF(AP136:AP145,"6")+COUNTIF(AP136:AP145,"7")+COUNTIF(AP136:AP145,"8")+COUNTIF(AP136:AP145,"9")+COUNTIF(AP136:AP145,"10"),"")</f>
        <v>11</v>
      </c>
      <c r="AQ146" s="32" t="str">
        <f t="shared" si="6"/>
        <v>LUGAR</v>
      </c>
      <c r="AR146" s="111" t="str">
        <f>IF(AR138&lt;&gt;"",IF(G140=AR138,G142,IF(G142=AR138,G140,IF(G156=AR138,G158,IF(G158=AR138,G156,IF(AG140=AR138,AG142,IF(AG142=AR138,AG140,IF(AG156=AR138,AG158,IF(AG158=AR138,AG156,IF(G170=AR138,G172,IF(G172=AR138,G170,IF(G186=AR138,G188,IF(G188=AR138,G186,IF(AG170=AR138,AG172,IF(AG172=AR138,AG170,IF(AG186=AR138,AG188,IF(AG188=AR138,AG186)))))))))))))))),"")</f>
        <v>PEDRO HENRIQUE REDA FERREIRA</v>
      </c>
      <c r="AS146" s="33" t="str">
        <f>IFERROR(IF(AR146="","",VLOOKUP(AR146,LISTAS!$F$5:$G$1004,2,0)),"0")</f>
        <v>COLÉGIO ARBOS DE SÃO BERNARDO DO CAMPO</v>
      </c>
      <c r="AT146" s="33">
        <f t="shared" si="7"/>
        <v>28</v>
      </c>
      <c r="AU146" s="33">
        <f t="shared" si="8"/>
        <v>28</v>
      </c>
    </row>
    <row r="147" spans="2:47" ht="18" customHeight="1" thickBot="1" x14ac:dyDescent="0.3">
      <c r="B147" s="133"/>
      <c r="C147" s="172" t="str">
        <f>IFERROR(IF(C146="","",VLOOKUP(C146,LISTAS!$F$5:$G$1004,2,0)),"0")</f>
        <v>ABACO IPIRANGA</v>
      </c>
      <c r="D147" s="267"/>
      <c r="E147" s="101"/>
      <c r="F147" s="101"/>
      <c r="G147" s="190"/>
      <c r="H147" s="101"/>
      <c r="I147" s="138"/>
      <c r="J147" s="29"/>
      <c r="K147" s="188"/>
      <c r="L147" s="29"/>
      <c r="M147" s="87"/>
      <c r="N147" s="87"/>
      <c r="O147" s="192"/>
      <c r="P147" s="29"/>
      <c r="Q147" s="37"/>
      <c r="R147" s="198"/>
      <c r="S147" s="37"/>
      <c r="T147" s="37"/>
      <c r="U147" s="37"/>
      <c r="V147" s="198"/>
      <c r="W147" s="37"/>
      <c r="X147" s="86"/>
      <c r="Y147" s="198"/>
      <c r="Z147" s="37"/>
      <c r="AA147" s="37"/>
      <c r="AB147" s="29"/>
      <c r="AC147" s="198"/>
      <c r="AD147" s="94"/>
      <c r="AE147" s="100"/>
      <c r="AF147" s="100"/>
      <c r="AG147" s="197"/>
      <c r="AH147" s="100"/>
      <c r="AI147" s="101"/>
      <c r="AJ147" s="267"/>
      <c r="AK147" s="172" t="str">
        <f>IFERROR(IF(AK146="","",VLOOKUP(AK146,LISTAS!$F$5:$G$1004,2,0)),"0")</f>
        <v>COLÉGIO ATENEU</v>
      </c>
      <c r="AL147" s="29"/>
      <c r="AP147" s="31">
        <f>IF(AR147&lt;&gt;"",1+COUNTIF(AP136:AP146,"1")+COUNTIF(AP136:AP146,"2")+COUNTIF(AP136:AP146,"3")+COUNTIF(AP136:AP146,"4")+COUNTIF(AP136:AP146,"5")+COUNTIF(AP136:AP146,"6")+COUNTIF(AP136:AP146,"7")+COUNTIF(AP136:AP146,"8")+COUNTIF(AP136:AP146,"9")+COUNTIF(AP136:AP146,"10")+COUNTIF(AP136:AP146,"11"),"")</f>
        <v>12</v>
      </c>
      <c r="AQ147" s="32" t="str">
        <f t="shared" si="6"/>
        <v>LUGAR</v>
      </c>
      <c r="AR147" s="111" t="str">
        <f>IF(AR139&lt;&gt;"",IF(G140=AR139,G142,IF(G142=AR139,G140,IF(G156=AR139,G158,IF(G158=AR139,G156,IF(AG140=AR139,AG142,IF(AG142=AR139,AG140,IF(AG156=AR139,AG158,IF(AG158=AR139,AG156,IF(G170=AR139,G172,IF(G172=AR139,G170,IF(G186=AR139,G188,IF(G188=AR139,G186,IF(AG170=AR139,AG172,IF(AG172=AR139,AG170,IF(AG186=AR139,AG188,IF(AG188=AR139,AG186)))))))))))))))),"")</f>
        <v>ARTHUR MAZIERI REZENDE</v>
      </c>
      <c r="AS147" s="33" t="str">
        <f>IFERROR(IF(AR147="","",VLOOKUP(AR147,LISTAS!$F$5:$G$1004,2,0)),"0")</f>
        <v>COLÉGIO ARBOS DE SÃO BERNARDO DO CAMPO</v>
      </c>
      <c r="AT147" s="33">
        <f t="shared" si="7"/>
        <v>28</v>
      </c>
      <c r="AU147" s="33">
        <f t="shared" si="8"/>
        <v>28</v>
      </c>
    </row>
    <row r="148" spans="2:47" ht="18" customHeight="1" x14ac:dyDescent="0.25">
      <c r="B148" s="133"/>
      <c r="C148" s="188"/>
      <c r="D148" s="29"/>
      <c r="E148" s="101"/>
      <c r="F148" s="101"/>
      <c r="G148" s="190"/>
      <c r="H148" s="101"/>
      <c r="I148" s="138"/>
      <c r="J148" s="29"/>
      <c r="K148" s="171" t="str">
        <f>IF(H140&lt;&gt;"",IF(H142&lt;&gt;"",IF(H140=H142,"",IF(H140&gt;H142,G140,G142)),""),"")</f>
        <v>VICENTE MOREIRA MEDINA</v>
      </c>
      <c r="L148" s="266">
        <v>1</v>
      </c>
      <c r="M148" s="101">
        <f>IF(L148&lt;&gt;"",L148,"")</f>
        <v>1</v>
      </c>
      <c r="N148" s="101" t="str">
        <f>IF(L148&lt;&gt;"",IF(K148="","",K148),"")</f>
        <v>VICENTE MOREIRA MEDINA</v>
      </c>
      <c r="O148" s="190">
        <f>IF(M148&lt;&gt;"",IF(M150&lt;&gt;"",SMALL(M148:N150,1),""),"")</f>
        <v>0</v>
      </c>
      <c r="P148" s="29"/>
      <c r="Q148" s="37"/>
      <c r="R148" s="272" t="s">
        <v>22</v>
      </c>
      <c r="S148" s="273"/>
      <c r="T148" s="273"/>
      <c r="U148" s="273"/>
      <c r="V148" s="273"/>
      <c r="W148" s="37"/>
      <c r="X148" s="86"/>
      <c r="Y148" s="198"/>
      <c r="Z148" s="37"/>
      <c r="AA148" s="37"/>
      <c r="AB148" s="266">
        <v>1</v>
      </c>
      <c r="AC148" s="171" t="str">
        <f>IF(AF140&lt;&gt;"",IF(AF142&lt;&gt;"",IF(AF140=AF142,"",IF(AF140&gt;AF142,AG140,AG142)),""),"")</f>
        <v>LORENZO MASCARI BRANDINO</v>
      </c>
      <c r="AD148" s="141"/>
      <c r="AE148" s="100"/>
      <c r="AF148" s="100"/>
      <c r="AG148" s="197"/>
      <c r="AH148" s="100"/>
      <c r="AI148" s="100"/>
      <c r="AJ148" s="29"/>
      <c r="AK148" s="188"/>
      <c r="AL148" s="29"/>
      <c r="AP148" s="31">
        <f>IF(AR148&lt;&gt;"",1+COUNTIF(AP136:AP147,"1")+COUNTIF(AP136:AP147,"2")+COUNTIF(AP136:AP147,"3")+COUNTIF(AP136:AP147,"4")+COUNTIF(AP136:AP147,"5")+COUNTIF(AP136:AP147,"6")+COUNTIF(AP136:AP147,"7")+COUNTIF(AP136:AP147,"8")+COUNTIF(AP136:AP147,"9")+COUNTIF(AP136:AP147,"10")+COUNTIF(AP136:AP147,"11")+COUNTIF(AP136:AP147,"12"),"")</f>
        <v>13</v>
      </c>
      <c r="AQ148" s="32" t="str">
        <f t="shared" si="6"/>
        <v>LUGAR</v>
      </c>
      <c r="AR148" s="111" t="str">
        <f>IF(AR140&lt;&gt;"",IF(G140=AR140,G142,IF(G142=AR140,G140,IF(G156=AR140,G158,IF(G158=AR140,G156,IF(AG140=AR140,AG142,IF(AG142=AR140,AG140,IF(AG156=AR140,AG158,IF(AG158=AR140,AG156,IF(G170=AR140,G172,IF(G172=AR140,G170,IF(G186=AR140,G188,IF(G188=AR140,G186,IF(AG170=AR140,AG172,IF(AG172=AR140,AG170,IF(AG186=AR140,AG188,IF(AG188=AR140,AG186)))))))))))))))),"")</f>
        <v>ANTONIO PAVÃO VIEIRA</v>
      </c>
      <c r="AS148" s="33" t="str">
        <f>IFERROR(IF(AR148="","",VLOOKUP(AR148,LISTAS!$F$5:$G$1004,2,0)),"0")</f>
        <v>IEBURIX -SBC</v>
      </c>
      <c r="AT148" s="33">
        <f t="shared" si="7"/>
        <v>28</v>
      </c>
      <c r="AU148" s="33">
        <f t="shared" si="8"/>
        <v>28</v>
      </c>
    </row>
    <row r="149" spans="2:47" ht="18" customHeight="1" thickBot="1" x14ac:dyDescent="0.3">
      <c r="B149" s="133"/>
      <c r="C149" s="188"/>
      <c r="D149" s="29"/>
      <c r="E149" s="101"/>
      <c r="F149" s="101"/>
      <c r="G149" s="190"/>
      <c r="H149" s="101"/>
      <c r="I149" s="138"/>
      <c r="J149" s="29"/>
      <c r="K149" s="172" t="str">
        <f>IFERROR(IF(K148="","",VLOOKUP(K148,LISTAS!$F$5:$G$1004,2,0)),"0")</f>
        <v>ABACO IPIRANGA</v>
      </c>
      <c r="L149" s="267"/>
      <c r="M149" s="101"/>
      <c r="N149" s="101"/>
      <c r="O149" s="190"/>
      <c r="P149" s="29"/>
      <c r="Q149" s="37"/>
      <c r="R149" s="272" t="s">
        <v>25</v>
      </c>
      <c r="S149" s="273"/>
      <c r="T149" s="273"/>
      <c r="U149" s="273"/>
      <c r="V149" s="273"/>
      <c r="W149" s="37"/>
      <c r="X149" s="86"/>
      <c r="Y149" s="198"/>
      <c r="Z149" s="37"/>
      <c r="AA149" s="37"/>
      <c r="AB149" s="267"/>
      <c r="AC149" s="172" t="str">
        <f>IFERROR(IF(AC148="","",VLOOKUP(AC148,LISTAS!$F$5:$G$1004,2,0)),"0")</f>
        <v>COLÉGIO ARBOS - UNIDADE SANTO ANDRÉ</v>
      </c>
      <c r="AD149" s="37"/>
      <c r="AE149" s="144"/>
      <c r="AF149" s="100"/>
      <c r="AG149" s="197"/>
      <c r="AH149" s="100"/>
      <c r="AI149" s="100"/>
      <c r="AJ149" s="29"/>
      <c r="AK149" s="188"/>
      <c r="AL149" s="29"/>
      <c r="AP149" s="31">
        <f>IF(AR149&lt;&gt;"",1+COUNTIF(AP136:AP148,"1")+COUNTIF(AP136:AP148,"2")+COUNTIF(AP136:AP148,"3")+COUNTIF(AP136:AP148,"4")+COUNTIF(AP136:AP148,"5")+COUNTIF(AP136:AP148,"6")+COUNTIF(AP136:AP148,"7")+COUNTIF(AP136:AP148,"8")+COUNTIF(AP136:AP148,"9")+COUNTIF(AP136:AP148,"10")+COUNTIF(AP136:AP148,"11")+COUNTIF(AP136:AP148,"12")+COUNTIF(AP136:AP148,"13"),"")</f>
        <v>14</v>
      </c>
      <c r="AQ149" s="32" t="str">
        <f t="shared" si="6"/>
        <v>LUGAR</v>
      </c>
      <c r="AR149" s="111" t="str">
        <f>IF(AR141&lt;&gt;"",IF(G140=AR141,G142,IF(G142=AR141,G140,IF(G156=AR141,G158,IF(G158=AR141,G156,IF(AG140=AR141,AG142,IF(AG142=AR141,AG140,IF(AG156=AR141,AG158,IF(AG158=AR141,AG156,IF(G170=AR141,G172,IF(G172=AR141,G170,IF(G186=AR141,G188,IF(G188=AR141,G186,IF(AG170=AR141,AG172,IF(AG172=AR141,AG170,IF(AG186=AR141,AG188,IF(AG188=AR141,AG186)))))))))))))))),"")</f>
        <v>MIGUEL CHAGAS DA SILVA</v>
      </c>
      <c r="AS149" s="33" t="str">
        <f>IFERROR(IF(AR149="","",VLOOKUP(AR149,LISTAS!$F$5:$G$1004,2,0)),"0")</f>
        <v>IEBURIX -SBC</v>
      </c>
      <c r="AT149" s="33">
        <f t="shared" si="7"/>
        <v>28</v>
      </c>
      <c r="AU149" s="33">
        <f t="shared" si="8"/>
        <v>28</v>
      </c>
    </row>
    <row r="150" spans="2:47" ht="18" customHeight="1" x14ac:dyDescent="0.25">
      <c r="B150" s="133"/>
      <c r="C150" s="188"/>
      <c r="D150" s="29"/>
      <c r="E150" s="29"/>
      <c r="F150" s="29"/>
      <c r="G150" s="188"/>
      <c r="H150" s="29"/>
      <c r="I150" s="35"/>
      <c r="J150" s="36"/>
      <c r="K150" s="171" t="str">
        <f>IF(H156&lt;&gt;"",IF(H158&lt;&gt;"",IF(H156=H158,"",IF(H156&gt;H158,G156,G158)),""),"")</f>
        <v>BENJAMIN CAMARGO</v>
      </c>
      <c r="L150" s="266">
        <v>0</v>
      </c>
      <c r="M150" s="107">
        <f>IF(L150&lt;&gt;"",L150,"")</f>
        <v>0</v>
      </c>
      <c r="N150" s="101" t="str">
        <f>IF(L150&lt;&gt;"",IF(K150="","",K150),"")</f>
        <v>BENJAMIN CAMARGO</v>
      </c>
      <c r="O150" s="190" t="str">
        <f>VLOOKUP(O148,M148:N150,2,0)</f>
        <v>BENJAMIN CAMARGO</v>
      </c>
      <c r="P150" s="29"/>
      <c r="Q150" s="37"/>
      <c r="R150" s="198"/>
      <c r="S150" s="37"/>
      <c r="T150" s="37"/>
      <c r="U150" s="37"/>
      <c r="V150" s="198"/>
      <c r="W150" s="37"/>
      <c r="X150" s="86"/>
      <c r="Y150" s="198"/>
      <c r="Z150" s="94"/>
      <c r="AA150" s="96"/>
      <c r="AB150" s="266">
        <v>0</v>
      </c>
      <c r="AC150" s="171" t="str">
        <f>IF(AF156&lt;&gt;"",IF(AF158&lt;&gt;"",IF(AF156=AF158,"",IF(AF156&gt;AF158,AG156,AG158)),""),"")</f>
        <v>FELIPE PARONETO REZENDE</v>
      </c>
      <c r="AD150" s="37"/>
      <c r="AE150" s="144"/>
      <c r="AF150" s="100"/>
      <c r="AG150" s="197"/>
      <c r="AH150" s="100"/>
      <c r="AI150" s="100"/>
      <c r="AJ150" s="29"/>
      <c r="AK150" s="188"/>
      <c r="AL150" s="29"/>
      <c r="AP150" s="31">
        <f>IF(AR150&lt;&gt;"",1+COUNTIF(AP136:AP149,"1")+COUNTIF(AP136:AP149,"2")+COUNTIF(AP136:AP149,"3")+COUNTIF(AP136:AP149,"4")+COUNTIF(AP136:AP149,"5")+COUNTIF(AP136:AP149,"6")+COUNTIF(AP136:AP149,"7")+COUNTIF(AP136:AP149,"8")+COUNTIF(AP136:AP149,"9")+COUNTIF(AP136:AP149,"10")+COUNTIF(AP136:AP149,"11")+COUNTIF(AP136:AP149,"12")+COUNTIF(AP136:AP149,"13")+COUNTIF(AP136:AP149,"14"),"")</f>
        <v>15</v>
      </c>
      <c r="AQ150" s="32" t="str">
        <f t="shared" si="6"/>
        <v>LUGAR</v>
      </c>
      <c r="AR150" s="111" t="str">
        <f>IF(AR142&lt;&gt;"",IF(G140=AR142,G142,IF(G142=AR142,G140,IF(G156=AR142,G158,IF(G158=AR142,G156,IF(AG140=AR142,AG142,IF(AG142=AR142,AG140,IF(AG156=AR142,AG158,IF(AG158=AR142,AG156,IF(G170=AR142,G172,IF(G172=AR142,G170,IF(G186=AR142,G188,IF(G188=AR142,G186,IF(AG170=AR142,AG172,IF(AG172=AR142,AG170,IF(AG186=AR142,AG188,IF(AG188=AR142,AG186)))))))))))))))),"")</f>
        <v>DAVI SIMOYAMA BLASSIOLI ARCANJO</v>
      </c>
      <c r="AS150" s="33" t="str">
        <f>IFERROR(IF(AR150="","",VLOOKUP(AR150,LISTAS!$F$5:$G$1004,2,0)),"0")</f>
        <v>COLÉGIO ARBOS - UNIDADE SANTO ANDRÉ</v>
      </c>
      <c r="AT150" s="33">
        <f t="shared" si="7"/>
        <v>28</v>
      </c>
      <c r="AU150" s="33">
        <f t="shared" si="8"/>
        <v>28</v>
      </c>
    </row>
    <row r="151" spans="2:47" ht="18" customHeight="1" thickBot="1" x14ac:dyDescent="0.3">
      <c r="B151" s="133"/>
      <c r="C151" s="188"/>
      <c r="D151" s="29"/>
      <c r="E151" s="29"/>
      <c r="F151" s="29"/>
      <c r="G151" s="188"/>
      <c r="H151" s="29"/>
      <c r="I151" s="35"/>
      <c r="J151" s="29"/>
      <c r="K151" s="172" t="str">
        <f>IFERROR(IF(K150="","",VLOOKUP(K150,LISTAS!$F$5:$G$1004,2,0)),"0")</f>
        <v>IEBURIX -SBC</v>
      </c>
      <c r="L151" s="267"/>
      <c r="M151" s="138"/>
      <c r="N151" s="101"/>
      <c r="O151" s="190"/>
      <c r="P151" s="29"/>
      <c r="Q151" s="37"/>
      <c r="R151" s="198"/>
      <c r="S151" s="37"/>
      <c r="T151" s="37"/>
      <c r="U151" s="37"/>
      <c r="V151" s="198"/>
      <c r="W151" s="37"/>
      <c r="X151" s="86"/>
      <c r="Y151" s="198"/>
      <c r="Z151" s="94"/>
      <c r="AA151" s="37"/>
      <c r="AB151" s="267"/>
      <c r="AC151" s="172" t="str">
        <f>IFERROR(IF(AC150="","",VLOOKUP(AC150,LISTAS!$F$5:$G$1004,2,0)),"0")</f>
        <v>ABACO IPIRANGA</v>
      </c>
      <c r="AD151" s="37"/>
      <c r="AE151" s="144"/>
      <c r="AF151" s="100"/>
      <c r="AG151" s="197"/>
      <c r="AH151" s="100"/>
      <c r="AI151" s="100"/>
      <c r="AJ151" s="29"/>
      <c r="AK151" s="188"/>
      <c r="AL151" s="29"/>
      <c r="AP151" s="31">
        <f>IF(AR151&lt;&gt;"",1+COUNTIF(AP136:AP150,"1")+COUNTIF(AP136:AP150,"2")+COUNTIF(AP136:AP150,"3")+COUNTIF(AP136:AP150,"4")+COUNTIF(AP136:AP150,"5")+COUNTIF(AP136:AP150,"6")+COUNTIF(AP136:AP150,"7")+COUNTIF(AP136:AP150,"8")+COUNTIF(AP136:AP150,"9")+COUNTIF(AP136:AP150,"10")+COUNTIF(AP136:AP150,"11")+COUNTIF(AP136:AP150,"12")+COUNTIF(AP136:AP150,"13")+COUNTIF(AP136:AP150,"14")+COUNTIF(AP136:AP150,"15"),"")</f>
        <v>16</v>
      </c>
      <c r="AQ151" s="32" t="str">
        <f t="shared" si="6"/>
        <v>LUGAR</v>
      </c>
      <c r="AR151" s="111" t="str">
        <f>IF(AR143&lt;&gt;"",IF(G140=AR143,G142,IF(G142=AR143,G140,IF(G156=AR143,G158,IF(G158=AR143,G156,IF(AG140=AR143,AG142,IF(AG142=AR143,AG140,IF(AG156=AR143,AG158,IF(AG158=AR143,AG156,IF(G170=AR143,G172,IF(G172=AR143,G170,IF(G186=AR143,G188,IF(G188=AR143,G186,IF(AG170=AR143,AG172,IF(AG172=AR143,AG170,IF(AG186=AR143,AG188,IF(AG188=AR143,AG186)))))))))))))))),"")</f>
        <v>JOÃO LUCAS DIAS</v>
      </c>
      <c r="AS151" s="33" t="str">
        <f>IFERROR(IF(AR151="","",VLOOKUP(AR151,LISTAS!$F$5:$G$1004,2,0)),"0")</f>
        <v>ABACO IPIRANGA</v>
      </c>
      <c r="AT151" s="33">
        <f t="shared" si="7"/>
        <v>28</v>
      </c>
      <c r="AU151" s="33">
        <f t="shared" si="8"/>
        <v>28</v>
      </c>
    </row>
    <row r="152" spans="2:47" ht="18" customHeight="1" x14ac:dyDescent="0.25">
      <c r="B152" s="133">
        <v>9</v>
      </c>
      <c r="C152" s="171" t="str">
        <f>IF('09M GRP'!G5&gt;=3,'09M GRP'!J127,IF('09M GRP'!G5=2,"",IF('09M GRP'!G5=1,"","")))</f>
        <v>GUILHERME KINA DER FORTES</v>
      </c>
      <c r="D152" s="266">
        <v>0</v>
      </c>
      <c r="E152" s="101">
        <f>IF(D152&lt;&gt;"",D152,"")</f>
        <v>0</v>
      </c>
      <c r="F152" s="101" t="str">
        <f>IF(D152&lt;&gt;"",IF(C152="","",C152),"")</f>
        <v>GUILHERME KINA DER FORTES</v>
      </c>
      <c r="G152" s="190">
        <f>IF(E152&lt;&gt;"",IF(E154&lt;&gt;"",SMALL(E152:E154,1),""),"")</f>
        <v>0</v>
      </c>
      <c r="H152" s="101"/>
      <c r="I152" s="138"/>
      <c r="J152" s="29"/>
      <c r="K152" s="188"/>
      <c r="L152" s="29"/>
      <c r="M152" s="138"/>
      <c r="N152" s="101"/>
      <c r="O152" s="190"/>
      <c r="P152" s="29"/>
      <c r="Q152" s="37"/>
      <c r="R152" s="198"/>
      <c r="S152" s="37"/>
      <c r="T152" s="37"/>
      <c r="U152" s="37"/>
      <c r="V152" s="198"/>
      <c r="W152" s="37"/>
      <c r="X152" s="86"/>
      <c r="Y152" s="198"/>
      <c r="Z152" s="94"/>
      <c r="AA152" s="37"/>
      <c r="AB152" s="29"/>
      <c r="AC152" s="198"/>
      <c r="AD152" s="37"/>
      <c r="AE152" s="144"/>
      <c r="AF152" s="100"/>
      <c r="AG152" s="197">
        <f>IF(AJ152&lt;&gt;"",AJ152,"")</f>
        <v>1</v>
      </c>
      <c r="AH152" s="100" t="str">
        <f>IF(AJ152&lt;&gt;"",IF(AK152="","",AK152),"")</f>
        <v>ANTONIO PAVÃO VIEIRA</v>
      </c>
      <c r="AI152" s="101">
        <f>IF(AG152&lt;&gt;"",IF(AG154&lt;&gt;"",SMALL(AG152:AG154,1),""),"")</f>
        <v>0</v>
      </c>
      <c r="AJ152" s="266">
        <v>1</v>
      </c>
      <c r="AK152" s="171" t="str">
        <f>IF('09M GRP'!G5&gt;=3,'09M GRP'!J296,IF('09M GRP'!G5=2,"",IF('09M GRP'!G5=1,"","")))</f>
        <v>ANTONIO PAVÃO VIEIRA</v>
      </c>
      <c r="AL152" s="29">
        <v>22</v>
      </c>
      <c r="AP152" s="31">
        <f>IF(AR152&lt;&gt;"",1+COUNTIF(AP136:AP151,"1")+COUNTIF(AP136:AP151,"2")+COUNTIF(AP136:AP151,"3")+COUNTIF(AP136:AP151,"4")+COUNTIF(AP136:AP151,"5")+COUNTIF(AP136:AP151,"6")+COUNTIF(AP136:AP151,"7")+COUNTIF(AP136:AP151,"8")+COUNTIF(AP136:AP151,"9")+COUNTIF(AP136:AP151,"10")+COUNTIF(AP136:AP151,"11")+COUNTIF(AP136:AP151,"12")+COUNTIF(AP136:AP151,"13")+COUNTIF(AP136:AP151,"14")+COUNTIF(AP136:AP151,"15")+COUNTIF(AP136:AP151,"16"),"")</f>
        <v>17</v>
      </c>
      <c r="AQ152" s="32" t="str">
        <f t="shared" si="6"/>
        <v>LUGAR</v>
      </c>
      <c r="AR152" s="111" t="str">
        <f>IF(AR136&lt;&gt;"",IF(C136=AR136,G138,IF(C138=AR136,G138,IF(C144=AR136,G146,IF(C146=AR136,G146,IF(C166=AR136,G168,IF(C168=AR136,G168,IF(C174=AR136,G176,IF(C176=AR136,G176,IF(C152=AR136,G154,IF(C154=AR136,G154,IF(C160=AR136,G162,IF(C162=AR136,G162,IF(C182=AR136,G184,IF(C184=AR136,G184,IF(C190=AR136,G192,IF(C192=AR136,G192,IF(AK136=AR136,AI138,IF(AK138=AR136,AI138,IF(AK144=AR136,AI146,IF(AK146=AR136,AI146,IF(AK166=AR136,AI168,IF(AK168=AR136,AI168,IF(AK174=AR136,AI176,IF(AK176=AR136,AI176,IF(AK152=AR136,AI154,IF(AK154=AR136,AI154,IF(AK160=AR136,AI162,IF(AK162=AR136,AI162,IF(AK182=AR136,AI184,IF(AK184=AR136,AI184,IF(AK190=AR136,AI192,IF(AK192=AR136,AI192)))))))))))))))))))))))))))))))),"")</f>
        <v>MATEUS DE BRITO ALINERI</v>
      </c>
      <c r="AS152" s="33" t="str">
        <f>IFERROR(IF(AR152="","",VLOOKUP(AR152,LISTAS!$F$5:$G$1004,2,0)),"0")</f>
        <v>COLÉGIO ATENEU</v>
      </c>
      <c r="AT152" s="33" t="str">
        <f t="shared" si="7"/>
        <v/>
      </c>
      <c r="AU152" s="33" t="str">
        <f t="shared" si="8"/>
        <v/>
      </c>
    </row>
    <row r="153" spans="2:47" ht="18" customHeight="1" thickBot="1" x14ac:dyDescent="0.3">
      <c r="B153" s="133"/>
      <c r="C153" s="172" t="str">
        <f>IFERROR(IF(C152="","",VLOOKUP(C152,LISTAS!$F$5:$G$1004,2,0)),"0")</f>
        <v>COLÉGIO ATENEU</v>
      </c>
      <c r="D153" s="267"/>
      <c r="E153" s="101"/>
      <c r="F153" s="101"/>
      <c r="G153" s="190"/>
      <c r="H153" s="101"/>
      <c r="I153" s="138"/>
      <c r="J153" s="29"/>
      <c r="K153" s="188"/>
      <c r="L153" s="29"/>
      <c r="M153" s="138"/>
      <c r="N153" s="101"/>
      <c r="O153" s="190"/>
      <c r="P153" s="29"/>
      <c r="Q153" s="37"/>
      <c r="R153" s="198"/>
      <c r="S153" s="37"/>
      <c r="T153" s="37"/>
      <c r="U153" s="37"/>
      <c r="V153" s="198"/>
      <c r="W153" s="37"/>
      <c r="X153" s="86"/>
      <c r="Y153" s="198"/>
      <c r="Z153" s="94"/>
      <c r="AA153" s="37"/>
      <c r="AB153" s="29"/>
      <c r="AC153" s="198"/>
      <c r="AD153" s="37"/>
      <c r="AE153" s="144"/>
      <c r="AF153" s="100"/>
      <c r="AG153" s="197"/>
      <c r="AH153" s="100"/>
      <c r="AI153" s="101"/>
      <c r="AJ153" s="267"/>
      <c r="AK153" s="172" t="str">
        <f>IFERROR(IF(AK152="","",VLOOKUP(AK152,LISTAS!$F$5:$G$1004,2,0)),"0")</f>
        <v>IEBURIX -SBC</v>
      </c>
      <c r="AL153" s="29"/>
      <c r="AP153" s="31">
        <f>IF(AR153&lt;&gt;"",1+COUNTIF(AP136:AP152,"1")+COUNTIF(AP136:AP152,"2")+COUNTIF(AP136:AP152,"3")+COUNTIF(AP136:AP152,"4")+COUNTIF(AP136:AP152,"5")+COUNTIF(AP136:AP152,"6")+COUNTIF(AP136:AP152,"7")+COUNTIF(AP136:AP152,"8")+COUNTIF(AP136:AP152,"9")+COUNTIF(AP136:AP152,"10")+COUNTIF(AP136:AP152,"11")+COUNTIF(AP136:AP152,"12")+COUNTIF(AP136:AP152,"13")+COUNTIF(AP136:AP152,"14")+COUNTIF(AP136:AP152,"15")+COUNTIF(AP136:AP152,"16")+COUNTIF(AP136:AP152,"17"),"")</f>
        <v>18</v>
      </c>
      <c r="AQ153" s="32" t="str">
        <f t="shared" si="6"/>
        <v>LUGAR</v>
      </c>
      <c r="AR153" s="111" t="str">
        <f>IF(AR137&lt;&gt;"",IF(C136=AR137,G138,IF(C138=AR137,G138,IF(C144=AR137,G146,IF(C146=AR137,G146,IF(C166=AR137,G168,IF(C168=AR137,G168,IF(C174=AR137,G176,IF(C176=AR137,G176,IF(C152=AR137,G154,IF(C154=AR137,G154,IF(C160=AR137,G162,IF(C162=AR137,G162,IF(C182=AR137,G184,IF(C184=AR137,G184,IF(C190=AR137,G192,IF(C192=AR137,G192,IF(AK136=AR137,AI138,IF(AK138=AR137,AI138,IF(AK144=AR137,AI146,IF(AK146=AR137,AI146,IF(AK166=AR137,AI168,IF(AK168=AR137,AI168,IF(AK174=AR137,AI176,IF(AK176=AR137,AI176,IF(AK152=AR137,AI154,IF(AK154=AR137,AI154,IF(AK160=AR137,AI162,IF(AK162=AR137,AI162,IF(AK182=AR137,AI184,IF(AK184=AR137,AI184,IF(AK190=AR137,AI192,IF(AK192=AR137,AI192)))))))))))))))))))))))))))))))),"")</f>
        <v>LUCCA BENJAMIN BARBOSA MORENO</v>
      </c>
      <c r="AS153" s="33" t="str">
        <f>IFERROR(IF(AR153="","",VLOOKUP(AR153,LISTAS!$F$5:$G$1004,2,0)),"0")</f>
        <v>COLÉGIO ARBOS - UNIDADE SANTO ANDRÉ</v>
      </c>
      <c r="AT153" s="33" t="str">
        <f t="shared" si="7"/>
        <v/>
      </c>
      <c r="AU153" s="33" t="str">
        <f t="shared" si="8"/>
        <v/>
      </c>
    </row>
    <row r="154" spans="2:47" ht="18" customHeight="1" x14ac:dyDescent="0.25">
      <c r="B154" s="133">
        <v>24</v>
      </c>
      <c r="C154" s="171" t="str">
        <f>IF('09M GRP'!G5&gt;=3,'09M GRP'!J322,IF('09M GRP'!G5=2,"",IF('09M GRP'!G5=1,"","")))</f>
        <v>MIGUEL CHAGAS DA SILVA</v>
      </c>
      <c r="D154" s="266">
        <v>1</v>
      </c>
      <c r="E154" s="107">
        <f>IF(D154&lt;&gt;"",D154,"")</f>
        <v>1</v>
      </c>
      <c r="F154" s="101" t="str">
        <f>IF(D154&lt;&gt;"",IF(C154="","",C154),"")</f>
        <v>MIGUEL CHAGAS DA SILVA</v>
      </c>
      <c r="G154" s="190" t="str">
        <f>VLOOKUP(G152,E152:F154,2,0)</f>
        <v>GUILHERME KINA DER FORTES</v>
      </c>
      <c r="H154" s="101"/>
      <c r="I154" s="138"/>
      <c r="J154" s="29"/>
      <c r="K154" s="188"/>
      <c r="L154" s="29"/>
      <c r="M154" s="35"/>
      <c r="N154" s="29"/>
      <c r="O154" s="188"/>
      <c r="P154" s="29"/>
      <c r="Q154" s="37"/>
      <c r="R154" s="198"/>
      <c r="S154" s="37"/>
      <c r="T154" s="37"/>
      <c r="U154" s="37"/>
      <c r="V154" s="198"/>
      <c r="W154" s="37"/>
      <c r="X154" s="86"/>
      <c r="Y154" s="198"/>
      <c r="Z154" s="94"/>
      <c r="AA154" s="37"/>
      <c r="AB154" s="29"/>
      <c r="AC154" s="198"/>
      <c r="AD154" s="37"/>
      <c r="AE154" s="144"/>
      <c r="AF154" s="100"/>
      <c r="AG154" s="197">
        <f>IF(AJ154&lt;&gt;"",AJ154,"")</f>
        <v>0</v>
      </c>
      <c r="AH154" s="100" t="str">
        <f>IF(AJ154&lt;&gt;"",IF(AK154="","",AK154),"")</f>
        <v>GUSTAVO ROLDAN DACAR BALLARIN</v>
      </c>
      <c r="AI154" s="102" t="str">
        <f>VLOOKUP(AI152,AG152:AH154,2,0)</f>
        <v>GUSTAVO ROLDAN DACAR BALLARIN</v>
      </c>
      <c r="AJ154" s="266">
        <v>0</v>
      </c>
      <c r="AK154" s="171" t="str">
        <f>IF('09M GRP'!G5&gt;=3,'09M GRP'!J153,IF('09M GRP'!G5=2,"",IF('09M GRP'!G5=1,"","")))</f>
        <v>GUSTAVO ROLDAN DACAR BALLARIN</v>
      </c>
      <c r="AL154" s="29">
        <v>11</v>
      </c>
      <c r="AP154" s="31">
        <f>IF(AR154&lt;&gt;"",1+COUNTIF(AP136:AP153,"1")+COUNTIF(AP136:AP153,"2")+COUNTIF(AP136:AP153,"3")+COUNTIF(AP136:AP153,"4")+COUNTIF(AP136:AP153,"5")+COUNTIF(AP136:AP153,"6")+COUNTIF(AP136:AP153,"7")+COUNTIF(AP136:AP153,"8")+COUNTIF(AP136:AP153,"9")+COUNTIF(AP136:AP153,"10")+COUNTIF(AP136:AP153,"11")+COUNTIF(AP136:AP153,"12")+COUNTIF(AP136:AP153,"13")+COUNTIF(AP136:AP153,"14")+COUNTIF(AP136:AP153,"15")+COUNTIF(AP136:AP153,"16")+COUNTIF(AP136:AP153,"17")+COUNTIF(AP136:AP153,"18"),"")</f>
        <v>19</v>
      </c>
      <c r="AQ154" s="32" t="str">
        <f t="shared" si="6"/>
        <v>LUGAR</v>
      </c>
      <c r="AR154" s="111" t="str">
        <f>IF(AR138&lt;&gt;"",IF(C136=AR138,G138,IF(C138=AR138,G138,IF(C144=AR138,G146,IF(C146=AR138,G146,IF(C166=AR138,G168,IF(C168=AR138,G168,IF(C174=AR138,G176,IF(C176=AR138,G176,IF(C152=AR138,G154,IF(C154=AR138,G154,IF(C160=AR138,G162,IF(C162=AR138,G162,IF(C182=AR138,G184,IF(C184=AR138,G184,IF(C190=AR138,G192,IF(C192=AR138,G192,IF(AK136=AR138,AI138,IF(AK138=AR138,AI138,IF(AK144=AR138,AI146,IF(AK146=AR138,AI146,IF(AK166=AR138,AI168,IF(AK168=AR138,AI168,IF(AK174=AR138,AI176,IF(AK176=AR138,AI176,IF(AK152=AR138,AI154,IF(AK154=AR138,AI154,IF(AK160=AR138,AI162,IF(AK162=AR138,AI162,IF(AK182=AR138,AI184,IF(AK184=AR138,AI184,IF(AK190=AR138,AI192,IF(AK192=AR138,AI192)))))))))))))))))))))))))))))))),"")</f>
        <v>BYE</v>
      </c>
      <c r="AS154" s="33" t="str">
        <f>IFERROR(IF(AR154="","",VLOOKUP(AR154,LISTAS!$F$5:$G$1004,2,0)),"0")</f>
        <v>BYE</v>
      </c>
      <c r="AT154" s="33" t="str">
        <f t="shared" si="7"/>
        <v/>
      </c>
      <c r="AU154" s="33" t="str">
        <f t="shared" si="8"/>
        <v/>
      </c>
    </row>
    <row r="155" spans="2:47" ht="18" customHeight="1" thickBot="1" x14ac:dyDescent="0.3">
      <c r="B155" s="133"/>
      <c r="C155" s="172" t="str">
        <f>IFERROR(IF(C154="","",VLOOKUP(C154,LISTAS!$F$5:$G$1004,2,0)),"0")</f>
        <v>IEBURIX -SBC</v>
      </c>
      <c r="D155" s="267"/>
      <c r="E155" s="148"/>
      <c r="F155" s="101"/>
      <c r="G155" s="190"/>
      <c r="H155" s="101"/>
      <c r="I155" s="138"/>
      <c r="J155" s="87"/>
      <c r="K155" s="192"/>
      <c r="L155" s="87"/>
      <c r="M155" s="93"/>
      <c r="N155" s="29"/>
      <c r="O155" s="188"/>
      <c r="P155" s="29"/>
      <c r="Q155" s="37"/>
      <c r="R155" s="198"/>
      <c r="S155" s="37"/>
      <c r="T155" s="37"/>
      <c r="U155" s="37"/>
      <c r="V155" s="198"/>
      <c r="W155" s="37"/>
      <c r="X155" s="86"/>
      <c r="Y155" s="198"/>
      <c r="Z155" s="94"/>
      <c r="AA155" s="37"/>
      <c r="AB155" s="29"/>
      <c r="AC155" s="198"/>
      <c r="AD155" s="37"/>
      <c r="AE155" s="144"/>
      <c r="AF155" s="100"/>
      <c r="AG155" s="197"/>
      <c r="AH155" s="100"/>
      <c r="AI155" s="142"/>
      <c r="AJ155" s="267"/>
      <c r="AK155" s="172" t="str">
        <f>IFERROR(IF(AK154="","",VLOOKUP(AK154,LISTAS!$F$5:$G$1004,2,0)),"0")</f>
        <v>PEN LIFE</v>
      </c>
      <c r="AL155" s="29"/>
      <c r="AP155" s="31">
        <f>IF(AR155&lt;&gt;"",1+COUNTIF(AP136:AP154,"1")+COUNTIF(AP136:AP154,"2")+COUNTIF(AP136:AP154,"3")+COUNTIF(AP136:AP154,"4")+COUNTIF(AP136:AP154,"5")+COUNTIF(AP136:AP154,"6")+COUNTIF(AP136:AP154,"7")+COUNTIF(AP136:AP154,"8")+COUNTIF(AP136:AP154,"9")+COUNTIF(AP136:AP154,"10")+COUNTIF(AP136:AP154,"11")+COUNTIF(AP136:AP154,"12")+COUNTIF(AP136:AP154,"13")+COUNTIF(AP136:AP154,"14")+COUNTIF(AP136:AP154,"15")+COUNTIF(AP136:AP154,"16")+COUNTIF(AP136:AP154,"17")+COUNTIF(AP136:AP154,"18")+COUNTIF(AP136:AP154,"19"),"")</f>
        <v>20</v>
      </c>
      <c r="AQ155" s="32" t="str">
        <f t="shared" si="6"/>
        <v>LUGAR</v>
      </c>
      <c r="AR155" s="111" t="str">
        <f>IF(AR139&lt;&gt;"",IF(C136=AR139,G138,IF(C138=AR139,G138,IF(C144=AR139,G146,IF(C146=AR139,G146,IF(C166=AR139,G168,IF(C168=AR139,G168,IF(C174=AR139,G176,IF(C176=AR139,G176,IF(C152=AR139,G154,IF(C154=AR139,G154,IF(C160=AR139,G162,IF(C162=AR139,G162,IF(C182=AR139,G184,IF(C184=AR139,G184,IF(C190=AR139,G192,IF(C192=AR139,G192,IF(AK136=AR139,AI138,IF(AK138=AR139,AI138,IF(AK144=AR139,AI146,IF(AK146=AR139,AI146,IF(AK166=AR139,AI168,IF(AK168=AR139,AI168,IF(AK174=AR139,AI176,IF(AK176=AR139,AI176,IF(AK152=AR139,AI154,IF(AK154=AR139,AI154,IF(AK160=AR139,AI162,IF(AK162=AR139,AI162,IF(AK182=AR139,AI184,IF(AK184=AR139,AI184,IF(AK190=AR139,AI192,IF(AK192=AR139,AI192)))))))))))))))))))))))))))))))),"")</f>
        <v>THEO SCHNYDER HERNANDES</v>
      </c>
      <c r="AS155" s="33" t="str">
        <f>IFERROR(IF(AR155="","",VLOOKUP(AR155,LISTAS!$F$5:$G$1004,2,0)),"0")</f>
        <v>COLÉGIO ATENEU</v>
      </c>
      <c r="AT155" s="33" t="str">
        <f t="shared" si="7"/>
        <v/>
      </c>
      <c r="AU155" s="33" t="str">
        <f t="shared" si="8"/>
        <v/>
      </c>
    </row>
    <row r="156" spans="2:47" ht="18" customHeight="1" x14ac:dyDescent="0.25">
      <c r="B156" s="133"/>
      <c r="C156" s="188"/>
      <c r="D156" s="29"/>
      <c r="E156" s="29"/>
      <c r="F156" s="34"/>
      <c r="G156" s="171" t="str">
        <f>IF(D152&lt;&gt;"",IF(D154&lt;&gt;"",IF(D152=D154,"",IF(D152&gt;D154,C152,C154)),""),"")</f>
        <v>MIGUEL CHAGAS DA SILVA</v>
      </c>
      <c r="H156" s="266">
        <v>0</v>
      </c>
      <c r="I156" s="148">
        <f>IF(H156&lt;&gt;"",H156,"")</f>
        <v>0</v>
      </c>
      <c r="J156" s="101" t="str">
        <f>IF(H156&lt;&gt;"",IF(G156="","",G156),"")</f>
        <v>MIGUEL CHAGAS DA SILVA</v>
      </c>
      <c r="K156" s="190">
        <f>IF(I156&lt;&gt;"",IF(I158&lt;&gt;"",SMALL(I156:J158,1),""),"")</f>
        <v>0</v>
      </c>
      <c r="L156" s="101"/>
      <c r="M156" s="93"/>
      <c r="N156" s="29"/>
      <c r="O156" s="188"/>
      <c r="P156" s="29"/>
      <c r="Q156" s="37"/>
      <c r="R156" s="198"/>
      <c r="S156" s="37"/>
      <c r="T156" s="37"/>
      <c r="U156" s="37"/>
      <c r="V156" s="198"/>
      <c r="W156" s="37"/>
      <c r="X156" s="86"/>
      <c r="Y156" s="198"/>
      <c r="Z156" s="94"/>
      <c r="AA156" s="37"/>
      <c r="AB156" s="29"/>
      <c r="AC156" s="198"/>
      <c r="AD156" s="37"/>
      <c r="AE156" s="34"/>
      <c r="AF156" s="266">
        <v>0</v>
      </c>
      <c r="AG156" s="171" t="str">
        <f>IF(AJ152&lt;&gt;"",IF(AJ154&lt;&gt;"",IF(AJ152=AJ154,"",IF(AJ152&gt;AJ154,AK152,AK154)),""),"")</f>
        <v>ANTONIO PAVÃO VIEIRA</v>
      </c>
      <c r="AH156" s="94"/>
      <c r="AI156" s="37"/>
      <c r="AJ156" s="29"/>
      <c r="AK156" s="188"/>
      <c r="AL156" s="29"/>
      <c r="AP156" s="31" t="str">
        <f>IF(AR156&lt;&gt;"",1+COUNTIF(AP136:AP155,"1")+COUNTIF(AP136:AP155,"2")+COUNTIF(AP136:AP155,"3")+COUNTIF(AP136:AP155,"4")+COUNTIF(AP136:AP155,"5")+COUNTIF(AP136:AP155,"6")+COUNTIF(AP136:AP155,"7")+COUNTIF(AP136:AP155,"8")+COUNTIF(AP136:AP155,"9")+COUNTIF(AP136:AP155,"10")+COUNTIF(AP136:AP155,"11")+COUNTIF(AP136:AP155,"12")+COUNTIF(AP136:AP155,"13")+COUNTIF(AP136:AP155,"14")+COUNTIF(AP136:AP155,"15")+COUNTIF(AP136:AP155,"16")+COUNTIF(AP136:AP155,"17")+COUNTIF(AP136:AP155,"18")+COUNTIF(AP136:AP155,"19")+COUNTIF(AP136:AP155,"20"),"")</f>
        <v/>
      </c>
      <c r="AQ156" s="32" t="str">
        <f t="shared" si="6"/>
        <v/>
      </c>
      <c r="AR156" s="111" t="str">
        <f>IF(AR140&lt;&gt;"",IF(C136=AR140,G138,IF(C138=AR140,G138,IF(C144=AR140,G146,IF(C146=AR140,G146,IF(C166=AR140,G168,IF(C168=AR140,G168,IF(C174=AR140,G176,IF(C176=AR140,G176,IF(C152=AR140,G154,IF(C154=AR140,G154,IF(C160=AR140,G162,IF(C162=AR140,G162,IF(C182=AR140,G184,IF(C184=AR140,G184,IF(C190=AR140,G192,IF(C192=AR140,G192,IF(AK136=AR140,AI138,IF(AK138=AR140,AI138,IF(AK144=AR140,AI146,IF(AK146=AR140,AI146,IF(AK166=AR140,AI168,IF(AK168=AR140,AI168,IF(AK174=AR140,AI176,IF(AK176=AR140,AI176,IF(AK152=AR140,AI154,IF(AK154=AR140,AI154,IF(AK160=AR140,AI162,IF(AK162=AR140,AI162,IF(AK182=AR140,AI184,IF(AK184=AR140,AI184,IF(AK190=AR140,AI192,IF(AK192=AR140,AI192)))))))))))))))))))))))))))))))),"")</f>
        <v/>
      </c>
      <c r="AS156" s="33" t="str">
        <f>IFERROR(IF(AR156="","",VLOOKUP(AR156,LISTAS!$F$5:$G$1004,2,0)),"0")</f>
        <v/>
      </c>
      <c r="AT156" s="33" t="str">
        <f t="shared" si="7"/>
        <v/>
      </c>
      <c r="AU156" s="33" t="str">
        <f t="shared" si="8"/>
        <v/>
      </c>
    </row>
    <row r="157" spans="2:47" ht="18" customHeight="1" thickBot="1" x14ac:dyDescent="0.3">
      <c r="B157" s="133"/>
      <c r="C157" s="188"/>
      <c r="D157" s="29"/>
      <c r="E157" s="29"/>
      <c r="F157" s="34"/>
      <c r="G157" s="172" t="str">
        <f>IFERROR(IF(G156="","",VLOOKUP(G156,LISTAS!$F$5:$G$1004,2,0)),"0")</f>
        <v>IEBURIX -SBC</v>
      </c>
      <c r="H157" s="267"/>
      <c r="I157" s="105"/>
      <c r="J157" s="101"/>
      <c r="K157" s="190"/>
      <c r="L157" s="101"/>
      <c r="M157" s="93"/>
      <c r="N157" s="29"/>
      <c r="O157" s="188"/>
      <c r="P157" s="29"/>
      <c r="Q157" s="37"/>
      <c r="R157" s="198"/>
      <c r="S157" s="37"/>
      <c r="T157" s="37"/>
      <c r="U157" s="37"/>
      <c r="V157" s="198"/>
      <c r="W157" s="37"/>
      <c r="X157" s="86"/>
      <c r="Y157" s="198"/>
      <c r="Z157" s="94"/>
      <c r="AA157" s="37"/>
      <c r="AB157" s="29"/>
      <c r="AC157" s="198"/>
      <c r="AD157" s="37"/>
      <c r="AE157" s="140"/>
      <c r="AF157" s="267"/>
      <c r="AG157" s="172" t="str">
        <f>IFERROR(IF(AG156="","",VLOOKUP(AG156,LISTAS!$F$5:$G$1004,2,0)),"0")</f>
        <v>IEBURIX -SBC</v>
      </c>
      <c r="AH157" s="94"/>
      <c r="AI157" s="37"/>
      <c r="AJ157" s="29"/>
      <c r="AK157" s="188"/>
      <c r="AL157" s="29"/>
      <c r="AP157" s="31">
        <f>IF(AR157&lt;&gt;"",1+COUNTIF(AP136:AP156,"1")+COUNTIF(AP136:AP156,"2")+COUNTIF(AP136:AP156,"3")+COUNTIF(AP136:AP156,"4")+COUNTIF(AP136:AP156,"5")+COUNTIF(AP136:AP156,"6")+COUNTIF(AP136:AP156,"7")+COUNTIF(AP136:AP156,"8")+COUNTIF(AP136:AP156,"9")+COUNTIF(AP136:AP156,"10")+COUNTIF(AP136:AP156,"11")+COUNTIF(AP136:AP156,"12")+COUNTIF(AP136:AP156,"13")+COUNTIF(AP136:AP156,"14")+COUNTIF(AP136:AP156,"15")+COUNTIF(AP136:AP156,"16")+COUNTIF(AP136:AP156,"17")+COUNTIF(AP136:AP156,"18")+COUNTIF(AP136:AP156,"19")+COUNTIF(AP136:AP156,"20")+COUNTIF(AP136:AP156,"21"),"")</f>
        <v>21</v>
      </c>
      <c r="AQ157" s="32" t="str">
        <f t="shared" si="6"/>
        <v>LUGAR</v>
      </c>
      <c r="AR157" s="111" t="str">
        <f>IF(AR141&lt;&gt;"",IF(C136=AR141,G138,IF(C138=AR141,G138,IF(C144=AR141,G146,IF(C146=AR141,G146,IF(C166=AR141,G168,IF(C168=AR141,G168,IF(C174=AR141,G176,IF(C176=AR141,G176,IF(C152=AR141,G154,IF(C154=AR141,G154,IF(C160=AR141,G162,IF(C162=AR141,G162,IF(C182=AR141,G184,IF(C184=AR141,G184,IF(C190=AR141,G192,IF(C192=AR141,G192,IF(AK136=AR141,AI138,IF(AK138=AR141,AI138,IF(AK144=AR141,AI146,IF(AK146=AR141,AI146,IF(AK166=AR141,AI168,IF(AK168=AR141,AI168,IF(AK174=AR141,AI176,IF(AK176=AR141,AI176,IF(AK152=AR141,AI154,IF(AK154=AR141,AI154,IF(AK160=AR141,AI162,IF(AK162=AR141,AI162,IF(AK182=AR141,AI184,IF(AK184=AR141,AI184,IF(AK190=AR141,AI192,IF(AK192=AR141,AI192)))))))))))))))))))))))))))))))),"")</f>
        <v>LUCAS ROCHETTI VAZQUEZ CARMO</v>
      </c>
      <c r="AS157" s="33" t="str">
        <f>IFERROR(IF(AR157="","",VLOOKUP(AR157,LISTAS!$F$5:$G$1004,2,0)),"0")</f>
        <v>LICEU JARDIM</v>
      </c>
      <c r="AT157" s="33" t="str">
        <f t="shared" si="7"/>
        <v/>
      </c>
      <c r="AU157" s="33" t="str">
        <f t="shared" si="8"/>
        <v/>
      </c>
    </row>
    <row r="158" spans="2:47" ht="18" customHeight="1" x14ac:dyDescent="0.25">
      <c r="B158" s="133"/>
      <c r="C158" s="188"/>
      <c r="D158" s="29"/>
      <c r="E158" s="35"/>
      <c r="F158" s="36"/>
      <c r="G158" s="171" t="str">
        <f>IF(D160&lt;&gt;"",IF(D162&lt;&gt;"",IF(D160=D162,"",IF(D160&gt;D162,C160,C162)),""),"")</f>
        <v>BENJAMIN CAMARGO</v>
      </c>
      <c r="H158" s="266">
        <v>1</v>
      </c>
      <c r="I158" s="106">
        <f>IF(H158&lt;&gt;"",H158,"")</f>
        <v>1</v>
      </c>
      <c r="J158" s="101" t="str">
        <f>IF(H158&lt;&gt;"",IF(G158="","",G158),"")</f>
        <v>BENJAMIN CAMARGO</v>
      </c>
      <c r="K158" s="190" t="str">
        <f>VLOOKUP(K156,I156:J158,2,0)</f>
        <v>MIGUEL CHAGAS DA SILVA</v>
      </c>
      <c r="L158" s="101"/>
      <c r="M158" s="93"/>
      <c r="N158" s="29"/>
      <c r="O158" s="188"/>
      <c r="P158" s="29"/>
      <c r="Q158" s="37"/>
      <c r="R158" s="198"/>
      <c r="S158" s="37"/>
      <c r="T158" s="37"/>
      <c r="U158" s="37"/>
      <c r="V158" s="198"/>
      <c r="W158" s="37"/>
      <c r="X158" s="86"/>
      <c r="Y158" s="198"/>
      <c r="Z158" s="94"/>
      <c r="AA158" s="37"/>
      <c r="AB158" s="29"/>
      <c r="AC158" s="198"/>
      <c r="AD158" s="37"/>
      <c r="AE158" s="91"/>
      <c r="AF158" s="266">
        <v>1</v>
      </c>
      <c r="AG158" s="171" t="str">
        <f>IF(AJ160&lt;&gt;"",IF(AJ162&lt;&gt;"",IF(AJ160=AJ162,"",IF(AJ160&gt;AJ162,AK160,AK162)),""),"")</f>
        <v>FELIPE PARONETO REZENDE</v>
      </c>
      <c r="AH158" s="98"/>
      <c r="AI158" s="37"/>
      <c r="AJ158" s="29"/>
      <c r="AK158" s="188"/>
      <c r="AL158" s="29"/>
      <c r="AP158" s="31">
        <f>IF(AR158&lt;&gt;"",1+COUNTIF(AP136:AP157,"1")+COUNTIF(AP136:AP157,"2")+COUNTIF(AP136:AP157,"3")+COUNTIF(AP136:AP157,"4")+COUNTIF(AP136:AP157,"5")+COUNTIF(AP136:AP157,"6")+COUNTIF(AP136:AP157,"7")+COUNTIF(AP136:AP157,"8")+COUNTIF(AP136:AP157,"9")+COUNTIF(AP136:AP157,"10")+COUNTIF(AP136:AP157,"11")+COUNTIF(AP136:AP157,"12")+COUNTIF(AP136:AP157,"13")+COUNTIF(AP136:AP157,"14")+COUNTIF(AP136:AP157,"15")+COUNTIF(AP136:AP157,"16")+COUNTIF(AP136:AP157,"17")+COUNTIF(AP136:AP157,"18")+COUNTIF(AP136:AP157,"19")+COUNTIF(AP136:AP157,"20")+COUNTIF(AP136:AP157,"21")+COUNTIF(AP136:AP157,"22"),"")</f>
        <v>22</v>
      </c>
      <c r="AQ158" s="32" t="str">
        <f t="shared" si="6"/>
        <v>LUGAR</v>
      </c>
      <c r="AR158" s="111" t="str">
        <f>IF(AR142&lt;&gt;"",IF(C136=AR142,G138,IF(C138=AR142,G138,IF(C144=AR142,G146,IF(C146=AR142,G146,IF(C166=AR142,G168,IF(C168=AR142,G168,IF(C174=AR142,G176,IF(C176=AR142,G176,IF(C152=AR142,G154,IF(C154=AR142,G154,IF(C160=AR142,G162,IF(C162=AR142,G162,IF(C182=AR142,G184,IF(C184=AR142,G184,IF(C190=AR142,G192,IF(C192=AR142,G192,IF(AK136=AR142,AI138,IF(AK138=AR142,AI138,IF(AK144=AR142,AI146,IF(AK146=AR142,AI146,IF(AK166=AR142,AI168,IF(AK168=AR142,AI168,IF(AK174=AR142,AI176,IF(AK176=AR142,AI176,IF(AK152=AR142,AI154,IF(AK154=AR142,AI154,IF(AK160=AR142,AI162,IF(AK162=AR142,AI162,IF(AK182=AR142,AI184,IF(AK184=AR142,AI184,IF(AK190=AR142,AI192,IF(AK192=AR142,AI192)))))))))))))))))))))))))))))))),"")</f>
        <v>MIGUEL DE SANTANA SALVADOR LOPES</v>
      </c>
      <c r="AS158" s="33" t="str">
        <f>IFERROR(IF(AR158="","",VLOOKUP(AR158,LISTAS!$F$5:$G$1004,2,0)),"0")</f>
        <v>ABACO IPIRANGA</v>
      </c>
      <c r="AT158" s="33" t="str">
        <f t="shared" si="7"/>
        <v/>
      </c>
      <c r="AU158" s="33" t="str">
        <f t="shared" si="8"/>
        <v/>
      </c>
    </row>
    <row r="159" spans="2:47" ht="18" customHeight="1" thickBot="1" x14ac:dyDescent="0.3">
      <c r="B159" s="133"/>
      <c r="C159" s="188"/>
      <c r="D159" s="29"/>
      <c r="E159" s="35"/>
      <c r="F159" s="29"/>
      <c r="G159" s="172" t="str">
        <f>IFERROR(IF(G158="","",VLOOKUP(G158,LISTAS!$F$5:$G$1004,2,0)),"0")</f>
        <v>IEBURIX -SBC</v>
      </c>
      <c r="H159" s="267"/>
      <c r="I159" s="101"/>
      <c r="J159" s="101"/>
      <c r="K159" s="190"/>
      <c r="L159" s="101"/>
      <c r="M159" s="93"/>
      <c r="N159" s="29"/>
      <c r="O159" s="188"/>
      <c r="P159" s="29"/>
      <c r="Q159" s="37"/>
      <c r="R159" s="198"/>
      <c r="S159" s="37"/>
      <c r="T159" s="37"/>
      <c r="U159" s="37"/>
      <c r="V159" s="198"/>
      <c r="W159" s="37"/>
      <c r="X159" s="86"/>
      <c r="Y159" s="198"/>
      <c r="Z159" s="94"/>
      <c r="AA159" s="37"/>
      <c r="AB159" s="29"/>
      <c r="AC159" s="198"/>
      <c r="AD159" s="37"/>
      <c r="AE159" s="37"/>
      <c r="AF159" s="267"/>
      <c r="AG159" s="172" t="str">
        <f>IFERROR(IF(AG158="","",VLOOKUP(AG158,LISTAS!$F$5:$G$1004,2,0)),"0")</f>
        <v>ABACO IPIRANGA</v>
      </c>
      <c r="AH159" s="37"/>
      <c r="AI159" s="89"/>
      <c r="AJ159" s="29"/>
      <c r="AK159" s="188"/>
      <c r="AL159" s="29"/>
      <c r="AP159" s="31" t="str">
        <f>IF(AR159&lt;&gt;"",1+COUNTIF(AP136:AP158,"1")+COUNTIF(AP136:AP158,"2")+COUNTIF(AP136:AP158,"3")+COUNTIF(AP136:AP158,"4")+COUNTIF(AP136:AP158,"5")+COUNTIF(AP136:AP158,"6")+COUNTIF(AP136:AP158,"7")+COUNTIF(AP136:AP158,"8")+COUNTIF(AP136:AP158,"9")+COUNTIF(AP136:AP158,"10")+COUNTIF(AP136:AP158,"11")+COUNTIF(AP136:AP158,"12")+COUNTIF(AP136:AP158,"13")+COUNTIF(AP136:AP158,"14")+COUNTIF(AP136:AP158,"15")+COUNTIF(AP136:AP158,"16")+COUNTIF(AP136:AP158,"17")+COUNTIF(AP136:AP158,"18")+COUNTIF(AP136:AP158,"19")+COUNTIF(AP136:AP158,"20")+COUNTIF(AP136:AP158,"21")+COUNTIF(AP136:AP158,"22")+COUNTIF(AP136:AP158,"23"),"")</f>
        <v/>
      </c>
      <c r="AQ159" s="32" t="str">
        <f t="shared" si="6"/>
        <v/>
      </c>
      <c r="AR159" s="111" t="str">
        <f>IF(AR143&lt;&gt;"",IF(C136=AR143,G138,IF(C138=AR143,G138,IF(C144=AR143,G146,IF(C146=AR143,G146,IF(C166=AR143,G168,IF(C168=AR143,G168,IF(C174=AR143,G176,IF(C176=AR143,G176,IF(C152=AR143,G154,IF(C154=AR143,G154,IF(C160=AR143,G162,IF(C162=AR143,G162,IF(C182=AR143,G184,IF(C184=AR143,G184,IF(C190=AR143,G192,IF(C192=AR143,G192,IF(AK136=AR143,AI138,IF(AK138=AR143,AI138,IF(AK144=AR143,AI146,IF(AK146=AR143,AI146,IF(AK166=AR143,AI168,IF(AK168=AR143,AI168,IF(AK174=AR143,AI176,IF(AK176=AR143,AI176,IF(AK152=AR143,AI154,IF(AK154=AR143,AI154,IF(AK160=AR143,AI162,IF(AK162=AR143,AI162,IF(AK182=AR143,AI184,IF(AK184=AR143,AI184,IF(AK190=AR143,AI192,IF(AK192=AR143,AI192)))))))))))))))))))))))))))))))),"")</f>
        <v/>
      </c>
      <c r="AS159" s="33" t="str">
        <f>IFERROR(IF(AR159="","",VLOOKUP(AR159,LISTAS!$F$5:$G$1004,2,0)),"0")</f>
        <v/>
      </c>
      <c r="AT159" s="33" t="str">
        <f t="shared" si="7"/>
        <v/>
      </c>
      <c r="AU159" s="33" t="str">
        <f t="shared" si="8"/>
        <v/>
      </c>
    </row>
    <row r="160" spans="2:47" ht="18" customHeight="1" x14ac:dyDescent="0.25">
      <c r="B160" s="133">
        <v>25</v>
      </c>
      <c r="C160" s="171" t="str">
        <f>IF('09M GRP'!G5&gt;=3,'09M GRP'!J335,IF('09M GRP'!G5=2,"",IF('09M GRP'!G5=1,"","")))</f>
        <v>LUCAS ROCHETTI VAZQUEZ CARMO</v>
      </c>
      <c r="D160" s="266">
        <v>0</v>
      </c>
      <c r="E160" s="148">
        <f>IF(D160&lt;&gt;"",D160,"")</f>
        <v>0</v>
      </c>
      <c r="F160" s="101" t="str">
        <f>IF(D160&lt;&gt;"",IF(C160="","",C160),"")</f>
        <v>LUCAS ROCHETTI VAZQUEZ CARMO</v>
      </c>
      <c r="G160" s="190">
        <f>IF(E160&lt;&gt;"",IF(E162&lt;&gt;"",SMALL(E160:E162,1),""),"")</f>
        <v>0</v>
      </c>
      <c r="H160" s="101"/>
      <c r="I160" s="101"/>
      <c r="J160" s="101"/>
      <c r="K160" s="190"/>
      <c r="L160" s="101"/>
      <c r="M160" s="93"/>
      <c r="N160" s="29"/>
      <c r="O160" s="188"/>
      <c r="P160" s="29"/>
      <c r="Q160" s="37"/>
      <c r="R160" s="198"/>
      <c r="S160" s="37"/>
      <c r="T160" s="37"/>
      <c r="U160" s="37"/>
      <c r="V160" s="198"/>
      <c r="W160" s="37"/>
      <c r="X160" s="86"/>
      <c r="Y160" s="198"/>
      <c r="Z160" s="94"/>
      <c r="AA160" s="37"/>
      <c r="AB160" s="29"/>
      <c r="AC160" s="198"/>
      <c r="AD160" s="37"/>
      <c r="AE160" s="100"/>
      <c r="AF160" s="100"/>
      <c r="AG160" s="197">
        <f>IF(AJ160&lt;&gt;"",AJ160,"")</f>
        <v>0</v>
      </c>
      <c r="AH160" s="100" t="str">
        <f>IF(AJ160&lt;&gt;"",IF(AK160="","",AK160),"")</f>
        <v/>
      </c>
      <c r="AI160" s="137">
        <f>IF(AG160&lt;&gt;"",IF(AG162&lt;&gt;"",SMALL(AG160:AG162,1),""),"")</f>
        <v>0</v>
      </c>
      <c r="AJ160" s="270">
        <v>0</v>
      </c>
      <c r="AK160" s="201" t="str">
        <f>IF('09M GRP'!G5&gt;=3,'09M GRP'!J361,IF('09M GRP'!G5=2,"",IF('09M GRP'!G5=1,"","")))</f>
        <v/>
      </c>
      <c r="AL160" s="29">
        <v>27</v>
      </c>
      <c r="AP160" s="31" t="str">
        <f>IF(AR160&lt;&gt;"",1+COUNTIF(AP136:AP159,"1")+COUNTIF(AP136:AP159,"2")+COUNTIF(AP136:AP159,"3")+COUNTIF(AP136:AP159,"4")+COUNTIF(AP136:AP159,"5")+COUNTIF(AP136:AP159,"6")+COUNTIF(AP136:AP159,"7")+COUNTIF(AP136:AP159,"8")+COUNTIF(AP136:AP159,"9")+COUNTIF(AP136:AP159,"10")+COUNTIF(AP136:AP159,"11")+COUNTIF(AP136:AP159,"12")+COUNTIF(AP136:AP159,"13")+COUNTIF(AP136:AP159,"14")+COUNTIF(AP136:AP159,"15")+COUNTIF(AP136:AP159,"16")+COUNTIF(AP136:AP159,"17")+COUNTIF(AP136:AP159,"18")+COUNTIF(AP136:AP159,"19")+COUNTIF(AP136:AP159,"20")+COUNTIF(AP136:AP159,"21")+COUNTIF(AP136:AP159,"22")+COUNTIF(AP136:AP159,"23")+COUNTIF(AP136:AP159,"24"),"")</f>
        <v/>
      </c>
      <c r="AQ160" s="32" t="str">
        <f t="shared" si="6"/>
        <v/>
      </c>
      <c r="AR160" s="111" t="str">
        <f>IF(AR144&lt;&gt;"",IF(C136=AR144,G138,IF(C138=AR144,G138,IF(C144=AR144,G146,IF(C146=AR144,G146,IF(C166=AR144,G168,IF(C168=AR144,G168,IF(C174=AR144,G176,IF(C176=AR144,G176,IF(C152=AR144,G154,IF(C154=AR144,G154,IF(C160=AR144,G162,IF(C162=AR144,G162,IF(C182=AR144,G184,IF(C184=AR144,G184,IF(C190=AR144,G192,IF(C192=AR144,G192,IF(AK136=AR144,AI138,IF(AK138=AR144,AI138,IF(AK144=AR144,AI146,IF(AK146=AR144,AI146,IF(AK166=AR144,AI168,IF(AK168=AR144,AI168,IF(AK174=AR144,AI176,IF(AK176=AR144,AI176,IF(AK152=AR144,AI154,IF(AK154=AR144,AI154,IF(AK160=AR144,AI162,IF(AK162=AR144,AI162,IF(AK182=AR144,AI184,IF(AK184=AR144,AI184,IF(AK190=AR144,AI192,IF(AK192=AR144,AI192)))))))))))))))))))))))))))))))),"")</f>
        <v/>
      </c>
      <c r="AS160" s="33" t="str">
        <f>IFERROR(IF(AR160="","",VLOOKUP(AR160,LISTAS!$F$5:$G$1004,2,0)),"0")</f>
        <v/>
      </c>
      <c r="AT160" s="33" t="str">
        <f t="shared" si="7"/>
        <v/>
      </c>
      <c r="AU160" s="33" t="str">
        <f t="shared" si="8"/>
        <v/>
      </c>
    </row>
    <row r="161" spans="2:47" ht="18" customHeight="1" thickBot="1" x14ac:dyDescent="0.3">
      <c r="B161" s="133"/>
      <c r="C161" s="172" t="str">
        <f>IFERROR(IF(C160="","",VLOOKUP(C160,LISTAS!$F$5:$G$1004,2,0)),"0")</f>
        <v>LICEU JARDIM</v>
      </c>
      <c r="D161" s="267"/>
      <c r="E161" s="105"/>
      <c r="F161" s="101"/>
      <c r="G161" s="190"/>
      <c r="H161" s="101"/>
      <c r="I161" s="101"/>
      <c r="J161" s="101"/>
      <c r="K161" s="190"/>
      <c r="L161" s="101"/>
      <c r="M161" s="35"/>
      <c r="N161" s="29"/>
      <c r="O161" s="188"/>
      <c r="P161" s="29"/>
      <c r="Q161" s="37"/>
      <c r="R161" s="198"/>
      <c r="S161" s="37"/>
      <c r="T161" s="37"/>
      <c r="U161" s="37"/>
      <c r="V161" s="198"/>
      <c r="W161" s="37"/>
      <c r="X161" s="86"/>
      <c r="Y161" s="198"/>
      <c r="Z161" s="94"/>
      <c r="AA161" s="37"/>
      <c r="AB161" s="29"/>
      <c r="AC161" s="198"/>
      <c r="AD161" s="37"/>
      <c r="AE161" s="100"/>
      <c r="AF161" s="100"/>
      <c r="AG161" s="197"/>
      <c r="AH161" s="100"/>
      <c r="AI161" s="143"/>
      <c r="AJ161" s="271"/>
      <c r="AK161" s="172" t="str">
        <f>IFERROR(IF(AK160="","",VLOOKUP(AK160,LISTAS!$F$5:$G$1004,2,0)),"0")</f>
        <v/>
      </c>
      <c r="AL161" s="29"/>
      <c r="AP161" s="31" t="str">
        <f>IF(AR161&lt;&gt;"",1+COUNTIF(AP136:AP160,"1")+COUNTIF(AP136:AP160,"2")+COUNTIF(AP136:AP160,"3")+COUNTIF(AP136:AP160,"4")+COUNTIF(AP136:AP160,"5")+COUNTIF(AP136:AP160,"6")+COUNTIF(AP136:AP160,"7")+COUNTIF(AP136:AP160,"8")+COUNTIF(AP136:AP160,"9")+COUNTIF(AP136:AP160,"10")+COUNTIF(AP136:AP160,"11")+COUNTIF(AP136:AP160,"12")+COUNTIF(AP136:AP160,"13")+COUNTIF(AP136:AP160,"14")+COUNTIF(AP136:AP160,"15")+COUNTIF(AP136:AP160,"16")+COUNTIF(AP136:AP160,"17")+COUNTIF(AP136:AP160,"18")+COUNTIF(AP136:AP160,"19")+COUNTIF(AP136:AP160,"20")+COUNTIF(AP136:AP160,"21")+COUNTIF(AP136:AP160,"22")+COUNTIF(AP136:AP160,"23")+COUNTIF(AP136:AP160,"24")+COUNTIF(AP136:AP160,"25"),"")</f>
        <v/>
      </c>
      <c r="AQ161" s="32" t="str">
        <f t="shared" si="6"/>
        <v/>
      </c>
      <c r="AR161" s="111" t="str">
        <f>IF(AR145&lt;&gt;"",IF(C136=AR145,G138,IF(C138=AR145,G138,IF(C144=AR145,G146,IF(C146=AR145,G146,IF(C166=AR145,G168,IF(C168=AR145,G168,IF(C174=AR145,G176,IF(C176=AR145,G176,IF(C152=AR145,G154,IF(C154=AR145,G154,IF(C160=AR145,G162,IF(C162=AR145,G162,IF(C182=AR145,G184,IF(C184=AR145,G184,IF(C190=AR145,G192,IF(C192=AR145,G192,IF(AK136=AR145,AI138,IF(AK138=AR145,AI138,IF(AK144=AR145,AI146,IF(AK146=AR145,AI146,IF(AK166=AR145,AI168,IF(AK168=AR145,AI168,IF(AK174=AR145,AI176,IF(AK176=AR145,AI176,IF(AK152=AR145,AI154,IF(AK154=AR145,AI154,IF(AK160=AR145,AI162,IF(AK162=AR145,AI162,IF(AK182=AR145,AI184,IF(AK184=AR145,AI184,IF(AK190=AR145,AI192,IF(AK192=AR145,AI192)))))))))))))))))))))))))))))))),"")</f>
        <v/>
      </c>
      <c r="AS161" s="33" t="str">
        <f>IFERROR(IF(AR161="","",VLOOKUP(AR161,LISTAS!$F$5:$G$1004,2,0)),"0")</f>
        <v/>
      </c>
      <c r="AT161" s="33" t="str">
        <f t="shared" si="7"/>
        <v/>
      </c>
      <c r="AU161" s="33" t="str">
        <f t="shared" si="8"/>
        <v/>
      </c>
    </row>
    <row r="162" spans="2:47" ht="18" customHeight="1" thickBot="1" x14ac:dyDescent="0.3">
      <c r="B162" s="133">
        <v>8</v>
      </c>
      <c r="C162" s="171" t="str">
        <f>IF('09M GRP'!G5&gt;=3,'09M GRP'!J114,IF('09M GRP'!G5=2,"",IF('09M GRP'!G5=1,"","")))</f>
        <v>BENJAMIN CAMARGO</v>
      </c>
      <c r="D162" s="266">
        <v>1</v>
      </c>
      <c r="E162" s="106">
        <f>IF(D162&lt;&gt;"",D162,"")</f>
        <v>1</v>
      </c>
      <c r="F162" s="101" t="str">
        <f>IF(D162&lt;&gt;"",IF(C162="","",C162),"")</f>
        <v>BENJAMIN CAMARGO</v>
      </c>
      <c r="G162" s="190" t="str">
        <f>VLOOKUP(G160,E160:F162,2,0)</f>
        <v>LUCAS ROCHETTI VAZQUEZ CARMO</v>
      </c>
      <c r="H162" s="101"/>
      <c r="I162" s="29"/>
      <c r="J162" s="29"/>
      <c r="K162" s="188"/>
      <c r="L162" s="29"/>
      <c r="M162" s="35"/>
      <c r="N162" s="29"/>
      <c r="O162" s="188"/>
      <c r="P162" s="29"/>
      <c r="Q162" s="37"/>
      <c r="R162" s="268" t="s">
        <v>37</v>
      </c>
      <c r="S162" s="268"/>
      <c r="T162" s="268"/>
      <c r="U162" s="268"/>
      <c r="V162" s="268"/>
      <c r="W162" s="37"/>
      <c r="X162" s="86"/>
      <c r="Y162" s="198"/>
      <c r="Z162" s="94"/>
      <c r="AA162" s="37"/>
      <c r="AB162" s="29"/>
      <c r="AC162" s="198"/>
      <c r="AD162" s="37"/>
      <c r="AE162" s="100"/>
      <c r="AF162" s="100"/>
      <c r="AG162" s="197">
        <f>IF(AJ162&lt;&gt;"",AJ162,"")</f>
        <v>1</v>
      </c>
      <c r="AH162" s="100" t="str">
        <f>IF(AJ162&lt;&gt;"",IF(AK162="","",AK162),"")</f>
        <v>FELIPE PARONETO REZENDE</v>
      </c>
      <c r="AI162" s="145" t="str">
        <f>VLOOKUP(AI160,AG160:AH162,2,0)</f>
        <v/>
      </c>
      <c r="AJ162" s="266">
        <v>1</v>
      </c>
      <c r="AK162" s="171" t="str">
        <f>IF('09M GRP'!G5&gt;=3,'09M GRP'!J88,IF('09M GRP'!G5=2,"",IF('09M GRP'!G5=1,"","")))</f>
        <v>FELIPE PARONETO REZENDE</v>
      </c>
      <c r="AL162" s="29">
        <v>6</v>
      </c>
      <c r="AP162" s="31" t="str">
        <f>IF(AR162&lt;&gt;"",1+COUNTIF(AP136:AP161,"1")+COUNTIF(AP136:AP161,"2")+COUNTIF(AP136:AP161,"3")+COUNTIF(AP136:AP161,"4")+COUNTIF(AP136:AP161,"5")+COUNTIF(AP136:AP161,"6")+COUNTIF(AP136:AP161,"7")+COUNTIF(AP136:AP161,"8")+COUNTIF(AP136:AP161,"9")+COUNTIF(AP136:AP161,"10")+COUNTIF(AP136:AP161,"11")+COUNTIF(AP136:AP161,"12")+COUNTIF(AP136:AP161,"13")+COUNTIF(AP136:AP161,"14")+COUNTIF(AP136:AP161,"15")+COUNTIF(AP136:AP161,"16")+COUNTIF(AP136:AP161,"17")+COUNTIF(AP136:AP161,"18")+COUNTIF(AP136:AP161,"19")+COUNTIF(AP136:AP161,"20")+COUNTIF(AP136:AP161,"21")+COUNTIF(AP136:AP161,"22")+COUNTIF(AP136:AP161,"23")+COUNTIF(AP136:AP161,"24")+COUNTIF(AP136:AP161,"25")+COUNTIF(AP136:AP161,"26"),"")</f>
        <v/>
      </c>
      <c r="AQ162" s="32" t="str">
        <f t="shared" si="6"/>
        <v/>
      </c>
      <c r="AR162" s="111" t="str">
        <f>IF(AR146&lt;&gt;"",IF(C136=AR146,G138,IF(C138=AR146,G138,IF(C144=AR146,G146,IF(C146=AR146,G146,IF(C166=AR146,G168,IF(C168=AR146,G168,IF(C174=AR146,G176,IF(C176=AR146,G176,IF(C152=AR146,G154,IF(C154=AR146,G154,IF(C160=AR146,G162,IF(C162=AR146,G162,IF(C182=AR146,G184,IF(C184=AR146,G184,IF(C190=AR146,G192,IF(C192=AR146,G192,IF(AK136=AR146,AI138,IF(AK138=AR146,AI138,IF(AK144=AR146,AI146,IF(AK146=AR146,AI146,IF(AK166=AR146,AI168,IF(AK168=AR146,AI168,IF(AK174=AR146,AI176,IF(AK176=AR146,AI176,IF(AK152=AR146,AI154,IF(AK154=AR146,AI154,IF(AK160=AR146,AI162,IF(AK162=AR146,AI162,IF(AK182=AR146,AI184,IF(AK184=AR146,AI184,IF(AK190=AR146,AI192,IF(AK192=AR146,AI192)))))))))))))))))))))))))))))))),"")</f>
        <v/>
      </c>
      <c r="AS162" s="33" t="str">
        <f>IFERROR(IF(AR162="","",VLOOKUP(AR162,LISTAS!$F$5:$G$1004,2,0)),"0")</f>
        <v/>
      </c>
      <c r="AT162" s="33" t="str">
        <f t="shared" si="7"/>
        <v/>
      </c>
      <c r="AU162" s="33" t="str">
        <f t="shared" si="8"/>
        <v/>
      </c>
    </row>
    <row r="163" spans="2:47" ht="18" customHeight="1" thickBot="1" x14ac:dyDescent="0.3">
      <c r="B163" s="133"/>
      <c r="C163" s="172" t="str">
        <f>IFERROR(IF(C162="","",VLOOKUP(C162,LISTAS!$F$5:$G$1004,2,0)),"0")</f>
        <v>IEBURIX -SBC</v>
      </c>
      <c r="D163" s="267"/>
      <c r="E163" s="101"/>
      <c r="F163" s="101"/>
      <c r="G163" s="190"/>
      <c r="H163" s="101"/>
      <c r="I163" s="29"/>
      <c r="J163" s="29"/>
      <c r="K163" s="188"/>
      <c r="L163" s="29"/>
      <c r="M163" s="35"/>
      <c r="N163" s="29"/>
      <c r="O163" s="171" t="str">
        <f>IF(L148&lt;&gt;"",IF(L150&lt;&gt;"",IF(L148=L150,"",IF(L148&gt;L150,K148,K150)),""),"")</f>
        <v>VICENTE MOREIRA MEDINA</v>
      </c>
      <c r="P163" s="266">
        <v>1</v>
      </c>
      <c r="Q163" s="37"/>
      <c r="R163" s="189"/>
      <c r="S163" s="84"/>
      <c r="T163" s="84"/>
      <c r="U163" s="84"/>
      <c r="V163" s="189"/>
      <c r="W163" s="37"/>
      <c r="X163" s="266">
        <v>1</v>
      </c>
      <c r="Y163" s="171" t="str">
        <f>IF(AB148&lt;&gt;"",IF(AB150&lt;&gt;"",IF(AB148=AB150,"",IF(AB148&gt;AB150,AC148,AC150)),""),"")</f>
        <v>LORENZO MASCARI BRANDINO</v>
      </c>
      <c r="Z163" s="94"/>
      <c r="AA163" s="37"/>
      <c r="AB163" s="29"/>
      <c r="AC163" s="198"/>
      <c r="AD163" s="37"/>
      <c r="AE163" s="100"/>
      <c r="AF163" s="100"/>
      <c r="AG163" s="197"/>
      <c r="AH163" s="100"/>
      <c r="AI163" s="101"/>
      <c r="AJ163" s="267"/>
      <c r="AK163" s="172" t="str">
        <f>IFERROR(IF(AK162="","",VLOOKUP(AK162,LISTAS!$F$5:$G$1004,2,0)),"0")</f>
        <v>ABACO IPIRANGA</v>
      </c>
      <c r="AL163" s="29"/>
      <c r="AP163" s="31" t="str">
        <f>IF(AR163&lt;&gt;"",1+COUNTIF(AP136:AP162,"1")+COUNTIF(AP136:AP162,"2")+COUNTIF(AP136:AP162,"3")+COUNTIF(AP136:AP162,"4")+COUNTIF(AP136:AP162,"5")+COUNTIF(AP136:AP162,"6")+COUNTIF(AP136:AP162,"7")+COUNTIF(AP136:AP162,"8")+COUNTIF(AP136:AP162,"9")+COUNTIF(AP136:AP162,"10")+COUNTIF(AP136:AP162,"11")+COUNTIF(AP136:AP162,"12")+COUNTIF(AP136:AP162,"13")+COUNTIF(AP136:AP162,"14")+COUNTIF(AP136:AP162,"15")+COUNTIF(AP136:AP162,"16")+COUNTIF(AP136:AP162,"17")+COUNTIF(AP136:AP162,"18")+COUNTIF(AP136:AP162,"19")+COUNTIF(AP136:AP162,"20")+COUNTIF(AP136:AP162,"21")+COUNTIF(AP136:AP162,"22")+COUNTIF(AP136:AP162,"23")+COUNTIF(AP136:AP162,"24")+COUNTIF(AP136:AP162,"25")+COUNTIF(AP136:AP162,"26")+COUNTIF(AP136:AP162,"27"),"")</f>
        <v/>
      </c>
      <c r="AQ163" s="32" t="str">
        <f t="shared" si="6"/>
        <v/>
      </c>
      <c r="AR163" s="111" t="str">
        <f>IF(AR147&lt;&gt;"",IF(C136=AR147,G138,IF(C138=AR147,G138,IF(C144=AR147,G146,IF(C146=AR147,G146,IF(C166=AR147,G168,IF(C168=AR147,G168,IF(C174=AR147,G176,IF(C176=AR147,G176,IF(C152=AR147,G154,IF(C154=AR147,G154,IF(C160=AR147,G162,IF(C162=AR147,G162,IF(C182=AR147,G184,IF(C184=AR147,G184,IF(C190=AR147,G192,IF(C192=AR147,G192,IF(AK136=AR147,AI138,IF(AK138=AR147,AI138,IF(AK144=AR147,AI146,IF(AK146=AR147,AI146,IF(AK166=AR147,AI168,IF(AK168=AR147,AI168,IF(AK174=AR147,AI176,IF(AK176=AR147,AI176,IF(AK152=AR147,AI154,IF(AK154=AR147,AI154,IF(AK160=AR147,AI162,IF(AK162=AR147,AI162,IF(AK182=AR147,AI184,IF(AK184=AR147,AI184,IF(AK190=AR147,AI192,IF(AK192=AR147,AI192)))))))))))))))))))))))))))))))),"")</f>
        <v/>
      </c>
      <c r="AS163" s="33" t="str">
        <f>IFERROR(IF(AR163="","",VLOOKUP(AR163,LISTAS!$F$5:$G$1004,2,0)),"0")</f>
        <v/>
      </c>
      <c r="AT163" s="33" t="str">
        <f t="shared" si="7"/>
        <v/>
      </c>
      <c r="AU163" s="33" t="str">
        <f t="shared" si="8"/>
        <v/>
      </c>
    </row>
    <row r="164" spans="2:47" ht="18" customHeight="1" thickBot="1" x14ac:dyDescent="0.3">
      <c r="B164" s="133"/>
      <c r="C164" s="188"/>
      <c r="D164" s="29"/>
      <c r="E164" s="29"/>
      <c r="F164" s="29"/>
      <c r="G164" s="188"/>
      <c r="H164" s="29"/>
      <c r="I164" s="29"/>
      <c r="J164" s="29"/>
      <c r="K164" s="188"/>
      <c r="L164" s="29"/>
      <c r="M164" s="35"/>
      <c r="N164" s="29"/>
      <c r="O164" s="172" t="str">
        <f>IFERROR(IF(O163="","",VLOOKUP(O163,LISTAS!$F$5:$G$1004,2,0)),"0")</f>
        <v>ABACO IPIRANGA</v>
      </c>
      <c r="P164" s="267"/>
      <c r="Q164" s="37"/>
      <c r="R164" s="171" t="str">
        <f>IF(P163&lt;&gt;"",IF(P165&lt;&gt;"",IF(P163=P165,"",IF(P163&gt;P165,O163,O165)),""),"")</f>
        <v>VICENTE MOREIRA MEDINA</v>
      </c>
      <c r="S164" s="266">
        <v>0</v>
      </c>
      <c r="T164" s="269" t="s">
        <v>38</v>
      </c>
      <c r="U164" s="266">
        <v>1</v>
      </c>
      <c r="V164" s="171" t="str">
        <f>IF(X163&lt;&gt;"",IF(X165&lt;&gt;"",IF(X163=X165,"",IF(X163&gt;X165,Y163,Y165)),""),"")</f>
        <v>LORENZO MASCARI BRANDINO</v>
      </c>
      <c r="W164" s="141"/>
      <c r="X164" s="267"/>
      <c r="Y164" s="172" t="str">
        <f>IFERROR(IF(Y163="","",VLOOKUP(Y163,LISTAS!$F$5:$G$1004,2,0)),"0")</f>
        <v>COLÉGIO ARBOS - UNIDADE SANTO ANDRÉ</v>
      </c>
      <c r="Z164" s="141"/>
      <c r="AA164" s="37"/>
      <c r="AB164" s="29"/>
      <c r="AC164" s="198"/>
      <c r="AD164" s="37"/>
      <c r="AE164" s="100"/>
      <c r="AF164" s="100"/>
      <c r="AG164" s="197"/>
      <c r="AH164" s="100"/>
      <c r="AI164" s="100"/>
      <c r="AJ164" s="29"/>
      <c r="AK164" s="188"/>
      <c r="AL164" s="29"/>
      <c r="AP164" s="31">
        <f>IF(AR164&lt;&gt;"",1+COUNTIF(AP136:AP163,"1")+COUNTIF(AP136:AP163,"2")+COUNTIF(AP136:AP163,"3")+COUNTIF(AP136:AP163,"4")+COUNTIF(AP136:AP163,"5")+COUNTIF(AP136:AP163,"6")+COUNTIF(AP136:AP163,"7")+COUNTIF(AP136:AP163,"8")+COUNTIF(AP136:AP163,"9")+COUNTIF(AP136:AP163,"10")+COUNTIF(AP136:AP163,"11")+COUNTIF(AP136:AP163,"12")+COUNTIF(AP136:AP163,"13")+COUNTIF(AP136:AP163,"14")+COUNTIF(AP136:AP163,"15")+COUNTIF(AP136:AP163,"16")+COUNTIF(AP136:AP163,"17")+COUNTIF(AP136:AP163,"18")+COUNTIF(AP136:AP163,"19")+COUNTIF(AP136:AP163,"20")+COUNTIF(AP136:AP163,"21")+COUNTIF(AP136:AP163,"22")+COUNTIF(AP136:AP163,"23")+COUNTIF(AP136:AP163,"24")+COUNTIF(AP136:AP163,"25")+COUNTIF(AP136:AP163,"26")+COUNTIF(AP136:AP163,"27")+COUNTIF(AP136:AP163,"28"),"")</f>
        <v>23</v>
      </c>
      <c r="AQ164" s="32" t="str">
        <f t="shared" si="6"/>
        <v>LUGAR</v>
      </c>
      <c r="AR164" s="111" t="str">
        <f>IF(AR148&lt;&gt;"",IF(C136=AR148,G138,IF(C138=AR148,G138,IF(C144=AR148,G146,IF(C146=AR148,G146,IF(C166=AR148,G168,IF(C168=AR148,G168,IF(C174=AR148,G176,IF(C176=AR148,G176,IF(C152=AR148,G154,IF(C154=AR148,G154,IF(C160=AR148,G162,IF(C162=AR148,G162,IF(C182=AR148,G184,IF(C184=AR148,G184,IF(C190=AR148,G192,IF(C192=AR148,G192,IF(AK136=AR148,AI138,IF(AK138=AR148,AI138,IF(AK144=AR148,AI146,IF(AK146=AR148,AI146,IF(AK166=AR148,AI168,IF(AK168=AR148,AI168,IF(AK174=AR148,AI176,IF(AK176=AR148,AI176,IF(AK152=AR148,AI154,IF(AK154=AR148,AI154,IF(AK160=AR148,AI162,IF(AK162=AR148,AI162,IF(AK182=AR148,AI184,IF(AK184=AR148,AI184,IF(AK190=AR148,AI192,IF(AK192=AR148,AI192)))))))))))))))))))))))))))))))),"")</f>
        <v>GUSTAVO ROLDAN DACAR BALLARIN</v>
      </c>
      <c r="AS164" s="33" t="str">
        <f>IFERROR(IF(AR164="","",VLOOKUP(AR164,LISTAS!$F$5:$G$1004,2,0)),"0")</f>
        <v>PEN LIFE</v>
      </c>
      <c r="AT164" s="33" t="str">
        <f t="shared" si="7"/>
        <v/>
      </c>
      <c r="AU164" s="33" t="str">
        <f t="shared" si="8"/>
        <v/>
      </c>
    </row>
    <row r="165" spans="2:47" ht="18" customHeight="1" thickBot="1" x14ac:dyDescent="0.3">
      <c r="B165" s="133"/>
      <c r="C165" s="188"/>
      <c r="D165" s="29"/>
      <c r="E165" s="29"/>
      <c r="F165" s="29"/>
      <c r="G165" s="188"/>
      <c r="H165" s="29"/>
      <c r="I165" s="29"/>
      <c r="J165" s="29"/>
      <c r="K165" s="188"/>
      <c r="L165" s="29"/>
      <c r="M165" s="35"/>
      <c r="N165" s="36"/>
      <c r="O165" s="171" t="str">
        <f>IF(L178&lt;&gt;"",IF(L180&lt;&gt;"",IF(L178=L180,"",IF(L178&gt;L180,K178,K180)),""),"")</f>
        <v>FELIPE RAFAEL CARDOZO</v>
      </c>
      <c r="P165" s="266">
        <v>0</v>
      </c>
      <c r="Q165" s="97"/>
      <c r="R165" s="172" t="str">
        <f>IFERROR(IF(R164="","",VLOOKUP(R164,LISTAS!$F$5:$G$1004,2,0)),"0")</f>
        <v>ABACO IPIRANGA</v>
      </c>
      <c r="S165" s="267"/>
      <c r="T165" s="269"/>
      <c r="U165" s="267"/>
      <c r="V165" s="172" t="str">
        <f>IFERROR(IF(V164="","",VLOOKUP(V164,LISTAS!$F$5:$G$1004,2,0)),"0")</f>
        <v>COLÉGIO ARBOS - UNIDADE SANTO ANDRÉ</v>
      </c>
      <c r="W165" s="98"/>
      <c r="X165" s="266">
        <v>0</v>
      </c>
      <c r="Y165" s="171" t="str">
        <f>IF(AB178&lt;&gt;"",IF(AB180&lt;&gt;"",IF(AB178=AB180,"",IF(AB178&gt;AB180,AC178,AC180)),""),"")</f>
        <v>DANIEL MAZZOCHI MARY</v>
      </c>
      <c r="Z165" s="98"/>
      <c r="AA165" s="37"/>
      <c r="AB165" s="29"/>
      <c r="AC165" s="198"/>
      <c r="AD165" s="37"/>
      <c r="AE165" s="100"/>
      <c r="AF165" s="100"/>
      <c r="AG165" s="197"/>
      <c r="AH165" s="100"/>
      <c r="AI165" s="100"/>
      <c r="AJ165" s="29"/>
      <c r="AK165" s="188"/>
      <c r="AL165" s="29"/>
      <c r="AP165" s="31">
        <f>IF(AR165&lt;&gt;"",1+COUNTIF(AP136:AP164,"1")+COUNTIF(AP136:AP164,"2")+COUNTIF(AP136:AP164,"3")+COUNTIF(AP136:AP164,"4")+COUNTIF(AP136:AP164,"5")+COUNTIF(AP136:AP164,"6")+COUNTIF(AP136:AP164,"7")+COUNTIF(AP136:AP164,"8")+COUNTIF(AP136:AP164,"9")+COUNTIF(AP136:AP164,"10")+COUNTIF(AP136:AP164,"11")+COUNTIF(AP136:AP164,"12")+COUNTIF(AP136:AP164,"13")+COUNTIF(AP136:AP164,"14")+COUNTIF(AP136:AP164,"15")+COUNTIF(AP136:AP164,"16")+COUNTIF(AP136:AP164,"17")+COUNTIF(AP136:AP164,"18")+COUNTIF(AP136:AP164,"19")+COUNTIF(AP136:AP164,"20")+COUNTIF(AP136:AP164,"21")+COUNTIF(AP136:AP164,"22")+COUNTIF(AP136:AP164,"23")+COUNTIF(AP136:AP164,"24")+COUNTIF(AP136:AP164,"25")+COUNTIF(AP136:AP164,"26")+COUNTIF(AP136:AP164,"27")+COUNTIF(AP136:AP164,"28")+COUNTIF(AP136:AP164,"29"),"")</f>
        <v>24</v>
      </c>
      <c r="AQ165" s="32" t="str">
        <f t="shared" si="6"/>
        <v>LUGAR</v>
      </c>
      <c r="AR165" s="111" t="str">
        <f>IF(AR149&lt;&gt;"",IF(C136=AR149,G138,IF(C138=AR149,G138,IF(C144=AR149,G146,IF(C146=AR149,G146,IF(C166=AR149,G168,IF(C168=AR149,G168,IF(C174=AR149,G176,IF(C176=AR149,G176,IF(C152=AR149,G154,IF(C154=AR149,G154,IF(C160=AR149,G162,IF(C162=AR149,G162,IF(C182=AR149,G184,IF(C184=AR149,G184,IF(C190=AR149,G192,IF(C192=AR149,G192,IF(AK136=AR149,AI138,IF(AK138=AR149,AI138,IF(AK144=AR149,AI146,IF(AK146=AR149,AI146,IF(AK166=AR149,AI168,IF(AK168=AR149,AI168,IF(AK174=AR149,AI176,IF(AK176=AR149,AI176,IF(AK152=AR149,AI154,IF(AK154=AR149,AI154,IF(AK160=AR149,AI162,IF(AK162=AR149,AI162,IF(AK182=AR149,AI184,IF(AK184=AR149,AI184,IF(AK190=AR149,AI192,IF(AK192=AR149,AI192)))))))))))))))))))))))))))))))),"")</f>
        <v>GUILHERME KINA DER FORTES</v>
      </c>
      <c r="AS165" s="33" t="str">
        <f>IFERROR(IF(AR165="","",VLOOKUP(AR165,LISTAS!$F$5:$G$1004,2,0)),"0")</f>
        <v>COLÉGIO ATENEU</v>
      </c>
      <c r="AT165" s="33" t="str">
        <f t="shared" si="7"/>
        <v/>
      </c>
      <c r="AU165" s="33" t="str">
        <f t="shared" si="8"/>
        <v/>
      </c>
    </row>
    <row r="166" spans="2:47" ht="18" customHeight="1" thickBot="1" x14ac:dyDescent="0.3">
      <c r="B166" s="133">
        <v>5</v>
      </c>
      <c r="C166" s="171" t="str">
        <f>IF('09M GRP'!G5&gt;=3,'09M GRP'!J75,IF('09M GRP'!G5=2,"",IF('09M GRP'!G5=1,"","")))</f>
        <v>ARTHUR MAZIERI REZENDE</v>
      </c>
      <c r="D166" s="266">
        <v>1</v>
      </c>
      <c r="E166" s="101">
        <f>IF(D166&lt;&gt;"",D166,"")</f>
        <v>1</v>
      </c>
      <c r="F166" s="101" t="str">
        <f>IF(D166&lt;&gt;"",IF(C166="","",C166),"")</f>
        <v>ARTHUR MAZIERI REZENDE</v>
      </c>
      <c r="G166" s="190">
        <f>IF(E166&lt;&gt;"",IF(E168&lt;&gt;"",SMALL(E166:E168,1),""),"")</f>
        <v>0</v>
      </c>
      <c r="H166" s="101"/>
      <c r="I166" s="101"/>
      <c r="J166" s="101"/>
      <c r="K166" s="190"/>
      <c r="L166" s="29"/>
      <c r="M166" s="35"/>
      <c r="N166" s="37"/>
      <c r="O166" s="172" t="str">
        <f>IFERROR(IF(O165="","",VLOOKUP(O165,LISTAS!$F$5:$G$1004,2,0)),"0")</f>
        <v>PEN LIFE</v>
      </c>
      <c r="P166" s="267"/>
      <c r="Q166" s="85"/>
      <c r="R166" s="198"/>
      <c r="S166" s="37"/>
      <c r="T166" s="37"/>
      <c r="U166" s="37"/>
      <c r="V166" s="198"/>
      <c r="W166" s="37"/>
      <c r="X166" s="267"/>
      <c r="Y166" s="172" t="str">
        <f>IFERROR(IF(Y165="","",VLOOKUP(Y165,LISTAS!$F$5:$G$1004,2,0)),"0")</f>
        <v>LICEU JARDIM</v>
      </c>
      <c r="Z166" s="94"/>
      <c r="AA166" s="37"/>
      <c r="AB166" s="29"/>
      <c r="AC166" s="198"/>
      <c r="AD166" s="37"/>
      <c r="AE166" s="100"/>
      <c r="AF166" s="100"/>
      <c r="AG166" s="197">
        <f>IF(AJ166&lt;&gt;"",AJ166,"")</f>
        <v>1</v>
      </c>
      <c r="AH166" s="100" t="str">
        <f>IF(AJ166&lt;&gt;"",IF(AK166="","",AK166),"")</f>
        <v>PEDRO HENRIQUE REDA FERREIRA</v>
      </c>
      <c r="AI166" s="101">
        <f>IF(AG166&lt;&gt;"",IF(AG168&lt;&gt;"",SMALL(AG166:AG168,1),""),"")</f>
        <v>0</v>
      </c>
      <c r="AJ166" s="266">
        <v>1</v>
      </c>
      <c r="AK166" s="171" t="str">
        <f>IF('09M GRP'!G5&gt;=3,'09M GRP'!J101,IF('09M GRP'!G5=2,"",IF('09M GRP'!G5=1,"","")))</f>
        <v>PEDRO HENRIQUE REDA FERREIRA</v>
      </c>
      <c r="AL166" s="29">
        <v>7</v>
      </c>
      <c r="AP166" s="31" t="str">
        <f>IF(AR166&lt;&gt;"",1+COUNTIF(AP136:AP165,"1")+COUNTIF(AP136:AP165,"2")+COUNTIF(AP136:AP165,"3")+COUNTIF(AP136:AP165,"4")+COUNTIF(AP136:AP165,"5")+COUNTIF(AP136:AP165,"6")+COUNTIF(AP136:AP165,"7")+COUNTIF(AP136:AP165,"8")+COUNTIF(AP136:AP165,"9")+COUNTIF(AP136:AP165,"10")+COUNTIF(AP136:AP165,"11")+COUNTIF(AP136:AP165,"12")+COUNTIF(AP136:AP165,"13")+COUNTIF(AP136:AP165,"14")+COUNTIF(AP136:AP165,"15")+COUNTIF(AP136:AP165,"16")+COUNTIF(AP136:AP165,"17")+COUNTIF(AP136:AP165,"18")+COUNTIF(AP136:AP165,"19")+COUNTIF(AP136:AP165,"20")+COUNTIF(AP136:AP165,"21")+COUNTIF(AP136:AP165,"22")+COUNTIF(AP136:AP165,"23")+COUNTIF(AP136:AP165,"24")+COUNTIF(AP136:AP165,"25")+COUNTIF(AP136:AP165,"26")+COUNTIF(AP136:AP165,"27")+COUNTIF(AP136:AP165,"28")+COUNTIF(AP136:AP165,"29")+COUNTIF(AP136:AP165,"30"),"")</f>
        <v/>
      </c>
      <c r="AQ166" s="32" t="str">
        <f t="shared" si="6"/>
        <v/>
      </c>
      <c r="AR166" s="111" t="str">
        <f>IF(AR150&lt;&gt;"",IF(C136=AR150,G138,IF(C138=AR150,G138,IF(C144=AR150,G146,IF(C146=AR150,G146,IF(C166=AR150,G168,IF(C168=AR150,G168,IF(C174=AR150,G176,IF(C176=AR150,G176,IF(C152=AR150,G154,IF(C154=AR150,G154,IF(C160=AR150,G162,IF(C162=AR150,G162,IF(C182=AR150,G184,IF(C184=AR150,G184,IF(C190=AR150,G192,IF(C192=AR150,G192,IF(AK136=AR150,AI138,IF(AK138=AR150,AI138,IF(AK144=AR150,AI146,IF(AK146=AR150,AI146,IF(AK166=AR150,AI168,IF(AK168=AR150,AI168,IF(AK174=AR150,AI176,IF(AK176=AR150,AI176,IF(AK152=AR150,AI154,IF(AK154=AR150,AI154,IF(AK160=AR150,AI162,IF(AK162=AR150,AI162,IF(AK182=AR150,AI184,IF(AK184=AR150,AI184,IF(AK190=AR150,AI192,IF(AK192=AR150,AI192)))))))))))))))))))))))))))))))),"")</f>
        <v/>
      </c>
      <c r="AS166" s="33" t="str">
        <f>IFERROR(IF(AR166="","",VLOOKUP(AR166,LISTAS!$F$5:$G$1004,2,0)),"0")</f>
        <v/>
      </c>
      <c r="AT166" s="33" t="str">
        <f t="shared" si="7"/>
        <v/>
      </c>
      <c r="AU166" s="33" t="str">
        <f t="shared" si="8"/>
        <v/>
      </c>
    </row>
    <row r="167" spans="2:47" ht="18" customHeight="1" thickBot="1" x14ac:dyDescent="0.3">
      <c r="B167" s="133"/>
      <c r="C167" s="172" t="str">
        <f>IFERROR(IF(C166="","",VLOOKUP(C166,LISTAS!$F$5:$G$1004,2,0)),"0")</f>
        <v>COLÉGIO ARBOS DE SÃO BERNARDO DO CAMPO</v>
      </c>
      <c r="D167" s="267"/>
      <c r="E167" s="101"/>
      <c r="F167" s="101"/>
      <c r="G167" s="190"/>
      <c r="H167" s="101"/>
      <c r="I167" s="101"/>
      <c r="J167" s="101"/>
      <c r="K167" s="190"/>
      <c r="L167" s="101"/>
      <c r="M167" s="138"/>
      <c r="N167" s="100"/>
      <c r="O167" s="197"/>
      <c r="P167" s="100"/>
      <c r="Q167" s="100"/>
      <c r="R167" s="197"/>
      <c r="S167" s="37"/>
      <c r="T167" s="37"/>
      <c r="U167" s="37"/>
      <c r="V167" s="198"/>
      <c r="W167" s="37"/>
      <c r="X167" s="86"/>
      <c r="Y167" s="198"/>
      <c r="Z167" s="94"/>
      <c r="AA167" s="37"/>
      <c r="AB167" s="29"/>
      <c r="AC167" s="198"/>
      <c r="AD167" s="37"/>
      <c r="AE167" s="100"/>
      <c r="AF167" s="100"/>
      <c r="AG167" s="197"/>
      <c r="AH167" s="100"/>
      <c r="AI167" s="101"/>
      <c r="AJ167" s="267"/>
      <c r="AK167" s="172" t="str">
        <f>IFERROR(IF(AK166="","",VLOOKUP(AK166,LISTAS!$F$5:$G$1004,2,0)),"0")</f>
        <v>COLÉGIO ARBOS DE SÃO BERNARDO DO CAMPO</v>
      </c>
      <c r="AL167" s="29"/>
      <c r="AP167" s="31">
        <f>IF(AR167&lt;&gt;"",1+COUNTIF(AP136:AP166,"1")+COUNTIF(AP136:AP166,"2")+COUNTIF(AP136:AP166,"3")+COUNTIF(AP136:AP166,"4")+COUNTIF(AP136:AP166,"5")+COUNTIF(AP136:AP166,"6")+COUNTIF(AP136:AP166,"7")+COUNTIF(AP136:AP166,"8")+COUNTIF(AP136:AP166,"9")+COUNTIF(AP136:AP166,"10")+COUNTIF(AP136:AP166,"11")+COUNTIF(AP136:AP166,"12")+COUNTIF(AP136:AP166,"13")+COUNTIF(AP136:AP166,"14")+COUNTIF(AP136:AP166,"15")+COUNTIF(AP136:AP166,"16")+COUNTIF(AP136:AP166,"17")+COUNTIF(AP136:AP166,"18")+COUNTIF(AP136:AP166,"19")+COUNTIF(AP136:AP166,"20")+COUNTIF(AP136:AP166,"21")+COUNTIF(AP136:AP166,"22")+COUNTIF(AP136:AP166,"23")+COUNTIF(AP136:AP166,"24")+COUNTIF(AP136:AP166,"25")+COUNTIF(AP136:AP166,"26")+COUNTIF(AP136:AP166,"27")+COUNTIF(AP136:AP166,"28")+COUNTIF(AP136:AP166,"29")+COUNTIF(AP136:AP166,"30")+COUNTIF(AP136:AP166,"31"),"")</f>
        <v>25</v>
      </c>
      <c r="AQ167" s="32" t="str">
        <f t="shared" si="6"/>
        <v>LUGAR</v>
      </c>
      <c r="AR167" s="111" t="str">
        <f>IF(AR151&lt;&gt;"",IF(C136=AR151,G138,IF(C138=AR151,G138,IF(C144=AR151,G146,IF(C146=AR151,G146,IF(C166=AR151,G168,IF(C168=AR151,G168,IF(C174=AR151,G176,IF(C176=AR151,G176,IF(C152=AR151,G154,IF(C154=AR151,G154,IF(C160=AR151,G162,IF(C162=AR151,G162,IF(C182=AR151,G184,IF(C184=AR151,G184,IF(C190=AR151,G192,IF(C192=AR151,G192,IF(AK136=AR151,AI138,IF(AK138=AR151,AI138,IF(AK144=AR151,AI146,IF(AK146=AR151,AI146,IF(AK166=AR151,AI168,IF(AK168=AR151,AI168,IF(AK174=AR151,AI176,IF(AK176=AR151,AI176,IF(AK152=AR151,AI154,IF(AK154=AR151,AI154,IF(AK160=AR151,AI162,IF(AK162=AR151,AI162,IF(AK182=AR151,AI184,IF(AK184=AR151,AI184,IF(AK190=AR151,AI192,IF(AK192=AR151,AI192)))))))))))))))))))))))))))))))),"")</f>
        <v>MATHEUS JULIANI CRUZ</v>
      </c>
      <c r="AS167" s="33" t="str">
        <f>IFERROR(IF(AR167="","",VLOOKUP(AR167,LISTAS!$F$5:$G$1004,2,0)),"0")</f>
        <v>COLÉGIO ARBOS - UNIDADE SANTO ANDRÉ</v>
      </c>
      <c r="AT167" s="33" t="str">
        <f>IF(AP167="","",IF(AP167=1,100,IF(AP167=2,80,IF(AP167=3,70,IF(AP167=4,50,IF(AP167=5,45,IF(AP167=6,40,IF(AP167=7,35,IF(AP167=8,30,IF(AP167=9,28,IF(AP167=10,28,IF(AP167=11,28,IF(AP167=12,28,IF(AP167=13,28,IF(AP167=14,28,IF(AP167=15,28,IF(AP167=16,28,IF(AP167&gt;16,"",""))))))))))))))))))</f>
        <v/>
      </c>
      <c r="AU167" s="33" t="str">
        <f>IF(AP167="","",IF($AS$5="NÃO","",IF(AP167=1,100,IF(AP167=2,80,IF(AP167=3,70,IF(AP167=4,50,IF(AP167=5,45,IF(AP167=6,40,IF(AP167=7,35,IF(AP167=8,30,IF(AP167=9,28,IF(AP167=10,28,IF(AP167=11,28,IF(AP167=12,28,IF(AP167=13,28,IF(AP167=14,28,IF(AP167=15,28,IF(AP167=16,28,IF(AP167&gt;16,"","")))))))))))))))))))</f>
        <v/>
      </c>
    </row>
    <row r="168" spans="2:47" ht="18" customHeight="1" x14ac:dyDescent="0.25">
      <c r="B168" s="133">
        <v>28</v>
      </c>
      <c r="C168" s="171" t="str">
        <f>IF('09M GRP'!G5&gt;=3,'09M GRP'!J374,IF('09M GRP'!G5=2,"",IF('09M GRP'!G5=1,"","")))</f>
        <v/>
      </c>
      <c r="D168" s="266">
        <v>0</v>
      </c>
      <c r="E168" s="107">
        <f>IF(D168&lt;&gt;"",D168,"")</f>
        <v>0</v>
      </c>
      <c r="F168" s="101" t="str">
        <f>IF(D168&lt;&gt;"",IF(C168="","",C168),"")</f>
        <v/>
      </c>
      <c r="G168" s="190" t="str">
        <f>VLOOKUP(G166,E166:F168,2,0)</f>
        <v/>
      </c>
      <c r="H168" s="101"/>
      <c r="I168" s="101"/>
      <c r="J168" s="101"/>
      <c r="K168" s="190"/>
      <c r="L168" s="101"/>
      <c r="M168" s="138"/>
      <c r="N168" s="101">
        <f>IF(P163&lt;&gt;"",P163,"")</f>
        <v>1</v>
      </c>
      <c r="O168" s="190" t="str">
        <f>IF(P163&lt;&gt;"",O163,"")</f>
        <v>VICENTE MOREIRA MEDINA</v>
      </c>
      <c r="P168" s="101">
        <f>IF(N168&lt;&gt;"",IF(N170&lt;&gt;"",LARGE(N168:N170,1),""),"")</f>
        <v>1</v>
      </c>
      <c r="Q168" s="100"/>
      <c r="R168" s="197"/>
      <c r="S168" s="37"/>
      <c r="T168" s="37"/>
      <c r="U168" s="37"/>
      <c r="V168" s="198"/>
      <c r="W168" s="37"/>
      <c r="X168" s="86"/>
      <c r="Y168" s="198"/>
      <c r="Z168" s="94"/>
      <c r="AA168" s="37"/>
      <c r="AB168" s="29"/>
      <c r="AC168" s="198"/>
      <c r="AD168" s="37"/>
      <c r="AE168" s="100"/>
      <c r="AF168" s="100"/>
      <c r="AG168" s="197">
        <f>IF(AJ168&lt;&gt;"",AJ168,"")</f>
        <v>0</v>
      </c>
      <c r="AH168" s="100" t="str">
        <f>IF(AJ168&lt;&gt;"",IF(AK168="","",AK168),"")</f>
        <v/>
      </c>
      <c r="AI168" s="102" t="str">
        <f>VLOOKUP(AI166,AG166:AH168,2,0)</f>
        <v/>
      </c>
      <c r="AJ168" s="266">
        <v>0</v>
      </c>
      <c r="AK168" s="171" t="str">
        <f>IF('09M GRP'!G5&gt;=3,'09M GRP'!J348,IF('09M GRP'!G5=2,"",IF('09M GRP'!G5=1,"","")))</f>
        <v/>
      </c>
      <c r="AL168" s="29">
        <v>26</v>
      </c>
    </row>
    <row r="169" spans="2:47" ht="18" customHeight="1" thickBot="1" x14ac:dyDescent="0.3">
      <c r="B169" s="133"/>
      <c r="C169" s="172" t="str">
        <f>IFERROR(IF(C168="","",VLOOKUP(C168,LISTAS!$F$5:$G$1004,2,0)),"0")</f>
        <v/>
      </c>
      <c r="D169" s="267"/>
      <c r="E169" s="148"/>
      <c r="F169" s="101"/>
      <c r="G169" s="190"/>
      <c r="H169" s="101"/>
      <c r="I169" s="101"/>
      <c r="J169" s="101"/>
      <c r="K169" s="190"/>
      <c r="L169" s="101"/>
      <c r="M169" s="138"/>
      <c r="N169" s="101"/>
      <c r="O169" s="190"/>
      <c r="P169" s="101"/>
      <c r="Q169" s="100"/>
      <c r="R169" s="197"/>
      <c r="S169" s="37"/>
      <c r="T169" s="37"/>
      <c r="U169" s="37"/>
      <c r="V169" s="198"/>
      <c r="W169" s="37"/>
      <c r="X169" s="86"/>
      <c r="Y169" s="198"/>
      <c r="Z169" s="94"/>
      <c r="AA169" s="37"/>
      <c r="AB169" s="29"/>
      <c r="AC169" s="198"/>
      <c r="AD169" s="37"/>
      <c r="AE169" s="100"/>
      <c r="AF169" s="100"/>
      <c r="AG169" s="197"/>
      <c r="AH169" s="100"/>
      <c r="AI169" s="142"/>
      <c r="AJ169" s="267"/>
      <c r="AK169" s="172" t="str">
        <f>IFERROR(IF(AK168="","",VLOOKUP(AK168,LISTAS!$F$5:$G$1004,2,0)),"0")</f>
        <v/>
      </c>
      <c r="AL169" s="29"/>
    </row>
    <row r="170" spans="2:47" ht="18" customHeight="1" x14ac:dyDescent="0.25">
      <c r="B170" s="133"/>
      <c r="C170" s="190"/>
      <c r="D170" s="101"/>
      <c r="E170" s="101"/>
      <c r="F170" s="137"/>
      <c r="G170" s="171" t="str">
        <f>IF(D166&lt;&gt;"",IF(D168&lt;&gt;"",IF(D166=D168,"",IF(D166&gt;D168,C166,C168)),""),"")</f>
        <v>ARTHUR MAZIERI REZENDE</v>
      </c>
      <c r="H170" s="266">
        <v>0</v>
      </c>
      <c r="I170" s="101">
        <f>IF(H170&lt;&gt;"",H170,"")</f>
        <v>0</v>
      </c>
      <c r="J170" s="101" t="str">
        <f>IF(H170&lt;&gt;"",IF(G170="","",G170),"")</f>
        <v>ARTHUR MAZIERI REZENDE</v>
      </c>
      <c r="K170" s="190">
        <f>IF(I170&lt;&gt;"",IF(I172&lt;&gt;"",SMALL(I170:J172,1),""),"")</f>
        <v>0</v>
      </c>
      <c r="L170" s="101"/>
      <c r="M170" s="138"/>
      <c r="N170" s="101">
        <f>IF(P165&lt;&gt;"",P165,"")</f>
        <v>0</v>
      </c>
      <c r="O170" s="190" t="str">
        <f>IF(P165&lt;&gt;"",O165,"")</f>
        <v>FELIPE RAFAEL CARDOZO</v>
      </c>
      <c r="P170" s="101" t="str">
        <f>VLOOKUP(P168,N168:O170,2,0)</f>
        <v>VICENTE MOREIRA MEDINA</v>
      </c>
      <c r="Q170" s="100"/>
      <c r="R170" s="197"/>
      <c r="S170" s="37"/>
      <c r="T170" s="37"/>
      <c r="U170" s="37"/>
      <c r="V170" s="198"/>
      <c r="W170" s="37"/>
      <c r="X170" s="86"/>
      <c r="Y170" s="198"/>
      <c r="Z170" s="94"/>
      <c r="AA170" s="37"/>
      <c r="AB170" s="29"/>
      <c r="AC170" s="198"/>
      <c r="AD170" s="37"/>
      <c r="AE170" s="95"/>
      <c r="AF170" s="266">
        <v>0</v>
      </c>
      <c r="AG170" s="171" t="str">
        <f>IF(AJ166&lt;&gt;"",IF(AJ168&lt;&gt;"",IF(AJ166=AJ168,"",IF(AJ166&gt;AJ168,AK166,AK168)),""),"")</f>
        <v>PEDRO HENRIQUE REDA FERREIRA</v>
      </c>
      <c r="AH170" s="94"/>
      <c r="AI170" s="37"/>
      <c r="AJ170" s="29"/>
      <c r="AK170" s="188"/>
      <c r="AL170" s="29"/>
      <c r="AP170" s="2"/>
      <c r="AQ170" s="2"/>
      <c r="AR170" s="2"/>
      <c r="AS170" s="2"/>
      <c r="AT170" s="2"/>
      <c r="AU170" s="2"/>
    </row>
    <row r="171" spans="2:47" ht="18" customHeight="1" thickBot="1" x14ac:dyDescent="0.3">
      <c r="B171" s="133"/>
      <c r="C171" s="190"/>
      <c r="D171" s="101"/>
      <c r="E171" s="101"/>
      <c r="F171" s="137"/>
      <c r="G171" s="172" t="str">
        <f>IFERROR(IF(G170="","",VLOOKUP(G170,LISTAS!$F$5:$G$1004,2,0)),"0")</f>
        <v>COLÉGIO ARBOS DE SÃO BERNARDO DO CAMPO</v>
      </c>
      <c r="H171" s="267"/>
      <c r="I171" s="101"/>
      <c r="J171" s="101"/>
      <c r="K171" s="190"/>
      <c r="L171" s="101"/>
      <c r="M171" s="138"/>
      <c r="N171" s="101"/>
      <c r="O171" s="190"/>
      <c r="P171" s="101"/>
      <c r="Q171" s="100"/>
      <c r="R171" s="197"/>
      <c r="S171" s="37"/>
      <c r="T171" s="37"/>
      <c r="U171" s="37"/>
      <c r="V171" s="198"/>
      <c r="W171" s="37"/>
      <c r="X171" s="86"/>
      <c r="Y171" s="198"/>
      <c r="Z171" s="94"/>
      <c r="AA171" s="37"/>
      <c r="AB171" s="29"/>
      <c r="AC171" s="198"/>
      <c r="AD171" s="37"/>
      <c r="AE171" s="95"/>
      <c r="AF171" s="267"/>
      <c r="AG171" s="172" t="str">
        <f>IFERROR(IF(AG170="","",VLOOKUP(AG170,LISTAS!$F$5:$G$1004,2,0)),"0")</f>
        <v>COLÉGIO ARBOS DE SÃO BERNARDO DO CAMPO</v>
      </c>
      <c r="AH171" s="94"/>
      <c r="AI171" s="37"/>
      <c r="AJ171" s="29"/>
      <c r="AK171" s="188"/>
      <c r="AL171" s="29"/>
      <c r="AP171" s="2"/>
      <c r="AQ171" s="2"/>
      <c r="AR171" s="2"/>
      <c r="AS171" s="2"/>
      <c r="AT171" s="2"/>
      <c r="AU171" s="2"/>
    </row>
    <row r="172" spans="2:47" ht="18" customHeight="1" x14ac:dyDescent="0.25">
      <c r="B172" s="133"/>
      <c r="C172" s="190"/>
      <c r="D172" s="101"/>
      <c r="E172" s="138"/>
      <c r="F172" s="102"/>
      <c r="G172" s="171" t="str">
        <f>IF(D174&lt;&gt;"",IF(D176&lt;&gt;"",IF(D174=D176,"",IF(D174&gt;D176,C174,C176)),""),"")</f>
        <v>FELIPE RAFAEL CARDOZO</v>
      </c>
      <c r="H172" s="266">
        <v>1</v>
      </c>
      <c r="I172" s="107">
        <f>IF(H172&lt;&gt;"",H172,"")</f>
        <v>1</v>
      </c>
      <c r="J172" s="101" t="str">
        <f>IF(H172&lt;&gt;"",IF(G172="","",G172),"")</f>
        <v>FELIPE RAFAEL CARDOZO</v>
      </c>
      <c r="K172" s="190" t="str">
        <f>VLOOKUP(K170,I170:J172,2,0)</f>
        <v>ARTHUR MAZIERI REZENDE</v>
      </c>
      <c r="L172" s="101"/>
      <c r="M172" s="138"/>
      <c r="N172" s="101">
        <f>IF(P163&lt;&gt;"",P163,"")</f>
        <v>1</v>
      </c>
      <c r="O172" s="190" t="str">
        <f>IF(P163&lt;&gt;"",O163,"")</f>
        <v>VICENTE MOREIRA MEDINA</v>
      </c>
      <c r="P172" s="101">
        <f>IF(N172&lt;&gt;"",IF(N174&lt;&gt;"",SMALL(N172:N174,1),""),"")</f>
        <v>0</v>
      </c>
      <c r="Q172" s="100"/>
      <c r="R172" s="197"/>
      <c r="S172" s="37"/>
      <c r="T172" s="37"/>
      <c r="U172" s="37"/>
      <c r="V172" s="198"/>
      <c r="W172" s="37"/>
      <c r="X172" s="86"/>
      <c r="Y172" s="198"/>
      <c r="Z172" s="94"/>
      <c r="AA172" s="37"/>
      <c r="AB172" s="29"/>
      <c r="AC172" s="198"/>
      <c r="AD172" s="94"/>
      <c r="AE172" s="96"/>
      <c r="AF172" s="266">
        <v>1</v>
      </c>
      <c r="AG172" s="171" t="str">
        <f>IF(AJ174&lt;&gt;"",IF(AJ176&lt;&gt;"",IF(AJ174=AJ176,"",IF(AJ174&gt;AJ176,AK174,AK176)),""),"")</f>
        <v>DANIEL MAZZOCHI MARY</v>
      </c>
      <c r="AH172" s="98"/>
      <c r="AI172" s="37"/>
      <c r="AJ172" s="29"/>
      <c r="AK172" s="188"/>
      <c r="AL172" s="29"/>
    </row>
    <row r="173" spans="2:47" ht="18" customHeight="1" thickBot="1" x14ac:dyDescent="0.3">
      <c r="B173" s="133"/>
      <c r="C173" s="190"/>
      <c r="D173" s="101"/>
      <c r="E173" s="138"/>
      <c r="F173" s="101"/>
      <c r="G173" s="172" t="str">
        <f>IFERROR(IF(G172="","",VLOOKUP(G172,LISTAS!$F$5:$G$1004,2,0)),"0")</f>
        <v>PEN LIFE</v>
      </c>
      <c r="H173" s="267"/>
      <c r="I173" s="138"/>
      <c r="J173" s="101"/>
      <c r="K173" s="190"/>
      <c r="L173" s="101"/>
      <c r="M173" s="138"/>
      <c r="N173" s="101"/>
      <c r="O173" s="190"/>
      <c r="P173" s="101"/>
      <c r="Q173" s="100"/>
      <c r="R173" s="197"/>
      <c r="S173" s="37"/>
      <c r="T173" s="37"/>
      <c r="U173" s="37"/>
      <c r="V173" s="198"/>
      <c r="W173" s="37"/>
      <c r="X173" s="86"/>
      <c r="Y173" s="198"/>
      <c r="Z173" s="37"/>
      <c r="AA173" s="89"/>
      <c r="AB173" s="29"/>
      <c r="AC173" s="198"/>
      <c r="AD173" s="94"/>
      <c r="AE173" s="37"/>
      <c r="AF173" s="267"/>
      <c r="AG173" s="172" t="str">
        <f>IFERROR(IF(AG172="","",VLOOKUP(AG172,LISTAS!$F$5:$G$1004,2,0)),"0")</f>
        <v>LICEU JARDIM</v>
      </c>
      <c r="AH173" s="37"/>
      <c r="AI173" s="89"/>
      <c r="AJ173" s="29"/>
      <c r="AK173" s="188"/>
      <c r="AL173" s="29"/>
    </row>
    <row r="174" spans="2:47" ht="18" customHeight="1" x14ac:dyDescent="0.25">
      <c r="B174" s="133">
        <v>12</v>
      </c>
      <c r="C174" s="171" t="str">
        <f>IF('09M GRP'!G5&gt;=3,'09M GRP'!J166,IF('09M GRP'!G5=2,"",IF('09M GRP'!G5=1,"","")))</f>
        <v>FELIPE RAFAEL CARDOZO</v>
      </c>
      <c r="D174" s="266">
        <v>1</v>
      </c>
      <c r="E174" s="148">
        <f>IF(D174&lt;&gt;"",D174,"")</f>
        <v>1</v>
      </c>
      <c r="F174" s="101" t="str">
        <f>IF(D174&lt;&gt;"",IF(C174="","",C174),"")</f>
        <v>FELIPE RAFAEL CARDOZO</v>
      </c>
      <c r="G174" s="190">
        <f>IF(E174&lt;&gt;"",IF(E176&lt;&gt;"",SMALL(E174:E176,1),""),"")</f>
        <v>0</v>
      </c>
      <c r="H174" s="101"/>
      <c r="I174" s="138"/>
      <c r="J174" s="101"/>
      <c r="K174" s="190"/>
      <c r="L174" s="101"/>
      <c r="M174" s="138"/>
      <c r="N174" s="101">
        <f>IF(P165&lt;&gt;"",P165,"")</f>
        <v>0</v>
      </c>
      <c r="O174" s="190" t="str">
        <f>IF(P165&lt;&gt;"",O165,"")</f>
        <v>FELIPE RAFAEL CARDOZO</v>
      </c>
      <c r="P174" s="101" t="str">
        <f>VLOOKUP(P172,N172:O174,2,0)</f>
        <v>FELIPE RAFAEL CARDOZO</v>
      </c>
      <c r="Q174" s="100"/>
      <c r="R174" s="197"/>
      <c r="S174" s="37"/>
      <c r="T174" s="37"/>
      <c r="U174" s="37"/>
      <c r="V174" s="198"/>
      <c r="W174" s="37"/>
      <c r="X174" s="86"/>
      <c r="Y174" s="198"/>
      <c r="Z174" s="37"/>
      <c r="AA174" s="89"/>
      <c r="AB174" s="29"/>
      <c r="AC174" s="198"/>
      <c r="AD174" s="146"/>
      <c r="AE174" s="100"/>
      <c r="AF174" s="100"/>
      <c r="AG174" s="197">
        <f>IF(AJ174&lt;&gt;"",AJ174,"")</f>
        <v>1</v>
      </c>
      <c r="AH174" s="100" t="str">
        <f>IF(AJ174&lt;&gt;"",IF(AK174="","",AK174),"")</f>
        <v>DANIEL MAZZOCHI MARY</v>
      </c>
      <c r="AI174" s="137">
        <f>IF(AG174&lt;&gt;"",IF(AG176&lt;&gt;"",SMALL(AG174:AG176,1),""),"")</f>
        <v>0</v>
      </c>
      <c r="AJ174" s="266">
        <v>1</v>
      </c>
      <c r="AK174" s="171" t="str">
        <f>IF('09M GRP'!G5&gt;=3,'09M GRP'!J140,IF('09M GRP'!G5=2,"",IF('09M GRP'!G5=1,"","")))</f>
        <v>DANIEL MAZZOCHI MARY</v>
      </c>
      <c r="AL174" s="29">
        <v>10</v>
      </c>
    </row>
    <row r="175" spans="2:47" ht="18" customHeight="1" thickBot="1" x14ac:dyDescent="0.3">
      <c r="B175" s="133"/>
      <c r="C175" s="172" t="str">
        <f>IFERROR(IF(C174="","",VLOOKUP(C174,LISTAS!$F$5:$G$1004,2,0)),"0")</f>
        <v>PEN LIFE</v>
      </c>
      <c r="D175" s="267"/>
      <c r="E175" s="105"/>
      <c r="F175" s="101"/>
      <c r="G175" s="190"/>
      <c r="H175" s="101"/>
      <c r="I175" s="138"/>
      <c r="J175" s="101"/>
      <c r="K175" s="190"/>
      <c r="L175" s="101"/>
      <c r="M175" s="138"/>
      <c r="N175" s="101"/>
      <c r="O175" s="190"/>
      <c r="P175" s="101"/>
      <c r="Q175" s="100"/>
      <c r="R175" s="197"/>
      <c r="S175" s="37"/>
      <c r="T175" s="37"/>
      <c r="U175" s="37"/>
      <c r="V175" s="198"/>
      <c r="W175" s="37"/>
      <c r="X175" s="86"/>
      <c r="Y175" s="198"/>
      <c r="Z175" s="37"/>
      <c r="AA175" s="89"/>
      <c r="AB175" s="29"/>
      <c r="AC175" s="198"/>
      <c r="AD175" s="146"/>
      <c r="AE175" s="100"/>
      <c r="AF175" s="100"/>
      <c r="AG175" s="197"/>
      <c r="AH175" s="100"/>
      <c r="AI175" s="143"/>
      <c r="AJ175" s="267"/>
      <c r="AK175" s="172" t="str">
        <f>IFERROR(IF(AK174="","",VLOOKUP(AK174,LISTAS!$F$5:$G$1004,2,0)),"0")</f>
        <v>LICEU JARDIM</v>
      </c>
      <c r="AL175" s="29"/>
    </row>
    <row r="176" spans="2:47" ht="18" customHeight="1" x14ac:dyDescent="0.25">
      <c r="B176" s="133">
        <v>21</v>
      </c>
      <c r="C176" s="171" t="str">
        <f>IF('09M GRP'!G5&gt;=3,'09M GRP'!J283,IF('09M GRP'!G5=2,"",IF('09M GRP'!G5=1,"","")))</f>
        <v>THEO SCHNYDER HERNANDES</v>
      </c>
      <c r="D176" s="266">
        <v>0</v>
      </c>
      <c r="E176" s="106">
        <f>IF(D176&lt;&gt;"",D176,"")</f>
        <v>0</v>
      </c>
      <c r="F176" s="101" t="str">
        <f>IF(D176&lt;&gt;"",IF(C176="","",C176),"")</f>
        <v>THEO SCHNYDER HERNANDES</v>
      </c>
      <c r="G176" s="190" t="str">
        <f>VLOOKUP(G174,E174:F176,2,0)</f>
        <v>THEO SCHNYDER HERNANDES</v>
      </c>
      <c r="H176" s="101"/>
      <c r="I176" s="138"/>
      <c r="J176" s="101"/>
      <c r="K176" s="190"/>
      <c r="L176" s="101"/>
      <c r="M176" s="138"/>
      <c r="N176" s="101"/>
      <c r="O176" s="190"/>
      <c r="P176" s="101"/>
      <c r="Q176" s="100"/>
      <c r="R176" s="197"/>
      <c r="S176" s="37"/>
      <c r="T176" s="37"/>
      <c r="U176" s="37"/>
      <c r="V176" s="198"/>
      <c r="W176" s="37"/>
      <c r="X176" s="86"/>
      <c r="Y176" s="198"/>
      <c r="Z176" s="37"/>
      <c r="AA176" s="89"/>
      <c r="AB176" s="29"/>
      <c r="AC176" s="198"/>
      <c r="AD176" s="146"/>
      <c r="AE176" s="100"/>
      <c r="AF176" s="100"/>
      <c r="AG176" s="197">
        <f>IF(AJ176&lt;&gt;"",AJ176,"")</f>
        <v>0</v>
      </c>
      <c r="AH176" s="100" t="str">
        <f>IF(AJ176&lt;&gt;"",IF(AK176="","",AK176),"")</f>
        <v>BYE</v>
      </c>
      <c r="AI176" s="145" t="str">
        <f>VLOOKUP(AI174,AG174:AH176,2,0)</f>
        <v>BYE</v>
      </c>
      <c r="AJ176" s="266">
        <v>0</v>
      </c>
      <c r="AK176" s="171" t="str">
        <f>IF('09M GRP'!G5&gt;=3,'09M GRP'!J309,IF('09M GRP'!G5=2,"",IF('09M GRP'!G5=1,"","")))</f>
        <v>BYE</v>
      </c>
      <c r="AL176" s="29">
        <v>23</v>
      </c>
    </row>
    <row r="177" spans="2:38" ht="18" customHeight="1" thickBot="1" x14ac:dyDescent="0.3">
      <c r="B177" s="133"/>
      <c r="C177" s="172" t="str">
        <f>IFERROR(IF(C176="","",VLOOKUP(C176,LISTAS!$F$5:$G$1004,2,0)),"0")</f>
        <v>COLÉGIO ATENEU</v>
      </c>
      <c r="D177" s="267"/>
      <c r="E177" s="101"/>
      <c r="F177" s="101"/>
      <c r="G177" s="190"/>
      <c r="H177" s="101"/>
      <c r="I177" s="138"/>
      <c r="J177" s="101"/>
      <c r="K177" s="190"/>
      <c r="L177" s="101"/>
      <c r="M177" s="138"/>
      <c r="N177" s="101"/>
      <c r="O177" s="190"/>
      <c r="P177" s="101"/>
      <c r="Q177" s="100"/>
      <c r="R177" s="197"/>
      <c r="S177" s="37"/>
      <c r="T177" s="37"/>
      <c r="U177" s="37"/>
      <c r="V177" s="198"/>
      <c r="W177" s="37"/>
      <c r="X177" s="86"/>
      <c r="Y177" s="198"/>
      <c r="Z177" s="37"/>
      <c r="AA177" s="89"/>
      <c r="AB177" s="29"/>
      <c r="AC177" s="198"/>
      <c r="AD177" s="146"/>
      <c r="AE177" s="100"/>
      <c r="AF177" s="100"/>
      <c r="AG177" s="197"/>
      <c r="AH177" s="100"/>
      <c r="AI177" s="101"/>
      <c r="AJ177" s="267"/>
      <c r="AK177" s="172" t="str">
        <f>IFERROR(IF(AK176="","",VLOOKUP(AK176,LISTAS!$F$5:$G$1004,2,0)),"0")</f>
        <v>BYE</v>
      </c>
      <c r="AL177" s="29"/>
    </row>
    <row r="178" spans="2:38" ht="18" customHeight="1" x14ac:dyDescent="0.25">
      <c r="B178" s="133"/>
      <c r="C178" s="188"/>
      <c r="D178" s="29"/>
      <c r="E178" s="29"/>
      <c r="F178" s="29"/>
      <c r="G178" s="188"/>
      <c r="H178" s="29"/>
      <c r="I178" s="35"/>
      <c r="J178" s="29"/>
      <c r="K178" s="171" t="str">
        <f>IF(H170&lt;&gt;"",IF(H172&lt;&gt;"",IF(H170=H172,"",IF(H170&gt;H172,G170,G172)),""),"")</f>
        <v>FELIPE RAFAEL CARDOZO</v>
      </c>
      <c r="L178" s="266">
        <v>1</v>
      </c>
      <c r="M178" s="148">
        <f>IF(L178&lt;&gt;"",L178,"")</f>
        <v>1</v>
      </c>
      <c r="N178" s="101" t="str">
        <f>IF(L178&lt;&gt;"",IF(K178="","",K178),"")</f>
        <v>FELIPE RAFAEL CARDOZO</v>
      </c>
      <c r="O178" s="190">
        <f>IF(M178&lt;&gt;"",IF(M180&lt;&gt;"",SMALL(M178:N180,1),""),"")</f>
        <v>0</v>
      </c>
      <c r="P178" s="101"/>
      <c r="Q178" s="100"/>
      <c r="R178" s="197"/>
      <c r="S178" s="37"/>
      <c r="T178" s="37"/>
      <c r="U178" s="37"/>
      <c r="V178" s="198"/>
      <c r="W178" s="37"/>
      <c r="X178" s="86"/>
      <c r="Y178" s="198"/>
      <c r="Z178" s="37"/>
      <c r="AA178" s="89"/>
      <c r="AB178" s="266">
        <v>1</v>
      </c>
      <c r="AC178" s="171" t="str">
        <f>IF(AF170&lt;&gt;"",IF(AF172&lt;&gt;"",IF(AF170=AF172,"",IF(AF170&gt;AF172,AG170,AG172)),""),"")</f>
        <v>DANIEL MAZZOCHI MARY</v>
      </c>
      <c r="AD178" s="147"/>
      <c r="AE178" s="100"/>
      <c r="AF178" s="100"/>
      <c r="AG178" s="197"/>
      <c r="AH178" s="100"/>
      <c r="AI178" s="100"/>
      <c r="AJ178" s="29"/>
      <c r="AK178" s="188"/>
      <c r="AL178" s="29"/>
    </row>
    <row r="179" spans="2:38" ht="18" customHeight="1" thickBot="1" x14ac:dyDescent="0.3">
      <c r="B179" s="133"/>
      <c r="C179" s="188"/>
      <c r="D179" s="29"/>
      <c r="E179" s="29"/>
      <c r="F179" s="29"/>
      <c r="G179" s="188"/>
      <c r="H179" s="29"/>
      <c r="I179" s="35"/>
      <c r="J179" s="29"/>
      <c r="K179" s="172" t="str">
        <f>IFERROR(IF(K178="","",VLOOKUP(K178,LISTAS!$F$5:$G$1004,2,0)),"0")</f>
        <v>PEN LIFE</v>
      </c>
      <c r="L179" s="267"/>
      <c r="M179" s="105"/>
      <c r="N179" s="101"/>
      <c r="O179" s="190"/>
      <c r="P179" s="101"/>
      <c r="Q179" s="100"/>
      <c r="R179" s="197"/>
      <c r="S179" s="37"/>
      <c r="T179" s="37"/>
      <c r="U179" s="37"/>
      <c r="V179" s="198"/>
      <c r="W179" s="37"/>
      <c r="X179" s="86"/>
      <c r="Y179" s="198"/>
      <c r="Z179" s="37"/>
      <c r="AA179" s="139"/>
      <c r="AB179" s="267"/>
      <c r="AC179" s="172" t="str">
        <f>IFERROR(IF(AC178="","",VLOOKUP(AC178,LISTAS!$F$5:$G$1004,2,0)),"0")</f>
        <v>LICEU JARDIM</v>
      </c>
      <c r="AD179" s="37"/>
      <c r="AE179" s="89"/>
      <c r="AF179" s="37"/>
      <c r="AG179" s="198"/>
      <c r="AH179" s="37"/>
      <c r="AI179" s="37"/>
      <c r="AJ179" s="29"/>
      <c r="AK179" s="188"/>
      <c r="AL179" s="29"/>
    </row>
    <row r="180" spans="2:38" ht="18" customHeight="1" x14ac:dyDescent="0.25">
      <c r="B180" s="133"/>
      <c r="C180" s="188"/>
      <c r="D180" s="29"/>
      <c r="E180" s="29"/>
      <c r="F180" s="29"/>
      <c r="G180" s="188"/>
      <c r="H180" s="29"/>
      <c r="I180" s="35"/>
      <c r="J180" s="36"/>
      <c r="K180" s="171" t="str">
        <f>IF(H186&lt;&gt;"",IF(H188&lt;&gt;"",IF(H186=H188,"",IF(H186&gt;H188,G186,G188)),""),"")</f>
        <v>FELIPE TAMANAGA PORRO</v>
      </c>
      <c r="L180" s="266">
        <v>0</v>
      </c>
      <c r="M180" s="106">
        <f>IF(L180&lt;&gt;"",L180,"")</f>
        <v>0</v>
      </c>
      <c r="N180" s="101" t="str">
        <f>IF(L180&lt;&gt;"",IF(K180="","",K180),"")</f>
        <v>FELIPE TAMANAGA PORRO</v>
      </c>
      <c r="O180" s="190" t="str">
        <f>VLOOKUP(O178,M178:N180,2,0)</f>
        <v>FELIPE TAMANAGA PORRO</v>
      </c>
      <c r="P180" s="101"/>
      <c r="Q180" s="100"/>
      <c r="R180" s="197"/>
      <c r="S180" s="37"/>
      <c r="T180" s="37"/>
      <c r="U180" s="37"/>
      <c r="V180" s="198"/>
      <c r="W180" s="37"/>
      <c r="X180" s="86"/>
      <c r="Y180" s="198"/>
      <c r="Z180" s="37"/>
      <c r="AA180" s="37"/>
      <c r="AB180" s="266">
        <v>0</v>
      </c>
      <c r="AC180" s="171" t="str">
        <f>IF(AF186&lt;&gt;"",IF(AF188&lt;&gt;"",IF(AF186=AF188,"",IF(AF186&gt;AF188,AG186,AG188)),""),"")</f>
        <v>RODRIGO MASSINI JUNIOR</v>
      </c>
      <c r="AD180" s="37"/>
      <c r="AE180" s="89"/>
      <c r="AF180" s="37"/>
      <c r="AG180" s="198"/>
      <c r="AH180" s="37"/>
      <c r="AI180" s="37"/>
      <c r="AJ180" s="29"/>
      <c r="AK180" s="188"/>
      <c r="AL180" s="29"/>
    </row>
    <row r="181" spans="2:38" ht="18" customHeight="1" thickBot="1" x14ac:dyDescent="0.3">
      <c r="B181" s="133"/>
      <c r="C181" s="188"/>
      <c r="D181" s="29"/>
      <c r="E181" s="29"/>
      <c r="F181" s="29"/>
      <c r="G181" s="188"/>
      <c r="H181" s="29"/>
      <c r="I181" s="35"/>
      <c r="J181" s="29"/>
      <c r="K181" s="172" t="str">
        <f>IFERROR(IF(K180="","",VLOOKUP(K180,LISTAS!$F$5:$G$1004,2,0)),"0")</f>
        <v>COLÉGIO ARBOS - UNIDADE SANTO ANDRÉ</v>
      </c>
      <c r="L181" s="267"/>
      <c r="M181" s="101"/>
      <c r="N181" s="101"/>
      <c r="O181" s="190"/>
      <c r="P181" s="101"/>
      <c r="Q181" s="100"/>
      <c r="R181" s="197"/>
      <c r="S181" s="37"/>
      <c r="T181" s="37"/>
      <c r="U181" s="37"/>
      <c r="V181" s="198"/>
      <c r="W181" s="37"/>
      <c r="X181" s="86"/>
      <c r="Y181" s="198"/>
      <c r="Z181" s="37"/>
      <c r="AA181" s="37"/>
      <c r="AB181" s="267"/>
      <c r="AC181" s="172" t="str">
        <f>IFERROR(IF(AC180="","",VLOOKUP(AC180,LISTAS!$F$5:$G$1004,2,0)),"0")</f>
        <v>LICEU JARDIM</v>
      </c>
      <c r="AD181" s="100"/>
      <c r="AE181" s="144"/>
      <c r="AF181" s="100"/>
      <c r="AG181" s="197"/>
      <c r="AH181" s="100"/>
      <c r="AI181" s="100"/>
      <c r="AJ181" s="29"/>
      <c r="AK181" s="188"/>
      <c r="AL181" s="29"/>
    </row>
    <row r="182" spans="2:38" ht="18" customHeight="1" x14ac:dyDescent="0.25">
      <c r="B182" s="133">
        <v>20</v>
      </c>
      <c r="C182" s="171" t="str">
        <f>IF('09M GRP'!G5&gt;=3,'09M GRP'!J270,IF('09M GRP'!G5=2,"",IF('09M GRP'!G5=1,"","")))</f>
        <v>MATHEUS JULIANI CRUZ</v>
      </c>
      <c r="D182" s="266">
        <v>0</v>
      </c>
      <c r="E182" s="101">
        <f>IF(D182&lt;&gt;"",D182,"")</f>
        <v>0</v>
      </c>
      <c r="F182" s="101" t="str">
        <f>IF(D182&lt;&gt;"",IF(C182="","",C182),"")</f>
        <v>MATHEUS JULIANI CRUZ</v>
      </c>
      <c r="G182" s="190">
        <f>IF(E182&lt;&gt;"",IF(E184&lt;&gt;"",SMALL(E182:E184,1),""),"")</f>
        <v>0</v>
      </c>
      <c r="H182" s="101"/>
      <c r="I182" s="35"/>
      <c r="J182" s="29"/>
      <c r="K182" s="188"/>
      <c r="L182" s="29"/>
      <c r="M182" s="101"/>
      <c r="N182" s="101"/>
      <c r="O182" s="190"/>
      <c r="P182" s="101"/>
      <c r="Q182" s="100"/>
      <c r="R182" s="197"/>
      <c r="S182" s="37"/>
      <c r="T182" s="37"/>
      <c r="U182" s="37"/>
      <c r="V182" s="198"/>
      <c r="W182" s="37"/>
      <c r="X182" s="86"/>
      <c r="Y182" s="198"/>
      <c r="Z182" s="37"/>
      <c r="AA182" s="37"/>
      <c r="AB182" s="29"/>
      <c r="AC182" s="198"/>
      <c r="AD182" s="100"/>
      <c r="AE182" s="144"/>
      <c r="AF182" s="100"/>
      <c r="AG182" s="197">
        <f>IF(AJ182&lt;&gt;"",AJ182,"")</f>
        <v>0</v>
      </c>
      <c r="AH182" s="100" t="str">
        <f>IF(AJ182&lt;&gt;"",IF(AK182="","",AK182),"")</f>
        <v>MIGUEL DE SANTANA SALVADOR LOPES</v>
      </c>
      <c r="AI182" s="101">
        <f>IF(AG182&lt;&gt;"",IF(AG184&lt;&gt;"",SMALL(AG182:AG184,1),""),"")</f>
        <v>0</v>
      </c>
      <c r="AJ182" s="266">
        <v>0</v>
      </c>
      <c r="AK182" s="171" t="str">
        <f>IF('09M GRP'!G5&gt;=3,'09M GRP'!J205,IF('09M GRP'!G5=2,"",IF('09M GRP'!G5=1,"","")))</f>
        <v>MIGUEL DE SANTANA SALVADOR LOPES</v>
      </c>
      <c r="AL182" s="29">
        <v>15</v>
      </c>
    </row>
    <row r="183" spans="2:38" ht="18" customHeight="1" thickBot="1" x14ac:dyDescent="0.3">
      <c r="B183" s="133"/>
      <c r="C183" s="172" t="str">
        <f>IFERROR(IF(C182="","",VLOOKUP(C182,LISTAS!$F$5:$G$1004,2,0)),"0")</f>
        <v>COLÉGIO ARBOS - UNIDADE SANTO ANDRÉ</v>
      </c>
      <c r="D183" s="267"/>
      <c r="E183" s="101"/>
      <c r="F183" s="101"/>
      <c r="G183" s="190"/>
      <c r="H183" s="101"/>
      <c r="I183" s="35"/>
      <c r="J183" s="29"/>
      <c r="K183" s="188"/>
      <c r="L183" s="29"/>
      <c r="M183" s="101"/>
      <c r="N183" s="101"/>
      <c r="O183" s="190"/>
      <c r="P183" s="101"/>
      <c r="Q183" s="100"/>
      <c r="R183" s="197"/>
      <c r="S183" s="37"/>
      <c r="T183" s="37"/>
      <c r="U183" s="37"/>
      <c r="V183" s="198"/>
      <c r="W183" s="37"/>
      <c r="X183" s="86"/>
      <c r="Y183" s="198"/>
      <c r="Z183" s="37"/>
      <c r="AA183" s="37"/>
      <c r="AB183" s="29"/>
      <c r="AC183" s="198"/>
      <c r="AD183" s="100"/>
      <c r="AE183" s="144"/>
      <c r="AF183" s="100"/>
      <c r="AG183" s="197"/>
      <c r="AH183" s="100"/>
      <c r="AI183" s="101"/>
      <c r="AJ183" s="267"/>
      <c r="AK183" s="172" t="str">
        <f>IFERROR(IF(AK182="","",VLOOKUP(AK182,LISTAS!$F$5:$G$1004,2,0)),"0")</f>
        <v>ABACO IPIRANGA</v>
      </c>
      <c r="AL183" s="29"/>
    </row>
    <row r="184" spans="2:38" ht="18" customHeight="1" x14ac:dyDescent="0.25">
      <c r="B184" s="133">
        <v>13</v>
      </c>
      <c r="C184" s="171" t="str">
        <f>IF('09M GRP'!G5&gt;=3,'09M GRP'!J179,IF('09M GRP'!G5=2,"",IF('09M GRP'!G5=1,"","")))</f>
        <v>JOÃO LUCAS DIAS</v>
      </c>
      <c r="D184" s="266">
        <v>1</v>
      </c>
      <c r="E184" s="107">
        <f>IF(D184&lt;&gt;"",D184,"")</f>
        <v>1</v>
      </c>
      <c r="F184" s="101" t="str">
        <f>IF(D184&lt;&gt;"",IF(C184="","",C184),"")</f>
        <v>JOÃO LUCAS DIAS</v>
      </c>
      <c r="G184" s="190" t="str">
        <f>VLOOKUP(G182,E182:F184,2,0)</f>
        <v>MATHEUS JULIANI CRUZ</v>
      </c>
      <c r="H184" s="101"/>
      <c r="I184" s="35"/>
      <c r="J184" s="29"/>
      <c r="K184" s="188"/>
      <c r="L184" s="29"/>
      <c r="M184" s="101"/>
      <c r="N184" s="101"/>
      <c r="O184" s="190"/>
      <c r="P184" s="101"/>
      <c r="Q184" s="100"/>
      <c r="R184" s="197"/>
      <c r="S184" s="37"/>
      <c r="T184" s="37"/>
      <c r="U184" s="37"/>
      <c r="V184" s="198"/>
      <c r="W184" s="37"/>
      <c r="X184" s="86"/>
      <c r="Y184" s="198"/>
      <c r="Z184" s="37"/>
      <c r="AA184" s="37"/>
      <c r="AB184" s="29"/>
      <c r="AC184" s="198"/>
      <c r="AD184" s="100"/>
      <c r="AE184" s="144"/>
      <c r="AF184" s="100"/>
      <c r="AG184" s="197">
        <f>IF(AJ184&lt;&gt;"",AJ184,"")</f>
        <v>1</v>
      </c>
      <c r="AH184" s="100" t="str">
        <f>IF(AJ184&lt;&gt;"",IF(AK184="","",AK184),"")</f>
        <v>RODRIGO MASSINI JUNIOR</v>
      </c>
      <c r="AI184" s="102" t="str">
        <f>VLOOKUP(AI182,AG182:AH184,2,0)</f>
        <v>MIGUEL DE SANTANA SALVADOR LOPES</v>
      </c>
      <c r="AJ184" s="266">
        <v>1</v>
      </c>
      <c r="AK184" s="171" t="str">
        <f>IF('09M GRP'!G5&gt;=3,'09M GRP'!J244,IF('09M GRP'!G5=2,"",IF('09M GRP'!G5=1,"","")))</f>
        <v>RODRIGO MASSINI JUNIOR</v>
      </c>
      <c r="AL184" s="29">
        <v>18</v>
      </c>
    </row>
    <row r="185" spans="2:38" ht="18" customHeight="1" thickBot="1" x14ac:dyDescent="0.3">
      <c r="B185" s="133"/>
      <c r="C185" s="172" t="str">
        <f>IFERROR(IF(C184="","",VLOOKUP(C184,LISTAS!$F$5:$G$1004,2,0)),"0")</f>
        <v>ABACO IPIRANGA</v>
      </c>
      <c r="D185" s="267"/>
      <c r="E185" s="148"/>
      <c r="F185" s="101"/>
      <c r="G185" s="190"/>
      <c r="H185" s="101"/>
      <c r="I185" s="35"/>
      <c r="J185" s="29"/>
      <c r="K185" s="188"/>
      <c r="L185" s="29"/>
      <c r="M185" s="29"/>
      <c r="N185" s="29"/>
      <c r="O185" s="188"/>
      <c r="P185" s="29"/>
      <c r="Q185" s="37"/>
      <c r="R185" s="198"/>
      <c r="S185" s="37"/>
      <c r="T185" s="37"/>
      <c r="U185" s="37"/>
      <c r="V185" s="198"/>
      <c r="W185" s="37"/>
      <c r="X185" s="86"/>
      <c r="Y185" s="198"/>
      <c r="Z185" s="37"/>
      <c r="AA185" s="37"/>
      <c r="AB185" s="29"/>
      <c r="AC185" s="198"/>
      <c r="AD185" s="100"/>
      <c r="AE185" s="144"/>
      <c r="AF185" s="100"/>
      <c r="AG185" s="197"/>
      <c r="AH185" s="146"/>
      <c r="AI185" s="101"/>
      <c r="AJ185" s="267"/>
      <c r="AK185" s="172" t="str">
        <f>IFERROR(IF(AK184="","",VLOOKUP(AK184,LISTAS!$F$5:$G$1004,2,0)),"0")</f>
        <v>LICEU JARDIM</v>
      </c>
      <c r="AL185" s="29"/>
    </row>
    <row r="186" spans="2:38" ht="18" customHeight="1" x14ac:dyDescent="0.25">
      <c r="B186" s="133"/>
      <c r="C186" s="188"/>
      <c r="D186" s="29"/>
      <c r="E186" s="29"/>
      <c r="F186" s="34"/>
      <c r="G186" s="171" t="str">
        <f>IF(D182&lt;&gt;"",IF(D184&lt;&gt;"",IF(D182=D184,"",IF(D182&gt;D184,C182,C184)),""),"")</f>
        <v>JOÃO LUCAS DIAS</v>
      </c>
      <c r="H186" s="266">
        <v>0</v>
      </c>
      <c r="I186" s="148">
        <f>IF(H186&lt;&gt;"",H186,"")</f>
        <v>0</v>
      </c>
      <c r="J186" s="101" t="str">
        <f>IF(H186&lt;&gt;"",IF(G186="","",G186),"")</f>
        <v>JOÃO LUCAS DIAS</v>
      </c>
      <c r="K186" s="190">
        <f>IF(I186&lt;&gt;"",IF(I188&lt;&gt;"",SMALL(I186:J188,1),""),"")</f>
        <v>0</v>
      </c>
      <c r="L186" s="101"/>
      <c r="M186" s="29"/>
      <c r="N186" s="29"/>
      <c r="O186" s="188"/>
      <c r="P186" s="29"/>
      <c r="Q186" s="37"/>
      <c r="R186" s="198"/>
      <c r="S186" s="37"/>
      <c r="T186" s="37"/>
      <c r="U186" s="37"/>
      <c r="V186" s="198"/>
      <c r="W186" s="37"/>
      <c r="X186" s="86"/>
      <c r="Y186" s="198"/>
      <c r="Z186" s="37"/>
      <c r="AA186" s="37"/>
      <c r="AB186" s="29"/>
      <c r="AC186" s="198"/>
      <c r="AD186" s="37"/>
      <c r="AE186" s="89"/>
      <c r="AF186" s="266">
        <v>1</v>
      </c>
      <c r="AG186" s="171" t="str">
        <f>IF(AJ182&lt;&gt;"",IF(AJ184&lt;&gt;"",IF(AJ182=AJ184,"",IF(AJ182&gt;AJ184,AK182,AK184)),""),"")</f>
        <v>RODRIGO MASSINI JUNIOR</v>
      </c>
      <c r="AH186" s="94"/>
      <c r="AI186" s="37"/>
      <c r="AJ186" s="29"/>
      <c r="AK186" s="188"/>
      <c r="AL186" s="29"/>
    </row>
    <row r="187" spans="2:38" ht="18" customHeight="1" thickBot="1" x14ac:dyDescent="0.3">
      <c r="B187" s="133"/>
      <c r="C187" s="188"/>
      <c r="D187" s="29"/>
      <c r="E187" s="29"/>
      <c r="F187" s="34"/>
      <c r="G187" s="172" t="str">
        <f>IFERROR(IF(G186="","",VLOOKUP(G186,LISTAS!$F$5:$G$1004,2,0)),"0")</f>
        <v>ABACO IPIRANGA</v>
      </c>
      <c r="H187" s="267"/>
      <c r="I187" s="105"/>
      <c r="J187" s="101"/>
      <c r="K187" s="190"/>
      <c r="L187" s="101"/>
      <c r="M187" s="29"/>
      <c r="N187" s="29"/>
      <c r="O187" s="188"/>
      <c r="P187" s="29"/>
      <c r="Q187" s="37"/>
      <c r="R187" s="198"/>
      <c r="S187" s="37"/>
      <c r="T187" s="37"/>
      <c r="U187" s="37"/>
      <c r="V187" s="198"/>
      <c r="W187" s="37"/>
      <c r="X187" s="86"/>
      <c r="Y187" s="198"/>
      <c r="Z187" s="37"/>
      <c r="AA187" s="37"/>
      <c r="AB187" s="29"/>
      <c r="AC187" s="198"/>
      <c r="AD187" s="37"/>
      <c r="AE187" s="90"/>
      <c r="AF187" s="267"/>
      <c r="AG187" s="172" t="str">
        <f>IFERROR(IF(AG186="","",VLOOKUP(AG186,LISTAS!$F$5:$G$1004,2,0)),"0")</f>
        <v>LICEU JARDIM</v>
      </c>
      <c r="AH187" s="94"/>
      <c r="AI187" s="37"/>
      <c r="AJ187" s="29"/>
      <c r="AK187" s="188"/>
      <c r="AL187" s="29"/>
    </row>
    <row r="188" spans="2:38" ht="18" customHeight="1" x14ac:dyDescent="0.25">
      <c r="B188" s="133"/>
      <c r="C188" s="188"/>
      <c r="D188" s="29"/>
      <c r="E188" s="35"/>
      <c r="F188" s="36"/>
      <c r="G188" s="171" t="str">
        <f>IF(D190&lt;&gt;"",IF(D192&lt;&gt;"",IF(D190=D192,"",IF(D190&gt;D192,C190,C192)),""),"")</f>
        <v>FELIPE TAMANAGA PORRO</v>
      </c>
      <c r="H188" s="266">
        <v>1</v>
      </c>
      <c r="I188" s="106">
        <f>IF(H188&lt;&gt;"",H188,"")</f>
        <v>1</v>
      </c>
      <c r="J188" s="101" t="str">
        <f>IF(H188&lt;&gt;"",IF(G188="","",G188),"")</f>
        <v>FELIPE TAMANAGA PORRO</v>
      </c>
      <c r="K188" s="190" t="str">
        <f>VLOOKUP(K186,I186:J188,2,0)</f>
        <v>JOÃO LUCAS DIAS</v>
      </c>
      <c r="L188" s="101"/>
      <c r="M188" s="29"/>
      <c r="N188" s="29"/>
      <c r="O188" s="188"/>
      <c r="P188" s="29"/>
      <c r="Q188" s="37"/>
      <c r="R188" s="198"/>
      <c r="S188" s="37"/>
      <c r="T188" s="37"/>
      <c r="U188" s="37"/>
      <c r="V188" s="198"/>
      <c r="W188" s="37"/>
      <c r="X188" s="86"/>
      <c r="Y188" s="198"/>
      <c r="Z188" s="37"/>
      <c r="AA188" s="37"/>
      <c r="AB188" s="29"/>
      <c r="AC188" s="198"/>
      <c r="AD188" s="37"/>
      <c r="AE188" s="91"/>
      <c r="AF188" s="266">
        <v>0</v>
      </c>
      <c r="AG188" s="171" t="str">
        <f>IF(AJ190&lt;&gt;"",IF(AJ192&lt;&gt;"",IF(AJ190=AJ192,"",IF(AJ190&gt;AJ192,AK190,AK192)),""),"")</f>
        <v>DAVI SIMOYAMA BLASSIOLI ARCANJO</v>
      </c>
      <c r="AH188" s="98"/>
      <c r="AI188" s="37"/>
      <c r="AJ188" s="29"/>
      <c r="AK188" s="188"/>
      <c r="AL188" s="29"/>
    </row>
    <row r="189" spans="2:38" ht="18" customHeight="1" thickBot="1" x14ac:dyDescent="0.3">
      <c r="B189" s="133"/>
      <c r="C189" s="188"/>
      <c r="D189" s="29"/>
      <c r="E189" s="35"/>
      <c r="F189" s="29"/>
      <c r="G189" s="172" t="str">
        <f>IFERROR(IF(G188="","",VLOOKUP(G188,LISTAS!$F$5:$G$1004,2,0)),"0")</f>
        <v>COLÉGIO ARBOS - UNIDADE SANTO ANDRÉ</v>
      </c>
      <c r="H189" s="267"/>
      <c r="I189" s="101"/>
      <c r="J189" s="101"/>
      <c r="K189" s="190"/>
      <c r="L189" s="101"/>
      <c r="M189" s="29"/>
      <c r="N189" s="29"/>
      <c r="O189" s="188"/>
      <c r="P189" s="29"/>
      <c r="Q189" s="37"/>
      <c r="R189" s="198"/>
      <c r="S189" s="37"/>
      <c r="T189" s="37"/>
      <c r="U189" s="37"/>
      <c r="V189" s="198"/>
      <c r="W189" s="37"/>
      <c r="X189" s="86"/>
      <c r="Y189" s="198"/>
      <c r="Z189" s="37"/>
      <c r="AA189" s="37"/>
      <c r="AB189" s="29"/>
      <c r="AC189" s="198"/>
      <c r="AD189" s="37"/>
      <c r="AE189" s="37"/>
      <c r="AF189" s="267"/>
      <c r="AG189" s="172" t="str">
        <f>IFERROR(IF(AG188="","",VLOOKUP(AG188,LISTAS!$F$5:$G$1004,2,0)),"0")</f>
        <v>COLÉGIO ARBOS - UNIDADE SANTO ANDRÉ</v>
      </c>
      <c r="AH189" s="37"/>
      <c r="AI189" s="89"/>
      <c r="AJ189" s="29"/>
      <c r="AK189" s="188"/>
      <c r="AL189" s="29"/>
    </row>
    <row r="190" spans="2:38" ht="18" customHeight="1" x14ac:dyDescent="0.25">
      <c r="B190" s="133">
        <v>29</v>
      </c>
      <c r="C190" s="171" t="str">
        <f>IF('09M GRP'!G5&gt;=3,'09M GRP'!J387,IF('09M GRP'!G5=2,"",IF('09M GRP'!G5=1,"","")))</f>
        <v/>
      </c>
      <c r="D190" s="266">
        <v>0</v>
      </c>
      <c r="E190" s="148">
        <f>IF(D190&lt;&gt;"",D190,"")</f>
        <v>0</v>
      </c>
      <c r="F190" s="101" t="str">
        <f>IF(D190&lt;&gt;"",IF(C190="","",C190),"")</f>
        <v/>
      </c>
      <c r="G190" s="190">
        <f>IF(E190&lt;&gt;"",IF(E192&lt;&gt;"",SMALL(E190:E192,1),""),"")</f>
        <v>0</v>
      </c>
      <c r="H190" s="101"/>
      <c r="I190" s="101"/>
      <c r="J190" s="101"/>
      <c r="K190" s="190"/>
      <c r="L190" s="101"/>
      <c r="M190" s="29"/>
      <c r="N190" s="29"/>
      <c r="O190" s="188"/>
      <c r="P190" s="29"/>
      <c r="Q190" s="37"/>
      <c r="R190" s="198"/>
      <c r="S190" s="37"/>
      <c r="T190" s="37"/>
      <c r="U190" s="37"/>
      <c r="V190" s="198"/>
      <c r="W190" s="37"/>
      <c r="X190" s="86"/>
      <c r="Y190" s="198"/>
      <c r="Z190" s="37"/>
      <c r="AA190" s="37"/>
      <c r="AB190" s="29"/>
      <c r="AC190" s="198"/>
      <c r="AD190" s="100"/>
      <c r="AE190" s="100"/>
      <c r="AF190" s="100"/>
      <c r="AG190" s="197">
        <f>IF(AJ190&lt;&gt;"",AJ190,"")</f>
        <v>0</v>
      </c>
      <c r="AH190" s="100" t="str">
        <f>IF(AJ190&lt;&gt;"",IF(AK190="","",AK190),"")</f>
        <v/>
      </c>
      <c r="AI190" s="137">
        <f>IF(AG190&lt;&gt;"",IF(AG192&lt;&gt;"",SMALL(AG190:AG192,1),""),"")</f>
        <v>0</v>
      </c>
      <c r="AJ190" s="266">
        <v>0</v>
      </c>
      <c r="AK190" s="171" t="str">
        <f>IF('09M GRP'!G5&gt;=3,'09M GRP'!J413,IF('09M GRP'!G5=2,"",IF('09M GRP'!G5=1,"","")))</f>
        <v/>
      </c>
      <c r="AL190" s="29">
        <v>31</v>
      </c>
    </row>
    <row r="191" spans="2:38" ht="18" customHeight="1" thickBot="1" x14ac:dyDescent="0.3">
      <c r="B191" s="133"/>
      <c r="C191" s="172" t="str">
        <f>IFERROR(IF(C190="","",VLOOKUP(C190,LISTAS!$F$5:$G$1004,2,0)),"0")</f>
        <v/>
      </c>
      <c r="D191" s="267"/>
      <c r="E191" s="105"/>
      <c r="F191" s="101"/>
      <c r="G191" s="190"/>
      <c r="H191" s="101"/>
      <c r="I191" s="101"/>
      <c r="J191" s="101"/>
      <c r="K191" s="190"/>
      <c r="L191" s="101"/>
      <c r="M191" s="29"/>
      <c r="N191" s="29"/>
      <c r="O191" s="188"/>
      <c r="P191" s="29"/>
      <c r="Q191" s="37"/>
      <c r="R191" s="198"/>
      <c r="S191" s="37"/>
      <c r="T191" s="37"/>
      <c r="U191" s="37"/>
      <c r="V191" s="198"/>
      <c r="W191" s="37"/>
      <c r="X191" s="86"/>
      <c r="Y191" s="198"/>
      <c r="Z191" s="37"/>
      <c r="AA191" s="37"/>
      <c r="AB191" s="29"/>
      <c r="AC191" s="198"/>
      <c r="AD191" s="100"/>
      <c r="AE191" s="100"/>
      <c r="AF191" s="100"/>
      <c r="AG191" s="197"/>
      <c r="AH191" s="100"/>
      <c r="AI191" s="103"/>
      <c r="AJ191" s="267"/>
      <c r="AK191" s="172" t="str">
        <f>IFERROR(IF(AK190="","",VLOOKUP(AK190,LISTAS!$F$5:$G$1004,2,0)),"0")</f>
        <v/>
      </c>
      <c r="AL191" s="29"/>
    </row>
    <row r="192" spans="2:38" x14ac:dyDescent="0.25">
      <c r="B192" s="133">
        <v>4</v>
      </c>
      <c r="C192" s="171" t="str">
        <f>IF('09M GRP'!G5&gt;=3,'09M GRP'!J62,IF('09M GRP'!G5=2,"",IF('09M GRP'!G5=1,"","")))</f>
        <v>FELIPE TAMANAGA PORRO</v>
      </c>
      <c r="D192" s="266">
        <v>1</v>
      </c>
      <c r="E192" s="106">
        <f>IF(D192&lt;&gt;"",D192,"")</f>
        <v>1</v>
      </c>
      <c r="F192" s="101" t="str">
        <f>IF(D192&lt;&gt;"",IF(C192="","",C192),"")</f>
        <v>FELIPE TAMANAGA PORRO</v>
      </c>
      <c r="G192" s="190" t="str">
        <f>VLOOKUP(G190,E190:F192,2,0)</f>
        <v/>
      </c>
      <c r="H192" s="101"/>
      <c r="I192" s="101"/>
      <c r="J192" s="101"/>
      <c r="K192" s="190"/>
      <c r="L192" s="101"/>
      <c r="M192" s="29"/>
      <c r="N192" s="29"/>
      <c r="O192" s="188"/>
      <c r="P192" s="29"/>
      <c r="Q192" s="37"/>
      <c r="R192" s="198"/>
      <c r="S192" s="37"/>
      <c r="T192" s="37"/>
      <c r="U192" s="37"/>
      <c r="V192" s="198"/>
      <c r="W192" s="37"/>
      <c r="X192" s="86"/>
      <c r="Y192" s="198"/>
      <c r="Z192" s="37"/>
      <c r="AA192" s="37"/>
      <c r="AB192" s="29"/>
      <c r="AC192" s="198"/>
      <c r="AD192" s="100"/>
      <c r="AE192" s="100"/>
      <c r="AF192" s="100"/>
      <c r="AG192" s="197">
        <f>IF(AJ192&lt;&gt;"",AJ192,"")</f>
        <v>1</v>
      </c>
      <c r="AH192" s="100" t="str">
        <f>IF(AJ192&lt;&gt;"",IF(AK192="","",AK192),"")</f>
        <v>DAVI SIMOYAMA BLASSIOLI ARCANJO</v>
      </c>
      <c r="AI192" s="104" t="str">
        <f>VLOOKUP(AI190,AG190:AH192,2,0)</f>
        <v/>
      </c>
      <c r="AJ192" s="266">
        <v>1</v>
      </c>
      <c r="AK192" s="171" t="str">
        <f>IF('09M GRP'!G5&gt;=3,'09M GRP'!J32,IF('09M GRP'!G5=2,IF('09M GRP'!H8=3,'09M GRP'!J32,""),IF('09M GRP'!G5=1,"","")))</f>
        <v>DAVI SIMOYAMA BLASSIOLI ARCANJO</v>
      </c>
      <c r="AL192" s="29">
        <v>2</v>
      </c>
    </row>
    <row r="193" spans="2:38" ht="17.25" thickBot="1" x14ac:dyDescent="0.3">
      <c r="B193" s="133"/>
      <c r="C193" s="172" t="str">
        <f>IFERROR(IF(C192="","",VLOOKUP(C192,LISTAS!$F$5:$G$1004,2,0)),"0")</f>
        <v>COLÉGIO ARBOS - UNIDADE SANTO ANDRÉ</v>
      </c>
      <c r="D193" s="267"/>
      <c r="E193" s="101"/>
      <c r="F193" s="101"/>
      <c r="G193" s="190"/>
      <c r="H193" s="101"/>
      <c r="I193" s="101"/>
      <c r="J193" s="101"/>
      <c r="K193" s="190"/>
      <c r="L193" s="101"/>
      <c r="M193" s="29"/>
      <c r="N193" s="29"/>
      <c r="O193" s="188"/>
      <c r="P193" s="29"/>
      <c r="Q193" s="37"/>
      <c r="R193" s="198"/>
      <c r="S193" s="37"/>
      <c r="T193" s="37"/>
      <c r="U193" s="37"/>
      <c r="V193" s="198"/>
      <c r="W193" s="37"/>
      <c r="X193" s="86"/>
      <c r="Y193" s="198"/>
      <c r="Z193" s="37"/>
      <c r="AA193" s="37"/>
      <c r="AB193" s="29"/>
      <c r="AC193" s="198"/>
      <c r="AD193" s="100"/>
      <c r="AE193" s="100"/>
      <c r="AF193" s="100"/>
      <c r="AG193" s="197"/>
      <c r="AH193" s="100"/>
      <c r="AI193" s="101"/>
      <c r="AJ193" s="267"/>
      <c r="AK193" s="172" t="str">
        <f>IFERROR(IF(AK192="","",VLOOKUP(AK192,LISTAS!$F$5:$G$1004,2,0)),"0")</f>
        <v>COLÉGIO ARBOS - UNIDADE SANTO ANDRÉ</v>
      </c>
      <c r="AL193" s="29"/>
    </row>
    <row r="194" spans="2:38" x14ac:dyDescent="0.25">
      <c r="B194" s="133"/>
      <c r="C194" s="189"/>
      <c r="D194" s="84"/>
      <c r="E194" s="149"/>
      <c r="F194" s="149"/>
      <c r="G194" s="194"/>
      <c r="H194" s="149"/>
      <c r="I194" s="149"/>
      <c r="J194" s="149"/>
      <c r="K194" s="194"/>
      <c r="L194" s="149"/>
      <c r="M194" s="84"/>
      <c r="N194" s="84"/>
      <c r="O194" s="189"/>
      <c r="P194" s="84"/>
      <c r="Q194" s="37"/>
      <c r="R194" s="198"/>
      <c r="S194" s="37"/>
      <c r="T194" s="37"/>
      <c r="U194" s="37"/>
      <c r="V194" s="198"/>
      <c r="W194" s="37"/>
      <c r="X194" s="86"/>
      <c r="Y194" s="198"/>
      <c r="Z194" s="37"/>
      <c r="AA194" s="37"/>
      <c r="AB194" s="29"/>
      <c r="AC194" s="198"/>
      <c r="AD194" s="100"/>
      <c r="AE194" s="100"/>
      <c r="AF194" s="100"/>
      <c r="AG194" s="197"/>
      <c r="AH194" s="100"/>
      <c r="AI194" s="100"/>
      <c r="AJ194" s="84"/>
      <c r="AK194" s="189"/>
      <c r="AL194" s="29"/>
    </row>
    <row r="195" spans="2:38" x14ac:dyDescent="0.25">
      <c r="B195" s="29"/>
      <c r="C195" s="189"/>
      <c r="D195" s="84"/>
      <c r="E195" s="84"/>
      <c r="F195" s="84"/>
      <c r="G195" s="189"/>
      <c r="H195" s="84"/>
      <c r="I195" s="84"/>
      <c r="J195" s="84"/>
      <c r="K195" s="189"/>
      <c r="L195" s="84"/>
      <c r="M195" s="84"/>
      <c r="N195" s="84"/>
      <c r="O195" s="189"/>
      <c r="P195" s="84"/>
      <c r="Q195" s="37"/>
      <c r="R195" s="198"/>
      <c r="S195" s="37"/>
      <c r="T195" s="37"/>
      <c r="U195" s="37"/>
      <c r="V195" s="198"/>
      <c r="W195" s="37"/>
      <c r="X195" s="86"/>
      <c r="Y195" s="198"/>
      <c r="Z195" s="37"/>
      <c r="AA195" s="37"/>
      <c r="AB195" s="29"/>
      <c r="AC195" s="198"/>
      <c r="AD195" s="37"/>
      <c r="AE195" s="37"/>
      <c r="AF195" s="37"/>
      <c r="AG195" s="198"/>
      <c r="AH195" s="37"/>
      <c r="AI195" s="37"/>
      <c r="AJ195" s="84"/>
      <c r="AK195" s="189"/>
      <c r="AL195" s="29"/>
    </row>
    <row r="196" spans="2:38" x14ac:dyDescent="0.25">
      <c r="B196" s="2"/>
      <c r="D196" s="2"/>
      <c r="E196" s="2"/>
      <c r="F196" s="2"/>
      <c r="G196" s="163"/>
      <c r="H196" s="2"/>
      <c r="I196" s="2"/>
      <c r="J196" s="2"/>
      <c r="K196" s="163"/>
      <c r="L196" s="2"/>
      <c r="M196" s="2"/>
      <c r="N196" s="2"/>
      <c r="O196" s="163"/>
      <c r="P196" s="2"/>
      <c r="W196" s="2"/>
      <c r="Y196" s="163"/>
      <c r="Z196" s="2"/>
      <c r="AA196" s="2"/>
      <c r="AB196" s="2"/>
      <c r="AC196" s="163"/>
      <c r="AD196" s="2"/>
      <c r="AE196" s="2"/>
      <c r="AF196" s="2"/>
      <c r="AG196" s="163"/>
      <c r="AH196" s="2"/>
      <c r="AI196" s="2"/>
      <c r="AJ196" s="2"/>
      <c r="AK196" s="163"/>
    </row>
    <row r="197" spans="2:38" x14ac:dyDescent="0.25">
      <c r="B197" s="2"/>
      <c r="D197" s="2"/>
      <c r="E197" s="2"/>
      <c r="F197" s="2"/>
      <c r="G197" s="163"/>
      <c r="H197" s="2"/>
      <c r="I197" s="2"/>
      <c r="J197" s="2"/>
      <c r="K197" s="163"/>
      <c r="L197" s="2"/>
      <c r="M197" s="2"/>
      <c r="N197" s="2"/>
      <c r="O197" s="163"/>
      <c r="P197" s="2"/>
      <c r="W197" s="2"/>
      <c r="Y197" s="163"/>
      <c r="Z197" s="2"/>
      <c r="AA197" s="2"/>
      <c r="AB197" s="2"/>
      <c r="AC197" s="163"/>
      <c r="AD197" s="2"/>
      <c r="AE197" s="2"/>
      <c r="AF197" s="2"/>
      <c r="AG197" s="163"/>
      <c r="AH197" s="2"/>
      <c r="AI197" s="2"/>
      <c r="AJ197" s="2"/>
      <c r="AK197" s="163"/>
    </row>
    <row r="198" spans="2:38" x14ac:dyDescent="0.25">
      <c r="B198" s="2"/>
      <c r="D198" s="2"/>
      <c r="E198" s="2"/>
      <c r="F198" s="2"/>
      <c r="G198" s="163"/>
      <c r="H198" s="2"/>
      <c r="I198" s="2"/>
      <c r="J198" s="2"/>
      <c r="K198" s="163"/>
      <c r="L198" s="2"/>
      <c r="M198" s="2"/>
      <c r="N198" s="2"/>
      <c r="O198" s="163"/>
      <c r="P198" s="2"/>
      <c r="W198" s="2"/>
      <c r="Y198" s="163"/>
      <c r="Z198" s="2"/>
      <c r="AA198" s="2"/>
      <c r="AB198" s="2"/>
      <c r="AC198" s="163"/>
      <c r="AD198" s="2"/>
      <c r="AE198" s="2"/>
      <c r="AF198" s="2"/>
      <c r="AG198" s="163"/>
      <c r="AH198" s="2"/>
      <c r="AI198" s="2"/>
      <c r="AJ198" s="2"/>
      <c r="AK198" s="163"/>
    </row>
    <row r="199" spans="2:38" x14ac:dyDescent="0.25">
      <c r="B199" s="2"/>
      <c r="D199" s="2"/>
      <c r="E199" s="2"/>
      <c r="F199" s="2"/>
      <c r="G199" s="163"/>
      <c r="H199" s="2"/>
      <c r="I199" s="2"/>
      <c r="J199" s="2"/>
      <c r="K199" s="163"/>
      <c r="L199" s="2"/>
      <c r="M199" s="2"/>
      <c r="N199" s="2"/>
      <c r="O199" s="163"/>
      <c r="P199" s="2"/>
      <c r="W199" s="2"/>
      <c r="Y199" s="163"/>
      <c r="Z199" s="2"/>
      <c r="AA199" s="2"/>
      <c r="AB199" s="2"/>
      <c r="AC199" s="163"/>
      <c r="AD199" s="2"/>
      <c r="AE199" s="2"/>
      <c r="AF199" s="2"/>
      <c r="AG199" s="163"/>
      <c r="AH199" s="2"/>
      <c r="AI199" s="2"/>
      <c r="AJ199" s="2"/>
      <c r="AK199" s="163"/>
    </row>
    <row r="200" spans="2:38" x14ac:dyDescent="0.25">
      <c r="B200" s="2"/>
      <c r="D200" s="2"/>
      <c r="E200" s="2"/>
      <c r="F200" s="2"/>
      <c r="G200" s="163"/>
      <c r="H200" s="2"/>
      <c r="I200" s="2"/>
      <c r="J200" s="2"/>
      <c r="K200" s="163"/>
      <c r="L200" s="2"/>
      <c r="M200" s="2"/>
      <c r="N200" s="2"/>
      <c r="O200" s="163"/>
      <c r="P200" s="2"/>
      <c r="W200" s="2"/>
      <c r="Y200" s="163"/>
      <c r="Z200" s="2"/>
      <c r="AA200" s="2"/>
      <c r="AB200" s="2"/>
      <c r="AC200" s="163"/>
      <c r="AD200" s="2"/>
      <c r="AE200" s="2"/>
      <c r="AF200" s="2"/>
      <c r="AG200" s="163"/>
      <c r="AH200" s="2"/>
      <c r="AI200" s="2"/>
      <c r="AJ200" s="2"/>
      <c r="AK200" s="163"/>
    </row>
  </sheetData>
  <mergeCells count="211">
    <mergeCell ref="B2:AL4"/>
    <mergeCell ref="AP2:AU3"/>
    <mergeCell ref="B5:D5"/>
    <mergeCell ref="AP5:AQ5"/>
    <mergeCell ref="B6:AL6"/>
    <mergeCell ref="AP6:AU6"/>
    <mergeCell ref="H14:H15"/>
    <mergeCell ref="AF14:AF15"/>
    <mergeCell ref="D16:D17"/>
    <mergeCell ref="AJ16:AJ17"/>
    <mergeCell ref="D18:D19"/>
    <mergeCell ref="AJ18:AJ19"/>
    <mergeCell ref="AP7:AQ7"/>
    <mergeCell ref="D8:D9"/>
    <mergeCell ref="AJ8:AJ9"/>
    <mergeCell ref="D10:D11"/>
    <mergeCell ref="AJ10:AJ11"/>
    <mergeCell ref="H12:H13"/>
    <mergeCell ref="AF12:AF13"/>
    <mergeCell ref="D26:D27"/>
    <mergeCell ref="AJ26:AJ27"/>
    <mergeCell ref="H28:H29"/>
    <mergeCell ref="AF28:AF29"/>
    <mergeCell ref="H30:H31"/>
    <mergeCell ref="AF30:AF31"/>
    <mergeCell ref="L20:L21"/>
    <mergeCell ref="AB20:AB21"/>
    <mergeCell ref="L22:L23"/>
    <mergeCell ref="AB22:AB23"/>
    <mergeCell ref="D24:D25"/>
    <mergeCell ref="AJ24:AJ25"/>
    <mergeCell ref="R21:V21"/>
    <mergeCell ref="R20:V20"/>
    <mergeCell ref="P37:P38"/>
    <mergeCell ref="X37:X38"/>
    <mergeCell ref="D38:D39"/>
    <mergeCell ref="AJ38:AJ39"/>
    <mergeCell ref="D40:D41"/>
    <mergeCell ref="AJ40:AJ41"/>
    <mergeCell ref="D32:D33"/>
    <mergeCell ref="AJ32:AJ33"/>
    <mergeCell ref="D34:D35"/>
    <mergeCell ref="R34:V34"/>
    <mergeCell ref="AJ34:AJ35"/>
    <mergeCell ref="P35:P36"/>
    <mergeCell ref="X35:X36"/>
    <mergeCell ref="S36:S37"/>
    <mergeCell ref="T36:T37"/>
    <mergeCell ref="U36:U37"/>
    <mergeCell ref="D48:D49"/>
    <mergeCell ref="AJ48:AJ49"/>
    <mergeCell ref="L50:L51"/>
    <mergeCell ref="AB50:AB51"/>
    <mergeCell ref="L52:L53"/>
    <mergeCell ref="AB52:AB53"/>
    <mergeCell ref="H42:H43"/>
    <mergeCell ref="AF42:AF43"/>
    <mergeCell ref="H44:H45"/>
    <mergeCell ref="AF44:AF45"/>
    <mergeCell ref="D46:D47"/>
    <mergeCell ref="AJ46:AJ47"/>
    <mergeCell ref="H60:H61"/>
    <mergeCell ref="AF60:AF61"/>
    <mergeCell ref="D62:D63"/>
    <mergeCell ref="AJ62:AJ63"/>
    <mergeCell ref="D64:D65"/>
    <mergeCell ref="AJ64:AJ65"/>
    <mergeCell ref="D54:D55"/>
    <mergeCell ref="AJ54:AJ55"/>
    <mergeCell ref="D56:D57"/>
    <mergeCell ref="AJ56:AJ57"/>
    <mergeCell ref="H58:H59"/>
    <mergeCell ref="AF58:AF59"/>
    <mergeCell ref="H76:H77"/>
    <mergeCell ref="AF76:AF77"/>
    <mergeCell ref="H78:H79"/>
    <mergeCell ref="AF78:AF79"/>
    <mergeCell ref="D80:D81"/>
    <mergeCell ref="AJ80:AJ81"/>
    <mergeCell ref="B70:AL70"/>
    <mergeCell ref="AP70:AU70"/>
    <mergeCell ref="AP71:AQ71"/>
    <mergeCell ref="D72:D73"/>
    <mergeCell ref="AJ72:AJ73"/>
    <mergeCell ref="D74:D75"/>
    <mergeCell ref="AJ74:AJ75"/>
    <mergeCell ref="D88:D89"/>
    <mergeCell ref="AJ88:AJ89"/>
    <mergeCell ref="D90:D91"/>
    <mergeCell ref="AJ90:AJ91"/>
    <mergeCell ref="H92:H93"/>
    <mergeCell ref="AF92:AF93"/>
    <mergeCell ref="D82:D83"/>
    <mergeCell ref="AJ82:AJ83"/>
    <mergeCell ref="L84:L85"/>
    <mergeCell ref="AB84:AB85"/>
    <mergeCell ref="L86:L87"/>
    <mergeCell ref="AB86:AB87"/>
    <mergeCell ref="R84:V84"/>
    <mergeCell ref="R85:V85"/>
    <mergeCell ref="H94:H95"/>
    <mergeCell ref="AF94:AF95"/>
    <mergeCell ref="D96:D97"/>
    <mergeCell ref="AJ96:AJ97"/>
    <mergeCell ref="D98:D99"/>
    <mergeCell ref="R98:V98"/>
    <mergeCell ref="AJ98:AJ99"/>
    <mergeCell ref="P99:P100"/>
    <mergeCell ref="X99:X100"/>
    <mergeCell ref="S100:S101"/>
    <mergeCell ref="D104:D105"/>
    <mergeCell ref="AJ104:AJ105"/>
    <mergeCell ref="H106:H107"/>
    <mergeCell ref="AF106:AF107"/>
    <mergeCell ref="H108:H109"/>
    <mergeCell ref="AF108:AF109"/>
    <mergeCell ref="T100:T101"/>
    <mergeCell ref="U100:U101"/>
    <mergeCell ref="P101:P102"/>
    <mergeCell ref="X101:X102"/>
    <mergeCell ref="D102:D103"/>
    <mergeCell ref="AJ102:AJ103"/>
    <mergeCell ref="L116:L117"/>
    <mergeCell ref="AB116:AB117"/>
    <mergeCell ref="D118:D119"/>
    <mergeCell ref="AJ118:AJ119"/>
    <mergeCell ref="D120:D121"/>
    <mergeCell ref="AJ120:AJ121"/>
    <mergeCell ref="D110:D111"/>
    <mergeCell ref="AJ110:AJ111"/>
    <mergeCell ref="D112:D113"/>
    <mergeCell ref="AJ112:AJ113"/>
    <mergeCell ref="L114:L115"/>
    <mergeCell ref="AB114:AB115"/>
    <mergeCell ref="D128:D129"/>
    <mergeCell ref="AJ128:AJ129"/>
    <mergeCell ref="B134:AL134"/>
    <mergeCell ref="AP134:AU134"/>
    <mergeCell ref="AP135:AQ135"/>
    <mergeCell ref="D136:D137"/>
    <mergeCell ref="AJ136:AJ137"/>
    <mergeCell ref="H122:H123"/>
    <mergeCell ref="AF122:AF123"/>
    <mergeCell ref="H124:H125"/>
    <mergeCell ref="AF124:AF125"/>
    <mergeCell ref="D126:D127"/>
    <mergeCell ref="AJ126:AJ127"/>
    <mergeCell ref="D144:D145"/>
    <mergeCell ref="AJ144:AJ145"/>
    <mergeCell ref="D146:D147"/>
    <mergeCell ref="AJ146:AJ147"/>
    <mergeCell ref="L148:L149"/>
    <mergeCell ref="AB148:AB149"/>
    <mergeCell ref="D138:D139"/>
    <mergeCell ref="AJ138:AJ139"/>
    <mergeCell ref="H140:H141"/>
    <mergeCell ref="AF140:AF141"/>
    <mergeCell ref="H142:H143"/>
    <mergeCell ref="AF142:AF143"/>
    <mergeCell ref="R148:V148"/>
    <mergeCell ref="R149:V149"/>
    <mergeCell ref="H156:H157"/>
    <mergeCell ref="AF156:AF157"/>
    <mergeCell ref="H158:H159"/>
    <mergeCell ref="AF158:AF159"/>
    <mergeCell ref="D160:D161"/>
    <mergeCell ref="AJ160:AJ161"/>
    <mergeCell ref="L150:L151"/>
    <mergeCell ref="AB150:AB151"/>
    <mergeCell ref="D152:D153"/>
    <mergeCell ref="AJ152:AJ153"/>
    <mergeCell ref="D154:D155"/>
    <mergeCell ref="AJ154:AJ155"/>
    <mergeCell ref="D166:D167"/>
    <mergeCell ref="AJ166:AJ167"/>
    <mergeCell ref="D168:D169"/>
    <mergeCell ref="AJ168:AJ169"/>
    <mergeCell ref="H170:H171"/>
    <mergeCell ref="AF170:AF171"/>
    <mergeCell ref="D162:D163"/>
    <mergeCell ref="R162:V162"/>
    <mergeCell ref="AJ162:AJ163"/>
    <mergeCell ref="P163:P164"/>
    <mergeCell ref="X163:X164"/>
    <mergeCell ref="S164:S165"/>
    <mergeCell ref="T164:T165"/>
    <mergeCell ref="U164:U165"/>
    <mergeCell ref="P165:P166"/>
    <mergeCell ref="X165:X166"/>
    <mergeCell ref="L178:L179"/>
    <mergeCell ref="AB178:AB179"/>
    <mergeCell ref="L180:L181"/>
    <mergeCell ref="AB180:AB181"/>
    <mergeCell ref="D182:D183"/>
    <mergeCell ref="AJ182:AJ183"/>
    <mergeCell ref="H172:H173"/>
    <mergeCell ref="AF172:AF173"/>
    <mergeCell ref="D174:D175"/>
    <mergeCell ref="AJ174:AJ175"/>
    <mergeCell ref="D176:D177"/>
    <mergeCell ref="AJ176:AJ177"/>
    <mergeCell ref="D190:D191"/>
    <mergeCell ref="AJ190:AJ191"/>
    <mergeCell ref="D192:D193"/>
    <mergeCell ref="AJ192:AJ193"/>
    <mergeCell ref="D184:D185"/>
    <mergeCell ref="AJ184:AJ185"/>
    <mergeCell ref="H186:H187"/>
    <mergeCell ref="AF186:AF187"/>
    <mergeCell ref="H188:H189"/>
    <mergeCell ref="AF188:AF189"/>
  </mergeCells>
  <printOptions horizontalCentered="1"/>
  <pageMargins left="0.23622047244094491" right="0.23622047244094491" top="0.74803149606299213" bottom="0.74803149606299213" header="0.31496062992125984" footer="0.31496062992125984"/>
  <pageSetup paperSize="9" scale="13" orientation="landscape" verticalDpi="300"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0000000}">
          <x14:formula1>
            <xm:f>LISTAS!$D$5:$D$6</xm:f>
          </x14:formula1>
          <xm:sqref>AS5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11">
    <tabColor rgb="FFFF66FF"/>
  </sheetPr>
  <dimension ref="B1:Q432"/>
  <sheetViews>
    <sheetView showGridLines="0" topLeftCell="A115" zoomScale="70" zoomScaleNormal="70" workbookViewId="0">
      <selection activeCell="B132" sqref="B132"/>
    </sheetView>
  </sheetViews>
  <sheetFormatPr defaultColWidth="25.28515625" defaultRowHeight="16.5" x14ac:dyDescent="0.25"/>
  <cols>
    <col min="1" max="1" width="1.140625" style="1" customWidth="1"/>
    <col min="2" max="2" width="49.7109375" style="1" customWidth="1"/>
    <col min="3" max="3" width="41.140625" style="2" bestFit="1" customWidth="1"/>
    <col min="4" max="8" width="8" style="1" customWidth="1"/>
    <col min="9" max="9" width="8.140625" style="1" customWidth="1"/>
    <col min="10" max="10" width="49.85546875" style="1" customWidth="1"/>
    <col min="11" max="11" width="41.140625" style="1" bestFit="1" customWidth="1"/>
    <col min="12" max="12" width="14.42578125" style="1" customWidth="1"/>
    <col min="13" max="13" width="7" style="20" bestFit="1" customWidth="1"/>
    <col min="14" max="14" width="10.42578125" style="20" bestFit="1" customWidth="1"/>
    <col min="15" max="15" width="8.42578125" style="20" bestFit="1" customWidth="1"/>
    <col min="16" max="16" width="10.42578125" style="20" bestFit="1" customWidth="1"/>
    <col min="17" max="17" width="25.28515625" style="20"/>
    <col min="18" max="16384" width="25.28515625" style="1"/>
  </cols>
  <sheetData>
    <row r="1" spans="2:17" ht="6" customHeight="1" x14ac:dyDescent="0.25"/>
    <row r="2" spans="2:17" s="3" customFormat="1" ht="60.75" customHeight="1" x14ac:dyDescent="0.25">
      <c r="B2" s="233"/>
      <c r="C2" s="233"/>
      <c r="D2" s="233"/>
      <c r="E2" s="233"/>
      <c r="F2" s="233"/>
      <c r="G2" s="233"/>
      <c r="H2" s="233"/>
      <c r="I2" s="233"/>
      <c r="J2" s="233"/>
      <c r="K2" s="233"/>
      <c r="L2" s="233"/>
      <c r="M2" s="25"/>
      <c r="N2" s="25"/>
      <c r="O2" s="25"/>
      <c r="P2" s="25"/>
      <c r="Q2" s="25"/>
    </row>
    <row r="3" spans="2:17" s="3" customFormat="1" ht="60.75" customHeight="1" x14ac:dyDescent="0.25">
      <c r="B3" s="233"/>
      <c r="C3" s="233"/>
      <c r="D3" s="233"/>
      <c r="E3" s="233"/>
      <c r="F3" s="233"/>
      <c r="G3" s="233"/>
      <c r="H3" s="233"/>
      <c r="I3" s="233"/>
      <c r="J3" s="233"/>
      <c r="K3" s="233"/>
      <c r="L3" s="233"/>
      <c r="M3" s="25"/>
      <c r="N3" s="25"/>
      <c r="O3" s="25"/>
      <c r="P3" s="25"/>
      <c r="Q3" s="25"/>
    </row>
    <row r="4" spans="2:17" s="3" customFormat="1" ht="13.5" customHeight="1" x14ac:dyDescent="0.25">
      <c r="B4" s="233"/>
      <c r="C4" s="233"/>
      <c r="D4" s="233"/>
      <c r="E4" s="233"/>
      <c r="F4" s="233"/>
      <c r="G4" s="233"/>
      <c r="H4" s="233"/>
      <c r="I4" s="233"/>
      <c r="J4" s="233"/>
      <c r="K4" s="233"/>
      <c r="L4" s="233"/>
      <c r="M4" s="25"/>
      <c r="N4" s="25"/>
      <c r="O4" s="25"/>
      <c r="P4" s="25"/>
      <c r="Q4" s="25"/>
    </row>
    <row r="5" spans="2:17" s="3" customFormat="1" ht="30" customHeight="1" x14ac:dyDescent="0.25">
      <c r="B5" s="58" t="s">
        <v>12</v>
      </c>
      <c r="C5" s="221" t="s">
        <v>82</v>
      </c>
      <c r="D5" s="222"/>
      <c r="E5" s="222"/>
      <c r="F5" s="222"/>
      <c r="G5" s="120">
        <v>8</v>
      </c>
      <c r="H5" s="153"/>
      <c r="I5" s="4"/>
      <c r="J5" s="4"/>
      <c r="M5" s="25"/>
      <c r="N5" s="25"/>
      <c r="O5" s="25"/>
      <c r="P5" s="25"/>
      <c r="Q5" s="25"/>
    </row>
    <row r="6" spans="2:17" ht="30" customHeight="1" x14ac:dyDescent="0.25">
      <c r="B6" s="161" t="s">
        <v>39</v>
      </c>
      <c r="C6" s="79"/>
      <c r="D6" s="225" t="s">
        <v>42</v>
      </c>
      <c r="E6" s="226"/>
      <c r="F6" s="226"/>
      <c r="G6" s="227"/>
      <c r="H6" s="113"/>
      <c r="I6" s="225" t="s">
        <v>3</v>
      </c>
      <c r="J6" s="226"/>
      <c r="K6" s="226"/>
      <c r="L6" s="226"/>
    </row>
    <row r="7" spans="2:17" ht="18" customHeight="1" x14ac:dyDescent="0.25">
      <c r="B7" s="9" t="s">
        <v>15</v>
      </c>
      <c r="C7" s="9" t="s">
        <v>0</v>
      </c>
      <c r="D7" s="9" t="s">
        <v>43</v>
      </c>
      <c r="E7" s="9" t="s">
        <v>44</v>
      </c>
      <c r="F7" s="9" t="s">
        <v>77</v>
      </c>
      <c r="G7" s="9" t="s">
        <v>78</v>
      </c>
      <c r="H7" s="114"/>
      <c r="I7" s="9" t="s">
        <v>18</v>
      </c>
      <c r="J7" s="9" t="s">
        <v>15</v>
      </c>
      <c r="K7" s="9" t="s">
        <v>0</v>
      </c>
      <c r="L7" s="9" t="s">
        <v>45</v>
      </c>
    </row>
    <row r="8" spans="2:17" ht="18" customHeight="1" x14ac:dyDescent="0.25">
      <c r="B8" s="15" t="s">
        <v>331</v>
      </c>
      <c r="C8" s="15" t="str">
        <f>IFERROR(IF(B8="","",VLOOKUP(B8,LISTAS!$F$5:$G$1004,2,0)),"0")</f>
        <v>ABACO IPIRANGA</v>
      </c>
      <c r="D8" s="15" t="str">
        <f>IF(H8&lt;3,"",IF(H8=3,IF(D16&lt;&gt;"",IF(H16&lt;&gt;"",IF(D16&lt;&gt;H16,IF(D16&gt;H16,"V","D"),""),""),""),IF(H8=4,IF(D16&lt;&gt;"",IF(H16&lt;&gt;"",IF(D16&lt;&gt;H16,IF(D16&gt;H16,"V","D"),""),""),""),IF(H8=5,IF(D16&lt;&gt;"",IF(H16&lt;&gt;"",IF(D16&lt;&gt;H16,IF(D16&gt;H16,"V","D"),""),""),"")))))</f>
        <v>V</v>
      </c>
      <c r="E8" s="15" t="str">
        <f>IF(H8&lt;3,"",IF(H8=3,IF(D18&lt;&gt;"",IF(H18&lt;&gt;"",IF(D18&lt;&gt;H18,IF(D18&gt;H18,"V","D"),""),""),""),IF(H8=4,IF(D18&lt;&gt;"",IF(H18&lt;&gt;"",IF(D18&lt;&gt;H18,IF(D18&gt;H18,"V","D"),""),""),""),IF(H8=5,IF(D20&lt;&gt;"",IF(H20&lt;&gt;"",IF(D20&lt;&gt;H20,IF(D18&gt;H18,"D","V"),""),""),"")))))</f>
        <v>D</v>
      </c>
      <c r="F8" s="15" t="str">
        <f>IF(H8&lt;4,"-",IF(H8=3,"",IF(H8=4,IF(D21&lt;&gt;"",IF(H21&lt;&gt;"",IF(D21&lt;&gt;H21,IF(D21&gt;H21,"V","D"),""),""),""),IF(H8=5,IF(D23&lt;&gt;"",IF(H23&lt;&gt;"",IF(D23&lt;&gt;H23,IF(D23&gt;H23,"D","V"),""),""),"")))))</f>
        <v>-</v>
      </c>
      <c r="G8" s="15" t="str">
        <f>IF(H8&lt;5,"-",IF(H8=3,"",IF(H8=4,"",IF(H8=5,IF(D25&lt;&gt;"",IF(H25&lt;&gt;"",IF(D25&lt;&gt;H25,IF(D25&gt;H25,"D","V"),""),""),"")))))</f>
        <v>-</v>
      </c>
      <c r="H8" s="117">
        <f>COUNTA(B8:B12)</f>
        <v>3</v>
      </c>
      <c r="I8" s="15">
        <f>IF(B8&lt;&gt;"",1,"")</f>
        <v>1</v>
      </c>
      <c r="J8" s="15" t="str">
        <f>IF(I8&lt;&gt;"",P8,"")</f>
        <v>JÚLIA DE OLIVEIRA COMETTI</v>
      </c>
      <c r="K8" s="15" t="str">
        <f>IFERROR(IF(J8="","",VLOOKUP(J8,LISTAS!$F$5:$G$1004,2,0)),"0")</f>
        <v>COLEGIO PETROPOLIS</v>
      </c>
      <c r="L8" s="119" t="str">
        <f>IF(B8&lt;&gt;"",IF(G5=1,"OURO",IF(G5=2,IF(H8&lt;3,"",IF(H8&gt;4,"",IF(H8=3,"OURO",IF(H8=4,"OURO")))),IF(G5&gt;=3,"OURO",""))),"")</f>
        <v>OURO</v>
      </c>
      <c r="M8" s="20">
        <f>IF(B8&lt;&gt;"",COUNTIF(D8:G8,"V")+(SUMIF(B16:B25,B8,D16:E25)/1000)+(SUMIF(J16:J25,B8,H16:I25)/1000)-(SUMIF(B16:B25,B8,H16:I25)/1000)-(SUMIF(J16:J25,B8,D16:E25)/1000)+0.005,"")</f>
        <v>1.0049999999999999</v>
      </c>
      <c r="N8" s="20" t="str">
        <f>IF(B8="","",B8)</f>
        <v>NINA MEI HORII TODA</v>
      </c>
      <c r="O8" s="20">
        <f>IF(B8&lt;&gt;"",LARGE(M8:M12,1),"")</f>
        <v>2.0079999999999996</v>
      </c>
      <c r="P8" s="20" t="str">
        <f>VLOOKUP(O8,M8:N12,2,0)</f>
        <v>JÚLIA DE OLIVEIRA COMETTI</v>
      </c>
    </row>
    <row r="9" spans="2:17" ht="18" customHeight="1" x14ac:dyDescent="0.25">
      <c r="B9" s="15" t="s">
        <v>284</v>
      </c>
      <c r="C9" s="15" t="str">
        <f>IFERROR(IF(B9="","",VLOOKUP(B9,LISTAS!$F$5:$G$1004,2,0)),"0")</f>
        <v>COLEGIO PETROPOLIS</v>
      </c>
      <c r="D9" s="15" t="str">
        <f>IF(H8&lt;3,"",IF(H8=3,IF(D17&lt;&gt;"",IF(H17&lt;&gt;"",IF(D17&lt;&gt;H17,IF(D17&gt;H17,"V","D"),""),""),""),IF(H8=4,IF(D17&lt;&gt;"",IF(H17&lt;&gt;"",IF(D17&lt;&gt;H17,IF(D17&gt;H17,"V","D"),""),""),""),IF(H8=5,IF(D17&lt;&gt;"",IF(H17&lt;&gt;"",IF(D17&lt;&gt;H17,IF(D17&gt;H17,"V","D"),""),""),"")))))</f>
        <v>V</v>
      </c>
      <c r="E9" s="15" t="str">
        <f>IF(H8&lt;3,"",IF(H8=3,IF(D18&lt;&gt;"",IF(H18&lt;&gt;"",IF(D18&lt;&gt;H18,IF(D18&gt;H18,"D","V"),""),""),""),IF(H8=4,IF(D19&lt;&gt;"",IF(H19&lt;&gt;"",IF(D19&lt;&gt;H19,IF(D19&gt;H19,"V","D"),""),""),""),IF(H8=5,IF(D18&lt;&gt;"",IF(H18&lt;&gt;"",IF(D18&lt;&gt;H18,IF(D18&gt;H18,"V","D"),""),""),"")))))</f>
        <v>V</v>
      </c>
      <c r="F9" s="15" t="str">
        <f>IF(H8&lt;4,"-",IF(H8=3,"",IF(H8=4,IF(D21&lt;&gt;"",IF(H21&lt;&gt;"",IF(D21&lt;&gt;H21,IF(D21&gt;H21,"D","V"),""),""),""),IF(H8=5,IF(D22&lt;&gt;"",IF(H22&lt;&gt;"",IF(D22&lt;&gt;H22,IF(D22&gt;H22,"D","V"),""),""),"")))))</f>
        <v>-</v>
      </c>
      <c r="G9" s="15" t="str">
        <f>IF(H8&lt;5,"-",IF(H8=3,"",IF(H8=4,"",IF(H8=5,IF(D25&lt;&gt;"",IF(H25&lt;&gt;"",IF(D25&lt;&gt;H25,IF(D25&gt;H25,"V","D"),""),""),"")))))</f>
        <v>-</v>
      </c>
      <c r="H9" s="159"/>
      <c r="I9" s="15">
        <f>IF(B9&lt;&gt;"",2,"")</f>
        <v>2</v>
      </c>
      <c r="J9" s="15" t="str">
        <f>IF(I9&lt;&gt;"",P9,"")</f>
        <v>NINA MEI HORII TODA</v>
      </c>
      <c r="K9" s="15" t="str">
        <f>IFERROR(IF(J9="","",VLOOKUP(J9,LISTAS!$F$5:$G$1004,2,0)),"0")</f>
        <v>ABACO IPIRANGA</v>
      </c>
      <c r="L9" s="119" t="str">
        <f>IF(B9&lt;&gt;"",IF(G5=1,"OURO",IF(G5=2,IF(H8&lt;3,"",IF(H8&gt;4,"",IF(H8=3,"PRATA",IF(H8=4,"OURO")))),IF(G5&gt;=3,"PRATA",""))),"")</f>
        <v>PRATA</v>
      </c>
      <c r="M9" s="118">
        <f>IF(B9&lt;&gt;"",COUNTIF(D9:G9,"V")+(SUMIF(B16:B25,B9,D16:E25)/1000)+(SUMIF(J16:J25,B9,H16:I25)/1000)-(SUMIF(B16:B25,B9,H16:I25)/1000)-(SUMIF(J16:J25,B9,D16:E25)/1000)+0.004,"")</f>
        <v>2.0079999999999996</v>
      </c>
      <c r="N9" s="20" t="str">
        <f t="shared" ref="N9" si="0">IF(B9="","",B9)</f>
        <v>JÚLIA DE OLIVEIRA COMETTI</v>
      </c>
      <c r="O9" s="20">
        <f>IF(B9&lt;&gt;"",LARGE(M8:M12,2),"")</f>
        <v>1.0049999999999999</v>
      </c>
      <c r="P9" s="20" t="str">
        <f>VLOOKUP(O9,M8:N12,2,0)</f>
        <v>NINA MEI HORII TODA</v>
      </c>
    </row>
    <row r="10" spans="2:17" ht="18" customHeight="1" x14ac:dyDescent="0.25">
      <c r="B10" s="15" t="s">
        <v>228</v>
      </c>
      <c r="C10" s="15" t="str">
        <f>IFERROR(IF(B10="","",VLOOKUP(B10,LISTAS!$F$5:$G$1004,2,0)),"0")</f>
        <v>COLÉGIO ARBOS - UNIDADE SANTO ANDRÉ</v>
      </c>
      <c r="D10" s="15" t="str">
        <f>IF(H8&lt;3,"",IF(H8=3,IF(D16&lt;&gt;"",IF(H16&lt;&gt;"",IF(D16&lt;&gt;H16,IF(D16&gt;H16,"D","V"),""),""),""),IF(H8=4,IF(D17&lt;&gt;"",IF(H17&lt;&gt;"",IF(D17&lt;&gt;H17,IF(D17&gt;H17,"D","V"),""),""),""),IF(H8=5,IF(D18&lt;&gt;"",IF(H18&lt;&gt;"",IF(D18&lt;&gt;H18,IF(D18&gt;H18,"D","V"),""),""),"")))))</f>
        <v>D</v>
      </c>
      <c r="E10" s="15" t="str">
        <f>IF(H8&lt;3,"",IF(H8=3,IF(D17&lt;&gt;"",IF(H17&lt;&gt;"",IF(D17&lt;&gt;H17,IF(D17&gt;H17,"D","V"),""),""),""),IF(H8=4,IF(D18&lt;&gt;"",IF(H18&lt;&gt;"",IF(D18&lt;&gt;H18,IF(D18&gt;H18,"D","V"),""),""),""),IF(H8=5,IF(D21&lt;&gt;"",IF(H21&lt;&gt;"",IF(D21&lt;&gt;H21,IF(D21&gt;H21,"D","V"),""),""),"")))))</f>
        <v>D</v>
      </c>
      <c r="F10" s="15" t="str">
        <f>IF(H8&lt;4,"-",IF(H8=3,"",IF(H8=4,IF(D20&lt;&gt;"",IF(H20&lt;&gt;"",IF(D20&lt;&gt;H20,IF(D20&gt;H20,"V","D"),""),""),""),IF(H8=5,IF(D23&lt;&gt;"",IF(H23&lt;&gt;"",IF(D23&lt;&gt;H23,IF(D23&gt;H23,"V","D"),""),""),"")))))</f>
        <v>-</v>
      </c>
      <c r="G10" s="15" t="str">
        <f>IF(H8&lt;5,"-",IF(H8=3,"",IF(H8=4,"",IF(H8=5,IF(D24&lt;&gt;"",IF(H24&lt;&gt;"",IF(D24&lt;&gt;H24,IF(D24&gt;H24,"V","D"),""),""),"")))))</f>
        <v>-</v>
      </c>
      <c r="H10" s="159"/>
      <c r="I10" s="15">
        <f>IF(B10&lt;&gt;"",3,"")</f>
        <v>3</v>
      </c>
      <c r="J10" s="15" t="str">
        <f>IF(I10&lt;&gt;"",P10,"")</f>
        <v>CECÍLIA GARAVELLO DE ARAÚJO</v>
      </c>
      <c r="K10" s="15" t="str">
        <f>IFERROR(IF(J10="","",VLOOKUP(J10,LISTAS!$F$5:$G$1004,2,0)),"0")</f>
        <v>COLÉGIO ARBOS - UNIDADE SANTO ANDRÉ</v>
      </c>
      <c r="L10" s="119" t="str">
        <f>IF(B10&lt;&gt;"",IF(G5=1,"OURO",IF(G5=2,IF(H8&lt;3,"",IF(H8&gt;4,"",IF(H8=3,"BRONZE",IF(H8=4,"PRATA")))),IF(G5&gt;=3,"BRONZE",""))),"")</f>
        <v>BRONZE</v>
      </c>
      <c r="M10" s="118">
        <f>IF(B10&lt;&gt;"",COUNTIF(D10:G10,"V")+(SUMIF(B16:B25,B10,D16:E25)/1000)+(SUMIF(J16:J25,B10,H16:I25)/1000)-(SUMIF(B16:B25,B10,H16:I25)/1000)-(SUMIF(J16:J25,B10,D16:E25)/1000)+0.003,"")</f>
        <v>-1E-3</v>
      </c>
      <c r="N10" s="20" t="str">
        <f>IF(B10="","",B10)</f>
        <v>CECÍLIA GARAVELLO DE ARAÚJO</v>
      </c>
      <c r="O10" s="20">
        <f>IF(B10&lt;&gt;"",LARGE(M8:M12,3),"")</f>
        <v>-1E-3</v>
      </c>
      <c r="P10" s="20" t="str">
        <f>VLOOKUP(O10,M8:N12,2,0)</f>
        <v>CECÍLIA GARAVELLO DE ARAÚJO</v>
      </c>
    </row>
    <row r="11" spans="2:17" ht="18" customHeight="1" x14ac:dyDescent="0.25">
      <c r="B11" s="83"/>
      <c r="C11" s="15" t="str">
        <f>IFERROR(IF(B11="","",VLOOKUP(B11,LISTAS!$F$5:$G$1004,2,0)),"0")</f>
        <v/>
      </c>
      <c r="D11" s="15" t="str">
        <f>IF(H8&lt;3,"",IF(H8=3,"",IF(H8=4,IF(D16&lt;&gt;"",IF(H16&lt;&gt;"",IF(D16&lt;&gt;H16,IF(D16&gt;H16,"D","V"),""),""),""),IF(H8=5,IF(D17&lt;&gt;"",IF(H17&lt;&gt;"",IF(D17&lt;&gt;H17,IF(D17&gt;H17,"D","V"),""),""),"")))))</f>
        <v/>
      </c>
      <c r="E11" s="15" t="str">
        <f>IF(H8&lt;3,"",IF(H8=3,"",IF(H8=4,IF(D19&lt;&gt;"",IF(H19&lt;&gt;"",IF(D19&lt;&gt;H19,IF(D19&gt;H19,"D","V"),""),""),""),IF(H8=5,IF(D19&lt;&gt;"",IF(H19&lt;&gt;"",IF(D19&lt;&gt;H19,IF(D19&gt;H19,"V","D"),""),""),"")))))</f>
        <v/>
      </c>
      <c r="F11" s="15" t="str">
        <f>IF(H8&lt;4,"-",IF(H8=3,"",IF(H8=4,IF(D20&lt;&gt;"",IF(H20&lt;&gt;"",IF(D20&lt;&gt;H20,IF(D20&gt;H20,"D","V"),""),""),""),IF(H8=5,IF(D20&lt;&gt;"",IF(H20&lt;&gt;"",IF(D20&lt;&gt;H20,IF(D20&gt;H20,"V","D"),""),""),"")))))</f>
        <v>-</v>
      </c>
      <c r="G11" s="15" t="str">
        <f>IF(H8&lt;5,"-",IF(H8=3,"",IF(H8=4,"",IF(H8=5,IF(D24&lt;&gt;"",IF(H24&lt;&gt;"",IF(D24&lt;&gt;H24,IF(D24&gt;H24,"D","V"),""),""),"")))))</f>
        <v>-</v>
      </c>
      <c r="H11" s="159"/>
      <c r="I11" s="15" t="str">
        <f>IF(B11&lt;&gt;"",4,"")</f>
        <v/>
      </c>
      <c r="J11" s="15" t="str">
        <f>IF(I11&lt;&gt;"",P11,"")</f>
        <v/>
      </c>
      <c r="K11" s="15" t="str">
        <f>IFERROR(IF(J11="","",VLOOKUP(J11,LISTAS!$F$5:$G$1004,2,0)),"0")</f>
        <v/>
      </c>
      <c r="L11" s="119" t="str">
        <f>IF(B11&lt;&gt;"",IF(G5=1,"OURO",IF(G5=2,IF(H8&lt;3,"",IF(H8&gt;4,"",IF(H8=3,"",IF(H8=4,"PRATA")))),IF(G5&gt;=3,"",""))),"")</f>
        <v/>
      </c>
      <c r="M11" s="20" t="str">
        <f>IF(B11&lt;&gt;"",COUNTIF(D11:G11,"V")+(SUMIF(B16:B25,B11,D16:E25)/1000)+(SUMIF(J16:J25,B11,H16:I25)/1000)-(SUMIF(B16:B25,B11,H16:I25)/1000)-(SUMIF(J16:J25,B11,D16:E25)/1000)+0.002,"")</f>
        <v/>
      </c>
      <c r="N11" s="20" t="str">
        <f>IF(B11="","",B11)</f>
        <v/>
      </c>
      <c r="O11" s="20" t="str">
        <f>IF(B11&lt;&gt;"",LARGE(M8:M12,4),"")</f>
        <v/>
      </c>
      <c r="P11" s="20" t="str">
        <f>VLOOKUP(O11,M8:N12,2,0)</f>
        <v/>
      </c>
    </row>
    <row r="12" spans="2:17" ht="18" customHeight="1" x14ac:dyDescent="0.25">
      <c r="B12" s="83"/>
      <c r="C12" s="15" t="str">
        <f>IFERROR(IF(B12="","",VLOOKUP(B12,LISTAS!$F$5:$G$1004,2,0)),"0")</f>
        <v/>
      </c>
      <c r="D12" s="15" t="str">
        <f>IF(H8&lt;3,"",IF(H8=3,"",IF(H8=4,"",IF(H8=5,IF(D16&lt;&gt;"",IF(H16&lt;&gt;"",IF(D16&lt;&gt;H16,IF(D16&gt;H16,"D","V"),""),""),"")))))</f>
        <v/>
      </c>
      <c r="E12" s="15" t="str">
        <f>IF(H8&lt;3,"",IF(H8=3,"",IF(H8=4,"",IF(H8=5,IF(D19&lt;&gt;"",IF(H19&lt;&gt;"",IF(D19&lt;&gt;H19,IF(D19&gt;H19,"D","V"),""),""),"")))))</f>
        <v/>
      </c>
      <c r="F12" s="15" t="str">
        <f>IF(H8&lt;4,"-",IF(H8=3,"",IF(H8=4,"",IF(H8=5,IF(D21&lt;&gt;"",IF(H21&lt;&gt;"",IF(D21&lt;&gt;H21,IF(D21&gt;H21,"V","D"),""),""),"")))))</f>
        <v>-</v>
      </c>
      <c r="G12" s="15" t="str">
        <f>IF(H8&lt;5,"-",IF(H8=3,"",IF(H8=4,"",IF(H8=5,IF(D22&lt;&gt;"",IF(H22&lt;&gt;"",IF(D22&lt;&gt;H22,IF(D22&gt;H22,"V","D"),""),""),"")))))</f>
        <v>-</v>
      </c>
      <c r="H12" s="160"/>
      <c r="I12" s="15" t="str">
        <f>IF(B12&lt;&gt;"",5,"")</f>
        <v/>
      </c>
      <c r="J12" s="15" t="str">
        <f>IF(I12&lt;&gt;"",P12,"")</f>
        <v/>
      </c>
      <c r="K12" s="15" t="str">
        <f>IFERROR(IF(J12="","",VLOOKUP(J12,LISTAS!$F$5:$G$1004,2,0)),"0")</f>
        <v/>
      </c>
      <c r="L12" s="119" t="str">
        <f>IF(B12&lt;&gt;"",IF(G5=1,"OURO",IF(G5=2,IF(H8&lt;3,"",IF(H8&gt;4,"",IF(H8=3,"",IF(H8=4,"")))),IF(G5&gt;=3,"",""))),"")</f>
        <v/>
      </c>
      <c r="M12" s="20" t="str">
        <f>IF(B12&lt;&gt;"",COUNTIF(D12:G12,"V")+(SUMIF(B16:B25,B12,D16:E25)/1000)+(SUMIF(J16:J25,B12,H16:I25)/1000)-(SUMIF(B16:B25,B12,H16:I25)/1000)-(SUMIF(J16:J25,B12,D16:E25)/1000)+0.001,"")</f>
        <v/>
      </c>
      <c r="N12" s="20" t="str">
        <f>IF(B12="","",B12)</f>
        <v/>
      </c>
      <c r="O12" s="20" t="str">
        <f>IF(B12&lt;&gt;"",LARGE(M8:M12,5),"")</f>
        <v/>
      </c>
      <c r="P12" s="20" t="str">
        <f>VLOOKUP(O12,M8:N12,2,0)</f>
        <v/>
      </c>
    </row>
    <row r="13" spans="2:17" ht="18" customHeight="1" x14ac:dyDescent="0.25">
      <c r="B13" s="79"/>
      <c r="C13" s="79"/>
      <c r="D13" s="79"/>
      <c r="E13" s="79"/>
      <c r="F13" s="79"/>
      <c r="G13" s="79"/>
      <c r="H13" s="158"/>
      <c r="I13" s="80"/>
      <c r="J13" s="79"/>
      <c r="K13" s="81"/>
      <c r="L13" s="81"/>
    </row>
    <row r="14" spans="2:17" ht="23.25" customHeight="1" x14ac:dyDescent="0.25">
      <c r="B14" s="82" t="s">
        <v>40</v>
      </c>
      <c r="C14" s="79"/>
      <c r="D14" s="79"/>
      <c r="E14" s="79"/>
      <c r="F14" s="79"/>
      <c r="G14" s="79"/>
      <c r="H14" s="79"/>
      <c r="I14" s="79"/>
      <c r="J14" s="79"/>
      <c r="K14" s="79"/>
      <c r="L14" s="79"/>
    </row>
    <row r="15" spans="2:17" ht="18" customHeight="1" x14ac:dyDescent="0.25">
      <c r="B15" s="9" t="s">
        <v>15</v>
      </c>
      <c r="C15" s="9" t="s">
        <v>0</v>
      </c>
      <c r="D15" s="228" t="s">
        <v>41</v>
      </c>
      <c r="E15" s="229"/>
      <c r="F15" s="229"/>
      <c r="G15" s="229"/>
      <c r="H15" s="229"/>
      <c r="I15" s="230"/>
      <c r="J15" s="9" t="s">
        <v>15</v>
      </c>
      <c r="K15" s="9" t="s">
        <v>0</v>
      </c>
      <c r="L15" s="79"/>
    </row>
    <row r="16" spans="2:17" ht="18" customHeight="1" x14ac:dyDescent="0.25">
      <c r="B16" s="15" t="str">
        <f>IF(H8=3,B8,IF(H8=4,B8,IF(H8=5,B8,"")))</f>
        <v>NINA MEI HORII TODA</v>
      </c>
      <c r="C16" s="15" t="str">
        <f>IFERROR(IF(B16="","",VLOOKUP(B16,LISTAS!$F$5:$G$1004,2,0)),"0")</f>
        <v>ABACO IPIRANGA</v>
      </c>
      <c r="D16" s="223">
        <v>2</v>
      </c>
      <c r="E16" s="224"/>
      <c r="F16" s="223" t="s">
        <v>38</v>
      </c>
      <c r="G16" s="224"/>
      <c r="H16" s="223">
        <v>0</v>
      </c>
      <c r="I16" s="224"/>
      <c r="J16" s="21" t="str">
        <f>IF(H8=3,B10,IF(H8=4,B11,IF(H8=5,B12,"")))</f>
        <v>CECÍLIA GARAVELLO DE ARAÚJO</v>
      </c>
      <c r="K16" s="15" t="str">
        <f>IFERROR(IF(J16="","",VLOOKUP(J16,LISTAS!$F$5:$G$1004,2,0)),"0")</f>
        <v>COLÉGIO ARBOS - UNIDADE SANTO ANDRÉ</v>
      </c>
      <c r="L16" s="81"/>
    </row>
    <row r="17" spans="2:16" ht="18" customHeight="1" x14ac:dyDescent="0.25">
      <c r="B17" s="15" t="str">
        <f>IF(H8=3,B9,IF(H8=4,B9,IF(H8=5,B9,"")))</f>
        <v>JÚLIA DE OLIVEIRA COMETTI</v>
      </c>
      <c r="C17" s="15" t="str">
        <f>IFERROR(IF(B17="","",VLOOKUP(B17,LISTAS!$F$5:$G$1004,2,0)),"0")</f>
        <v>COLEGIO PETROPOLIS</v>
      </c>
      <c r="D17" s="223">
        <v>2</v>
      </c>
      <c r="E17" s="224"/>
      <c r="F17" s="223" t="s">
        <v>38</v>
      </c>
      <c r="G17" s="224"/>
      <c r="H17" s="223">
        <v>0</v>
      </c>
      <c r="I17" s="224"/>
      <c r="J17" s="21" t="str">
        <f>IF(H8=3,B10,IF(H8=4,B10,IF(H8=5,B11,"")))</f>
        <v>CECÍLIA GARAVELLO DE ARAÚJO</v>
      </c>
      <c r="K17" s="15" t="str">
        <f>IFERROR(IF(J17="","",VLOOKUP(J17,LISTAS!$F$5:$G$1004,2,0)),"0")</f>
        <v>COLÉGIO ARBOS - UNIDADE SANTO ANDRÉ</v>
      </c>
      <c r="L17" s="79"/>
    </row>
    <row r="18" spans="2:16" ht="18" customHeight="1" x14ac:dyDescent="0.25">
      <c r="B18" s="15" t="str">
        <f>IF(H8=3,B8,IF(H8=4,B8,IF(H8=5,B9,"")))</f>
        <v>NINA MEI HORII TODA</v>
      </c>
      <c r="C18" s="15" t="str">
        <f>IFERROR(IF(B18="","",VLOOKUP(B18,LISTAS!$F$5:$G$1004,2,0)),"0")</f>
        <v>ABACO IPIRANGA</v>
      </c>
      <c r="D18" s="223">
        <v>0</v>
      </c>
      <c r="E18" s="224"/>
      <c r="F18" s="223" t="s">
        <v>38</v>
      </c>
      <c r="G18" s="224"/>
      <c r="H18" s="223">
        <v>2</v>
      </c>
      <c r="I18" s="224"/>
      <c r="J18" s="21" t="str">
        <f>IF(H8=3,B9,IF(H8=4,B10,IF(H8=5,B10,"")))</f>
        <v>JÚLIA DE OLIVEIRA COMETTI</v>
      </c>
      <c r="K18" s="15" t="str">
        <f>IFERROR(IF(J18="","",VLOOKUP(J18,LISTAS!$F$5:$G$1004,2,0)),"0")</f>
        <v>COLEGIO PETROPOLIS</v>
      </c>
      <c r="L18" s="81"/>
    </row>
    <row r="19" spans="2:16" ht="18" customHeight="1" x14ac:dyDescent="0.25">
      <c r="B19" s="15" t="str">
        <f>IF(H8=3,"",IF(H8=4,B9,IF(H8=5,B11,"")))</f>
        <v/>
      </c>
      <c r="C19" s="15" t="str">
        <f>IFERROR(IF(B19="","",VLOOKUP(B19,LISTAS!$F$5:$G$1004,2,0)),"0")</f>
        <v/>
      </c>
      <c r="D19" s="223"/>
      <c r="E19" s="224"/>
      <c r="F19" s="223" t="s">
        <v>38</v>
      </c>
      <c r="G19" s="224"/>
      <c r="H19" s="223"/>
      <c r="I19" s="224"/>
      <c r="J19" s="21" t="str">
        <f>IF(H8=3,"",IF(H8=4,B11,IF(H8=5,B12,"")))</f>
        <v/>
      </c>
      <c r="K19" s="15" t="str">
        <f>IFERROR(IF(J19="","",VLOOKUP(J19,LISTAS!$F$5:$G$1004,2,0)),"0")</f>
        <v/>
      </c>
      <c r="L19" s="81"/>
    </row>
    <row r="20" spans="2:16" ht="18" customHeight="1" x14ac:dyDescent="0.25">
      <c r="B20" s="15" t="str">
        <f>IF(H8=3,"",IF(H8=4,B10,IF(H8=5,B11,"")))</f>
        <v/>
      </c>
      <c r="C20" s="15" t="str">
        <f>IFERROR(IF(B20="","",VLOOKUP(B20,LISTAS!$F$5:$G$1004,2,0)),"0")</f>
        <v/>
      </c>
      <c r="D20" s="223"/>
      <c r="E20" s="224"/>
      <c r="F20" s="223" t="s">
        <v>38</v>
      </c>
      <c r="G20" s="224"/>
      <c r="H20" s="223"/>
      <c r="I20" s="224"/>
      <c r="J20" s="21" t="str">
        <f>IF(H8=3,"",IF(H8=4,B11,IF(H8=5,B8,"")))</f>
        <v/>
      </c>
      <c r="K20" s="15" t="str">
        <f>IFERROR(IF(J20="","",VLOOKUP(J20,LISTAS!$F$5:$G$1004,2,0)),"0")</f>
        <v/>
      </c>
      <c r="L20" s="81"/>
    </row>
    <row r="21" spans="2:16" ht="18" customHeight="1" x14ac:dyDescent="0.25">
      <c r="B21" s="15" t="str">
        <f>IF(H8=3,"",IF(H8=4,B8,IF(H8=5,B12,"")))</f>
        <v/>
      </c>
      <c r="C21" s="15" t="str">
        <f>IFERROR(IF(B21="","",VLOOKUP(B21,LISTAS!$F$5:$G$1004,2,0)),"0")</f>
        <v/>
      </c>
      <c r="D21" s="223"/>
      <c r="E21" s="224"/>
      <c r="F21" s="223" t="s">
        <v>38</v>
      </c>
      <c r="G21" s="224"/>
      <c r="H21" s="223"/>
      <c r="I21" s="224"/>
      <c r="J21" s="21" t="str">
        <f>IF(H8=3,"",IF(H8=4,B9,IF(H8=5,B10,"")))</f>
        <v/>
      </c>
      <c r="K21" s="15" t="str">
        <f>IFERROR(IF(J21="","",VLOOKUP(J21,LISTAS!$F$5:$G$1004,2,0)),"0")</f>
        <v/>
      </c>
      <c r="L21" s="81"/>
    </row>
    <row r="22" spans="2:16" ht="18" customHeight="1" x14ac:dyDescent="0.25">
      <c r="B22" s="15" t="str">
        <f>IF(H8=3,"",IF(H8=4,"",IF(H8=5,B12,"")))</f>
        <v/>
      </c>
      <c r="C22" s="15" t="str">
        <f>IFERROR(IF(B22="","",VLOOKUP(B22,LISTAS!$F$5:$G$1004,2,0)),"0")</f>
        <v/>
      </c>
      <c r="D22" s="223"/>
      <c r="E22" s="224"/>
      <c r="F22" s="223" t="s">
        <v>38</v>
      </c>
      <c r="G22" s="224"/>
      <c r="H22" s="223"/>
      <c r="I22" s="224"/>
      <c r="J22" s="21" t="str">
        <f>IF(H8=3,"",IF(H8=4,"",IF(H8=5,B9,"")))</f>
        <v/>
      </c>
      <c r="K22" s="15" t="str">
        <f>IFERROR(IF(J22="","",VLOOKUP(J22,LISTAS!$F$5:$G$1004,2,0)),"0")</f>
        <v/>
      </c>
      <c r="L22" s="81"/>
    </row>
    <row r="23" spans="2:16" ht="18" customHeight="1" x14ac:dyDescent="0.25">
      <c r="B23" s="63" t="str">
        <f>IF(H8=3,"",IF(H8=4,"",IF(H8=5,B10,"")))</f>
        <v/>
      </c>
      <c r="C23" s="15" t="str">
        <f>IFERROR(IF(B23="","",VLOOKUP(B23,LISTAS!$F$5:$G$1004,2,0)),"0")</f>
        <v/>
      </c>
      <c r="D23" s="223"/>
      <c r="E23" s="224"/>
      <c r="F23" s="223" t="s">
        <v>38</v>
      </c>
      <c r="G23" s="224"/>
      <c r="H23" s="223"/>
      <c r="I23" s="224"/>
      <c r="J23" s="21" t="str">
        <f>IF(H8=3,"",IF(H8=4,"",IF(H8=5,B8,"")))</f>
        <v/>
      </c>
      <c r="K23" s="15" t="str">
        <f>IFERROR(IF(J23="","",VLOOKUP(J23,LISTAS!$F$5:$G$1004,2,0)),"0")</f>
        <v/>
      </c>
      <c r="L23" s="81"/>
    </row>
    <row r="24" spans="2:16" ht="18" customHeight="1" x14ac:dyDescent="0.25">
      <c r="B24" s="15" t="str">
        <f>IF(H8=3,"",IF(H8=4,"",IF(H8=5,B10,"")))</f>
        <v/>
      </c>
      <c r="C24" s="15" t="str">
        <f>IFERROR(IF(B24="","",VLOOKUP(B24,LISTAS!$F$5:$G$1004,2,0)),"0")</f>
        <v/>
      </c>
      <c r="D24" s="223"/>
      <c r="E24" s="224"/>
      <c r="F24" s="223" t="s">
        <v>38</v>
      </c>
      <c r="G24" s="224"/>
      <c r="H24" s="223"/>
      <c r="I24" s="224"/>
      <c r="J24" s="21" t="str">
        <f>IF(H8=3,"",IF(H8=4,"",IF(H8=5,B11,"")))</f>
        <v/>
      </c>
      <c r="K24" s="15" t="str">
        <f>IFERROR(IF(J24="","",VLOOKUP(J24,LISTAS!$F$5:$G$1004,2,0)),"0")</f>
        <v/>
      </c>
      <c r="L24" s="81"/>
    </row>
    <row r="25" spans="2:16" ht="18" customHeight="1" x14ac:dyDescent="0.25">
      <c r="B25" s="63" t="str">
        <f>IF(H8=3,"",IF(H8=4,"",IF(H8=5,B9,"")))</f>
        <v/>
      </c>
      <c r="C25" s="15" t="str">
        <f>IFERROR(IF(B25="","",VLOOKUP(B25,LISTAS!$F$5:$G$1004,2,0)),"0")</f>
        <v/>
      </c>
      <c r="D25" s="223"/>
      <c r="E25" s="224"/>
      <c r="F25" s="231" t="s">
        <v>38</v>
      </c>
      <c r="G25" s="232"/>
      <c r="H25" s="223"/>
      <c r="I25" s="224"/>
      <c r="J25" s="21" t="str">
        <f>IF(H8=3,"",IF(H8=4,"",IF(H8=5,B8,"")))</f>
        <v/>
      </c>
      <c r="K25" s="15" t="str">
        <f>IFERROR(IF(J25="","",VLOOKUP(J25,LISTAS!$F$5:$G$1004,2,0)),"0")</f>
        <v/>
      </c>
      <c r="L25" s="81"/>
    </row>
    <row r="28" spans="2:16" ht="30" customHeight="1" x14ac:dyDescent="0.25">
      <c r="B28" s="161" t="s">
        <v>46</v>
      </c>
      <c r="C28" s="79"/>
      <c r="D28" s="225" t="s">
        <v>42</v>
      </c>
      <c r="E28" s="226"/>
      <c r="F28" s="226"/>
      <c r="G28" s="227"/>
      <c r="H28" s="113"/>
      <c r="I28" s="225" t="s">
        <v>3</v>
      </c>
      <c r="J28" s="226"/>
      <c r="K28" s="226"/>
      <c r="L28" s="226"/>
    </row>
    <row r="29" spans="2:16" ht="18" customHeight="1" x14ac:dyDescent="0.25">
      <c r="B29" s="9" t="s">
        <v>15</v>
      </c>
      <c r="C29" s="9" t="s">
        <v>0</v>
      </c>
      <c r="D29" s="9" t="s">
        <v>43</v>
      </c>
      <c r="E29" s="9" t="s">
        <v>44</v>
      </c>
      <c r="F29" s="9" t="s">
        <v>77</v>
      </c>
      <c r="G29" s="9" t="s">
        <v>78</v>
      </c>
      <c r="H29" s="114"/>
      <c r="I29" s="9" t="s">
        <v>18</v>
      </c>
      <c r="J29" s="9" t="s">
        <v>15</v>
      </c>
      <c r="K29" s="9" t="s">
        <v>0</v>
      </c>
      <c r="L29" s="9" t="s">
        <v>45</v>
      </c>
    </row>
    <row r="30" spans="2:16" ht="18" customHeight="1" x14ac:dyDescent="0.25">
      <c r="B30" s="15" t="s">
        <v>229</v>
      </c>
      <c r="C30" s="15" t="str">
        <f>IFERROR(IF(B30="","",VLOOKUP(B30,LISTAS!$F$5:$G$1004,2,0)),"0")</f>
        <v>COLÉGIO ARBOS - UNIDADE SANTO ANDRÉ</v>
      </c>
      <c r="D30" s="15" t="str">
        <f>IF(H30&lt;3,"",IF(H30=3,IF(D37&lt;&gt;"",IF(H37&lt;&gt;"",IF(D37&lt;&gt;H37,IF(D37&gt;H37,"V","D"),""),""),""),IF(H30=4,IF(D37&lt;&gt;"",IF(H37&lt;&gt;"",IF(D37&lt;&gt;H37,IF(D37&gt;H37,"V","D"),""),""),""))))</f>
        <v>V</v>
      </c>
      <c r="E30" s="15" t="str">
        <f>IF(H30&lt;3,"",IF(H30=3,IF(D39&lt;&gt;"",IF(H39&lt;&gt;"",IF(D39&lt;&gt;H39,IF(D39&gt;H39,"V","D"),""),""),""),IF(H30=4,IF(D39&lt;&gt;"",IF(H39&lt;&gt;"",IF(D39&lt;&gt;H39,IF(D39&gt;H39,"V","D"),""),""),""))))</f>
        <v>V</v>
      </c>
      <c r="F30" s="15" t="str">
        <f>IF(H30&lt;4,"-",IF(H30=3,"",IF(H30=4,IF(D42&lt;&gt;"",IF(H42&lt;&gt;"",IF(D42&lt;&gt;H42,IF(D42&gt;H42,"V","D"),""),""),""))))</f>
        <v>-</v>
      </c>
      <c r="G30" s="15" t="s">
        <v>81</v>
      </c>
      <c r="H30" s="117">
        <f>COUNTA(B30:B33)</f>
        <v>3</v>
      </c>
      <c r="I30" s="15">
        <f>IF(B30&lt;&gt;"",1,"")</f>
        <v>1</v>
      </c>
      <c r="J30" s="15" t="str">
        <f>IF(I30&lt;&gt;"",P30,"")</f>
        <v>CECÍLIA MARIA DE SOUZA BASTOS</v>
      </c>
      <c r="K30" s="15" t="str">
        <f>IFERROR(IF(J30="","",VLOOKUP(J30,LISTAS!$F$5:$G$1004,2,0)),"0")</f>
        <v>COLÉGIO ARBOS - UNIDADE SANTO ANDRÉ</v>
      </c>
      <c r="L30" s="119" t="str">
        <f>IF(B30&lt;&gt;"",IF(G5=1,"OURO",IF(G5=2,IF(H8&lt;3,"",IF(H8=3,"OURO",IF(H8=4,"OURO"))),IF(G5&gt;=3,"OURO",""))),"")</f>
        <v>OURO</v>
      </c>
      <c r="M30" s="20">
        <f>IF(B30&lt;&gt;"",COUNTIF(D30:G30,"V")+(SUMIF(B37:B42,B30,D37:E42)/1000)+(SUMIF(J37:J42,B30,H37:I42)/1000)-(SUMIF(B37:B42,B30,H37:I42)/1000)-(SUMIF(J37:J42,B30,D37:E42)/1000)+0.005,"")</f>
        <v>2.008</v>
      </c>
      <c r="N30" s="20" t="str">
        <f>IF(B30="","",B30)</f>
        <v>CECÍLIA MARIA DE SOUZA BASTOS</v>
      </c>
      <c r="O30" s="20">
        <f>IF(B30&lt;&gt;"",LARGE(M30:M33,1),"")</f>
        <v>2.008</v>
      </c>
      <c r="P30" s="20" t="str">
        <f>VLOOKUP(O30,M30:N33,2,0)</f>
        <v>CECÍLIA MARIA DE SOUZA BASTOS</v>
      </c>
    </row>
    <row r="31" spans="2:16" ht="18" customHeight="1" x14ac:dyDescent="0.25">
      <c r="B31" s="15" t="s">
        <v>277</v>
      </c>
      <c r="C31" s="15" t="str">
        <f>IFERROR(IF(B31="","",VLOOKUP(B31,LISTAS!$F$5:$G$1004,2,0)),"0")</f>
        <v>COLÉGIO ENGENHEIRO SALVADOR ARENA</v>
      </c>
      <c r="D31" s="15" t="str">
        <f>IF(H30&lt;3,"",IF(H30=3,IF(D38&lt;&gt;"",IF(H38&lt;&gt;"",IF(D38&lt;&gt;H38,IF(D38&gt;H38,"V","D"),""),""),""),IF(H30=4,IF(D38&lt;&gt;"",IF(H38&lt;&gt;"",IF(D38&lt;&gt;H38,IF(D38&gt;H38,"V","D"),""),""),""))))</f>
        <v>V</v>
      </c>
      <c r="E31" s="15" t="str">
        <f>IF(H30&lt;3,"",IF(H30=3,IF(D39&lt;&gt;"",IF(H39&lt;&gt;"",IF(D39&lt;&gt;H39,IF(D39&gt;H39,"D","V"),""),""),""),IF(H30=4,IF(D40&lt;&gt;"",IF(H40&lt;&gt;"",IF(D40&lt;&gt;H40,IF(D40&gt;H40,"V","D"),""),""),""))))</f>
        <v>D</v>
      </c>
      <c r="F31" s="15" t="str">
        <f>IF(H30&lt;4,"-",IF(H30=3,"",IF(H30=4,IF(D42&lt;&gt;"",IF(H42&lt;&gt;"",IF(D42&lt;&gt;H42,IF(D42&gt;H42,"D","V"),""),""),""))))</f>
        <v>-</v>
      </c>
      <c r="G31" s="15" t="s">
        <v>81</v>
      </c>
      <c r="H31" s="159"/>
      <c r="I31" s="15">
        <f>IF(B31&lt;&gt;"",2,"")</f>
        <v>2</v>
      </c>
      <c r="J31" s="15" t="str">
        <f>IF(I31&lt;&gt;"",P31,"")</f>
        <v>HELOISA SILVA DOS SANTOS</v>
      </c>
      <c r="K31" s="15" t="str">
        <f>IFERROR(IF(J31="","",VLOOKUP(J31,LISTAS!$F$5:$G$1004,2,0)),"0")</f>
        <v>COLÉGIO ENGENHEIRO SALVADOR ARENA</v>
      </c>
      <c r="L31" s="119" t="str">
        <f>IF(B31&lt;&gt;"",IF(G5=1,"OURO",IF(G5=2,IF(H8&lt;3,"",IF(H8=3,"PRATA",IF(H8=4,"OURO"))),IF(G5&gt;=3,"PRATA",""))),"")</f>
        <v>PRATA</v>
      </c>
      <c r="M31" s="118">
        <f>IF(B31&lt;&gt;"",COUNTIF(D31:G31,"V")+(SUMIF(B37:B42,B31,D37:E42)/1000)+(SUMIF(J37:J42,B31,H37:I42)/1000)-(SUMIF(B37:B42,B31,H37:I42)/1000)-(SUMIF(J37:J42,B31,D37:E42)/1000)+0.004,"")</f>
        <v>1.0049999999999999</v>
      </c>
      <c r="N31" s="20" t="str">
        <f t="shared" ref="N31" si="1">IF(B31="","",B31)</f>
        <v>HELOISA SILVA DOS SANTOS</v>
      </c>
      <c r="O31" s="20">
        <f>IF(B31&lt;&gt;"",LARGE(M30:M33,2),"")</f>
        <v>1.0049999999999999</v>
      </c>
      <c r="P31" s="20" t="str">
        <f>VLOOKUP(O31,M30:N33,2,0)</f>
        <v>HELOISA SILVA DOS SANTOS</v>
      </c>
    </row>
    <row r="32" spans="2:16" ht="18" customHeight="1" x14ac:dyDescent="0.25">
      <c r="B32" s="15" t="s">
        <v>276</v>
      </c>
      <c r="C32" s="15" t="str">
        <f>IFERROR(IF(B32="","",VLOOKUP(B32,LISTAS!$F$5:$G$1004,2,0)),"0")</f>
        <v>COLÉGIO SINGULAR SÃO CAETANO</v>
      </c>
      <c r="D32" s="15" t="str">
        <f>IF(H30&lt;3,"",IF(H30=3,IF(D37&lt;&gt;"",IF(H37&lt;&gt;"",IF(D37&lt;&gt;H37,IF(D37&gt;H37,"D","V"),""),""),""),IF(H30=4,IF(D38&lt;&gt;"",IF(H38&lt;&gt;"",IF(D38&lt;&gt;H38,IF(D38&gt;H38,"D","V"),""),""),""))))</f>
        <v>D</v>
      </c>
      <c r="E32" s="15" t="str">
        <f>IF(H30&lt;3,"",IF(H30=3,IF(D38&lt;&gt;"",IF(H38&lt;&gt;"",IF(D38&lt;&gt;H38,IF(D38&gt;H38,"D","V"),""),""),""),IF(H30=4,IF(D39&lt;&gt;"",IF(H39&lt;&gt;"",IF(D39&lt;&gt;H39,IF(D39&gt;H39,"D","V"),""),""),""))))</f>
        <v>D</v>
      </c>
      <c r="F32" s="15" t="str">
        <f>IF(H30&lt;4,"-",IF(H30=3,"-",IF(H30=4,IF(D41&lt;&gt;"",IF(H41&lt;&gt;"",IF(D41&lt;&gt;H41,IF(D41&gt;H41,"V","D"),""),""),""))))</f>
        <v>-</v>
      </c>
      <c r="G32" s="15" t="s">
        <v>81</v>
      </c>
      <c r="H32" s="159"/>
      <c r="I32" s="15">
        <f>IF(B32&lt;&gt;"",3,"")</f>
        <v>3</v>
      </c>
      <c r="J32" s="15" t="str">
        <f>IF(I32&lt;&gt;"",P32,"")</f>
        <v>HELOÍSA AKEMI MATSUDA</v>
      </c>
      <c r="K32" s="15" t="str">
        <f>IFERROR(IF(J32="","",VLOOKUP(J32,LISTAS!$F$5:$G$1004,2,0)),"0")</f>
        <v>COLÉGIO SINGULAR SÃO CAETANO</v>
      </c>
      <c r="L32" s="119" t="str">
        <f>IF(B32&lt;&gt;"",IF(G5=1,"OURO",IF(G5=2,IF(H8&lt;3,"",IF(H8=3,"BRONZE",IF(H8=4,"PRATA"))),IF(G5&gt;=3,"BRONZE",""))),"")</f>
        <v>BRONZE</v>
      </c>
      <c r="M32" s="118">
        <f>IF(B32&lt;&gt;"",COUNTIF(D32:G32,"V")+(SUMIF(B37:B42,B32,D37:E42)/1000)+(SUMIF(J37:J42,B32,H37:I42)/1000)-(SUMIF(B37:B42,B32,H37:I42)/1000)-(SUMIF(J37:J42,B32,D37:E42)/1000)+0.003,"")</f>
        <v>-1E-3</v>
      </c>
      <c r="N32" s="20" t="str">
        <f>IF(B32="","",B32)</f>
        <v>HELOÍSA AKEMI MATSUDA</v>
      </c>
      <c r="O32" s="20">
        <f>IF(B32&lt;&gt;"",LARGE(M30:M33,3),"")</f>
        <v>-1E-3</v>
      </c>
      <c r="P32" s="20" t="str">
        <f>VLOOKUP(O32,M30:N33,2,0)</f>
        <v>HELOÍSA AKEMI MATSUDA</v>
      </c>
    </row>
    <row r="33" spans="2:16" ht="18" customHeight="1" x14ac:dyDescent="0.25">
      <c r="B33" s="83"/>
      <c r="C33" s="15" t="str">
        <f>IFERROR(IF(B33="","",VLOOKUP(B33,LISTAS!$F$5:$G$1004,2,0)),"0")</f>
        <v/>
      </c>
      <c r="D33" s="15" t="str">
        <f>IF(H30&lt;3,"",IF(H30=3,"",IF(H30=4,IF(D37&lt;&gt;"",IF(H37&lt;&gt;"",IF(D37&lt;&gt;H37,IF(D37&gt;H37,"D","V"),""),""),""))))</f>
        <v/>
      </c>
      <c r="E33" s="15" t="str">
        <f>IF(H30&lt;3,"",IF(H30=3,"",IF(H30=4,IF(D40&lt;&gt;"",IF(H40&lt;&gt;"",IF(D40&lt;&gt;H40,IF(D40&gt;H40,"D","V"),""),""),""))))</f>
        <v/>
      </c>
      <c r="F33" s="15" t="str">
        <f>IF(H30&lt;4,"-",IF(H30=3,"",IF(H30=4,IF(D41&lt;&gt;"",IF(H41&lt;&gt;"",IF(D41&lt;&gt;H41,IF(D41&gt;H41,"D","V"),""),""),""))))</f>
        <v>-</v>
      </c>
      <c r="G33" s="15" t="s">
        <v>81</v>
      </c>
      <c r="H33" s="159"/>
      <c r="I33" s="15" t="str">
        <f>IF(B33&lt;&gt;"",4,"")</f>
        <v/>
      </c>
      <c r="J33" s="15" t="str">
        <f>IF(I33&lt;&gt;"",P33,"")</f>
        <v/>
      </c>
      <c r="K33" s="15" t="str">
        <f>IFERROR(IF(J33="","",VLOOKUP(J33,LISTAS!$F$5:$G$1004,2,0)),"0")</f>
        <v/>
      </c>
      <c r="L33" s="119" t="str">
        <f>IF(B33&lt;&gt;"",IF(G5=1,"OURO",IF(G5=2,IF(H8&lt;3,"",IF(H8=3,"",IF(H8=4,"PRATA"))),IF(G5&gt;=3,"",""))),"")</f>
        <v/>
      </c>
      <c r="M33" s="20" t="str">
        <f>IF(B33&lt;&gt;"",COUNTIF(D33:G33,"V")+(SUMIF(B37:B42,B33,D37:E42)/1000)+(SUMIF(J37:J42,B33,H37:I42)/1000)-(SUMIF(B37:B42,B33,H37:I42)/1000)-(SUMIF(J37:J42,B33,D37:E42)/1000)+0.002,"")</f>
        <v/>
      </c>
      <c r="N33" s="20" t="str">
        <f>IF(B33="","",B33)</f>
        <v/>
      </c>
      <c r="O33" s="20" t="str">
        <f>IF(B33&lt;&gt;"",LARGE(M30:M33,4),"")</f>
        <v/>
      </c>
      <c r="P33" s="20" t="str">
        <f>VLOOKUP(O33,M30:N33,2,0)</f>
        <v/>
      </c>
    </row>
    <row r="34" spans="2:16" ht="18" customHeight="1" x14ac:dyDescent="0.25">
      <c r="B34" s="79"/>
      <c r="C34" s="79"/>
      <c r="D34" s="79"/>
      <c r="E34" s="79"/>
      <c r="F34" s="79"/>
      <c r="G34" s="79"/>
      <c r="I34" s="80"/>
      <c r="J34" s="79"/>
      <c r="K34" s="81"/>
      <c r="L34" s="81"/>
    </row>
    <row r="35" spans="2:16" ht="23.25" customHeight="1" x14ac:dyDescent="0.25">
      <c r="B35" s="82" t="s">
        <v>40</v>
      </c>
      <c r="C35" s="79"/>
      <c r="D35" s="79"/>
      <c r="E35" s="79"/>
      <c r="F35" s="79"/>
      <c r="G35" s="79"/>
      <c r="H35" s="79"/>
      <c r="I35" s="79"/>
      <c r="J35" s="79"/>
      <c r="K35" s="79"/>
      <c r="L35" s="79"/>
    </row>
    <row r="36" spans="2:16" ht="18" customHeight="1" x14ac:dyDescent="0.25">
      <c r="B36" s="9" t="s">
        <v>15</v>
      </c>
      <c r="C36" s="9" t="s">
        <v>0</v>
      </c>
      <c r="D36" s="228" t="s">
        <v>41</v>
      </c>
      <c r="E36" s="229"/>
      <c r="F36" s="229"/>
      <c r="G36" s="229"/>
      <c r="H36" s="229"/>
      <c r="I36" s="230"/>
      <c r="J36" s="9" t="s">
        <v>15</v>
      </c>
      <c r="K36" s="9" t="s">
        <v>0</v>
      </c>
      <c r="L36" s="79"/>
    </row>
    <row r="37" spans="2:16" ht="18" customHeight="1" x14ac:dyDescent="0.25">
      <c r="B37" s="15" t="str">
        <f>IF(H30=3,B30,IF(H30=4,B30,""))</f>
        <v>CECÍLIA MARIA DE SOUZA BASTOS</v>
      </c>
      <c r="C37" s="15" t="str">
        <f>IFERROR(IF(B37="","",VLOOKUP(B37,LISTAS!$F$5:$G$1004,2,0)),"0")</f>
        <v>COLÉGIO ARBOS - UNIDADE SANTO ANDRÉ</v>
      </c>
      <c r="D37" s="223">
        <v>2</v>
      </c>
      <c r="E37" s="224"/>
      <c r="F37" s="223" t="s">
        <v>38</v>
      </c>
      <c r="G37" s="224"/>
      <c r="H37" s="223">
        <v>0</v>
      </c>
      <c r="I37" s="224"/>
      <c r="J37" s="21" t="str">
        <f>IF(H30=3,B32,IF(H30=4,B33,""))</f>
        <v>HELOÍSA AKEMI MATSUDA</v>
      </c>
      <c r="K37" s="15" t="str">
        <f>IFERROR(IF(J37="","",VLOOKUP(J37,LISTAS!$F$5:$G$1004,2,0)),"0")</f>
        <v>COLÉGIO SINGULAR SÃO CAETANO</v>
      </c>
      <c r="L37" s="81"/>
    </row>
    <row r="38" spans="2:16" ht="18" customHeight="1" x14ac:dyDescent="0.25">
      <c r="B38" s="15" t="str">
        <f>IF(H30=3,B31,IF(H30=4,B31,""))</f>
        <v>HELOISA SILVA DOS SANTOS</v>
      </c>
      <c r="C38" s="15" t="str">
        <f>IFERROR(IF(B38="","",VLOOKUP(B38,LISTAS!$F$5:$G$1004,2,0)),"0")</f>
        <v>COLÉGIO ENGENHEIRO SALVADOR ARENA</v>
      </c>
      <c r="D38" s="223">
        <v>2</v>
      </c>
      <c r="E38" s="224"/>
      <c r="F38" s="223" t="s">
        <v>38</v>
      </c>
      <c r="G38" s="224"/>
      <c r="H38" s="223">
        <v>0</v>
      </c>
      <c r="I38" s="224"/>
      <c r="J38" s="21" t="str">
        <f>IF(H30=3,B32,IF(H30=4,B32,""))</f>
        <v>HELOÍSA AKEMI MATSUDA</v>
      </c>
      <c r="K38" s="15" t="str">
        <f>IFERROR(IF(J38="","",VLOOKUP(J38,LISTAS!$F$5:$G$1004,2,0)),"0")</f>
        <v>COLÉGIO SINGULAR SÃO CAETANO</v>
      </c>
      <c r="L38" s="79"/>
    </row>
    <row r="39" spans="2:16" ht="18" customHeight="1" x14ac:dyDescent="0.25">
      <c r="B39" s="15" t="str">
        <f>IF(H30=3,B30,IF(H30=4,B30,""))</f>
        <v>CECÍLIA MARIA DE SOUZA BASTOS</v>
      </c>
      <c r="C39" s="15" t="str">
        <f>IFERROR(IF(B39="","",VLOOKUP(B39,LISTAS!$F$5:$G$1004,2,0)),"0")</f>
        <v>COLÉGIO ARBOS - UNIDADE SANTO ANDRÉ</v>
      </c>
      <c r="D39" s="223">
        <v>2</v>
      </c>
      <c r="E39" s="224"/>
      <c r="F39" s="223" t="s">
        <v>38</v>
      </c>
      <c r="G39" s="224"/>
      <c r="H39" s="223">
        <v>1</v>
      </c>
      <c r="I39" s="224"/>
      <c r="J39" s="21" t="str">
        <f>IF(H30=3,B31,IF(H30=4,B32,""))</f>
        <v>HELOISA SILVA DOS SANTOS</v>
      </c>
      <c r="K39" s="15" t="str">
        <f>IFERROR(IF(J39="","",VLOOKUP(J39,LISTAS!$F$5:$G$1004,2,0)),"0")</f>
        <v>COLÉGIO ENGENHEIRO SALVADOR ARENA</v>
      </c>
      <c r="L39" s="81"/>
    </row>
    <row r="40" spans="2:16" ht="18" customHeight="1" x14ac:dyDescent="0.25">
      <c r="B40" s="15" t="str">
        <f>IF(H30=3,"",IF(H30=4,B31,""))</f>
        <v/>
      </c>
      <c r="C40" s="15" t="str">
        <f>IFERROR(IF(B40="","",VLOOKUP(B40,LISTAS!$F$5:$G$1004,2,0)),"0")</f>
        <v/>
      </c>
      <c r="D40" s="223"/>
      <c r="E40" s="224"/>
      <c r="F40" s="223" t="s">
        <v>38</v>
      </c>
      <c r="G40" s="224"/>
      <c r="H40" s="223"/>
      <c r="I40" s="224"/>
      <c r="J40" s="21" t="str">
        <f>IF(H30=3,"",IF(H30=4,B33,""))</f>
        <v/>
      </c>
      <c r="K40" s="15" t="str">
        <f>IFERROR(IF(J40="","",VLOOKUP(J40,LISTAS!$F$5:$G$1004,2,0)),"0")</f>
        <v/>
      </c>
      <c r="L40" s="81"/>
    </row>
    <row r="41" spans="2:16" ht="18" customHeight="1" x14ac:dyDescent="0.25">
      <c r="B41" s="15" t="str">
        <f>IF(H30=3,"",IF(H30=4,B32,""))</f>
        <v/>
      </c>
      <c r="C41" s="15" t="str">
        <f>IFERROR(IF(B41="","",VLOOKUP(B41,LISTAS!$F$5:$G$1004,2,0)),"0")</f>
        <v/>
      </c>
      <c r="D41" s="223"/>
      <c r="E41" s="224"/>
      <c r="F41" s="223" t="s">
        <v>38</v>
      </c>
      <c r="G41" s="224"/>
      <c r="H41" s="223"/>
      <c r="I41" s="224"/>
      <c r="J41" s="21" t="str">
        <f>IF(H30=3,"",IF(H30=4,B33,""))</f>
        <v/>
      </c>
      <c r="K41" s="15" t="str">
        <f>IFERROR(IF(J41="","",VLOOKUP(J41,LISTAS!$F$5:$G$1004,2,0)),"0")</f>
        <v/>
      </c>
      <c r="L41" s="81"/>
    </row>
    <row r="42" spans="2:16" ht="18" customHeight="1" x14ac:dyDescent="0.25">
      <c r="B42" s="15" t="str">
        <f>IF(H30=3,"",IF(H30=4,B30,""))</f>
        <v/>
      </c>
      <c r="C42" s="15" t="str">
        <f>IFERROR(IF(B42="","",VLOOKUP(B42,LISTAS!$F$5:$G$1004,2,0)),"0")</f>
        <v/>
      </c>
      <c r="D42" s="223"/>
      <c r="E42" s="224"/>
      <c r="F42" s="223" t="s">
        <v>38</v>
      </c>
      <c r="G42" s="224"/>
      <c r="H42" s="223"/>
      <c r="I42" s="224"/>
      <c r="J42" s="21" t="str">
        <f>IF(H30=3,"",IF(H30=4,B31,""))</f>
        <v/>
      </c>
      <c r="K42" s="15" t="str">
        <f>IFERROR(IF(J42="","",VLOOKUP(J42,LISTAS!$F$5:$G$1004,2,0)),"0")</f>
        <v/>
      </c>
      <c r="L42" s="81"/>
    </row>
    <row r="45" spans="2:16" ht="30" customHeight="1" x14ac:dyDescent="0.25">
      <c r="B45" s="161" t="s">
        <v>47</v>
      </c>
      <c r="C45" s="79"/>
      <c r="D45" s="225" t="s">
        <v>42</v>
      </c>
      <c r="E45" s="226"/>
      <c r="F45" s="226"/>
      <c r="G45" s="227"/>
      <c r="H45" s="113"/>
      <c r="I45" s="225" t="s">
        <v>3</v>
      </c>
      <c r="J45" s="226"/>
      <c r="K45" s="226"/>
      <c r="L45" s="226"/>
    </row>
    <row r="46" spans="2:16" ht="18" customHeight="1" x14ac:dyDescent="0.25">
      <c r="B46" s="9" t="s">
        <v>15</v>
      </c>
      <c r="C46" s="9" t="s">
        <v>0</v>
      </c>
      <c r="D46" s="9" t="s">
        <v>43</v>
      </c>
      <c r="E46" s="9" t="s">
        <v>44</v>
      </c>
      <c r="F46" s="9" t="s">
        <v>77</v>
      </c>
      <c r="G46" s="9" t="s">
        <v>78</v>
      </c>
      <c r="H46" s="114"/>
      <c r="I46" s="9" t="s">
        <v>18</v>
      </c>
      <c r="J46" s="9" t="s">
        <v>15</v>
      </c>
      <c r="K46" s="9" t="s">
        <v>0</v>
      </c>
      <c r="L46" s="9" t="s">
        <v>45</v>
      </c>
    </row>
    <row r="47" spans="2:16" ht="18" customHeight="1" x14ac:dyDescent="0.25">
      <c r="B47" s="15" t="s">
        <v>287</v>
      </c>
      <c r="C47" s="15" t="str">
        <f>IFERROR(IF(B47="","",VLOOKUP(B47,LISTAS!$F$5:$G$1004,2,0)),"0")</f>
        <v>COLÉGIO ENGENHEIRO SALVADOR ARENA</v>
      </c>
      <c r="D47" s="15" t="str">
        <f>IF(H47&lt;3,"",IF(H47=3,IF(D53&lt;&gt;"",IF(H53&lt;&gt;"",IF(D53&lt;&gt;H53,IF(D53&gt;H53,"V","D"),""),""),"")))</f>
        <v>V</v>
      </c>
      <c r="E47" s="15" t="str">
        <f>IF(H47&lt;3,"",IF(H47=3,IF(D55&lt;&gt;"",IF(H55&lt;&gt;"",IF(D55&lt;&gt;H55,IF(D55&gt;H55,"V","D"),""),""),"")))</f>
        <v>V</v>
      </c>
      <c r="F47" s="15" t="s">
        <v>81</v>
      </c>
      <c r="G47" s="15" t="s">
        <v>81</v>
      </c>
      <c r="H47" s="117">
        <f>COUNTA(B47:B49)</f>
        <v>3</v>
      </c>
      <c r="I47" s="15">
        <f>IF(B47&lt;&gt;"",1,"")</f>
        <v>1</v>
      </c>
      <c r="J47" s="15" t="str">
        <f>IF(I47&lt;&gt;"",P47,"")</f>
        <v>KAORU UEHARA DE MORAIS</v>
      </c>
      <c r="K47" s="15" t="str">
        <f>IFERROR(IF(J47="","",VLOOKUP(J47,LISTAS!$F$5:$G$1004,2,0)),"0")</f>
        <v>COLÉGIO ENGENHEIRO SALVADOR ARENA</v>
      </c>
      <c r="L47" s="119" t="str">
        <f>IF(H47=3,"OURO",IF(H47=4,"OURO",IF(H47=5,"OURO","")))</f>
        <v>OURO</v>
      </c>
      <c r="M47" s="20">
        <f>IF(B47&lt;&gt;"",COUNTIF(D47:G47,"V")+(SUMIF(B53:B55,B47,D53:E55)/1000)+(SUMIF(J53:J55,B47,H53:I55)/1000)-(SUMIF(B53:B55,B47,H53:I55)/1000)-(SUMIF(J53:J55,B47,D53:E55)/1000)+0.003,"")</f>
        <v>2.0050000000000003</v>
      </c>
      <c r="N47" s="20" t="str">
        <f>IF(B47="","",B47)</f>
        <v>KAORU UEHARA DE MORAIS</v>
      </c>
      <c r="O47" s="20">
        <f>IF(B47&lt;&gt;"",LARGE(M47:M49,1),"")</f>
        <v>2.0050000000000003</v>
      </c>
      <c r="P47" s="20" t="str">
        <f>VLOOKUP(O47,M47:N49,2,0)</f>
        <v>KAORU UEHARA DE MORAIS</v>
      </c>
    </row>
    <row r="48" spans="2:16" ht="18" customHeight="1" x14ac:dyDescent="0.25">
      <c r="B48" s="15" t="s">
        <v>291</v>
      </c>
      <c r="C48" s="15" t="str">
        <f>IFERROR(IF(B48="","",VLOOKUP(B48,LISTAS!$F$5:$G$1004,2,0)),"0")</f>
        <v>COLÉGIO ARBOS - UNIDADE SANTO ANDRÉ</v>
      </c>
      <c r="D48" s="15" t="str">
        <f>IF(H47&lt;3,"",IF(H47=3,IF(D54&lt;&gt;"",IF(H54&lt;&gt;"",IF(D54&lt;&gt;H54,IF(D54&gt;H54,"V","D"),""),""),"")))</f>
        <v>D</v>
      </c>
      <c r="E48" s="15" t="str">
        <f>IF(H47&lt;3,"",IF(H47=3,IF(D55&lt;&gt;"",IF(H55&lt;&gt;"",IF(D55&lt;&gt;H55,IF(D55&gt;H55,"D","V"),""),""),"")))</f>
        <v>D</v>
      </c>
      <c r="F48" s="15" t="s">
        <v>81</v>
      </c>
      <c r="G48" s="15" t="s">
        <v>81</v>
      </c>
      <c r="H48" s="115"/>
      <c r="I48" s="15">
        <f>IF(B48&lt;&gt;"",2,"")</f>
        <v>2</v>
      </c>
      <c r="J48" s="15" t="str">
        <f>IF(I48&lt;&gt;"",P48,"")</f>
        <v>ESTER GUIMARÃES</v>
      </c>
      <c r="K48" s="15" t="str">
        <f>IFERROR(IF(J48="","",VLOOKUP(J48,LISTAS!$F$5:$G$1004,2,0)),"0")</f>
        <v>COLÉGIO MARCONI - GRU</v>
      </c>
      <c r="L48" s="119" t="str">
        <f>IF(H47=3,"PRATA",IF(H47=4,"OURO",IF(H47=5,"OURO","")))</f>
        <v>PRATA</v>
      </c>
      <c r="M48" s="20">
        <f>IF(B48&lt;&gt;"",COUNTIF(D48:G48,"V")+(SUMIF(B53:B55,B48,D53:E55)/1000)+(SUMIF(J53:J55,B48,H53:I55)/1000)-(SUMIF(B53:B55,B48,H53:I55)/1000)-(SUMIF(J53:J55,B48,D53:E55)/1000)+0.002,"")</f>
        <v>-1E-3</v>
      </c>
      <c r="N48" s="20" t="str">
        <f t="shared" ref="N48" si="2">IF(B48="","",B48)</f>
        <v>LAURA SIMOYAMA BLASSIOLI ARCANJO</v>
      </c>
      <c r="O48" s="20">
        <f>IF(B48&lt;&gt;"",LARGE(M47:M49,2),"")</f>
        <v>1.0019999999999998</v>
      </c>
      <c r="P48" s="20" t="str">
        <f>VLOOKUP(O48,M47:N49,2,0)</f>
        <v>ESTER GUIMARÃES</v>
      </c>
    </row>
    <row r="49" spans="2:16" ht="18" customHeight="1" x14ac:dyDescent="0.25">
      <c r="B49" s="15" t="s">
        <v>246</v>
      </c>
      <c r="C49" s="15" t="str">
        <f>IFERROR(IF(B49="","",VLOOKUP(B49,LISTAS!$F$5:$G$1004,2,0)),"0")</f>
        <v>COLÉGIO MARCONI - GRU</v>
      </c>
      <c r="D49" s="15" t="str">
        <f>IF(H47&lt;3,"",IF(H47=3,IF(D53&lt;&gt;"",IF(H53&lt;&gt;"",IF(D53&lt;&gt;H53,IF(D53&gt;H53,"D","V"),""),""),"")))</f>
        <v>D</v>
      </c>
      <c r="E49" s="15" t="str">
        <f>IF(H47&lt;3,"",IF(H47=3,IF(D54&lt;&gt;"",IF(H54&lt;&gt;"",IF(D54&lt;&gt;H54,IF(D54&gt;H54,"D","V"),""),""),"")))</f>
        <v>V</v>
      </c>
      <c r="F49" s="15" t="s">
        <v>81</v>
      </c>
      <c r="G49" s="15" t="s">
        <v>81</v>
      </c>
      <c r="H49" s="115"/>
      <c r="I49" s="15">
        <f>IF(B49&lt;&gt;"",3,"")</f>
        <v>3</v>
      </c>
      <c r="J49" s="15" t="str">
        <f>IF(I49&lt;&gt;"",P49,"")</f>
        <v>LAURA SIMOYAMA BLASSIOLI ARCANJO</v>
      </c>
      <c r="K49" s="15" t="str">
        <f>IFERROR(IF(J49="","",VLOOKUP(J49,LISTAS!$F$5:$G$1004,2,0)),"0")</f>
        <v>COLÉGIO ARBOS - UNIDADE SANTO ANDRÉ</v>
      </c>
      <c r="L49" s="119" t="str">
        <f>IF(H47=3,"BRONZE",IF(H47=4,"PRATA",IF(H47=5,"OURO","")))</f>
        <v>BRONZE</v>
      </c>
      <c r="M49" s="20">
        <f>IF(B49&lt;&gt;"",COUNTIF(D49:G49,"V")+(SUMIF(B53:B55,B49,D53:E55)/1000)+(SUMIF(J53:J55,B49,H53:I55)/1000)-(SUMIF(B53:B55,B49,H53:I55)/1000)-(SUMIF(J53:J55,B49,D53:E55)/1000)+0.001,"")</f>
        <v>1.0019999999999998</v>
      </c>
      <c r="N49" s="20" t="str">
        <f>IF(B49="","",B49)</f>
        <v>ESTER GUIMARÃES</v>
      </c>
      <c r="O49" s="20">
        <f>IF(B49&lt;&gt;"",LARGE(M47:M49,3),"")</f>
        <v>-1E-3</v>
      </c>
      <c r="P49" s="20" t="str">
        <f>VLOOKUP(O49,M47:N49,2,0)</f>
        <v>LAURA SIMOYAMA BLASSIOLI ARCANJO</v>
      </c>
    </row>
    <row r="50" spans="2:16" ht="18" customHeight="1" x14ac:dyDescent="0.25">
      <c r="B50" s="79"/>
      <c r="C50" s="79"/>
      <c r="D50" s="79"/>
      <c r="E50" s="79"/>
      <c r="F50" s="79"/>
      <c r="G50" s="79"/>
      <c r="I50" s="80"/>
      <c r="J50" s="79"/>
      <c r="K50" s="81"/>
      <c r="L50" s="81"/>
    </row>
    <row r="51" spans="2:16" ht="23.25" customHeight="1" x14ac:dyDescent="0.25">
      <c r="B51" s="82" t="s">
        <v>40</v>
      </c>
      <c r="C51" s="79"/>
      <c r="D51" s="79"/>
      <c r="E51" s="79"/>
      <c r="F51" s="79"/>
      <c r="G51" s="79"/>
      <c r="H51" s="79"/>
      <c r="I51" s="79"/>
      <c r="J51" s="79"/>
      <c r="K51" s="79"/>
      <c r="L51" s="79"/>
    </row>
    <row r="52" spans="2:16" ht="18" customHeight="1" x14ac:dyDescent="0.25">
      <c r="B52" s="9" t="s">
        <v>15</v>
      </c>
      <c r="C52" s="9" t="s">
        <v>0</v>
      </c>
      <c r="D52" s="228" t="s">
        <v>41</v>
      </c>
      <c r="E52" s="229"/>
      <c r="F52" s="229"/>
      <c r="G52" s="229"/>
      <c r="H52" s="229"/>
      <c r="I52" s="230"/>
      <c r="J52" s="9" t="s">
        <v>15</v>
      </c>
      <c r="K52" s="9" t="s">
        <v>0</v>
      </c>
      <c r="L52" s="79"/>
    </row>
    <row r="53" spans="2:16" ht="18" customHeight="1" x14ac:dyDescent="0.25">
      <c r="B53" s="15" t="str">
        <f>IF(H47=3,B47,"")</f>
        <v>KAORU UEHARA DE MORAIS</v>
      </c>
      <c r="C53" s="15" t="str">
        <f>IFERROR(IF(B53="","",VLOOKUP(B53,LISTAS!$F$5:$G$1004,2,0)),"0")</f>
        <v>COLÉGIO ENGENHEIRO SALVADOR ARENA</v>
      </c>
      <c r="D53" s="223">
        <v>2</v>
      </c>
      <c r="E53" s="224"/>
      <c r="F53" s="223" t="s">
        <v>38</v>
      </c>
      <c r="G53" s="224"/>
      <c r="H53" s="223">
        <v>1</v>
      </c>
      <c r="I53" s="224"/>
      <c r="J53" s="21" t="str">
        <f>IF(H47=3,B49,"")</f>
        <v>ESTER GUIMARÃES</v>
      </c>
      <c r="K53" s="15" t="str">
        <f>IFERROR(IF(J53="","",VLOOKUP(J53,LISTAS!$F$5:$G$1004,2,0)),"0")</f>
        <v>COLÉGIO MARCONI - GRU</v>
      </c>
      <c r="L53" s="81"/>
    </row>
    <row r="54" spans="2:16" ht="18" customHeight="1" x14ac:dyDescent="0.25">
      <c r="B54" s="15" t="str">
        <f>IF(H47=3,B48,"")</f>
        <v>LAURA SIMOYAMA BLASSIOLI ARCANJO</v>
      </c>
      <c r="C54" s="15" t="str">
        <f>IFERROR(IF(B54="","",VLOOKUP(B54,LISTAS!$F$5:$G$1004,2,0)),"0")</f>
        <v>COLÉGIO ARBOS - UNIDADE SANTO ANDRÉ</v>
      </c>
      <c r="D54" s="223">
        <v>0</v>
      </c>
      <c r="E54" s="224"/>
      <c r="F54" s="223" t="s">
        <v>38</v>
      </c>
      <c r="G54" s="224"/>
      <c r="H54" s="223">
        <v>2</v>
      </c>
      <c r="I54" s="224"/>
      <c r="J54" s="21" t="str">
        <f>IF(H47=3,B49,"")</f>
        <v>ESTER GUIMARÃES</v>
      </c>
      <c r="K54" s="15" t="str">
        <f>IFERROR(IF(J54="","",VLOOKUP(J54,LISTAS!$F$5:$G$1004,2,0)),"0")</f>
        <v>COLÉGIO MARCONI - GRU</v>
      </c>
      <c r="L54" s="79"/>
    </row>
    <row r="55" spans="2:16" ht="18" customHeight="1" x14ac:dyDescent="0.25">
      <c r="B55" s="15" t="str">
        <f>IF(H47=3,B47,"")</f>
        <v>KAORU UEHARA DE MORAIS</v>
      </c>
      <c r="C55" s="15" t="str">
        <f>IFERROR(IF(B55="","",VLOOKUP(B55,LISTAS!$F$5:$G$1004,2,0)),"0")</f>
        <v>COLÉGIO ENGENHEIRO SALVADOR ARENA</v>
      </c>
      <c r="D55" s="223">
        <v>2</v>
      </c>
      <c r="E55" s="224"/>
      <c r="F55" s="223" t="s">
        <v>38</v>
      </c>
      <c r="G55" s="224"/>
      <c r="H55" s="223">
        <v>1</v>
      </c>
      <c r="I55" s="224"/>
      <c r="J55" s="21" t="str">
        <f>IF(H47=3,B48,"")</f>
        <v>LAURA SIMOYAMA BLASSIOLI ARCANJO</v>
      </c>
      <c r="K55" s="15" t="str">
        <f>IFERROR(IF(J55="","",VLOOKUP(J55,LISTAS!$F$5:$G$1004,2,0)),"0")</f>
        <v>COLÉGIO ARBOS - UNIDADE SANTO ANDRÉ</v>
      </c>
      <c r="L55" s="81"/>
    </row>
    <row r="58" spans="2:16" ht="30" customHeight="1" x14ac:dyDescent="0.25">
      <c r="B58" s="161" t="s">
        <v>48</v>
      </c>
      <c r="C58" s="79"/>
      <c r="D58" s="225" t="s">
        <v>42</v>
      </c>
      <c r="E58" s="226"/>
      <c r="F58" s="226"/>
      <c r="G58" s="227"/>
      <c r="H58" s="113"/>
      <c r="I58" s="225" t="s">
        <v>3</v>
      </c>
      <c r="J58" s="226"/>
      <c r="K58" s="226"/>
      <c r="L58" s="226"/>
    </row>
    <row r="59" spans="2:16" ht="18" customHeight="1" x14ac:dyDescent="0.25">
      <c r="B59" s="9" t="s">
        <v>15</v>
      </c>
      <c r="C59" s="9" t="s">
        <v>0</v>
      </c>
      <c r="D59" s="9" t="s">
        <v>43</v>
      </c>
      <c r="E59" s="9" t="s">
        <v>44</v>
      </c>
      <c r="F59" s="9" t="s">
        <v>77</v>
      </c>
      <c r="G59" s="9" t="s">
        <v>78</v>
      </c>
      <c r="H59" s="114"/>
      <c r="I59" s="9" t="s">
        <v>18</v>
      </c>
      <c r="J59" s="9" t="s">
        <v>15</v>
      </c>
      <c r="K59" s="9" t="s">
        <v>0</v>
      </c>
      <c r="L59" s="9" t="s">
        <v>45</v>
      </c>
    </row>
    <row r="60" spans="2:16" ht="18" customHeight="1" x14ac:dyDescent="0.25">
      <c r="B60" s="15" t="s">
        <v>285</v>
      </c>
      <c r="C60" s="15" t="str">
        <f>IFERROR(IF(B60="","",VLOOKUP(B60,LISTAS!$F$5:$G$1004,2,0)),"0")</f>
        <v>COLÉGIO SÃO JOSÉ</v>
      </c>
      <c r="D60" s="15" t="str">
        <f>IF(H60&lt;3,"",IF(H60=3,IF(D66&lt;&gt;"",IF(H66&lt;&gt;"",IF(D66&lt;&gt;H66,IF(D66&gt;H66,"V","D"),""),""),"")))</f>
        <v>V</v>
      </c>
      <c r="E60" s="15" t="str">
        <f>IF(H60&lt;3,"",IF(H60=3,IF(D68&lt;&gt;"",IF(H68&lt;&gt;"",IF(D68&lt;&gt;H68,IF(D68&gt;H68,"V","D"),""),""),"")))</f>
        <v>D</v>
      </c>
      <c r="F60" s="15" t="s">
        <v>81</v>
      </c>
      <c r="G60" s="15" t="s">
        <v>81</v>
      </c>
      <c r="H60" s="117">
        <f>COUNTA(B60:B62)</f>
        <v>3</v>
      </c>
      <c r="I60" s="15">
        <f>IF(B60&lt;&gt;"",1,"")</f>
        <v>1</v>
      </c>
      <c r="J60" s="15" t="str">
        <f>IF(I60&lt;&gt;"",P60,"")</f>
        <v>BEATRIZ DELPOIO DE ARAÚJO</v>
      </c>
      <c r="K60" s="15" t="str">
        <f>IFERROR(IF(J60="","",VLOOKUP(J60,LISTAS!$F$5:$G$1004,2,0)),"0")</f>
        <v>LICEU JARDIM</v>
      </c>
      <c r="L60" s="119" t="str">
        <f>IF(H60=3,"OURO",IF(H60=4,"OURO",IF(H60=5,"OURO","")))</f>
        <v>OURO</v>
      </c>
      <c r="M60" s="20">
        <f>IF(B60&lt;&gt;"",COUNTIF(D60:G60,"V")+(SUMIF(B66:B68,B60,D66:E68)/1000)+(SUMIF(J66:J68,B60,H66:I68)/1000)-(SUMIF(B66:B68,B60,H66:I68)/1000)-(SUMIF(J66:J68,B60,D66:E68)/1000)+0.003,"")</f>
        <v>1.0029999999999999</v>
      </c>
      <c r="N60" s="20" t="str">
        <f>IF(B60="","",B60)</f>
        <v>JULIA GOMES</v>
      </c>
      <c r="O60" s="20">
        <f>IF(B60&lt;&gt;"",LARGE(M60:M62,1),"")</f>
        <v>2.0059999999999993</v>
      </c>
      <c r="P60" s="20" t="str">
        <f>VLOOKUP(O60,M60:N62,2,0)</f>
        <v>BEATRIZ DELPOIO DE ARAÚJO</v>
      </c>
    </row>
    <row r="61" spans="2:16" ht="18" customHeight="1" x14ac:dyDescent="0.25">
      <c r="B61" s="15" t="s">
        <v>217</v>
      </c>
      <c r="C61" s="15" t="str">
        <f>IFERROR(IF(B61="","",VLOOKUP(B61,LISTAS!$F$5:$G$1004,2,0)),"0")</f>
        <v>LICEU JARDIM</v>
      </c>
      <c r="D61" s="15" t="str">
        <f>IF(H60&lt;3,"",IF(H60=3,IF(D67&lt;&gt;"",IF(H67&lt;&gt;"",IF(D67&lt;&gt;H67,IF(D67&gt;H67,"V","D"),""),""),"")))</f>
        <v>V</v>
      </c>
      <c r="E61" s="15" t="str">
        <f>IF(H60&lt;3,"",IF(H60=3,IF(D68&lt;&gt;"",IF(H68&lt;&gt;"",IF(D68&lt;&gt;H68,IF(D68&gt;H68,"D","V"),""),""),"")))</f>
        <v>V</v>
      </c>
      <c r="F61" s="15" t="s">
        <v>81</v>
      </c>
      <c r="G61" s="15" t="s">
        <v>81</v>
      </c>
      <c r="H61" s="115"/>
      <c r="I61" s="15">
        <f>IF(B61&lt;&gt;"",2,"")</f>
        <v>2</v>
      </c>
      <c r="J61" s="15" t="str">
        <f>IF(I61&lt;&gt;"",P61,"")</f>
        <v>JULIA GOMES</v>
      </c>
      <c r="K61" s="15" t="str">
        <f>IFERROR(IF(J61="","",VLOOKUP(J61,LISTAS!$F$5:$G$1004,2,0)),"0")</f>
        <v>COLÉGIO SÃO JOSÉ</v>
      </c>
      <c r="L61" s="119" t="str">
        <f>IF(H60=3,"PRATA",IF(H60=4,"OURO",IF(H60=5,"OURO","")))</f>
        <v>PRATA</v>
      </c>
      <c r="M61" s="20">
        <f>IF(B61&lt;&gt;"",COUNTIF(D61:G61,"V")+(SUMIF(B66:B68,B61,D66:E68)/1000)+(SUMIF(J66:J68,B61,H66:I68)/1000)-(SUMIF(B66:B68,B61,H66:I68)/1000)-(SUMIF(J66:J68,B61,D66:E68)/1000)+0.002,"")</f>
        <v>2.0059999999999993</v>
      </c>
      <c r="N61" s="20" t="str">
        <f t="shared" ref="N61" si="3">IF(B61="","",B61)</f>
        <v>BEATRIZ DELPOIO DE ARAÚJO</v>
      </c>
      <c r="O61" s="20">
        <f>IF(B61&lt;&gt;"",LARGE(M60:M62,2),"")</f>
        <v>1.0029999999999999</v>
      </c>
      <c r="P61" s="20" t="str">
        <f>VLOOKUP(O61,M60:N62,2,0)</f>
        <v>JULIA GOMES</v>
      </c>
    </row>
    <row r="62" spans="2:16" ht="18" customHeight="1" x14ac:dyDescent="0.25">
      <c r="B62" s="15" t="s">
        <v>247</v>
      </c>
      <c r="C62" s="15" t="str">
        <f>IFERROR(IF(B62="","",VLOOKUP(B62,LISTAS!$F$5:$G$1004,2,0)),"0")</f>
        <v>IEBURIX -SBC</v>
      </c>
      <c r="D62" s="15" t="str">
        <f>IF(H60&lt;3,"",IF(H60=3,IF(D66&lt;&gt;"",IF(H66&lt;&gt;"",IF(D66&lt;&gt;H66,IF(D66&gt;H66,"D","V"),""),""),"")))</f>
        <v>D</v>
      </c>
      <c r="E62" s="15" t="str">
        <f>IF(H60&lt;3,"",IF(H60=3,IF(D67&lt;&gt;"",IF(H67&lt;&gt;"",IF(D67&lt;&gt;H67,IF(D67&gt;H67,"D","V"),""),""),"")))</f>
        <v>D</v>
      </c>
      <c r="F62" s="15" t="s">
        <v>81</v>
      </c>
      <c r="G62" s="15" t="s">
        <v>81</v>
      </c>
      <c r="H62" s="115"/>
      <c r="I62" s="15">
        <f>IF(B62&lt;&gt;"",3,"")</f>
        <v>3</v>
      </c>
      <c r="J62" s="15" t="str">
        <f>IF(I62&lt;&gt;"",P62,"")</f>
        <v>FELIPA DOS ANJOS GENTIL</v>
      </c>
      <c r="K62" s="15" t="str">
        <f>IFERROR(IF(J62="","",VLOOKUP(J62,LISTAS!$F$5:$G$1004,2,0)),"0")</f>
        <v>IEBURIX -SBC</v>
      </c>
      <c r="L62" s="119" t="str">
        <f>IF(H60=3,"BRONZE",IF(H60=4,"PRATA",IF(H60=5,"OURO","")))</f>
        <v>BRONZE</v>
      </c>
      <c r="M62" s="20">
        <f>IF(B62&lt;&gt;"",COUNTIF(D62:G62,"V")+(SUMIF(B66:B68,B62,D66:E68)/1000)+(SUMIF(J66:J68,B62,H66:I68)/1000)-(SUMIF(B66:B68,B62,H66:I68)/1000)-(SUMIF(J66:J68,B62,D66:E68)/1000)+0.001,"")</f>
        <v>-3.0000000000000001E-3</v>
      </c>
      <c r="N62" s="20" t="str">
        <f>IF(B62="","",B62)</f>
        <v>FELIPA DOS ANJOS GENTIL</v>
      </c>
      <c r="O62" s="20">
        <f>IF(B62&lt;&gt;"",LARGE(M60:M62,3),"")</f>
        <v>-3.0000000000000001E-3</v>
      </c>
      <c r="P62" s="20" t="str">
        <f>VLOOKUP(O62,M60:N62,2,0)</f>
        <v>FELIPA DOS ANJOS GENTIL</v>
      </c>
    </row>
    <row r="63" spans="2:16" ht="18" customHeight="1" x14ac:dyDescent="0.25">
      <c r="B63" s="79"/>
      <c r="C63" s="79"/>
      <c r="D63" s="79"/>
      <c r="E63" s="79"/>
      <c r="F63" s="79"/>
      <c r="G63" s="79"/>
      <c r="I63" s="80"/>
      <c r="J63" s="79"/>
      <c r="K63" s="81"/>
      <c r="L63" s="81"/>
    </row>
    <row r="64" spans="2:16" ht="23.25" customHeight="1" x14ac:dyDescent="0.25">
      <c r="B64" s="82" t="s">
        <v>40</v>
      </c>
      <c r="C64" s="79"/>
      <c r="D64" s="79"/>
      <c r="E64" s="79"/>
      <c r="F64" s="79"/>
      <c r="G64" s="79"/>
      <c r="H64" s="79"/>
      <c r="I64" s="79"/>
      <c r="J64" s="79"/>
      <c r="K64" s="79"/>
      <c r="L64" s="79"/>
    </row>
    <row r="65" spans="2:16" ht="18" customHeight="1" x14ac:dyDescent="0.25">
      <c r="B65" s="9" t="s">
        <v>15</v>
      </c>
      <c r="C65" s="9" t="s">
        <v>0</v>
      </c>
      <c r="D65" s="228" t="s">
        <v>41</v>
      </c>
      <c r="E65" s="229"/>
      <c r="F65" s="229"/>
      <c r="G65" s="229"/>
      <c r="H65" s="229"/>
      <c r="I65" s="230"/>
      <c r="J65" s="9" t="s">
        <v>15</v>
      </c>
      <c r="K65" s="9" t="s">
        <v>0</v>
      </c>
      <c r="L65" s="79"/>
    </row>
    <row r="66" spans="2:16" ht="18" customHeight="1" x14ac:dyDescent="0.25">
      <c r="B66" s="15" t="str">
        <f>IF(H60=3,B60,"")</f>
        <v>JULIA GOMES</v>
      </c>
      <c r="C66" s="15" t="str">
        <f>IFERROR(IF(B66="","",VLOOKUP(B66,LISTAS!$F$5:$G$1004,2,0)),"0")</f>
        <v>COLÉGIO SÃO JOSÉ</v>
      </c>
      <c r="D66" s="223">
        <v>2</v>
      </c>
      <c r="E66" s="224"/>
      <c r="F66" s="223" t="s">
        <v>38</v>
      </c>
      <c r="G66" s="224"/>
      <c r="H66" s="223">
        <v>0</v>
      </c>
      <c r="I66" s="224"/>
      <c r="J66" s="21" t="str">
        <f>IF(H60=3,B62,"")</f>
        <v>FELIPA DOS ANJOS GENTIL</v>
      </c>
      <c r="K66" s="15" t="str">
        <f>IFERROR(IF(J66="","",VLOOKUP(J66,LISTAS!$F$5:$G$1004,2,0)),"0")</f>
        <v>IEBURIX -SBC</v>
      </c>
      <c r="L66" s="81"/>
    </row>
    <row r="67" spans="2:16" ht="18" customHeight="1" x14ac:dyDescent="0.25">
      <c r="B67" s="15" t="str">
        <f>IF(H60=3,B61,"")</f>
        <v>BEATRIZ DELPOIO DE ARAÚJO</v>
      </c>
      <c r="C67" s="15" t="str">
        <f>IFERROR(IF(B67="","",VLOOKUP(B67,LISTAS!$F$5:$G$1004,2,0)),"0")</f>
        <v>LICEU JARDIM</v>
      </c>
      <c r="D67" s="223">
        <v>2</v>
      </c>
      <c r="E67" s="224"/>
      <c r="F67" s="223" t="s">
        <v>38</v>
      </c>
      <c r="G67" s="224"/>
      <c r="H67" s="223">
        <v>0</v>
      </c>
      <c r="I67" s="224"/>
      <c r="J67" s="21" t="str">
        <f>IF(H60=3,B62,"")</f>
        <v>FELIPA DOS ANJOS GENTIL</v>
      </c>
      <c r="K67" s="15" t="str">
        <f>IFERROR(IF(J67="","",VLOOKUP(J67,LISTAS!$F$5:$G$1004,2,0)),"0")</f>
        <v>IEBURIX -SBC</v>
      </c>
      <c r="L67" s="79"/>
    </row>
    <row r="68" spans="2:16" ht="18" customHeight="1" x14ac:dyDescent="0.25">
      <c r="B68" s="15" t="str">
        <f>IF(H60=3,B60,"")</f>
        <v>JULIA GOMES</v>
      </c>
      <c r="C68" s="15" t="str">
        <f>IFERROR(IF(B68="","",VLOOKUP(B68,LISTAS!$F$5:$G$1004,2,0)),"0")</f>
        <v>COLÉGIO SÃO JOSÉ</v>
      </c>
      <c r="D68" s="223">
        <v>0</v>
      </c>
      <c r="E68" s="224"/>
      <c r="F68" s="223" t="s">
        <v>38</v>
      </c>
      <c r="G68" s="224"/>
      <c r="H68" s="223">
        <v>2</v>
      </c>
      <c r="I68" s="224"/>
      <c r="J68" s="21" t="str">
        <f>IF(H60=3,B61,"")</f>
        <v>BEATRIZ DELPOIO DE ARAÚJO</v>
      </c>
      <c r="K68" s="15" t="str">
        <f>IFERROR(IF(J68="","",VLOOKUP(J68,LISTAS!$F$5:$G$1004,2,0)),"0")</f>
        <v>LICEU JARDIM</v>
      </c>
      <c r="L68" s="81"/>
    </row>
    <row r="71" spans="2:16" ht="30" customHeight="1" x14ac:dyDescent="0.25">
      <c r="B71" s="161" t="s">
        <v>49</v>
      </c>
      <c r="C71" s="79"/>
      <c r="D71" s="225" t="s">
        <v>42</v>
      </c>
      <c r="E71" s="226"/>
      <c r="F71" s="226"/>
      <c r="G71" s="227"/>
      <c r="H71" s="113"/>
      <c r="I71" s="225" t="s">
        <v>3</v>
      </c>
      <c r="J71" s="226"/>
      <c r="K71" s="226"/>
      <c r="L71" s="226"/>
    </row>
    <row r="72" spans="2:16" ht="18" customHeight="1" x14ac:dyDescent="0.25">
      <c r="B72" s="9" t="s">
        <v>15</v>
      </c>
      <c r="C72" s="9" t="s">
        <v>0</v>
      </c>
      <c r="D72" s="9" t="s">
        <v>43</v>
      </c>
      <c r="E72" s="9" t="s">
        <v>44</v>
      </c>
      <c r="F72" s="9" t="s">
        <v>77</v>
      </c>
      <c r="G72" s="9" t="s">
        <v>78</v>
      </c>
      <c r="H72" s="114"/>
      <c r="I72" s="9" t="s">
        <v>18</v>
      </c>
      <c r="J72" s="9" t="s">
        <v>15</v>
      </c>
      <c r="K72" s="9" t="s">
        <v>0</v>
      </c>
      <c r="L72" s="9" t="s">
        <v>45</v>
      </c>
    </row>
    <row r="73" spans="2:16" ht="18" customHeight="1" x14ac:dyDescent="0.25">
      <c r="B73" s="15" t="s">
        <v>314</v>
      </c>
      <c r="C73" s="15" t="str">
        <f>IFERROR(IF(B73="","",VLOOKUP(B73,LISTAS!$F$5:$G$1004,2,0)),"0")</f>
        <v>COLÉGIO ENGENHEIRO SALVADOR ARENA</v>
      </c>
      <c r="D73" s="15" t="str">
        <f>IF(H73&lt;3,"",IF(H73=3,IF(D79&lt;&gt;"",IF(H79&lt;&gt;"",IF(D79&lt;&gt;H79,IF(D79&gt;H79,"V","D"),""),""),"")))</f>
        <v>D</v>
      </c>
      <c r="E73" s="15" t="str">
        <f>IF(H73&lt;3,"",IF(H73=3,IF(D81&lt;&gt;"",IF(H81&lt;&gt;"",IF(D81&lt;&gt;H81,IF(D81&gt;H81,"V","D"),""),""),"")))</f>
        <v>D</v>
      </c>
      <c r="F73" s="15" t="s">
        <v>81</v>
      </c>
      <c r="G73" s="15" t="s">
        <v>81</v>
      </c>
      <c r="H73" s="117">
        <f>COUNTA(B73:B75)</f>
        <v>3</v>
      </c>
      <c r="I73" s="15">
        <f>IF(B73&lt;&gt;"",1,"")</f>
        <v>1</v>
      </c>
      <c r="J73" s="15" t="str">
        <f>IF(I73&lt;&gt;"",P73,"")</f>
        <v>LARISSA MARQUES FURTADO</v>
      </c>
      <c r="K73" s="15" t="str">
        <f>IFERROR(IF(J73="","",VLOOKUP(J73,LISTAS!$F$5:$G$1004,2,0)),"0")</f>
        <v>IEBURIX -SBC</v>
      </c>
      <c r="L73" s="119" t="str">
        <f>IF(H73=3,"OURO",IF(H73=4,"OURO",IF(H73=5,"OURO","")))</f>
        <v>OURO</v>
      </c>
      <c r="M73" s="20">
        <f>IF(B73&lt;&gt;"",COUNTIF(D73:G73,"V")+(SUMIF(B79:B81,B73,D79:E81)/1000)+(SUMIF(J79:J81,B73,H79:I81)/1000)-(SUMIF(B79:B81,B73,H79:I81)/1000)-(SUMIF(J79:J81,B73,D79:E81)/1000)+0.003,"")</f>
        <v>-1E-3</v>
      </c>
      <c r="N73" s="20" t="str">
        <f>IF(B73="","",B73)</f>
        <v>MALUH GUIMARÃES PINHO</v>
      </c>
      <c r="O73" s="20">
        <f>IF(B73&lt;&gt;"",LARGE(M73:M75,1),"")</f>
        <v>2.0049999999999999</v>
      </c>
      <c r="P73" s="20" t="str">
        <f>VLOOKUP(O73,M73:N75,2,0)</f>
        <v>LARISSA MARQUES FURTADO</v>
      </c>
    </row>
    <row r="74" spans="2:16" ht="18" customHeight="1" x14ac:dyDescent="0.25">
      <c r="B74" s="15" t="s">
        <v>321</v>
      </c>
      <c r="C74" s="15" t="str">
        <f>IFERROR(IF(B74="","",VLOOKUP(B74,LISTAS!$F$5:$G$1004,2,0)),"0")</f>
        <v>COLÉGIO ARBOS - UNIDADE SANTO ANDRÉ</v>
      </c>
      <c r="D74" s="15" t="str">
        <f>IF(H73&lt;3,"",IF(H73=3,IF(D80&lt;&gt;"",IF(H80&lt;&gt;"",IF(D80&lt;&gt;H80,IF(D80&gt;H80,"V","D"),""),""),"")))</f>
        <v>D</v>
      </c>
      <c r="E74" s="15" t="str">
        <f>IF(H73&lt;3,"",IF(H73=3,IF(D81&lt;&gt;"",IF(H81&lt;&gt;"",IF(D81&lt;&gt;H81,IF(D81&gt;H81,"D","V"),""),""),"")))</f>
        <v>V</v>
      </c>
      <c r="F74" s="15" t="s">
        <v>81</v>
      </c>
      <c r="G74" s="15" t="s">
        <v>81</v>
      </c>
      <c r="H74" s="115"/>
      <c r="I74" s="15">
        <f>IF(B74&lt;&gt;"",2,"")</f>
        <v>2</v>
      </c>
      <c r="J74" s="15" t="str">
        <f>IF(I74&lt;&gt;"",P74,"")</f>
        <v>MICAELLA QUEIROZ DOS SANTOS ALMEIDA</v>
      </c>
      <c r="K74" s="15" t="str">
        <f>IFERROR(IF(J74="","",VLOOKUP(J74,LISTAS!$F$5:$G$1004,2,0)),"0")</f>
        <v>COLÉGIO ARBOS - UNIDADE SANTO ANDRÉ</v>
      </c>
      <c r="L74" s="119" t="str">
        <f>IF(H73=3,"PRATA",IF(H73=4,"OURO",IF(H73=5,"OURO","")))</f>
        <v>PRATA</v>
      </c>
      <c r="M74" s="20">
        <f>IF(B74&lt;&gt;"",COUNTIF(D74:G74,"V")+(SUMIF(B79:B81,B74,D79:E81)/1000)+(SUMIF(J79:J81,B74,H79:I81)/1000)-(SUMIF(B79:B81,B74,H79:I81)/1000)-(SUMIF(J79:J81,B74,D79:E81)/1000)+0.002,"")</f>
        <v>1.002</v>
      </c>
      <c r="N74" s="20" t="str">
        <f t="shared" ref="N74" si="4">IF(B74="","",B74)</f>
        <v>MICAELLA QUEIROZ DOS SANTOS ALMEIDA</v>
      </c>
      <c r="O74" s="20">
        <f>IF(B74&lt;&gt;"",LARGE(M73:M75,2),"")</f>
        <v>1.002</v>
      </c>
      <c r="P74" s="20" t="str">
        <f>VLOOKUP(O74,M73:N75,2,0)</f>
        <v>MICAELLA QUEIROZ DOS SANTOS ALMEIDA</v>
      </c>
    </row>
    <row r="75" spans="2:16" ht="18" customHeight="1" x14ac:dyDescent="0.25">
      <c r="B75" s="15" t="s">
        <v>289</v>
      </c>
      <c r="C75" s="15" t="str">
        <f>IFERROR(IF(B75="","",VLOOKUP(B75,LISTAS!$F$5:$G$1004,2,0)),"0")</f>
        <v>IEBURIX -SBC</v>
      </c>
      <c r="D75" s="15" t="str">
        <f>IF(H73&lt;3,"",IF(H73=3,IF(D79&lt;&gt;"",IF(H79&lt;&gt;"",IF(D79&lt;&gt;H79,IF(D79&gt;H79,"D","V"),""),""),"")))</f>
        <v>V</v>
      </c>
      <c r="E75" s="15" t="str">
        <f>IF(H73&lt;3,"",IF(H73=3,IF(D80&lt;&gt;"",IF(H80&lt;&gt;"",IF(D80&lt;&gt;H80,IF(D80&gt;H80,"D","V"),""),""),"")))</f>
        <v>V</v>
      </c>
      <c r="F75" s="15" t="s">
        <v>81</v>
      </c>
      <c r="G75" s="15" t="s">
        <v>81</v>
      </c>
      <c r="H75" s="115"/>
      <c r="I75" s="15">
        <f>IF(B75&lt;&gt;"",3,"")</f>
        <v>3</v>
      </c>
      <c r="J75" s="15" t="str">
        <f>IF(I75&lt;&gt;"",P75,"")</f>
        <v>MALUH GUIMARÃES PINHO</v>
      </c>
      <c r="K75" s="15" t="str">
        <f>IFERROR(IF(J75="","",VLOOKUP(J75,LISTAS!$F$5:$G$1004,2,0)),"0")</f>
        <v>COLÉGIO ENGENHEIRO SALVADOR ARENA</v>
      </c>
      <c r="L75" s="119" t="str">
        <f>IF(H73=3,"BRONZE",IF(H73=4,"PRATA",IF(H73=5,"OURO","")))</f>
        <v>BRONZE</v>
      </c>
      <c r="M75" s="20">
        <f>IF(B75&lt;&gt;"",COUNTIF(D75:G75,"V")+(SUMIF(B79:B81,B75,D79:E81)/1000)+(SUMIF(J79:J81,B75,H79:I81)/1000)-(SUMIF(B79:B81,B75,H79:I81)/1000)-(SUMIF(J79:J81,B75,D79:E81)/1000)+0.001,"")</f>
        <v>2.0049999999999999</v>
      </c>
      <c r="N75" s="20" t="str">
        <f>IF(B75="","",B75)</f>
        <v>LARISSA MARQUES FURTADO</v>
      </c>
      <c r="O75" s="20">
        <f>IF(B75&lt;&gt;"",LARGE(M73:M75,3),"")</f>
        <v>-1E-3</v>
      </c>
      <c r="P75" s="20" t="str">
        <f>VLOOKUP(O75,M73:N75,2,0)</f>
        <v>MALUH GUIMARÃES PINHO</v>
      </c>
    </row>
    <row r="76" spans="2:16" ht="18" customHeight="1" x14ac:dyDescent="0.25">
      <c r="B76" s="79"/>
      <c r="C76" s="79"/>
      <c r="D76" s="79"/>
      <c r="E76" s="79"/>
      <c r="F76" s="79"/>
      <c r="G76" s="79"/>
      <c r="I76" s="80"/>
      <c r="J76" s="79"/>
      <c r="K76" s="81"/>
      <c r="L76" s="81"/>
    </row>
    <row r="77" spans="2:16" ht="23.25" customHeight="1" x14ac:dyDescent="0.25">
      <c r="B77" s="82" t="s">
        <v>40</v>
      </c>
      <c r="C77" s="79"/>
      <c r="D77" s="79"/>
      <c r="E77" s="79"/>
      <c r="F77" s="79"/>
      <c r="G77" s="79"/>
      <c r="H77" s="79"/>
      <c r="I77" s="79"/>
      <c r="J77" s="79"/>
      <c r="K77" s="79"/>
      <c r="L77" s="79"/>
    </row>
    <row r="78" spans="2:16" ht="18" customHeight="1" x14ac:dyDescent="0.25">
      <c r="B78" s="9" t="s">
        <v>15</v>
      </c>
      <c r="C78" s="9" t="s">
        <v>0</v>
      </c>
      <c r="D78" s="228" t="s">
        <v>41</v>
      </c>
      <c r="E78" s="229"/>
      <c r="F78" s="229"/>
      <c r="G78" s="229"/>
      <c r="H78" s="229"/>
      <c r="I78" s="230"/>
      <c r="J78" s="9" t="s">
        <v>15</v>
      </c>
      <c r="K78" s="9" t="s">
        <v>0</v>
      </c>
      <c r="L78" s="79"/>
    </row>
    <row r="79" spans="2:16" ht="18" customHeight="1" x14ac:dyDescent="0.25">
      <c r="B79" s="15" t="str">
        <f>IF(H73=3,B73,"")</f>
        <v>MALUH GUIMARÃES PINHO</v>
      </c>
      <c r="C79" s="15" t="str">
        <f>IFERROR(IF(B79="","",VLOOKUP(B79,LISTAS!$F$5:$G$1004,2,0)),"0")</f>
        <v>COLÉGIO ENGENHEIRO SALVADOR ARENA</v>
      </c>
      <c r="D79" s="223">
        <v>0</v>
      </c>
      <c r="E79" s="224"/>
      <c r="F79" s="223" t="s">
        <v>38</v>
      </c>
      <c r="G79" s="224"/>
      <c r="H79" s="223">
        <v>2</v>
      </c>
      <c r="I79" s="224"/>
      <c r="J79" s="21" t="str">
        <f>IF(H73=3,B75,"")</f>
        <v>LARISSA MARQUES FURTADO</v>
      </c>
      <c r="K79" s="15" t="str">
        <f>IFERROR(IF(J79="","",VLOOKUP(J79,LISTAS!$F$5:$G$1004,2,0)),"0")</f>
        <v>IEBURIX -SBC</v>
      </c>
      <c r="L79" s="81"/>
    </row>
    <row r="80" spans="2:16" ht="18" customHeight="1" x14ac:dyDescent="0.25">
      <c r="B80" s="15" t="str">
        <f>IF(H73=3,B74,"")</f>
        <v>MICAELLA QUEIROZ DOS SANTOS ALMEIDA</v>
      </c>
      <c r="C80" s="15" t="str">
        <f>IFERROR(IF(B80="","",VLOOKUP(B80,LISTAS!$F$5:$G$1004,2,0)),"0")</f>
        <v>COLÉGIO ARBOS - UNIDADE SANTO ANDRÉ</v>
      </c>
      <c r="D80" s="223">
        <v>0</v>
      </c>
      <c r="E80" s="224"/>
      <c r="F80" s="223" t="s">
        <v>38</v>
      </c>
      <c r="G80" s="224"/>
      <c r="H80" s="223">
        <v>2</v>
      </c>
      <c r="I80" s="224"/>
      <c r="J80" s="21" t="str">
        <f>IF(H73=3,B75,"")</f>
        <v>LARISSA MARQUES FURTADO</v>
      </c>
      <c r="K80" s="15" t="str">
        <f>IFERROR(IF(J80="","",VLOOKUP(J80,LISTAS!$F$5:$G$1004,2,0)),"0")</f>
        <v>IEBURIX -SBC</v>
      </c>
      <c r="L80" s="79"/>
    </row>
    <row r="81" spans="2:16" ht="18" customHeight="1" x14ac:dyDescent="0.25">
      <c r="B81" s="15" t="str">
        <f>IF(H73=3,B73,"")</f>
        <v>MALUH GUIMARÃES PINHO</v>
      </c>
      <c r="C81" s="15" t="str">
        <f>IFERROR(IF(B81="","",VLOOKUP(B81,LISTAS!$F$5:$G$1004,2,0)),"0")</f>
        <v>COLÉGIO ENGENHEIRO SALVADOR ARENA</v>
      </c>
      <c r="D81" s="223">
        <v>0</v>
      </c>
      <c r="E81" s="224"/>
      <c r="F81" s="223" t="s">
        <v>38</v>
      </c>
      <c r="G81" s="224"/>
      <c r="H81" s="223">
        <v>2</v>
      </c>
      <c r="I81" s="224"/>
      <c r="J81" s="21" t="str">
        <f>IF(H73=3,B74,"")</f>
        <v>MICAELLA QUEIROZ DOS SANTOS ALMEIDA</v>
      </c>
      <c r="K81" s="15" t="str">
        <f>IFERROR(IF(J81="","",VLOOKUP(J81,LISTAS!$F$5:$G$1004,2,0)),"0")</f>
        <v>COLÉGIO ARBOS - UNIDADE SANTO ANDRÉ</v>
      </c>
      <c r="L81" s="81"/>
    </row>
    <row r="84" spans="2:16" ht="30" customHeight="1" x14ac:dyDescent="0.25">
      <c r="B84" s="161" t="s">
        <v>50</v>
      </c>
      <c r="C84" s="79"/>
      <c r="D84" s="225" t="s">
        <v>42</v>
      </c>
      <c r="E84" s="226"/>
      <c r="F84" s="226"/>
      <c r="G84" s="227"/>
      <c r="H84" s="113"/>
      <c r="I84" s="225" t="s">
        <v>3</v>
      </c>
      <c r="J84" s="226"/>
      <c r="K84" s="226"/>
      <c r="L84" s="226"/>
    </row>
    <row r="85" spans="2:16" ht="18" customHeight="1" x14ac:dyDescent="0.25">
      <c r="B85" s="9" t="s">
        <v>15</v>
      </c>
      <c r="C85" s="9" t="s">
        <v>0</v>
      </c>
      <c r="D85" s="9" t="s">
        <v>43</v>
      </c>
      <c r="E85" s="9" t="s">
        <v>44</v>
      </c>
      <c r="F85" s="9" t="s">
        <v>77</v>
      </c>
      <c r="G85" s="9" t="s">
        <v>78</v>
      </c>
      <c r="H85" s="114"/>
      <c r="I85" s="9" t="s">
        <v>18</v>
      </c>
      <c r="J85" s="9" t="s">
        <v>15</v>
      </c>
      <c r="K85" s="9" t="s">
        <v>0</v>
      </c>
      <c r="L85" s="9" t="s">
        <v>45</v>
      </c>
    </row>
    <row r="86" spans="2:16" ht="18" customHeight="1" x14ac:dyDescent="0.25">
      <c r="B86" s="15" t="s">
        <v>356</v>
      </c>
      <c r="C86" s="15" t="str">
        <f>IFERROR(IF(B86="","",VLOOKUP(B86,LISTAS!$F$5:$G$1004,2,0)),"0")</f>
        <v>IEBURIX -SBC</v>
      </c>
      <c r="D86" s="15" t="str">
        <f>IF(H86&lt;3,"",IF(H86=3,IF(D92&lt;&gt;"",IF(H92&lt;&gt;"",IF(D92&lt;&gt;H92,IF(D92&gt;H92,"V","D"),""),""),"")))</f>
        <v>D</v>
      </c>
      <c r="E86" s="15" t="str">
        <f>IF(H86&lt;3,"",IF(H86=3,IF(D94&lt;&gt;"",IF(H94&lt;&gt;"",IF(D94&lt;&gt;H94,IF(D94&gt;H94,"V","D"),""),""),"")))</f>
        <v>D</v>
      </c>
      <c r="F86" s="15" t="s">
        <v>81</v>
      </c>
      <c r="G86" s="15" t="s">
        <v>81</v>
      </c>
      <c r="H86" s="117">
        <f>COUNTA(B86:B88)</f>
        <v>3</v>
      </c>
      <c r="I86" s="15">
        <f>IF(B86&lt;&gt;"",1,"")</f>
        <v>1</v>
      </c>
      <c r="J86" s="15" t="str">
        <f>IF(I86&lt;&gt;"",P86,"")</f>
        <v>MANUELA CORDEIRO DA SILVA LIRA</v>
      </c>
      <c r="K86" s="15" t="str">
        <f>IFERROR(IF(J86="","",VLOOKUP(J86,LISTAS!$F$5:$G$1004,2,0)),"0")</f>
        <v>COLÉGIO ENGENHEIRO SALVADOR ARENA</v>
      </c>
      <c r="L86" s="119" t="str">
        <f>IF(H86=3,"OURO",IF(H86=4,"OURO",IF(H86=5,"OURO","")))</f>
        <v>OURO</v>
      </c>
      <c r="M86" s="20">
        <f>IF(B86&lt;&gt;"",COUNTIF(D86:G86,"V")+(SUMIF(B92:B94,B86,D92:E94)/1000)+(SUMIF(J92:J94,B86,H92:I94)/1000)-(SUMIF(B92:B94,B86,H92:I94)/1000)-(SUMIF(J92:J94,B86,D92:E94)/1000)+0.003,"")</f>
        <v>0</v>
      </c>
      <c r="N86" s="20" t="str">
        <f>IF(B86="","",B86)</f>
        <v>SOFIA SOUZA CAPANEMA</v>
      </c>
      <c r="O86" s="20">
        <f>IF(B86&lt;&gt;"",LARGE(M86:M88,1),"")</f>
        <v>2.0049999999999999</v>
      </c>
      <c r="P86" s="20" t="str">
        <f>VLOOKUP(O86,M86:N88,2,0)</f>
        <v>MANUELA CORDEIRO DA SILVA LIRA</v>
      </c>
    </row>
    <row r="87" spans="2:16" ht="18" customHeight="1" x14ac:dyDescent="0.25">
      <c r="B87" s="15" t="s">
        <v>238</v>
      </c>
      <c r="C87" s="15" t="str">
        <f>IFERROR(IF(B87="","",VLOOKUP(B87,LISTAS!$F$5:$G$1004,2,0)),"0")</f>
        <v>LICEU JARDIM</v>
      </c>
      <c r="D87" s="15" t="str">
        <f>IF(H86&lt;3,"",IF(H86=3,IF(D93&lt;&gt;"",IF(H93&lt;&gt;"",IF(D93&lt;&gt;H93,IF(D93&gt;H93,"V","D"),""),""),"")))</f>
        <v>D</v>
      </c>
      <c r="E87" s="15" t="str">
        <f>IF(H86&lt;3,"",IF(H86=3,IF(D94&lt;&gt;"",IF(H94&lt;&gt;"",IF(D94&lt;&gt;H94,IF(D94&gt;H94,"D","V"),""),""),"")))</f>
        <v>V</v>
      </c>
      <c r="F87" s="15" t="s">
        <v>81</v>
      </c>
      <c r="G87" s="15" t="s">
        <v>81</v>
      </c>
      <c r="H87" s="115"/>
      <c r="I87" s="15">
        <f>IF(B87&lt;&gt;"",2,"")</f>
        <v>2</v>
      </c>
      <c r="J87" s="15" t="str">
        <f>IF(I87&lt;&gt;"",P87,"")</f>
        <v>DENISE CASAGRANDE DE MEDEIROS</v>
      </c>
      <c r="K87" s="15" t="str">
        <f>IFERROR(IF(J87="","",VLOOKUP(J87,LISTAS!$F$5:$G$1004,2,0)),"0")</f>
        <v>LICEU JARDIM</v>
      </c>
      <c r="L87" s="119" t="str">
        <f>IF(H86=3,"PRATA",IF(H86=4,"OURO",IF(H86=5,"OURO","")))</f>
        <v>PRATA</v>
      </c>
      <c r="M87" s="20">
        <f>IF(B87&lt;&gt;"",COUNTIF(D87:G87,"V")+(SUMIF(B92:B94,B87,D92:E94)/1000)+(SUMIF(J92:J94,B87,H92:I94)/1000)-(SUMIF(B92:B94,B87,H92:I94)/1000)-(SUMIF(J92:J94,B87,D92:E94)/1000)+0.002,"")</f>
        <v>1.0009999999999999</v>
      </c>
      <c r="N87" s="20" t="str">
        <f t="shared" ref="N87" si="5">IF(B87="","",B87)</f>
        <v>DENISE CASAGRANDE DE MEDEIROS</v>
      </c>
      <c r="O87" s="20">
        <f>IF(B87&lt;&gt;"",LARGE(M86:M88,2),"")</f>
        <v>1.0009999999999999</v>
      </c>
      <c r="P87" s="20" t="str">
        <f>VLOOKUP(O87,M86:N88,2,0)</f>
        <v>DENISE CASAGRANDE DE MEDEIROS</v>
      </c>
    </row>
    <row r="88" spans="2:16" ht="18" customHeight="1" x14ac:dyDescent="0.25">
      <c r="B88" s="15" t="s">
        <v>315</v>
      </c>
      <c r="C88" s="15" t="str">
        <f>IFERROR(IF(B88="","",VLOOKUP(B88,LISTAS!$F$5:$G$1004,2,0)),"0")</f>
        <v>COLÉGIO ENGENHEIRO SALVADOR ARENA</v>
      </c>
      <c r="D88" s="15" t="str">
        <f>IF(H86&lt;3,"",IF(H86=3,IF(D92&lt;&gt;"",IF(H92&lt;&gt;"",IF(D92&lt;&gt;H92,IF(D92&gt;H92,"D","V"),""),""),"")))</f>
        <v>V</v>
      </c>
      <c r="E88" s="15" t="str">
        <f>IF(H86&lt;3,"",IF(H86=3,IF(D93&lt;&gt;"",IF(H93&lt;&gt;"",IF(D93&lt;&gt;H93,IF(D93&gt;H93,"D","V"),""),""),"")))</f>
        <v>V</v>
      </c>
      <c r="F88" s="15" t="s">
        <v>81</v>
      </c>
      <c r="G88" s="15" t="s">
        <v>81</v>
      </c>
      <c r="H88" s="115"/>
      <c r="I88" s="15">
        <f>IF(B88&lt;&gt;"",3,"")</f>
        <v>3</v>
      </c>
      <c r="J88" s="15" t="str">
        <f>IF(I88&lt;&gt;"",P88,"")</f>
        <v>SOFIA SOUZA CAPANEMA</v>
      </c>
      <c r="K88" s="15" t="str">
        <f>IFERROR(IF(J88="","",VLOOKUP(J88,LISTAS!$F$5:$G$1004,2,0)),"0")</f>
        <v>IEBURIX -SBC</v>
      </c>
      <c r="L88" s="119" t="str">
        <f>IF(H86=3,"BRONZE",IF(H86=4,"PRATA",IF(H86=5,"OURO","")))</f>
        <v>BRONZE</v>
      </c>
      <c r="M88" s="20">
        <f>IF(B88&lt;&gt;"",COUNTIF(D88:G88,"V")+(SUMIF(B92:B94,B88,D92:E94)/1000)+(SUMIF(J92:J94,B88,H92:I94)/1000)-(SUMIF(B92:B94,B88,H92:I94)/1000)-(SUMIF(J92:J94,B88,D92:E94)/1000)+0.001,"")</f>
        <v>2.0049999999999999</v>
      </c>
      <c r="N88" s="20" t="str">
        <f>IF(B88="","",B88)</f>
        <v>MANUELA CORDEIRO DA SILVA LIRA</v>
      </c>
      <c r="O88" s="20">
        <f>IF(B88&lt;&gt;"",LARGE(M86:M88,3),"")</f>
        <v>0</v>
      </c>
      <c r="P88" s="20" t="str">
        <f>VLOOKUP(O88,M86:N88,2,0)</f>
        <v>SOFIA SOUZA CAPANEMA</v>
      </c>
    </row>
    <row r="89" spans="2:16" ht="18" customHeight="1" x14ac:dyDescent="0.25">
      <c r="B89" s="79"/>
      <c r="C89" s="79"/>
      <c r="D89" s="79"/>
      <c r="E89" s="79"/>
      <c r="F89" s="79"/>
      <c r="G89" s="79"/>
      <c r="I89" s="80"/>
      <c r="J89" s="79"/>
      <c r="K89" s="81"/>
      <c r="L89" s="81"/>
    </row>
    <row r="90" spans="2:16" ht="23.25" customHeight="1" x14ac:dyDescent="0.25">
      <c r="B90" s="82" t="s">
        <v>40</v>
      </c>
      <c r="C90" s="79"/>
      <c r="D90" s="79"/>
      <c r="E90" s="79"/>
      <c r="F90" s="79"/>
      <c r="G90" s="79"/>
      <c r="H90" s="79"/>
      <c r="I90" s="79"/>
      <c r="J90" s="79"/>
      <c r="K90" s="79"/>
      <c r="L90" s="79"/>
    </row>
    <row r="91" spans="2:16" ht="18" customHeight="1" x14ac:dyDescent="0.25">
      <c r="B91" s="9" t="s">
        <v>15</v>
      </c>
      <c r="C91" s="9" t="s">
        <v>0</v>
      </c>
      <c r="D91" s="228" t="s">
        <v>41</v>
      </c>
      <c r="E91" s="229"/>
      <c r="F91" s="229"/>
      <c r="G91" s="229"/>
      <c r="H91" s="229"/>
      <c r="I91" s="230"/>
      <c r="J91" s="9" t="s">
        <v>15</v>
      </c>
      <c r="K91" s="9" t="s">
        <v>0</v>
      </c>
      <c r="L91" s="79"/>
    </row>
    <row r="92" spans="2:16" ht="18" customHeight="1" x14ac:dyDescent="0.25">
      <c r="B92" s="15" t="str">
        <f>IF(H86=3,B86,"")</f>
        <v>SOFIA SOUZA CAPANEMA</v>
      </c>
      <c r="C92" s="15" t="str">
        <f>IFERROR(IF(B92="","",VLOOKUP(B92,LISTAS!$F$5:$G$1004,2,0)),"0")</f>
        <v>IEBURIX -SBC</v>
      </c>
      <c r="D92" s="223">
        <v>0</v>
      </c>
      <c r="E92" s="224"/>
      <c r="F92" s="223" t="s">
        <v>38</v>
      </c>
      <c r="G92" s="224"/>
      <c r="H92" s="223">
        <v>2</v>
      </c>
      <c r="I92" s="224"/>
      <c r="J92" s="21" t="str">
        <f>IF(H86=3,B88,"")</f>
        <v>MANUELA CORDEIRO DA SILVA LIRA</v>
      </c>
      <c r="K92" s="15" t="str">
        <f>IFERROR(IF(J92="","",VLOOKUP(J92,LISTAS!$F$5:$G$1004,2,0)),"0")</f>
        <v>COLÉGIO ENGENHEIRO SALVADOR ARENA</v>
      </c>
      <c r="L92" s="81"/>
    </row>
    <row r="93" spans="2:16" ht="18" customHeight="1" x14ac:dyDescent="0.25">
      <c r="B93" s="15" t="str">
        <f>IF(H86=3,B87,"")</f>
        <v>DENISE CASAGRANDE DE MEDEIROS</v>
      </c>
      <c r="C93" s="15" t="str">
        <f>IFERROR(IF(B93="","",VLOOKUP(B93,LISTAS!$F$5:$G$1004,2,0)),"0")</f>
        <v>LICEU JARDIM</v>
      </c>
      <c r="D93" s="223">
        <v>0</v>
      </c>
      <c r="E93" s="224"/>
      <c r="F93" s="223" t="s">
        <v>38</v>
      </c>
      <c r="G93" s="224"/>
      <c r="H93" s="223">
        <v>2</v>
      </c>
      <c r="I93" s="224"/>
      <c r="J93" s="21" t="str">
        <f>IF(H86=3,B88,"")</f>
        <v>MANUELA CORDEIRO DA SILVA LIRA</v>
      </c>
      <c r="K93" s="15" t="str">
        <f>IFERROR(IF(J93="","",VLOOKUP(J93,LISTAS!$F$5:$G$1004,2,0)),"0")</f>
        <v>COLÉGIO ENGENHEIRO SALVADOR ARENA</v>
      </c>
      <c r="L93" s="79"/>
    </row>
    <row r="94" spans="2:16" ht="18" customHeight="1" x14ac:dyDescent="0.25">
      <c r="B94" s="15" t="str">
        <f>IF(H86=3,B86,"")</f>
        <v>SOFIA SOUZA CAPANEMA</v>
      </c>
      <c r="C94" s="15" t="str">
        <f>IFERROR(IF(B94="","",VLOOKUP(B94,LISTAS!$F$5:$G$1004,2,0)),"0")</f>
        <v>IEBURIX -SBC</v>
      </c>
      <c r="D94" s="223">
        <v>1</v>
      </c>
      <c r="E94" s="224"/>
      <c r="F94" s="223" t="s">
        <v>38</v>
      </c>
      <c r="G94" s="224"/>
      <c r="H94" s="223">
        <v>2</v>
      </c>
      <c r="I94" s="224"/>
      <c r="J94" s="21" t="str">
        <f>IF(H86=3,B87,"")</f>
        <v>DENISE CASAGRANDE DE MEDEIROS</v>
      </c>
      <c r="K94" s="15" t="str">
        <f>IFERROR(IF(J94="","",VLOOKUP(J94,LISTAS!$F$5:$G$1004,2,0)),"0")</f>
        <v>LICEU JARDIM</v>
      </c>
      <c r="L94" s="81"/>
    </row>
    <row r="97" spans="2:16" ht="30" customHeight="1" x14ac:dyDescent="0.25">
      <c r="B97" s="161" t="s">
        <v>51</v>
      </c>
      <c r="C97" s="79"/>
      <c r="D97" s="225" t="s">
        <v>42</v>
      </c>
      <c r="E97" s="226"/>
      <c r="F97" s="226"/>
      <c r="G97" s="227"/>
      <c r="H97" s="113"/>
      <c r="I97" s="225" t="s">
        <v>3</v>
      </c>
      <c r="J97" s="226"/>
      <c r="K97" s="226"/>
      <c r="L97" s="226"/>
    </row>
    <row r="98" spans="2:16" ht="18" customHeight="1" x14ac:dyDescent="0.25">
      <c r="B98" s="9" t="s">
        <v>15</v>
      </c>
      <c r="C98" s="9" t="s">
        <v>0</v>
      </c>
      <c r="D98" s="9" t="s">
        <v>43</v>
      </c>
      <c r="E98" s="9" t="s">
        <v>44</v>
      </c>
      <c r="F98" s="9" t="s">
        <v>77</v>
      </c>
      <c r="G98" s="9" t="s">
        <v>78</v>
      </c>
      <c r="H98" s="114"/>
      <c r="I98" s="9" t="s">
        <v>18</v>
      </c>
      <c r="J98" s="9" t="s">
        <v>15</v>
      </c>
      <c r="K98" s="9" t="s">
        <v>0</v>
      </c>
      <c r="L98" s="9" t="s">
        <v>45</v>
      </c>
    </row>
    <row r="99" spans="2:16" ht="18" customHeight="1" x14ac:dyDescent="0.25">
      <c r="B99" s="15" t="s">
        <v>365</v>
      </c>
      <c r="C99" s="15" t="str">
        <f>IFERROR(IF(B99="","",VLOOKUP(B99,LISTAS!$F$5:$G$1004,2,0)),"0")</f>
        <v>COLÉGIO ARBOS - UNIDADE SANTO ANDRÉ</v>
      </c>
      <c r="D99" s="15" t="str">
        <f>IF(H99&lt;3,"",IF(H99=3,IF(D105&lt;&gt;"",IF(H105&lt;&gt;"",IF(D105&lt;&gt;H105,IF(D105&gt;H105,"V","D"),""),""),"")))</f>
        <v>D</v>
      </c>
      <c r="E99" s="15" t="str">
        <f>IF(H99&lt;3,"",IF(H99=3,IF(D107&lt;&gt;"",IF(H107&lt;&gt;"",IF(D107&lt;&gt;H107,IF(D107&gt;H107,"V","D"),""),""),"")))</f>
        <v>D</v>
      </c>
      <c r="F99" s="15" t="s">
        <v>81</v>
      </c>
      <c r="G99" s="15" t="s">
        <v>81</v>
      </c>
      <c r="H99" s="117">
        <f>COUNTA(B99:B101)</f>
        <v>3</v>
      </c>
      <c r="I99" s="15">
        <f>IF(B99&lt;&gt;"",1,"")</f>
        <v>1</v>
      </c>
      <c r="J99" s="15" t="str">
        <f>IF(I99&lt;&gt;"",P99,"")</f>
        <v>HELENA VERAS CASTRO</v>
      </c>
      <c r="K99" s="15" t="str">
        <f>IFERROR(IF(J99="","",VLOOKUP(J99,LISTAS!$F$5:$G$1004,2,0)),"0")</f>
        <v>COLÉGIO BANDEIRANTES</v>
      </c>
      <c r="L99" s="119" t="str">
        <f>IF(H99=3,"OURO",IF(H99=4,"OURO",IF(H99=5,"OURO","")))</f>
        <v>OURO</v>
      </c>
      <c r="M99" s="20">
        <f>IF(B99&lt;&gt;"",COUNTIF(D99:G99,"V")+(SUMIF(B105:B107,B99,D105:E107)/1000)+(SUMIF(J105:J107,B99,H105:I107)/1000)-(SUMIF(B105:B107,B99,H105:I107)/1000)-(SUMIF(J105:J107,B99,D105:E107)/1000)+0.003,"")</f>
        <v>0</v>
      </c>
      <c r="N99" s="20" t="str">
        <f>IF(B99="","",B99)</f>
        <v>VIVIAN MATSUMOTO</v>
      </c>
      <c r="O99" s="20">
        <f>IF(B99&lt;&gt;"",LARGE(M99:M101,1),"")</f>
        <v>2.0059999999999993</v>
      </c>
      <c r="P99" s="20" t="str">
        <f>VLOOKUP(O99,M99:N101,2,0)</f>
        <v>HELENA VERAS CASTRO</v>
      </c>
    </row>
    <row r="100" spans="2:16" ht="18" customHeight="1" x14ac:dyDescent="0.25">
      <c r="B100" s="15" t="s">
        <v>274</v>
      </c>
      <c r="C100" s="15" t="str">
        <f>IFERROR(IF(B100="","",VLOOKUP(B100,LISTAS!$F$5:$G$1004,2,0)),"0")</f>
        <v>COLÉGIO BANDEIRANTES</v>
      </c>
      <c r="D100" s="15" t="str">
        <f>IF(H99&lt;3,"",IF(H99=3,IF(D106&lt;&gt;"",IF(H106&lt;&gt;"",IF(D106&lt;&gt;H106,IF(D106&gt;H106,"V","D"),""),""),"")))</f>
        <v>V</v>
      </c>
      <c r="E100" s="15" t="str">
        <f>IF(H99&lt;3,"",IF(H99=3,IF(D107&lt;&gt;"",IF(H107&lt;&gt;"",IF(D107&lt;&gt;H107,IF(D107&gt;H107,"D","V"),""),""),"")))</f>
        <v>V</v>
      </c>
      <c r="F100" s="15" t="s">
        <v>81</v>
      </c>
      <c r="G100" s="15" t="s">
        <v>81</v>
      </c>
      <c r="H100" s="115"/>
      <c r="I100" s="15">
        <f>IF(B100&lt;&gt;"",2,"")</f>
        <v>2</v>
      </c>
      <c r="J100" s="15" t="str">
        <f>IF(I100&lt;&gt;"",P100,"")</f>
        <v>ALICE SANTI LIMONETE</v>
      </c>
      <c r="K100" s="15" t="str">
        <f>IFERROR(IF(J100="","",VLOOKUP(J100,LISTAS!$F$5:$G$1004,2,0)),"0")</f>
        <v>ESCOLA VILLARE</v>
      </c>
      <c r="L100" s="119" t="str">
        <f>IF(H99=3,"PRATA",IF(H99=4,"OURO",IF(H99=5,"OURO","")))</f>
        <v>PRATA</v>
      </c>
      <c r="M100" s="20">
        <f>IF(B100&lt;&gt;"",COUNTIF(D100:G100,"V")+(SUMIF(B105:B107,B100,D105:E107)/1000)+(SUMIF(J105:J107,B100,H105:I107)/1000)-(SUMIF(B105:B107,B100,H105:I107)/1000)-(SUMIF(J105:J107,B100,D105:E107)/1000)+0.002,"")</f>
        <v>2.0059999999999993</v>
      </c>
      <c r="N100" s="20" t="str">
        <f t="shared" ref="N100" si="6">IF(B100="","",B100)</f>
        <v>HELENA VERAS CASTRO</v>
      </c>
      <c r="O100" s="20">
        <f>IF(B100&lt;&gt;"",LARGE(M99:M101,2),"")</f>
        <v>1</v>
      </c>
      <c r="P100" s="20" t="str">
        <f>VLOOKUP(O100,M99:N101,2,0)</f>
        <v>ALICE SANTI LIMONETE</v>
      </c>
    </row>
    <row r="101" spans="2:16" ht="18" customHeight="1" x14ac:dyDescent="0.25">
      <c r="B101" s="15" t="s">
        <v>209</v>
      </c>
      <c r="C101" s="15" t="str">
        <f>IFERROR(IF(B101="","",VLOOKUP(B101,LISTAS!$F$5:$G$1004,2,0)),"0")</f>
        <v>ESCOLA VILLARE</v>
      </c>
      <c r="D101" s="15" t="str">
        <f>IF(H99&lt;3,"",IF(H99=3,IF(D105&lt;&gt;"",IF(H105&lt;&gt;"",IF(D105&lt;&gt;H105,IF(D105&gt;H105,"D","V"),""),""),"")))</f>
        <v>V</v>
      </c>
      <c r="E101" s="15" t="str">
        <f>IF(H99&lt;3,"",IF(H99=3,IF(D106&lt;&gt;"",IF(H106&lt;&gt;"",IF(D106&lt;&gt;H106,IF(D106&gt;H106,"D","V"),""),""),"")))</f>
        <v>D</v>
      </c>
      <c r="F101" s="15" t="s">
        <v>81</v>
      </c>
      <c r="G101" s="15" t="s">
        <v>81</v>
      </c>
      <c r="H101" s="115"/>
      <c r="I101" s="15">
        <f>IF(B101&lt;&gt;"",3,"")</f>
        <v>3</v>
      </c>
      <c r="J101" s="15" t="str">
        <f>IF(I101&lt;&gt;"",P101,"")</f>
        <v>VIVIAN MATSUMOTO</v>
      </c>
      <c r="K101" s="15" t="str">
        <f>IFERROR(IF(J101="","",VLOOKUP(J101,LISTAS!$F$5:$G$1004,2,0)),"0")</f>
        <v>COLÉGIO ARBOS - UNIDADE SANTO ANDRÉ</v>
      </c>
      <c r="L101" s="119" t="str">
        <f>IF(H99=3,"BRONZE",IF(H99=4,"PRATA",IF(H99=5,"OURO","")))</f>
        <v>BRONZE</v>
      </c>
      <c r="M101" s="20">
        <f>IF(B101&lt;&gt;"",COUNTIF(D101:G101,"V")+(SUMIF(B105:B107,B101,D105:E107)/1000)+(SUMIF(J105:J107,B101,H105:I107)/1000)-(SUMIF(B105:B107,B101,H105:I107)/1000)-(SUMIF(J105:J107,B101,D105:E107)/1000)+0.001,"")</f>
        <v>1</v>
      </c>
      <c r="N101" s="20" t="str">
        <f>IF(B101="","",B101)</f>
        <v>ALICE SANTI LIMONETE</v>
      </c>
      <c r="O101" s="20">
        <f>IF(B101&lt;&gt;"",LARGE(M99:M101,3),"")</f>
        <v>0</v>
      </c>
      <c r="P101" s="20" t="str">
        <f>VLOOKUP(O101,M99:N101,2,0)</f>
        <v>VIVIAN MATSUMOTO</v>
      </c>
    </row>
    <row r="102" spans="2:16" ht="18" customHeight="1" x14ac:dyDescent="0.25">
      <c r="B102" s="79"/>
      <c r="C102" s="79"/>
      <c r="D102" s="79"/>
      <c r="E102" s="79"/>
      <c r="F102" s="79"/>
      <c r="G102" s="79"/>
      <c r="I102" s="80"/>
      <c r="J102" s="79"/>
      <c r="K102" s="81"/>
      <c r="L102" s="81"/>
    </row>
    <row r="103" spans="2:16" ht="23.25" customHeight="1" x14ac:dyDescent="0.25">
      <c r="B103" s="82" t="s">
        <v>40</v>
      </c>
      <c r="C103" s="79"/>
      <c r="D103" s="79"/>
      <c r="E103" s="79"/>
      <c r="F103" s="79"/>
      <c r="G103" s="79"/>
      <c r="H103" s="79"/>
      <c r="I103" s="79"/>
      <c r="J103" s="79"/>
      <c r="K103" s="79"/>
      <c r="L103" s="79"/>
    </row>
    <row r="104" spans="2:16" ht="18" customHeight="1" x14ac:dyDescent="0.25">
      <c r="B104" s="9" t="s">
        <v>15</v>
      </c>
      <c r="C104" s="9" t="s">
        <v>0</v>
      </c>
      <c r="D104" s="228" t="s">
        <v>41</v>
      </c>
      <c r="E104" s="229"/>
      <c r="F104" s="229"/>
      <c r="G104" s="229"/>
      <c r="H104" s="229"/>
      <c r="I104" s="230"/>
      <c r="J104" s="9" t="s">
        <v>15</v>
      </c>
      <c r="K104" s="9" t="s">
        <v>0</v>
      </c>
      <c r="L104" s="79"/>
    </row>
    <row r="105" spans="2:16" ht="18" customHeight="1" x14ac:dyDescent="0.25">
      <c r="B105" s="15" t="str">
        <f>IF(H99=3,B99,"")</f>
        <v>VIVIAN MATSUMOTO</v>
      </c>
      <c r="C105" s="15" t="str">
        <f>IFERROR(IF(B105="","",VLOOKUP(B105,LISTAS!$F$5:$G$1004,2,0)),"0")</f>
        <v>COLÉGIO ARBOS - UNIDADE SANTO ANDRÉ</v>
      </c>
      <c r="D105" s="223">
        <v>1</v>
      </c>
      <c r="E105" s="224"/>
      <c r="F105" s="223" t="s">
        <v>38</v>
      </c>
      <c r="G105" s="224"/>
      <c r="H105" s="223">
        <v>2</v>
      </c>
      <c r="I105" s="224"/>
      <c r="J105" s="21" t="str">
        <f>IF(H99=3,B101,"")</f>
        <v>ALICE SANTI LIMONETE</v>
      </c>
      <c r="K105" s="15" t="str">
        <f>IFERROR(IF(J105="","",VLOOKUP(J105,LISTAS!$F$5:$G$1004,2,0)),"0")</f>
        <v>ESCOLA VILLARE</v>
      </c>
      <c r="L105" s="81"/>
    </row>
    <row r="106" spans="2:16" ht="18" customHeight="1" x14ac:dyDescent="0.25">
      <c r="B106" s="15" t="str">
        <f>IF(H99=3,B100,"")</f>
        <v>HELENA VERAS CASTRO</v>
      </c>
      <c r="C106" s="15" t="str">
        <f>IFERROR(IF(B106="","",VLOOKUP(B106,LISTAS!$F$5:$G$1004,2,0)),"0")</f>
        <v>COLÉGIO BANDEIRANTES</v>
      </c>
      <c r="D106" s="223">
        <v>2</v>
      </c>
      <c r="E106" s="224"/>
      <c r="F106" s="223" t="s">
        <v>38</v>
      </c>
      <c r="G106" s="224"/>
      <c r="H106" s="223">
        <v>0</v>
      </c>
      <c r="I106" s="224"/>
      <c r="J106" s="21" t="str">
        <f>IF(H99=3,B101,"")</f>
        <v>ALICE SANTI LIMONETE</v>
      </c>
      <c r="K106" s="15" t="str">
        <f>IFERROR(IF(J106="","",VLOOKUP(J106,LISTAS!$F$5:$G$1004,2,0)),"0")</f>
        <v>ESCOLA VILLARE</v>
      </c>
      <c r="L106" s="79"/>
    </row>
    <row r="107" spans="2:16" ht="18" customHeight="1" x14ac:dyDescent="0.25">
      <c r="B107" s="15" t="str">
        <f>IF(H99=3,B99,"")</f>
        <v>VIVIAN MATSUMOTO</v>
      </c>
      <c r="C107" s="15" t="str">
        <f>IFERROR(IF(B107="","",VLOOKUP(B107,LISTAS!$F$5:$G$1004,2,0)),"0")</f>
        <v>COLÉGIO ARBOS - UNIDADE SANTO ANDRÉ</v>
      </c>
      <c r="D107" s="223">
        <v>0</v>
      </c>
      <c r="E107" s="224"/>
      <c r="F107" s="223" t="s">
        <v>38</v>
      </c>
      <c r="G107" s="224"/>
      <c r="H107" s="223">
        <v>2</v>
      </c>
      <c r="I107" s="224"/>
      <c r="J107" s="21" t="str">
        <f>IF(H99=3,B100,"")</f>
        <v>HELENA VERAS CASTRO</v>
      </c>
      <c r="K107" s="15" t="str">
        <f>IFERROR(IF(J107="","",VLOOKUP(J107,LISTAS!$F$5:$G$1004,2,0)),"0")</f>
        <v>COLÉGIO BANDEIRANTES</v>
      </c>
      <c r="L107" s="81"/>
    </row>
    <row r="110" spans="2:16" ht="30" customHeight="1" x14ac:dyDescent="0.25">
      <c r="B110" s="161" t="s">
        <v>52</v>
      </c>
      <c r="C110" s="79"/>
      <c r="D110" s="225" t="s">
        <v>42</v>
      </c>
      <c r="E110" s="226"/>
      <c r="F110" s="226"/>
      <c r="G110" s="227"/>
      <c r="H110" s="113"/>
      <c r="I110" s="225" t="s">
        <v>3</v>
      </c>
      <c r="J110" s="226"/>
      <c r="K110" s="226"/>
      <c r="L110" s="226"/>
    </row>
    <row r="111" spans="2:16" ht="18" customHeight="1" x14ac:dyDescent="0.25">
      <c r="B111" s="9" t="s">
        <v>15</v>
      </c>
      <c r="C111" s="9" t="s">
        <v>0</v>
      </c>
      <c r="D111" s="9" t="s">
        <v>43</v>
      </c>
      <c r="E111" s="9" t="s">
        <v>44</v>
      </c>
      <c r="F111" s="9" t="s">
        <v>77</v>
      </c>
      <c r="G111" s="9" t="s">
        <v>78</v>
      </c>
      <c r="H111" s="114"/>
      <c r="I111" s="9" t="s">
        <v>18</v>
      </c>
      <c r="J111" s="9" t="s">
        <v>15</v>
      </c>
      <c r="K111" s="9" t="s">
        <v>0</v>
      </c>
      <c r="L111" s="9" t="s">
        <v>45</v>
      </c>
    </row>
    <row r="112" spans="2:16" ht="18" customHeight="1" x14ac:dyDescent="0.25">
      <c r="B112" s="15" t="s">
        <v>355</v>
      </c>
      <c r="C112" s="15" t="str">
        <f>IFERROR(IF(B112="","",VLOOKUP(B112,LISTAS!$F$5:$G$1004,2,0)),"0")</f>
        <v>COLÉGIO ENGENHEIRO SALVADOR ARENA</v>
      </c>
      <c r="D112" s="15" t="str">
        <f>IF(H112&lt;3,"",IF(H112=3,IF(D118&lt;&gt;"",IF(H118&lt;&gt;"",IF(D118&lt;&gt;H118,IF(D118&gt;H118,"V","D"),""),""),"")))</f>
        <v>V</v>
      </c>
      <c r="E112" s="15" t="str">
        <f>IF(H112&lt;3,"",IF(H112=3,IF(D120&lt;&gt;"",IF(H120&lt;&gt;"",IF(D120&lt;&gt;H120,IF(D120&gt;H120,"V","D"),""),""),"")))</f>
        <v>D</v>
      </c>
      <c r="F112" s="15" t="s">
        <v>81</v>
      </c>
      <c r="G112" s="15" t="s">
        <v>81</v>
      </c>
      <c r="H112" s="117">
        <f>COUNTA(B112:B114)</f>
        <v>3</v>
      </c>
      <c r="I112" s="15">
        <f>IF(B112&lt;&gt;"",1,"")</f>
        <v>1</v>
      </c>
      <c r="J112" s="15" t="str">
        <f>IF(I112&lt;&gt;"",P112,"")</f>
        <v>LAURA RAMOS GRIZOLLI</v>
      </c>
      <c r="K112" s="15" t="str">
        <f>IFERROR(IF(J112="","",VLOOKUP(J112,LISTAS!$F$5:$G$1004,2,0)),"0")</f>
        <v>ESCOLA VILLARE</v>
      </c>
      <c r="L112" s="119" t="str">
        <f>IF(H112=3,"OURO",IF(H112=4,"OURO",IF(H112=5,"OURO","")))</f>
        <v>OURO</v>
      </c>
      <c r="M112" s="20">
        <f>IF(B112&lt;&gt;"",COUNTIF(D112:G112,"V")+(SUMIF(B118:B120,B112,D118:E120)/1000)+(SUMIF(J118:J120,B112,H118:I120)/1000)-(SUMIF(B118:B120,B112,H118:I120)/1000)-(SUMIF(J118:J120,B112,D118:E120)/1000)+0.003,"")</f>
        <v>1.0039999999999998</v>
      </c>
      <c r="N112" s="20" t="str">
        <f>IF(B112="","",B112)</f>
        <v>SOFIA BRITO NASCIMENTO</v>
      </c>
      <c r="O112" s="20">
        <f>IF(B112&lt;&gt;"",LARGE(M112:M114,1),"")</f>
        <v>2.0049999999999994</v>
      </c>
      <c r="P112" s="20" t="str">
        <f>VLOOKUP(O112,M112:N114,2,0)</f>
        <v>LAURA RAMOS GRIZOLLI</v>
      </c>
    </row>
    <row r="113" spans="2:16" ht="18" customHeight="1" x14ac:dyDescent="0.25">
      <c r="B113" s="15" t="s">
        <v>290</v>
      </c>
      <c r="C113" s="15" t="str">
        <f>IFERROR(IF(B113="","",VLOOKUP(B113,LISTAS!$F$5:$G$1004,2,0)),"0")</f>
        <v>ESCOLA VILLARE</v>
      </c>
      <c r="D113" s="15" t="str">
        <f>IF(H112&lt;3,"",IF(H112=3,IF(D119&lt;&gt;"",IF(H119&lt;&gt;"",IF(D119&lt;&gt;H119,IF(D119&gt;H119,"V","D"),""),""),"")))</f>
        <v>V</v>
      </c>
      <c r="E113" s="15" t="str">
        <f>IF(H112&lt;3,"",IF(H112=3,IF(D120&lt;&gt;"",IF(H120&lt;&gt;"",IF(D120&lt;&gt;H120,IF(D120&gt;H120,"D","V"),""),""),"")))</f>
        <v>V</v>
      </c>
      <c r="F113" s="15" t="s">
        <v>81</v>
      </c>
      <c r="G113" s="15" t="s">
        <v>81</v>
      </c>
      <c r="H113" s="115"/>
      <c r="I113" s="15">
        <f>IF(B113&lt;&gt;"",2,"")</f>
        <v>2</v>
      </c>
      <c r="J113" s="15" t="str">
        <f>IF(I113&lt;&gt;"",P113,"")</f>
        <v>SOFIA BRITO NASCIMENTO</v>
      </c>
      <c r="K113" s="15" t="str">
        <f>IFERROR(IF(J113="","",VLOOKUP(J113,LISTAS!$F$5:$G$1004,2,0)),"0")</f>
        <v>COLÉGIO ENGENHEIRO SALVADOR ARENA</v>
      </c>
      <c r="L113" s="119" t="str">
        <f>IF(H112=3,"PRATA",IF(H112=4,"OURO",IF(H112=5,"OURO","")))</f>
        <v>PRATA</v>
      </c>
      <c r="M113" s="20">
        <f>IF(B113&lt;&gt;"",COUNTIF(D113:G113,"V")+(SUMIF(B118:B120,B113,D118:E120)/1000)+(SUMIF(J118:J120,B113,H118:I120)/1000)-(SUMIF(B118:B120,B113,H118:I120)/1000)-(SUMIF(J118:J120,B113,D118:E120)/1000)+0.002,"")</f>
        <v>2.0049999999999994</v>
      </c>
      <c r="N113" s="20" t="str">
        <f t="shared" ref="N113" si="7">IF(B113="","",B113)</f>
        <v>LAURA RAMOS GRIZOLLI</v>
      </c>
      <c r="O113" s="20">
        <f>IF(B113&lt;&gt;"",LARGE(M112:M114,2),"")</f>
        <v>1.0039999999999998</v>
      </c>
      <c r="P113" s="20" t="str">
        <f>VLOOKUP(O113,M112:N114,2,0)</f>
        <v>SOFIA BRITO NASCIMENTO</v>
      </c>
    </row>
    <row r="114" spans="2:16" ht="18" customHeight="1" x14ac:dyDescent="0.25">
      <c r="B114" s="15" t="s">
        <v>357</v>
      </c>
      <c r="C114" s="15" t="str">
        <f>IFERROR(IF(B114="","",VLOOKUP(B114,LISTAS!$F$5:$G$1004,2,0)),"0")</f>
        <v>IEBURIX -SBC</v>
      </c>
      <c r="D114" s="15" t="str">
        <f>IF(H112&lt;3,"",IF(H112=3,IF(D118&lt;&gt;"",IF(H118&lt;&gt;"",IF(D118&lt;&gt;H118,IF(D118&gt;H118,"D","V"),""),""),"")))</f>
        <v>D</v>
      </c>
      <c r="E114" s="15" t="str">
        <f>IF(H112&lt;3,"",IF(H112=3,IF(D119&lt;&gt;"",IF(H119&lt;&gt;"",IF(D119&lt;&gt;H119,IF(D119&gt;H119,"D","V"),""),""),"")))</f>
        <v>D</v>
      </c>
      <c r="F114" s="15" t="s">
        <v>81</v>
      </c>
      <c r="G114" s="15" t="s">
        <v>81</v>
      </c>
      <c r="H114" s="115"/>
      <c r="I114" s="15">
        <f>IF(B114&lt;&gt;"",3,"")</f>
        <v>3</v>
      </c>
      <c r="J114" s="15" t="str">
        <f>IF(I114&lt;&gt;"",P114,"")</f>
        <v>SURIE DE PAULA NAVARRO</v>
      </c>
      <c r="K114" s="15" t="str">
        <f>IFERROR(IF(J114="","",VLOOKUP(J114,LISTAS!$F$5:$G$1004,2,0)),"0")</f>
        <v>IEBURIX -SBC</v>
      </c>
      <c r="L114" s="119" t="str">
        <f>IF(H112=3,"BRONZE",IF(H112=4,"PRATA",IF(H112=5,"OURO","")))</f>
        <v>BRONZE</v>
      </c>
      <c r="M114" s="20">
        <f>IF(B114&lt;&gt;"",COUNTIF(D114:G114,"V")+(SUMIF(B118:B120,B114,D118:E120)/1000)+(SUMIF(J118:J120,B114,H118:I120)/1000)-(SUMIF(B118:B120,B114,H118:I120)/1000)-(SUMIF(J118:J120,B114,D118:E120)/1000)+0.001,"")</f>
        <v>-3.0000000000000001E-3</v>
      </c>
      <c r="N114" s="20" t="str">
        <f>IF(B114="","",B114)</f>
        <v>SURIE DE PAULA NAVARRO</v>
      </c>
      <c r="O114" s="20">
        <f>IF(B114&lt;&gt;"",LARGE(M112:M114,3),"")</f>
        <v>-3.0000000000000001E-3</v>
      </c>
      <c r="P114" s="20" t="str">
        <f>VLOOKUP(O114,M112:N114,2,0)</f>
        <v>SURIE DE PAULA NAVARRO</v>
      </c>
    </row>
    <row r="115" spans="2:16" ht="18" customHeight="1" x14ac:dyDescent="0.25">
      <c r="B115" s="79"/>
      <c r="C115" s="79"/>
      <c r="D115" s="79"/>
      <c r="E115" s="79"/>
      <c r="F115" s="79"/>
      <c r="G115" s="79"/>
      <c r="I115" s="80"/>
      <c r="J115" s="79"/>
      <c r="K115" s="81"/>
      <c r="L115" s="81"/>
    </row>
    <row r="116" spans="2:16" ht="23.25" customHeight="1" x14ac:dyDescent="0.25">
      <c r="B116" s="82" t="s">
        <v>40</v>
      </c>
      <c r="C116" s="79"/>
      <c r="D116" s="79"/>
      <c r="E116" s="79"/>
      <c r="F116" s="79"/>
      <c r="G116" s="79"/>
      <c r="H116" s="79"/>
      <c r="I116" s="79"/>
      <c r="J116" s="79"/>
      <c r="K116" s="79"/>
      <c r="L116" s="79"/>
    </row>
    <row r="117" spans="2:16" ht="18" customHeight="1" x14ac:dyDescent="0.25">
      <c r="B117" s="9" t="s">
        <v>15</v>
      </c>
      <c r="C117" s="9" t="s">
        <v>0</v>
      </c>
      <c r="D117" s="228" t="s">
        <v>41</v>
      </c>
      <c r="E117" s="229"/>
      <c r="F117" s="229"/>
      <c r="G117" s="229"/>
      <c r="H117" s="229"/>
      <c r="I117" s="230"/>
      <c r="J117" s="9" t="s">
        <v>15</v>
      </c>
      <c r="K117" s="9" t="s">
        <v>0</v>
      </c>
      <c r="L117" s="79"/>
    </row>
    <row r="118" spans="2:16" ht="18" customHeight="1" x14ac:dyDescent="0.25">
      <c r="B118" s="15" t="str">
        <f>IF(H112=3,B112,"")</f>
        <v>SOFIA BRITO NASCIMENTO</v>
      </c>
      <c r="C118" s="15" t="str">
        <f>IFERROR(IF(B118="","",VLOOKUP(B118,LISTAS!$F$5:$G$1004,2,0)),"0")</f>
        <v>COLÉGIO ENGENHEIRO SALVADOR ARENA</v>
      </c>
      <c r="D118" s="223">
        <v>2</v>
      </c>
      <c r="E118" s="224"/>
      <c r="F118" s="223" t="s">
        <v>38</v>
      </c>
      <c r="G118" s="224"/>
      <c r="H118" s="223">
        <v>0</v>
      </c>
      <c r="I118" s="224"/>
      <c r="J118" s="21" t="str">
        <f>IF(H112=3,B114,"")</f>
        <v>SURIE DE PAULA NAVARRO</v>
      </c>
      <c r="K118" s="15" t="str">
        <f>IFERROR(IF(J118="","",VLOOKUP(J118,LISTAS!$F$5:$G$1004,2,0)),"0")</f>
        <v>IEBURIX -SBC</v>
      </c>
      <c r="L118" s="81"/>
    </row>
    <row r="119" spans="2:16" ht="18" customHeight="1" x14ac:dyDescent="0.25">
      <c r="B119" s="15" t="str">
        <f>IF(H112=3,B113,"")</f>
        <v>LAURA RAMOS GRIZOLLI</v>
      </c>
      <c r="C119" s="15" t="str">
        <f>IFERROR(IF(B119="","",VLOOKUP(B119,LISTAS!$F$5:$G$1004,2,0)),"0")</f>
        <v>ESCOLA VILLARE</v>
      </c>
      <c r="D119" s="223">
        <v>2</v>
      </c>
      <c r="E119" s="224"/>
      <c r="F119" s="223" t="s">
        <v>38</v>
      </c>
      <c r="G119" s="224"/>
      <c r="H119" s="223">
        <v>0</v>
      </c>
      <c r="I119" s="224"/>
      <c r="J119" s="21" t="str">
        <f>IF(H112=3,B114,"")</f>
        <v>SURIE DE PAULA NAVARRO</v>
      </c>
      <c r="K119" s="15" t="str">
        <f>IFERROR(IF(J119="","",VLOOKUP(J119,LISTAS!$F$5:$G$1004,2,0)),"0")</f>
        <v>IEBURIX -SBC</v>
      </c>
      <c r="L119" s="79"/>
    </row>
    <row r="120" spans="2:16" ht="18" customHeight="1" x14ac:dyDescent="0.25">
      <c r="B120" s="15" t="str">
        <f>IF(H112=3,B112,"")</f>
        <v>SOFIA BRITO NASCIMENTO</v>
      </c>
      <c r="C120" s="15" t="str">
        <f>IFERROR(IF(B120="","",VLOOKUP(B120,LISTAS!$F$5:$G$1004,2,0)),"0")</f>
        <v>COLÉGIO ENGENHEIRO SALVADOR ARENA</v>
      </c>
      <c r="D120" s="223">
        <v>1</v>
      </c>
      <c r="E120" s="224"/>
      <c r="F120" s="223" t="s">
        <v>38</v>
      </c>
      <c r="G120" s="224"/>
      <c r="H120" s="223">
        <v>2</v>
      </c>
      <c r="I120" s="224"/>
      <c r="J120" s="21" t="str">
        <f>IF(H112=3,B113,"")</f>
        <v>LAURA RAMOS GRIZOLLI</v>
      </c>
      <c r="K120" s="15" t="str">
        <f>IFERROR(IF(J120="","",VLOOKUP(J120,LISTAS!$F$5:$G$1004,2,0)),"0")</f>
        <v>ESCOLA VILLARE</v>
      </c>
      <c r="L120" s="81"/>
    </row>
    <row r="123" spans="2:16" ht="30" customHeight="1" x14ac:dyDescent="0.25">
      <c r="B123" s="161" t="s">
        <v>53</v>
      </c>
      <c r="C123" s="79"/>
      <c r="D123" s="225" t="s">
        <v>42</v>
      </c>
      <c r="E123" s="226"/>
      <c r="F123" s="226"/>
      <c r="G123" s="227"/>
      <c r="H123" s="113"/>
      <c r="I123" s="225" t="s">
        <v>3</v>
      </c>
      <c r="J123" s="226"/>
      <c r="K123" s="226"/>
      <c r="L123" s="226"/>
    </row>
    <row r="124" spans="2:16" ht="18" customHeight="1" x14ac:dyDescent="0.25">
      <c r="B124" s="9" t="s">
        <v>15</v>
      </c>
      <c r="C124" s="9" t="s">
        <v>0</v>
      </c>
      <c r="D124" s="9" t="s">
        <v>43</v>
      </c>
      <c r="E124" s="9" t="s">
        <v>44</v>
      </c>
      <c r="F124" s="9" t="s">
        <v>77</v>
      </c>
      <c r="G124" s="9" t="s">
        <v>78</v>
      </c>
      <c r="H124" s="114"/>
      <c r="I124" s="9" t="s">
        <v>18</v>
      </c>
      <c r="J124" s="9" t="s">
        <v>15</v>
      </c>
      <c r="K124" s="9" t="s">
        <v>0</v>
      </c>
      <c r="L124" s="9" t="s">
        <v>45</v>
      </c>
    </row>
    <row r="125" spans="2:16" ht="18" customHeight="1" x14ac:dyDescent="0.25">
      <c r="B125" s="15"/>
      <c r="C125" s="15" t="str">
        <f>IFERROR(IF(B125="","",VLOOKUP(B125,LISTAS!$F$5:$G$1004,2,0)),"0")</f>
        <v/>
      </c>
      <c r="D125" s="15" t="str">
        <f>IF(H125&lt;3,"",IF(H125=3,IF(D131&lt;&gt;"",IF(H131&lt;&gt;"",IF(D131&lt;&gt;H131,IF(D131&gt;H131,"V","D"),""),""),"")))</f>
        <v/>
      </c>
      <c r="E125" s="15" t="str">
        <f>IF(H125&lt;3,"",IF(H125=3,IF(D133&lt;&gt;"",IF(H133&lt;&gt;"",IF(D133&lt;&gt;H133,IF(D133&gt;H133,"V","D"),""),""),"")))</f>
        <v/>
      </c>
      <c r="F125" s="15" t="s">
        <v>81</v>
      </c>
      <c r="G125" s="15" t="s">
        <v>81</v>
      </c>
      <c r="H125" s="117">
        <f>COUNTA(B125:B127)</f>
        <v>0</v>
      </c>
      <c r="I125" s="15" t="str">
        <f>IF(B125&lt;&gt;"",1,"")</f>
        <v/>
      </c>
      <c r="J125" s="15" t="str">
        <f>IF(I125&lt;&gt;"",P125,"")</f>
        <v/>
      </c>
      <c r="K125" s="15" t="str">
        <f>IFERROR(IF(J125="","",VLOOKUP(J125,LISTAS!$F$5:$G$1004,2,0)),"0")</f>
        <v/>
      </c>
      <c r="L125" s="119" t="str">
        <f>IF(H125=3,"OURO",IF(H125=4,"OURO",IF(H125=5,"OURO","")))</f>
        <v/>
      </c>
      <c r="M125" s="20" t="str">
        <f>IF(B125&lt;&gt;"",COUNTIF(D125:G125,"V")+(SUMIF(B131:B133,B125,D131:E133)/1000)+(SUMIF(J131:J133,B125,H131:I133)/1000)-(SUMIF(B131:B133,B125,H131:I133)/1000)-(SUMIF(J131:J133,B125,D131:E133)/1000)+0.003,"")</f>
        <v/>
      </c>
      <c r="N125" s="20" t="str">
        <f>IF(B125="","",B125)</f>
        <v/>
      </c>
      <c r="O125" s="20" t="str">
        <f>IF(B125&lt;&gt;"",LARGE(M125:M127,1),"")</f>
        <v/>
      </c>
      <c r="P125" s="20" t="str">
        <f>VLOOKUP(O125,M125:N127,2,0)</f>
        <v/>
      </c>
    </row>
    <row r="126" spans="2:16" ht="18" customHeight="1" x14ac:dyDescent="0.25">
      <c r="B126" s="15"/>
      <c r="C126" s="15" t="str">
        <f>IFERROR(IF(B126="","",VLOOKUP(B126,LISTAS!$F$5:$G$1004,2,0)),"0")</f>
        <v/>
      </c>
      <c r="D126" s="15" t="str">
        <f>IF(H125&lt;3,"",IF(H125=3,IF(D132&lt;&gt;"",IF(H132&lt;&gt;"",IF(D132&lt;&gt;H132,IF(D132&gt;H132,"V","D"),""),""),"")))</f>
        <v/>
      </c>
      <c r="E126" s="15" t="str">
        <f>IF(H125&lt;3,"",IF(H125=3,IF(D133&lt;&gt;"",IF(H133&lt;&gt;"",IF(D133&lt;&gt;H133,IF(D133&gt;H133,"D","V"),""),""),"")))</f>
        <v/>
      </c>
      <c r="F126" s="15" t="s">
        <v>81</v>
      </c>
      <c r="G126" s="15" t="s">
        <v>81</v>
      </c>
      <c r="H126" s="115"/>
      <c r="I126" s="15" t="str">
        <f>IF(B126&lt;&gt;"",2,"")</f>
        <v/>
      </c>
      <c r="J126" s="15" t="str">
        <f>IF(I126&lt;&gt;"",P126,"")</f>
        <v/>
      </c>
      <c r="K126" s="15" t="str">
        <f>IFERROR(IF(J126="","",VLOOKUP(J126,LISTAS!$F$5:$G$1004,2,0)),"0")</f>
        <v/>
      </c>
      <c r="L126" s="119" t="str">
        <f>IF(H125=3,"PRATA",IF(H125=4,"OURO",IF(H125=5,"OURO","")))</f>
        <v/>
      </c>
      <c r="M126" s="20" t="str">
        <f>IF(B126&lt;&gt;"",COUNTIF(D126:G126,"V")+(SUMIF(B131:B133,B126,D131:E133)/1000)+(SUMIF(J131:J133,B126,H131:I133)/1000)-(SUMIF(B131:B133,B126,H131:I133)/1000)-(SUMIF(J131:J133,B126,D131:E133)/1000)+0.002,"")</f>
        <v/>
      </c>
      <c r="N126" s="20" t="str">
        <f t="shared" ref="N126" si="8">IF(B126="","",B126)</f>
        <v/>
      </c>
      <c r="O126" s="20" t="str">
        <f>IF(B126&lt;&gt;"",LARGE(M125:M127,2),"")</f>
        <v/>
      </c>
      <c r="P126" s="20" t="str">
        <f>VLOOKUP(O126,M125:N127,2,0)</f>
        <v/>
      </c>
    </row>
    <row r="127" spans="2:16" ht="18" customHeight="1" x14ac:dyDescent="0.25">
      <c r="B127" s="15"/>
      <c r="C127" s="15" t="str">
        <f>IFERROR(IF(B127="","",VLOOKUP(B127,LISTAS!$F$5:$G$1004,2,0)),"0")</f>
        <v/>
      </c>
      <c r="D127" s="15" t="str">
        <f>IF(H125&lt;3,"",IF(H125=3,IF(D131&lt;&gt;"",IF(H131&lt;&gt;"",IF(D131&lt;&gt;H131,IF(D131&gt;H131,"D","V"),""),""),"")))</f>
        <v/>
      </c>
      <c r="E127" s="15" t="str">
        <f>IF(H125&lt;3,"",IF(H125=3,IF(D132&lt;&gt;"",IF(H132&lt;&gt;"",IF(D132&lt;&gt;H132,IF(D132&gt;H132,"D","V"),""),""),"")))</f>
        <v/>
      </c>
      <c r="F127" s="15" t="s">
        <v>81</v>
      </c>
      <c r="G127" s="15" t="s">
        <v>81</v>
      </c>
      <c r="H127" s="115"/>
      <c r="I127" s="15" t="str">
        <f>IF(B127&lt;&gt;"",3,"")</f>
        <v/>
      </c>
      <c r="J127" s="15" t="str">
        <f>IF(I127&lt;&gt;"",P127,"")</f>
        <v/>
      </c>
      <c r="K127" s="15" t="str">
        <f>IFERROR(IF(J127="","",VLOOKUP(J127,LISTAS!$F$5:$G$1004,2,0)),"0")</f>
        <v/>
      </c>
      <c r="L127" s="119" t="str">
        <f>IF(H125=3,"BRONZE",IF(H125=4,"PRATA",IF(H125=5,"OURO","")))</f>
        <v/>
      </c>
      <c r="M127" s="20" t="str">
        <f>IF(B127&lt;&gt;"",COUNTIF(D127:G127,"V")+(SUMIF(B131:B133,B127,D131:E133)/1000)+(SUMIF(J131:J133,B127,H131:I133)/1000)-(SUMIF(B131:B133,B127,H131:I133)/1000)-(SUMIF(J131:J133,B127,D131:E133)/1000)+0.001,"")</f>
        <v/>
      </c>
      <c r="N127" s="20" t="str">
        <f>IF(B127="","",B127)</f>
        <v/>
      </c>
      <c r="O127" s="20" t="str">
        <f>IF(B127&lt;&gt;"",LARGE(M125:M127,3),"")</f>
        <v/>
      </c>
      <c r="P127" s="20" t="str">
        <f>VLOOKUP(O127,M125:N127,2,0)</f>
        <v/>
      </c>
    </row>
    <row r="128" spans="2:16" ht="18" customHeight="1" x14ac:dyDescent="0.25">
      <c r="B128" s="79"/>
      <c r="C128" s="79"/>
      <c r="D128" s="79"/>
      <c r="E128" s="79"/>
      <c r="F128" s="79"/>
      <c r="G128" s="79"/>
      <c r="I128" s="80"/>
      <c r="J128" s="79"/>
      <c r="K128" s="81"/>
      <c r="L128" s="81"/>
    </row>
    <row r="129" spans="2:16" ht="23.25" customHeight="1" x14ac:dyDescent="0.25">
      <c r="B129" s="82" t="s">
        <v>40</v>
      </c>
      <c r="C129" s="79"/>
      <c r="D129" s="79"/>
      <c r="E129" s="79"/>
      <c r="F129" s="79"/>
      <c r="G129" s="79"/>
      <c r="H129" s="79"/>
      <c r="I129" s="79"/>
      <c r="J129" s="79"/>
      <c r="K129" s="79"/>
      <c r="L129" s="79"/>
    </row>
    <row r="130" spans="2:16" ht="18" customHeight="1" x14ac:dyDescent="0.25">
      <c r="B130" s="9" t="s">
        <v>15</v>
      </c>
      <c r="C130" s="9" t="s">
        <v>0</v>
      </c>
      <c r="D130" s="228" t="s">
        <v>41</v>
      </c>
      <c r="E130" s="229"/>
      <c r="F130" s="229"/>
      <c r="G130" s="229"/>
      <c r="H130" s="229"/>
      <c r="I130" s="230"/>
      <c r="J130" s="9" t="s">
        <v>15</v>
      </c>
      <c r="K130" s="9" t="s">
        <v>0</v>
      </c>
      <c r="L130" s="79"/>
    </row>
    <row r="131" spans="2:16" ht="18" customHeight="1" x14ac:dyDescent="0.25">
      <c r="B131" s="15" t="str">
        <f>IF(H125=3,B125,"")</f>
        <v/>
      </c>
      <c r="C131" s="15" t="str">
        <f>IFERROR(IF(B131="","",VLOOKUP(B131,LISTAS!$F$5:$G$1004,2,0)),"0")</f>
        <v/>
      </c>
      <c r="D131" s="223"/>
      <c r="E131" s="224"/>
      <c r="F131" s="223" t="s">
        <v>38</v>
      </c>
      <c r="G131" s="224"/>
      <c r="H131" s="223"/>
      <c r="I131" s="224"/>
      <c r="J131" s="21" t="str">
        <f>IF(H125=3,B127,"")</f>
        <v/>
      </c>
      <c r="K131" s="15" t="str">
        <f>IFERROR(IF(J131="","",VLOOKUP(J131,LISTAS!$F$5:$G$1004,2,0)),"0")</f>
        <v/>
      </c>
      <c r="L131" s="81"/>
    </row>
    <row r="132" spans="2:16" ht="18" customHeight="1" x14ac:dyDescent="0.25">
      <c r="B132" s="15" t="str">
        <f>IF(H125=3,B126,"")</f>
        <v/>
      </c>
      <c r="C132" s="15" t="str">
        <f>IFERROR(IF(B132="","",VLOOKUP(B132,LISTAS!$F$5:$G$1004,2,0)),"0")</f>
        <v/>
      </c>
      <c r="D132" s="223"/>
      <c r="E132" s="224"/>
      <c r="F132" s="223" t="s">
        <v>38</v>
      </c>
      <c r="G132" s="224"/>
      <c r="H132" s="223"/>
      <c r="I132" s="224"/>
      <c r="J132" s="21" t="str">
        <f>IF(H125=3,B127,"")</f>
        <v/>
      </c>
      <c r="K132" s="15" t="str">
        <f>IFERROR(IF(J132="","",VLOOKUP(J132,LISTAS!$F$5:$G$1004,2,0)),"0")</f>
        <v/>
      </c>
      <c r="L132" s="79"/>
    </row>
    <row r="133" spans="2:16" ht="18" customHeight="1" x14ac:dyDescent="0.25">
      <c r="B133" s="15" t="str">
        <f>IF(H125=3,B125,"")</f>
        <v/>
      </c>
      <c r="C133" s="15" t="str">
        <f>IFERROR(IF(B133="","",VLOOKUP(B133,LISTAS!$F$5:$G$1004,2,0)),"0")</f>
        <v/>
      </c>
      <c r="D133" s="223"/>
      <c r="E133" s="224"/>
      <c r="F133" s="223" t="s">
        <v>38</v>
      </c>
      <c r="G133" s="224"/>
      <c r="H133" s="223"/>
      <c r="I133" s="224"/>
      <c r="J133" s="21" t="str">
        <f>IF(H125=3,B126,"")</f>
        <v/>
      </c>
      <c r="K133" s="15" t="str">
        <f>IFERROR(IF(J133="","",VLOOKUP(J133,LISTAS!$F$5:$G$1004,2,0)),"0")</f>
        <v/>
      </c>
      <c r="L133" s="81"/>
    </row>
    <row r="136" spans="2:16" ht="30" customHeight="1" x14ac:dyDescent="0.25">
      <c r="B136" s="161" t="s">
        <v>54</v>
      </c>
      <c r="C136" s="79"/>
      <c r="D136" s="225" t="s">
        <v>42</v>
      </c>
      <c r="E136" s="226"/>
      <c r="F136" s="226"/>
      <c r="G136" s="227"/>
      <c r="H136" s="113"/>
      <c r="I136" s="225" t="s">
        <v>3</v>
      </c>
      <c r="J136" s="226"/>
      <c r="K136" s="226"/>
      <c r="L136" s="226"/>
    </row>
    <row r="137" spans="2:16" ht="18" customHeight="1" x14ac:dyDescent="0.25">
      <c r="B137" s="9" t="s">
        <v>15</v>
      </c>
      <c r="C137" s="9" t="s">
        <v>0</v>
      </c>
      <c r="D137" s="9" t="s">
        <v>43</v>
      </c>
      <c r="E137" s="9" t="s">
        <v>44</v>
      </c>
      <c r="F137" s="9" t="s">
        <v>77</v>
      </c>
      <c r="G137" s="9" t="s">
        <v>78</v>
      </c>
      <c r="H137" s="114"/>
      <c r="I137" s="9" t="s">
        <v>18</v>
      </c>
      <c r="J137" s="9" t="s">
        <v>15</v>
      </c>
      <c r="K137" s="9" t="s">
        <v>0</v>
      </c>
      <c r="L137" s="9" t="s">
        <v>45</v>
      </c>
    </row>
    <row r="138" spans="2:16" ht="18" customHeight="1" x14ac:dyDescent="0.25">
      <c r="B138" s="15"/>
      <c r="C138" s="15" t="str">
        <f>IFERROR(IF(B138="","",VLOOKUP(B138,LISTAS!$F$5:$G$1004,2,0)),"0")</f>
        <v/>
      </c>
      <c r="D138" s="15" t="str">
        <f>IF(H138&lt;3,"",IF(H138=3,IF(D144&lt;&gt;"",IF(H144&lt;&gt;"",IF(D144&lt;&gt;H144,IF(D144&gt;H144,"V","D"),""),""),"")))</f>
        <v/>
      </c>
      <c r="E138" s="15" t="str">
        <f>IF(H138&lt;3,"",IF(H138=3,IF(D146&lt;&gt;"",IF(H146&lt;&gt;"",IF(D146&lt;&gt;H146,IF(D146&gt;H146,"V","D"),""),""),"")))</f>
        <v/>
      </c>
      <c r="F138" s="15" t="s">
        <v>81</v>
      </c>
      <c r="G138" s="15" t="s">
        <v>81</v>
      </c>
      <c r="H138" s="117">
        <f>COUNTA(B138:B140)</f>
        <v>0</v>
      </c>
      <c r="I138" s="15" t="str">
        <f>IF(B138&lt;&gt;"",1,"")</f>
        <v/>
      </c>
      <c r="J138" s="15" t="str">
        <f>IF(I138&lt;&gt;"",P138,"")</f>
        <v/>
      </c>
      <c r="K138" s="15" t="str">
        <f>IFERROR(IF(J138="","",VLOOKUP(J138,LISTAS!$F$5:$G$1004,2,0)),"0")</f>
        <v/>
      </c>
      <c r="L138" s="119" t="str">
        <f>IF(H138=3,"OURO",IF(H138=4,"OURO",IF(H138=5,"OURO","")))</f>
        <v/>
      </c>
      <c r="M138" s="20" t="str">
        <f>IF(B138&lt;&gt;"",COUNTIF(D138:G138,"V")+(SUMIF(B144:B146,B138,D144:E146)/1000)+(SUMIF(J144:J146,B138,H144:I146)/1000)-(SUMIF(B144:B146,B138,H144:I146)/1000)-(SUMIF(J144:J146,B138,D144:E146)/1000)+0.003,"")</f>
        <v/>
      </c>
      <c r="N138" s="20" t="str">
        <f>IF(B138="","",B138)</f>
        <v/>
      </c>
      <c r="O138" s="20" t="str">
        <f>IF(B138&lt;&gt;"",LARGE(M138:M140,1),"")</f>
        <v/>
      </c>
      <c r="P138" s="20" t="str">
        <f>VLOOKUP(O138,M138:N140,2,0)</f>
        <v/>
      </c>
    </row>
    <row r="139" spans="2:16" ht="18" customHeight="1" x14ac:dyDescent="0.25">
      <c r="B139" s="15"/>
      <c r="C139" s="15" t="str">
        <f>IFERROR(IF(B139="","",VLOOKUP(B139,LISTAS!$F$5:$G$1004,2,0)),"0")</f>
        <v/>
      </c>
      <c r="D139" s="15" t="str">
        <f>IF(H138&lt;3,"",IF(H138=3,IF(D145&lt;&gt;"",IF(H145&lt;&gt;"",IF(D145&lt;&gt;H145,IF(D145&gt;H145,"V","D"),""),""),"")))</f>
        <v/>
      </c>
      <c r="E139" s="15" t="str">
        <f>IF(H138&lt;3,"",IF(H138=3,IF(D146&lt;&gt;"",IF(H146&lt;&gt;"",IF(D146&lt;&gt;H146,IF(D146&gt;H146,"D","V"),""),""),"")))</f>
        <v/>
      </c>
      <c r="F139" s="15" t="s">
        <v>81</v>
      </c>
      <c r="G139" s="15" t="s">
        <v>81</v>
      </c>
      <c r="H139" s="115"/>
      <c r="I139" s="15" t="str">
        <f>IF(B139&lt;&gt;"",2,"")</f>
        <v/>
      </c>
      <c r="J139" s="15" t="str">
        <f>IF(I139&lt;&gt;"",P139,"")</f>
        <v/>
      </c>
      <c r="K139" s="15" t="str">
        <f>IFERROR(IF(J139="","",VLOOKUP(J139,LISTAS!$F$5:$G$1004,2,0)),"0")</f>
        <v/>
      </c>
      <c r="L139" s="119" t="str">
        <f>IF(H138=3,"PRATA",IF(H138=4,"OURO",IF(H138=5,"OURO","")))</f>
        <v/>
      </c>
      <c r="M139" s="20" t="str">
        <f>IF(B139&lt;&gt;"",COUNTIF(D139:G139,"V")+(SUMIF(B144:B146,B139,D144:E146)/1000)+(SUMIF(J144:J146,B139,H144:I146)/1000)-(SUMIF(B144:B146,B139,H144:I146)/1000)-(SUMIF(J144:J146,B139,D144:E146)/1000)+0.002,"")</f>
        <v/>
      </c>
      <c r="N139" s="20" t="str">
        <f t="shared" ref="N139" si="9">IF(B139="","",B139)</f>
        <v/>
      </c>
      <c r="O139" s="20" t="str">
        <f>IF(B139&lt;&gt;"",LARGE(M138:M140,2),"")</f>
        <v/>
      </c>
      <c r="P139" s="20" t="str">
        <f>VLOOKUP(O139,M138:N140,2,0)</f>
        <v/>
      </c>
    </row>
    <row r="140" spans="2:16" ht="18" customHeight="1" x14ac:dyDescent="0.25">
      <c r="B140" s="15"/>
      <c r="C140" s="15" t="str">
        <f>IFERROR(IF(B140="","",VLOOKUP(B140,LISTAS!$F$5:$G$1004,2,0)),"0")</f>
        <v/>
      </c>
      <c r="D140" s="15" t="str">
        <f>IF(H138&lt;3,"",IF(H138=3,IF(D144&lt;&gt;"",IF(H144&lt;&gt;"",IF(D144&lt;&gt;H144,IF(D144&gt;H144,"D","V"),""),""),"")))</f>
        <v/>
      </c>
      <c r="E140" s="15" t="str">
        <f>IF(H138&lt;3,"",IF(H138=3,IF(D145&lt;&gt;"",IF(H145&lt;&gt;"",IF(D145&lt;&gt;H145,IF(D145&gt;H145,"D","V"),""),""),"")))</f>
        <v/>
      </c>
      <c r="F140" s="15" t="s">
        <v>81</v>
      </c>
      <c r="G140" s="15" t="s">
        <v>81</v>
      </c>
      <c r="H140" s="115"/>
      <c r="I140" s="15" t="str">
        <f>IF(B140&lt;&gt;"",3,"")</f>
        <v/>
      </c>
      <c r="J140" s="15" t="str">
        <f>IF(I140&lt;&gt;"",P140,"")</f>
        <v/>
      </c>
      <c r="K140" s="15" t="str">
        <f>IFERROR(IF(J140="","",VLOOKUP(J140,LISTAS!$F$5:$G$1004,2,0)),"0")</f>
        <v/>
      </c>
      <c r="L140" s="119" t="str">
        <f>IF(H138=3,"BRONZE",IF(H138=4,"PRATA",IF(H138=5,"OURO","")))</f>
        <v/>
      </c>
      <c r="M140" s="20" t="str">
        <f>IF(B140&lt;&gt;"",COUNTIF(D140:G140,"V")+(SUMIF(B144:B146,B140,D144:E146)/1000)+(SUMIF(J144:J146,B140,H144:I146)/1000)-(SUMIF(B144:B146,B140,H144:I146)/1000)-(SUMIF(J144:J146,B140,D144:E146)/1000)+0.001,"")</f>
        <v/>
      </c>
      <c r="N140" s="20" t="str">
        <f>IF(B140="","",B140)</f>
        <v/>
      </c>
      <c r="O140" s="20" t="str">
        <f>IF(B140&lt;&gt;"",LARGE(M138:M140,3),"")</f>
        <v/>
      </c>
      <c r="P140" s="20" t="str">
        <f>VLOOKUP(O140,M138:N140,2,0)</f>
        <v/>
      </c>
    </row>
    <row r="141" spans="2:16" ht="18" customHeight="1" x14ac:dyDescent="0.25">
      <c r="B141" s="79"/>
      <c r="C141" s="79"/>
      <c r="D141" s="79"/>
      <c r="E141" s="79"/>
      <c r="F141" s="79"/>
      <c r="G141" s="79"/>
      <c r="I141" s="80"/>
      <c r="J141" s="79"/>
      <c r="K141" s="81"/>
      <c r="L141" s="81"/>
    </row>
    <row r="142" spans="2:16" ht="23.25" customHeight="1" x14ac:dyDescent="0.25">
      <c r="B142" s="82" t="s">
        <v>40</v>
      </c>
      <c r="C142" s="79"/>
      <c r="D142" s="79"/>
      <c r="E142" s="79"/>
      <c r="F142" s="79"/>
      <c r="G142" s="79"/>
      <c r="H142" s="79"/>
      <c r="I142" s="79"/>
      <c r="J142" s="79"/>
      <c r="K142" s="79"/>
      <c r="L142" s="79"/>
    </row>
    <row r="143" spans="2:16" ht="18" customHeight="1" x14ac:dyDescent="0.25">
      <c r="B143" s="9" t="s">
        <v>15</v>
      </c>
      <c r="C143" s="9" t="s">
        <v>0</v>
      </c>
      <c r="D143" s="228" t="s">
        <v>41</v>
      </c>
      <c r="E143" s="229"/>
      <c r="F143" s="229"/>
      <c r="G143" s="229"/>
      <c r="H143" s="229"/>
      <c r="I143" s="230"/>
      <c r="J143" s="9" t="s">
        <v>15</v>
      </c>
      <c r="K143" s="9" t="s">
        <v>0</v>
      </c>
      <c r="L143" s="79"/>
    </row>
    <row r="144" spans="2:16" ht="18" customHeight="1" x14ac:dyDescent="0.25">
      <c r="B144" s="15" t="str">
        <f>IF(H138=3,B138,"")</f>
        <v/>
      </c>
      <c r="C144" s="15" t="str">
        <f>IFERROR(IF(B144="","",VLOOKUP(B144,LISTAS!$F$5:$G$1004,2,0)),"0")</f>
        <v/>
      </c>
      <c r="D144" s="223"/>
      <c r="E144" s="224"/>
      <c r="F144" s="223" t="s">
        <v>38</v>
      </c>
      <c r="G144" s="224"/>
      <c r="H144" s="223"/>
      <c r="I144" s="224"/>
      <c r="J144" s="21" t="str">
        <f>IF(H138=3,B140,"")</f>
        <v/>
      </c>
      <c r="K144" s="15" t="str">
        <f>IFERROR(IF(J144="","",VLOOKUP(J144,LISTAS!$F$5:$G$1004,2,0)),"0")</f>
        <v/>
      </c>
      <c r="L144" s="81"/>
    </row>
    <row r="145" spans="2:16" ht="18" customHeight="1" x14ac:dyDescent="0.25">
      <c r="B145" s="15" t="str">
        <f>IF(H138=3,B139,"")</f>
        <v/>
      </c>
      <c r="C145" s="15" t="str">
        <f>IFERROR(IF(B145="","",VLOOKUP(B145,LISTAS!$F$5:$G$1004,2,0)),"0")</f>
        <v/>
      </c>
      <c r="D145" s="223"/>
      <c r="E145" s="224"/>
      <c r="F145" s="223" t="s">
        <v>38</v>
      </c>
      <c r="G145" s="224"/>
      <c r="H145" s="223"/>
      <c r="I145" s="224"/>
      <c r="J145" s="21" t="str">
        <f>IF(H138=3,B140,"")</f>
        <v/>
      </c>
      <c r="K145" s="15" t="str">
        <f>IFERROR(IF(J145="","",VLOOKUP(J145,LISTAS!$F$5:$G$1004,2,0)),"0")</f>
        <v/>
      </c>
      <c r="L145" s="79"/>
    </row>
    <row r="146" spans="2:16" ht="18" customHeight="1" x14ac:dyDescent="0.25">
      <c r="B146" s="15" t="str">
        <f>IF(H138=3,B138,"")</f>
        <v/>
      </c>
      <c r="C146" s="15" t="str">
        <f>IFERROR(IF(B146="","",VLOOKUP(B146,LISTAS!$F$5:$G$1004,2,0)),"0")</f>
        <v/>
      </c>
      <c r="D146" s="223"/>
      <c r="E146" s="224"/>
      <c r="F146" s="223" t="s">
        <v>38</v>
      </c>
      <c r="G146" s="224"/>
      <c r="H146" s="223"/>
      <c r="I146" s="224"/>
      <c r="J146" s="21" t="str">
        <f>IF(H138=3,B139,"")</f>
        <v/>
      </c>
      <c r="K146" s="15" t="str">
        <f>IFERROR(IF(J146="","",VLOOKUP(J146,LISTAS!$F$5:$G$1004,2,0)),"0")</f>
        <v/>
      </c>
      <c r="L146" s="81"/>
    </row>
    <row r="149" spans="2:16" ht="30" customHeight="1" x14ac:dyDescent="0.25">
      <c r="B149" s="161" t="s">
        <v>55</v>
      </c>
      <c r="C149" s="79"/>
      <c r="D149" s="225" t="s">
        <v>42</v>
      </c>
      <c r="E149" s="226"/>
      <c r="F149" s="226"/>
      <c r="G149" s="227"/>
      <c r="H149" s="113"/>
      <c r="I149" s="225" t="s">
        <v>3</v>
      </c>
      <c r="J149" s="226"/>
      <c r="K149" s="226"/>
      <c r="L149" s="226"/>
    </row>
    <row r="150" spans="2:16" ht="18" customHeight="1" x14ac:dyDescent="0.25">
      <c r="B150" s="9" t="s">
        <v>15</v>
      </c>
      <c r="C150" s="9" t="s">
        <v>0</v>
      </c>
      <c r="D150" s="9" t="s">
        <v>43</v>
      </c>
      <c r="E150" s="9" t="s">
        <v>44</v>
      </c>
      <c r="F150" s="9" t="s">
        <v>77</v>
      </c>
      <c r="G150" s="9" t="s">
        <v>78</v>
      </c>
      <c r="H150" s="114"/>
      <c r="I150" s="9" t="s">
        <v>18</v>
      </c>
      <c r="J150" s="9" t="s">
        <v>15</v>
      </c>
      <c r="K150" s="9" t="s">
        <v>0</v>
      </c>
      <c r="L150" s="9" t="s">
        <v>45</v>
      </c>
    </row>
    <row r="151" spans="2:16" ht="18" customHeight="1" x14ac:dyDescent="0.25">
      <c r="B151" s="15"/>
      <c r="C151" s="15" t="str">
        <f>IFERROR(IF(B151="","",VLOOKUP(B151,LISTAS!$F$5:$G$1004,2,0)),"0")</f>
        <v/>
      </c>
      <c r="D151" s="15" t="str">
        <f>IF(H151&lt;3,"",IF(H151=3,IF(D157&lt;&gt;"",IF(H157&lt;&gt;"",IF(D157&lt;&gt;H157,IF(D157&gt;H157,"V","D"),""),""),"")))</f>
        <v/>
      </c>
      <c r="E151" s="15" t="str">
        <f>IF(H151&lt;3,"",IF(H151=3,IF(D159&lt;&gt;"",IF(H159&lt;&gt;"",IF(D159&lt;&gt;H159,IF(D159&gt;H159,"V","D"),""),""),"")))</f>
        <v/>
      </c>
      <c r="F151" s="15" t="s">
        <v>81</v>
      </c>
      <c r="G151" s="15" t="s">
        <v>81</v>
      </c>
      <c r="H151" s="117">
        <f>COUNTA(B151:B153)</f>
        <v>0</v>
      </c>
      <c r="I151" s="15" t="str">
        <f>IF(B151&lt;&gt;"",1,"")</f>
        <v/>
      </c>
      <c r="J151" s="15" t="str">
        <f>IF(I151&lt;&gt;"",P151,"")</f>
        <v/>
      </c>
      <c r="K151" s="15" t="str">
        <f>IFERROR(IF(J151="","",VLOOKUP(J151,LISTAS!$F$5:$G$1004,2,0)),"0")</f>
        <v/>
      </c>
      <c r="L151" s="119" t="str">
        <f>IF(H151=3,"OURO",IF(H151=4,"OURO",IF(H151=5,"OURO","")))</f>
        <v/>
      </c>
      <c r="M151" s="20" t="str">
        <f>IF(B151&lt;&gt;"",COUNTIF(D151:G151,"V")+(SUMIF(B157:B159,B151,D157:E159)/1000)+(SUMIF(J157:J159,B151,H157:I159)/1000)-(SUMIF(B157:B159,B151,H157:I159)/1000)-(SUMIF(J157:J159,B151,D157:E159)/1000)+0.003,"")</f>
        <v/>
      </c>
      <c r="N151" s="20" t="str">
        <f>IF(B151="","",B151)</f>
        <v/>
      </c>
      <c r="O151" s="20" t="str">
        <f>IF(B151&lt;&gt;"",LARGE(M151:M153,1),"")</f>
        <v/>
      </c>
      <c r="P151" s="20" t="str">
        <f>VLOOKUP(O151,M151:N153,2,0)</f>
        <v/>
      </c>
    </row>
    <row r="152" spans="2:16" ht="18" customHeight="1" x14ac:dyDescent="0.25">
      <c r="B152" s="15"/>
      <c r="C152" s="15" t="str">
        <f>IFERROR(IF(B152="","",VLOOKUP(B152,LISTAS!$F$5:$G$1004,2,0)),"0")</f>
        <v/>
      </c>
      <c r="D152" s="15" t="str">
        <f>IF(H151&lt;3,"",IF(H151=3,IF(D158&lt;&gt;"",IF(H158&lt;&gt;"",IF(D158&lt;&gt;H158,IF(D158&gt;H158,"V","D"),""),""),"")))</f>
        <v/>
      </c>
      <c r="E152" s="15" t="str">
        <f>IF(H151&lt;3,"",IF(H151=3,IF(D159&lt;&gt;"",IF(H159&lt;&gt;"",IF(D159&lt;&gt;H159,IF(D159&gt;H159,"D","V"),""),""),"")))</f>
        <v/>
      </c>
      <c r="F152" s="15" t="s">
        <v>81</v>
      </c>
      <c r="G152" s="15" t="s">
        <v>81</v>
      </c>
      <c r="H152" s="115"/>
      <c r="I152" s="15" t="str">
        <f>IF(B152&lt;&gt;"",2,"")</f>
        <v/>
      </c>
      <c r="J152" s="15" t="str">
        <f>IF(I152&lt;&gt;"",P152,"")</f>
        <v/>
      </c>
      <c r="K152" s="15" t="str">
        <f>IFERROR(IF(J152="","",VLOOKUP(J152,LISTAS!$F$5:$G$1004,2,0)),"0")</f>
        <v/>
      </c>
      <c r="L152" s="119" t="str">
        <f>IF(H151=3,"PRATA",IF(H151=4,"OURO",IF(H151=5,"OURO","")))</f>
        <v/>
      </c>
      <c r="M152" s="20" t="str">
        <f>IF(B152&lt;&gt;"",COUNTIF(D152:G152,"V")+(SUMIF(B157:B159,B152,D157:E159)/1000)+(SUMIF(J157:J159,B152,H157:I159)/1000)-(SUMIF(B157:B159,B152,H157:I159)/1000)-(SUMIF(J157:J159,B152,D157:E159)/1000)+0.002,"")</f>
        <v/>
      </c>
      <c r="N152" s="20" t="str">
        <f t="shared" ref="N152" si="10">IF(B152="","",B152)</f>
        <v/>
      </c>
      <c r="O152" s="20" t="str">
        <f>IF(B152&lt;&gt;"",LARGE(M151:M153,2),"")</f>
        <v/>
      </c>
      <c r="P152" s="20" t="str">
        <f>VLOOKUP(O152,M151:N153,2,0)</f>
        <v/>
      </c>
    </row>
    <row r="153" spans="2:16" ht="18" customHeight="1" x14ac:dyDescent="0.25">
      <c r="B153" s="15"/>
      <c r="C153" s="15" t="str">
        <f>IFERROR(IF(B153="","",VLOOKUP(B153,LISTAS!$F$5:$G$1004,2,0)),"0")</f>
        <v/>
      </c>
      <c r="D153" s="15" t="str">
        <f>IF(H151&lt;3,"",IF(H151=3,IF(D157&lt;&gt;"",IF(H157&lt;&gt;"",IF(D157&lt;&gt;H157,IF(D157&gt;H157,"D","V"),""),""),"")))</f>
        <v/>
      </c>
      <c r="E153" s="15" t="str">
        <f>IF(H151&lt;3,"",IF(H151=3,IF(D158&lt;&gt;"",IF(H158&lt;&gt;"",IF(D158&lt;&gt;H158,IF(D158&gt;H158,"D","V"),""),""),"")))</f>
        <v/>
      </c>
      <c r="F153" s="15" t="s">
        <v>81</v>
      </c>
      <c r="G153" s="15" t="s">
        <v>81</v>
      </c>
      <c r="H153" s="115"/>
      <c r="I153" s="15" t="str">
        <f>IF(B153&lt;&gt;"",3,"")</f>
        <v/>
      </c>
      <c r="J153" s="15" t="str">
        <f>IF(I153&lt;&gt;"",P153,"")</f>
        <v/>
      </c>
      <c r="K153" s="15" t="str">
        <f>IFERROR(IF(J153="","",VLOOKUP(J153,LISTAS!$F$5:$G$1004,2,0)),"0")</f>
        <v/>
      </c>
      <c r="L153" s="119" t="str">
        <f>IF(H151=3,"BRONZE",IF(H151=4,"PRATA",IF(H151=5,"OURO","")))</f>
        <v/>
      </c>
      <c r="M153" s="20" t="str">
        <f>IF(B153&lt;&gt;"",COUNTIF(D153:G153,"V")+(SUMIF(B157:B159,B153,D157:E159)/1000)+(SUMIF(J157:J159,B153,H157:I159)/1000)-(SUMIF(B157:B159,B153,H157:I159)/1000)-(SUMIF(J157:J159,B153,D157:E159)/1000)+0.001,"")</f>
        <v/>
      </c>
      <c r="N153" s="20" t="str">
        <f>IF(B153="","",B153)</f>
        <v/>
      </c>
      <c r="O153" s="20" t="str">
        <f>IF(B153&lt;&gt;"",LARGE(M151:M153,3),"")</f>
        <v/>
      </c>
      <c r="P153" s="20" t="str">
        <f>VLOOKUP(O153,M151:N153,2,0)</f>
        <v/>
      </c>
    </row>
    <row r="154" spans="2:16" ht="18" customHeight="1" x14ac:dyDescent="0.25">
      <c r="B154" s="79"/>
      <c r="C154" s="79"/>
      <c r="D154" s="79"/>
      <c r="E154" s="79"/>
      <c r="F154" s="79"/>
      <c r="G154" s="79"/>
      <c r="I154" s="80"/>
      <c r="J154" s="79"/>
      <c r="K154" s="81"/>
      <c r="L154" s="81"/>
    </row>
    <row r="155" spans="2:16" ht="23.25" customHeight="1" x14ac:dyDescent="0.25">
      <c r="B155" s="82" t="s">
        <v>40</v>
      </c>
      <c r="C155" s="79"/>
      <c r="D155" s="79"/>
      <c r="E155" s="79"/>
      <c r="F155" s="79"/>
      <c r="G155" s="79"/>
      <c r="H155" s="79"/>
      <c r="I155" s="79"/>
      <c r="J155" s="79"/>
      <c r="K155" s="79"/>
      <c r="L155" s="79"/>
    </row>
    <row r="156" spans="2:16" ht="18" customHeight="1" x14ac:dyDescent="0.25">
      <c r="B156" s="9" t="s">
        <v>15</v>
      </c>
      <c r="C156" s="9" t="s">
        <v>0</v>
      </c>
      <c r="D156" s="228" t="s">
        <v>41</v>
      </c>
      <c r="E156" s="229"/>
      <c r="F156" s="229"/>
      <c r="G156" s="229"/>
      <c r="H156" s="229"/>
      <c r="I156" s="230"/>
      <c r="J156" s="9" t="s">
        <v>15</v>
      </c>
      <c r="K156" s="9" t="s">
        <v>0</v>
      </c>
      <c r="L156" s="79"/>
    </row>
    <row r="157" spans="2:16" ht="18" customHeight="1" x14ac:dyDescent="0.25">
      <c r="B157" s="15" t="str">
        <f>IF(H151=3,B151,"")</f>
        <v/>
      </c>
      <c r="C157" s="15" t="str">
        <f>IFERROR(IF(B157="","",VLOOKUP(B157,LISTAS!$F$5:$G$1004,2,0)),"0")</f>
        <v/>
      </c>
      <c r="D157" s="223"/>
      <c r="E157" s="224"/>
      <c r="F157" s="223" t="s">
        <v>38</v>
      </c>
      <c r="G157" s="224"/>
      <c r="H157" s="223"/>
      <c r="I157" s="224"/>
      <c r="J157" s="21" t="str">
        <f>IF(H151=3,B153,"")</f>
        <v/>
      </c>
      <c r="K157" s="15" t="str">
        <f>IFERROR(IF(J157="","",VLOOKUP(J157,LISTAS!$F$5:$G$1004,2,0)),"0")</f>
        <v/>
      </c>
      <c r="L157" s="81"/>
    </row>
    <row r="158" spans="2:16" ht="18" customHeight="1" x14ac:dyDescent="0.25">
      <c r="B158" s="15" t="str">
        <f>IF(H151=3,B152,"")</f>
        <v/>
      </c>
      <c r="C158" s="15" t="str">
        <f>IFERROR(IF(B158="","",VLOOKUP(B158,LISTAS!$F$5:$G$1004,2,0)),"0")</f>
        <v/>
      </c>
      <c r="D158" s="223"/>
      <c r="E158" s="224"/>
      <c r="F158" s="223" t="s">
        <v>38</v>
      </c>
      <c r="G158" s="224"/>
      <c r="H158" s="223"/>
      <c r="I158" s="224"/>
      <c r="J158" s="21" t="str">
        <f>IF(H151=3,B153,"")</f>
        <v/>
      </c>
      <c r="K158" s="15" t="str">
        <f>IFERROR(IF(J158="","",VLOOKUP(J158,LISTAS!$F$5:$G$1004,2,0)),"0")</f>
        <v/>
      </c>
      <c r="L158" s="79"/>
    </row>
    <row r="159" spans="2:16" ht="18" customHeight="1" x14ac:dyDescent="0.25">
      <c r="B159" s="15" t="str">
        <f>IF(H151=3,B151,"")</f>
        <v/>
      </c>
      <c r="C159" s="15" t="str">
        <f>IFERROR(IF(B159="","",VLOOKUP(B159,LISTAS!$F$5:$G$1004,2,0)),"0")</f>
        <v/>
      </c>
      <c r="D159" s="223"/>
      <c r="E159" s="224"/>
      <c r="F159" s="223" t="s">
        <v>38</v>
      </c>
      <c r="G159" s="224"/>
      <c r="H159" s="223"/>
      <c r="I159" s="224"/>
      <c r="J159" s="21" t="str">
        <f>IF(H151=3,B152,"")</f>
        <v/>
      </c>
      <c r="K159" s="15" t="str">
        <f>IFERROR(IF(J159="","",VLOOKUP(J159,LISTAS!$F$5:$G$1004,2,0)),"0")</f>
        <v/>
      </c>
      <c r="L159" s="81"/>
    </row>
    <row r="162" spans="2:16" ht="30" customHeight="1" x14ac:dyDescent="0.25">
      <c r="B162" s="161" t="s">
        <v>56</v>
      </c>
      <c r="C162" s="79"/>
      <c r="D162" s="225" t="s">
        <v>42</v>
      </c>
      <c r="E162" s="226"/>
      <c r="F162" s="226"/>
      <c r="G162" s="227"/>
      <c r="H162" s="113"/>
      <c r="I162" s="225" t="s">
        <v>3</v>
      </c>
      <c r="J162" s="226"/>
      <c r="K162" s="226"/>
      <c r="L162" s="226"/>
    </row>
    <row r="163" spans="2:16" ht="18" customHeight="1" x14ac:dyDescent="0.25">
      <c r="B163" s="9" t="s">
        <v>15</v>
      </c>
      <c r="C163" s="9" t="s">
        <v>0</v>
      </c>
      <c r="D163" s="9" t="s">
        <v>43</v>
      </c>
      <c r="E163" s="9" t="s">
        <v>44</v>
      </c>
      <c r="F163" s="9" t="s">
        <v>77</v>
      </c>
      <c r="G163" s="9" t="s">
        <v>78</v>
      </c>
      <c r="H163" s="114"/>
      <c r="I163" s="9" t="s">
        <v>18</v>
      </c>
      <c r="J163" s="9" t="s">
        <v>15</v>
      </c>
      <c r="K163" s="9" t="s">
        <v>0</v>
      </c>
      <c r="L163" s="9" t="s">
        <v>45</v>
      </c>
    </row>
    <row r="164" spans="2:16" ht="18" customHeight="1" x14ac:dyDescent="0.25">
      <c r="B164" s="15"/>
      <c r="C164" s="15" t="str">
        <f>IFERROR(IF(B164="","",VLOOKUP(B164,LISTAS!$F$5:$G$1004,2,0)),"0")</f>
        <v/>
      </c>
      <c r="D164" s="15" t="str">
        <f>IF(H164&lt;3,"",IF(H164=3,IF(D170&lt;&gt;"",IF(H170&lt;&gt;"",IF(D170&lt;&gt;H170,IF(D170&gt;H170,"V","D"),""),""),"")))</f>
        <v/>
      </c>
      <c r="E164" s="15" t="str">
        <f>IF(H164&lt;3,"",IF(H164=3,IF(D172&lt;&gt;"",IF(H172&lt;&gt;"",IF(D172&lt;&gt;H172,IF(D172&gt;H172,"V","D"),""),""),"")))</f>
        <v/>
      </c>
      <c r="F164" s="15" t="s">
        <v>81</v>
      </c>
      <c r="G164" s="15" t="s">
        <v>81</v>
      </c>
      <c r="H164" s="117">
        <f>COUNTA(B164:B166)</f>
        <v>0</v>
      </c>
      <c r="I164" s="15" t="str">
        <f>IF(B164&lt;&gt;"",1,"")</f>
        <v/>
      </c>
      <c r="J164" s="15" t="str">
        <f>IF(I164&lt;&gt;"",P164,"")</f>
        <v/>
      </c>
      <c r="K164" s="15" t="str">
        <f>IFERROR(IF(J164="","",VLOOKUP(J164,LISTAS!$F$5:$G$1004,2,0)),"0")</f>
        <v/>
      </c>
      <c r="L164" s="119" t="str">
        <f>IF(H164=3,"OURO",IF(H164=4,"OURO",IF(H164=5,"OURO","")))</f>
        <v/>
      </c>
      <c r="M164" s="20" t="str">
        <f>IF(B164&lt;&gt;"",COUNTIF(D164:G164,"V")+(SUMIF(B170:B172,B164,D170:E172)/1000)+(SUMIF(J170:J172,B164,H170:I172)/1000)-(SUMIF(B170:B172,B164,H170:I172)/1000)-(SUMIF(J170:J172,B164,D170:E172)/1000)+0.003,"")</f>
        <v/>
      </c>
      <c r="N164" s="20" t="str">
        <f>IF(B164="","",B164)</f>
        <v/>
      </c>
      <c r="O164" s="20" t="str">
        <f>IF(B164&lt;&gt;"",LARGE(M164:M166,1),"")</f>
        <v/>
      </c>
      <c r="P164" s="20" t="str">
        <f>VLOOKUP(O164,M164:N166,2,0)</f>
        <v/>
      </c>
    </row>
    <row r="165" spans="2:16" ht="18" customHeight="1" x14ac:dyDescent="0.25">
      <c r="B165" s="15"/>
      <c r="C165" s="15" t="str">
        <f>IFERROR(IF(B165="","",VLOOKUP(B165,LISTAS!$F$5:$G$1004,2,0)),"0")</f>
        <v/>
      </c>
      <c r="D165" s="15" t="str">
        <f>IF(H164&lt;3,"",IF(H164=3,IF(D171&lt;&gt;"",IF(H171&lt;&gt;"",IF(D171&lt;&gt;H171,IF(D171&gt;H171,"V","D"),""),""),"")))</f>
        <v/>
      </c>
      <c r="E165" s="15" t="str">
        <f>IF(H164&lt;3,"",IF(H164=3,IF(D172&lt;&gt;"",IF(H172&lt;&gt;"",IF(D172&lt;&gt;H172,IF(D172&gt;H172,"D","V"),""),""),"")))</f>
        <v/>
      </c>
      <c r="F165" s="15" t="s">
        <v>81</v>
      </c>
      <c r="G165" s="15" t="s">
        <v>81</v>
      </c>
      <c r="H165" s="115"/>
      <c r="I165" s="15" t="str">
        <f>IF(B165&lt;&gt;"",2,"")</f>
        <v/>
      </c>
      <c r="J165" s="15" t="str">
        <f>IF(I165&lt;&gt;"",P165,"")</f>
        <v/>
      </c>
      <c r="K165" s="15" t="str">
        <f>IFERROR(IF(J165="","",VLOOKUP(J165,LISTAS!$F$5:$G$1004,2,0)),"0")</f>
        <v/>
      </c>
      <c r="L165" s="119" t="str">
        <f>IF(H164=3,"PRATA",IF(H164=4,"OURO",IF(H164=5,"OURO","")))</f>
        <v/>
      </c>
      <c r="M165" s="20" t="str">
        <f>IF(B165&lt;&gt;"",COUNTIF(D165:G165,"V")+(SUMIF(B170:B172,B165,D170:E172)/1000)+(SUMIF(J170:J172,B165,H170:I172)/1000)-(SUMIF(B170:B172,B165,H170:I172)/1000)-(SUMIF(J170:J172,B165,D170:E172)/1000)+0.002,"")</f>
        <v/>
      </c>
      <c r="N165" s="20" t="str">
        <f t="shared" ref="N165" si="11">IF(B165="","",B165)</f>
        <v/>
      </c>
      <c r="O165" s="20" t="str">
        <f>IF(B165&lt;&gt;"",LARGE(M164:M166,2),"")</f>
        <v/>
      </c>
      <c r="P165" s="20" t="str">
        <f>VLOOKUP(O165,M164:N166,2,0)</f>
        <v/>
      </c>
    </row>
    <row r="166" spans="2:16" ht="18" customHeight="1" x14ac:dyDescent="0.25">
      <c r="B166" s="15"/>
      <c r="C166" s="15" t="str">
        <f>IFERROR(IF(B166="","",VLOOKUP(B166,LISTAS!$F$5:$G$1004,2,0)),"0")</f>
        <v/>
      </c>
      <c r="D166" s="15" t="str">
        <f>IF(H164&lt;3,"",IF(H164=3,IF(D170&lt;&gt;"",IF(H170&lt;&gt;"",IF(D170&lt;&gt;H170,IF(D170&gt;H170,"D","V"),""),""),"")))</f>
        <v/>
      </c>
      <c r="E166" s="15" t="str">
        <f>IF(H164&lt;3,"",IF(H164=3,IF(D171&lt;&gt;"",IF(H171&lt;&gt;"",IF(D171&lt;&gt;H171,IF(D171&gt;H171,"D","V"),""),""),"")))</f>
        <v/>
      </c>
      <c r="F166" s="15" t="s">
        <v>81</v>
      </c>
      <c r="G166" s="15" t="s">
        <v>81</v>
      </c>
      <c r="H166" s="115"/>
      <c r="I166" s="15" t="str">
        <f>IF(B166&lt;&gt;"",3,"")</f>
        <v/>
      </c>
      <c r="J166" s="15" t="str">
        <f>IF(I166&lt;&gt;"",P166,"")</f>
        <v/>
      </c>
      <c r="K166" s="15" t="str">
        <f>IFERROR(IF(J166="","",VLOOKUP(J166,LISTAS!$F$5:$G$1004,2,0)),"0")</f>
        <v/>
      </c>
      <c r="L166" s="119" t="str">
        <f>IF(H164=3,"BRONZE",IF(H164=4,"PRATA",IF(H164=5,"OURO","")))</f>
        <v/>
      </c>
      <c r="M166" s="20" t="str">
        <f>IF(B166&lt;&gt;"",COUNTIF(D166:G166,"V")+(SUMIF(B170:B172,B166,D170:E172)/1000)+(SUMIF(J170:J172,B166,H170:I172)/1000)-(SUMIF(B170:B172,B166,H170:I172)/1000)-(SUMIF(J170:J172,B166,D170:E172)/1000)+0.001,"")</f>
        <v/>
      </c>
      <c r="N166" s="20" t="str">
        <f>IF(B166="","",B166)</f>
        <v/>
      </c>
      <c r="O166" s="20" t="str">
        <f>IF(B166&lt;&gt;"",LARGE(M164:M166,3),"")</f>
        <v/>
      </c>
      <c r="P166" s="20" t="str">
        <f>VLOOKUP(O166,M164:N166,2,0)</f>
        <v/>
      </c>
    </row>
    <row r="167" spans="2:16" ht="18" customHeight="1" x14ac:dyDescent="0.25">
      <c r="B167" s="79"/>
      <c r="C167" s="79"/>
      <c r="D167" s="79"/>
      <c r="E167" s="79"/>
      <c r="F167" s="79"/>
      <c r="G167" s="79"/>
      <c r="I167" s="80"/>
      <c r="J167" s="79"/>
      <c r="K167" s="81"/>
      <c r="L167" s="81"/>
    </row>
    <row r="168" spans="2:16" ht="23.25" customHeight="1" x14ac:dyDescent="0.25">
      <c r="B168" s="82" t="s">
        <v>40</v>
      </c>
      <c r="C168" s="79"/>
      <c r="D168" s="79"/>
      <c r="E168" s="79"/>
      <c r="F168" s="79"/>
      <c r="G168" s="79"/>
      <c r="H168" s="79"/>
      <c r="I168" s="79"/>
      <c r="J168" s="79"/>
      <c r="K168" s="79"/>
      <c r="L168" s="79"/>
    </row>
    <row r="169" spans="2:16" ht="18" customHeight="1" x14ac:dyDescent="0.25">
      <c r="B169" s="9" t="s">
        <v>15</v>
      </c>
      <c r="C169" s="9" t="s">
        <v>0</v>
      </c>
      <c r="D169" s="228" t="s">
        <v>41</v>
      </c>
      <c r="E169" s="229"/>
      <c r="F169" s="229"/>
      <c r="G169" s="229"/>
      <c r="H169" s="229"/>
      <c r="I169" s="230"/>
      <c r="J169" s="9" t="s">
        <v>15</v>
      </c>
      <c r="K169" s="9" t="s">
        <v>0</v>
      </c>
      <c r="L169" s="79"/>
    </row>
    <row r="170" spans="2:16" ht="18" customHeight="1" x14ac:dyDescent="0.25">
      <c r="B170" s="15" t="str">
        <f>IF(H164=3,B164,"")</f>
        <v/>
      </c>
      <c r="C170" s="15" t="str">
        <f>IFERROR(IF(B170="","",VLOOKUP(B170,LISTAS!$F$5:$G$1004,2,0)),"0")</f>
        <v/>
      </c>
      <c r="D170" s="223"/>
      <c r="E170" s="224"/>
      <c r="F170" s="223" t="s">
        <v>38</v>
      </c>
      <c r="G170" s="224"/>
      <c r="H170" s="223"/>
      <c r="I170" s="224"/>
      <c r="J170" s="21" t="str">
        <f>IF(H164=3,B166,"")</f>
        <v/>
      </c>
      <c r="K170" s="15" t="str">
        <f>IFERROR(IF(J170="","",VLOOKUP(J170,LISTAS!$F$5:$G$1004,2,0)),"0")</f>
        <v/>
      </c>
      <c r="L170" s="81"/>
    </row>
    <row r="171" spans="2:16" ht="18" customHeight="1" x14ac:dyDescent="0.25">
      <c r="B171" s="15" t="str">
        <f>IF(H164=3,B165,"")</f>
        <v/>
      </c>
      <c r="C171" s="15" t="str">
        <f>IFERROR(IF(B171="","",VLOOKUP(B171,LISTAS!$F$5:$G$1004,2,0)),"0")</f>
        <v/>
      </c>
      <c r="D171" s="223"/>
      <c r="E171" s="224"/>
      <c r="F171" s="223" t="s">
        <v>38</v>
      </c>
      <c r="G171" s="224"/>
      <c r="H171" s="223"/>
      <c r="I171" s="224"/>
      <c r="J171" s="21" t="str">
        <f>IF(H164=3,B166,"")</f>
        <v/>
      </c>
      <c r="K171" s="15" t="str">
        <f>IFERROR(IF(J171="","",VLOOKUP(J171,LISTAS!$F$5:$G$1004,2,0)),"0")</f>
        <v/>
      </c>
      <c r="L171" s="79"/>
    </row>
    <row r="172" spans="2:16" ht="18" customHeight="1" x14ac:dyDescent="0.25">
      <c r="B172" s="15" t="str">
        <f>IF(H164=3,B164,"")</f>
        <v/>
      </c>
      <c r="C172" s="15" t="str">
        <f>IFERROR(IF(B172="","",VLOOKUP(B172,LISTAS!$F$5:$G$1004,2,0)),"0")</f>
        <v/>
      </c>
      <c r="D172" s="223"/>
      <c r="E172" s="224"/>
      <c r="F172" s="223" t="s">
        <v>38</v>
      </c>
      <c r="G172" s="224"/>
      <c r="H172" s="223"/>
      <c r="I172" s="224"/>
      <c r="J172" s="21" t="str">
        <f>IF(H164=3,B165,"")</f>
        <v/>
      </c>
      <c r="K172" s="15" t="str">
        <f>IFERROR(IF(J172="","",VLOOKUP(J172,LISTAS!$F$5:$G$1004,2,0)),"0")</f>
        <v/>
      </c>
      <c r="L172" s="81"/>
    </row>
    <row r="175" spans="2:16" ht="30" customHeight="1" x14ac:dyDescent="0.25">
      <c r="B175" s="161" t="s">
        <v>57</v>
      </c>
      <c r="C175" s="79"/>
      <c r="D175" s="225" t="s">
        <v>42</v>
      </c>
      <c r="E175" s="226"/>
      <c r="F175" s="226"/>
      <c r="G175" s="227"/>
      <c r="H175" s="113"/>
      <c r="I175" s="225" t="s">
        <v>3</v>
      </c>
      <c r="J175" s="226"/>
      <c r="K175" s="226"/>
      <c r="L175" s="226"/>
    </row>
    <row r="176" spans="2:16" ht="18" customHeight="1" x14ac:dyDescent="0.25">
      <c r="B176" s="9" t="s">
        <v>15</v>
      </c>
      <c r="C176" s="9" t="s">
        <v>0</v>
      </c>
      <c r="D176" s="9" t="s">
        <v>43</v>
      </c>
      <c r="E176" s="9" t="s">
        <v>44</v>
      </c>
      <c r="F176" s="9" t="s">
        <v>77</v>
      </c>
      <c r="G176" s="9" t="s">
        <v>78</v>
      </c>
      <c r="H176" s="114"/>
      <c r="I176" s="9" t="s">
        <v>18</v>
      </c>
      <c r="J176" s="9" t="s">
        <v>15</v>
      </c>
      <c r="K176" s="9" t="s">
        <v>0</v>
      </c>
      <c r="L176" s="9" t="s">
        <v>45</v>
      </c>
    </row>
    <row r="177" spans="2:16" ht="18" customHeight="1" x14ac:dyDescent="0.25">
      <c r="B177" s="15"/>
      <c r="C177" s="15" t="str">
        <f>IFERROR(IF(B177="","",VLOOKUP(B177,LISTAS!$F$5:$G$1004,2,0)),"0")</f>
        <v/>
      </c>
      <c r="D177" s="15" t="str">
        <f>IF(H177&lt;3,"",IF(H177=3,IF(D183&lt;&gt;"",IF(H183&lt;&gt;"",IF(D183&lt;&gt;H183,IF(D183&gt;H183,"V","D"),""),""),"")))</f>
        <v/>
      </c>
      <c r="E177" s="15" t="str">
        <f>IF(H177&lt;3,"",IF(H177=3,IF(D185&lt;&gt;"",IF(H185&lt;&gt;"",IF(D185&lt;&gt;H185,IF(D185&gt;H185,"V","D"),""),""),"")))</f>
        <v/>
      </c>
      <c r="F177" s="15" t="s">
        <v>81</v>
      </c>
      <c r="G177" s="15" t="s">
        <v>81</v>
      </c>
      <c r="H177" s="117">
        <f>COUNTA(B177:B179)</f>
        <v>0</v>
      </c>
      <c r="I177" s="15" t="str">
        <f>IF(B177&lt;&gt;"",1,"")</f>
        <v/>
      </c>
      <c r="J177" s="15" t="str">
        <f>IF(I177&lt;&gt;"",P177,"")</f>
        <v/>
      </c>
      <c r="K177" s="15" t="str">
        <f>IFERROR(IF(J177="","",VLOOKUP(J177,LISTAS!$F$5:$G$1004,2,0)),"0")</f>
        <v/>
      </c>
      <c r="L177" s="119" t="str">
        <f>IF(H177=3,"OURO",IF(H177=4,"OURO",IF(H177=5,"OURO","")))</f>
        <v/>
      </c>
      <c r="M177" s="20" t="str">
        <f>IF(B177&lt;&gt;"",COUNTIF(D177:G177,"V")+(SUMIF(B183:B185,B177,D183:E185)/1000)+(SUMIF(J183:J185,B177,H183:I185)/1000)-(SUMIF(B183:B185,B177,H183:I185)/1000)-(SUMIF(J183:J185,B177,D183:E185)/1000)+0.003,"")</f>
        <v/>
      </c>
      <c r="N177" s="20" t="str">
        <f>IF(B177="","",B177)</f>
        <v/>
      </c>
      <c r="O177" s="20" t="str">
        <f>IF(B177&lt;&gt;"",LARGE(M177:M179,1),"")</f>
        <v/>
      </c>
      <c r="P177" s="20" t="str">
        <f>VLOOKUP(O177,M177:N179,2,0)</f>
        <v/>
      </c>
    </row>
    <row r="178" spans="2:16" ht="18" customHeight="1" x14ac:dyDescent="0.25">
      <c r="B178" s="15"/>
      <c r="C178" s="15" t="str">
        <f>IFERROR(IF(B178="","",VLOOKUP(B178,LISTAS!$F$5:$G$1004,2,0)),"0")</f>
        <v/>
      </c>
      <c r="D178" s="15" t="str">
        <f>IF(H177&lt;3,"",IF(H177=3,IF(D184&lt;&gt;"",IF(H184&lt;&gt;"",IF(D184&lt;&gt;H184,IF(D184&gt;H184,"V","D"),""),""),"")))</f>
        <v/>
      </c>
      <c r="E178" s="15" t="str">
        <f>IF(H177&lt;3,"",IF(H177=3,IF(D185&lt;&gt;"",IF(H185&lt;&gt;"",IF(D185&lt;&gt;H185,IF(D185&gt;H185,"D","V"),""),""),"")))</f>
        <v/>
      </c>
      <c r="F178" s="15" t="s">
        <v>81</v>
      </c>
      <c r="G178" s="15" t="s">
        <v>81</v>
      </c>
      <c r="H178" s="115"/>
      <c r="I178" s="15" t="str">
        <f>IF(B178&lt;&gt;"",2,"")</f>
        <v/>
      </c>
      <c r="J178" s="15" t="str">
        <f>IF(I178&lt;&gt;"",P178,"")</f>
        <v/>
      </c>
      <c r="K178" s="15" t="str">
        <f>IFERROR(IF(J178="","",VLOOKUP(J178,LISTAS!$F$5:$G$1004,2,0)),"0")</f>
        <v/>
      </c>
      <c r="L178" s="119" t="str">
        <f>IF(H177=3,"PRATA",IF(H177=4,"OURO",IF(H177=5,"OURO","")))</f>
        <v/>
      </c>
      <c r="M178" s="20" t="str">
        <f>IF(B178&lt;&gt;"",COUNTIF(D178:G178,"V")+(SUMIF(B183:B185,B178,D183:E185)/1000)+(SUMIF(J183:J185,B178,H183:I185)/1000)-(SUMIF(B183:B185,B178,H183:I185)/1000)-(SUMIF(J183:J185,B178,D183:E185)/1000)+0.002,"")</f>
        <v/>
      </c>
      <c r="N178" s="20" t="str">
        <f t="shared" ref="N178" si="12">IF(B178="","",B178)</f>
        <v/>
      </c>
      <c r="O178" s="20" t="str">
        <f>IF(B178&lt;&gt;"",LARGE(M177:M179,2),"")</f>
        <v/>
      </c>
      <c r="P178" s="20" t="str">
        <f>VLOOKUP(O178,M177:N179,2,0)</f>
        <v/>
      </c>
    </row>
    <row r="179" spans="2:16" ht="18" customHeight="1" x14ac:dyDescent="0.25">
      <c r="B179" s="15"/>
      <c r="C179" s="15" t="str">
        <f>IFERROR(IF(B179="","",VLOOKUP(B179,LISTAS!$F$5:$G$1004,2,0)),"0")</f>
        <v/>
      </c>
      <c r="D179" s="15" t="str">
        <f>IF(H177&lt;3,"",IF(H177=3,IF(D183&lt;&gt;"",IF(H183&lt;&gt;"",IF(D183&lt;&gt;H183,IF(D183&gt;H183,"D","V"),""),""),"")))</f>
        <v/>
      </c>
      <c r="E179" s="15" t="str">
        <f>IF(H177&lt;3,"",IF(H177=3,IF(D184&lt;&gt;"",IF(H184&lt;&gt;"",IF(D184&lt;&gt;H184,IF(D184&gt;H184,"D","V"),""),""),"")))</f>
        <v/>
      </c>
      <c r="F179" s="15" t="s">
        <v>81</v>
      </c>
      <c r="G179" s="15" t="s">
        <v>81</v>
      </c>
      <c r="H179" s="115"/>
      <c r="I179" s="15" t="str">
        <f>IF(B179&lt;&gt;"",3,"")</f>
        <v/>
      </c>
      <c r="J179" s="15" t="str">
        <f>IF(I179&lt;&gt;"",P179,"")</f>
        <v/>
      </c>
      <c r="K179" s="15" t="str">
        <f>IFERROR(IF(J179="","",VLOOKUP(J179,LISTAS!$F$5:$G$1004,2,0)),"0")</f>
        <v/>
      </c>
      <c r="L179" s="119" t="str">
        <f>IF(H177=3,"BRONZE",IF(H177=4,"PRATA",IF(H177=5,"OURO","")))</f>
        <v/>
      </c>
      <c r="M179" s="20" t="str">
        <f>IF(B179&lt;&gt;"",COUNTIF(D179:G179,"V")+(SUMIF(B183:B185,B179,D183:E185)/1000)+(SUMIF(J183:J185,B179,H183:I185)/1000)-(SUMIF(B183:B185,B179,H183:I185)/1000)-(SUMIF(J183:J185,B179,D183:E185)/1000)+0.001,"")</f>
        <v/>
      </c>
      <c r="N179" s="20" t="str">
        <f>IF(B179="","",B179)</f>
        <v/>
      </c>
      <c r="O179" s="20" t="str">
        <f>IF(B179&lt;&gt;"",LARGE(M177:M179,3),"")</f>
        <v/>
      </c>
      <c r="P179" s="20" t="str">
        <f>VLOOKUP(O179,M177:N179,2,0)</f>
        <v/>
      </c>
    </row>
    <row r="180" spans="2:16" ht="18" customHeight="1" x14ac:dyDescent="0.25">
      <c r="B180" s="79"/>
      <c r="C180" s="79"/>
      <c r="D180" s="79"/>
      <c r="E180" s="79"/>
      <c r="F180" s="79"/>
      <c r="G180" s="79"/>
      <c r="I180" s="80"/>
      <c r="J180" s="79"/>
      <c r="K180" s="81"/>
      <c r="L180" s="81"/>
    </row>
    <row r="181" spans="2:16" ht="23.25" customHeight="1" x14ac:dyDescent="0.25">
      <c r="B181" s="82" t="s">
        <v>40</v>
      </c>
      <c r="C181" s="79"/>
      <c r="D181" s="79"/>
      <c r="E181" s="79"/>
      <c r="F181" s="79"/>
      <c r="G181" s="79"/>
      <c r="H181" s="79"/>
      <c r="I181" s="79"/>
      <c r="J181" s="79"/>
      <c r="K181" s="79"/>
      <c r="L181" s="79"/>
    </row>
    <row r="182" spans="2:16" ht="18" customHeight="1" x14ac:dyDescent="0.25">
      <c r="B182" s="9" t="s">
        <v>15</v>
      </c>
      <c r="C182" s="9" t="s">
        <v>0</v>
      </c>
      <c r="D182" s="228" t="s">
        <v>41</v>
      </c>
      <c r="E182" s="229"/>
      <c r="F182" s="229"/>
      <c r="G182" s="229"/>
      <c r="H182" s="229"/>
      <c r="I182" s="230"/>
      <c r="J182" s="9" t="s">
        <v>15</v>
      </c>
      <c r="K182" s="9" t="s">
        <v>0</v>
      </c>
      <c r="L182" s="79"/>
    </row>
    <row r="183" spans="2:16" ht="18" customHeight="1" x14ac:dyDescent="0.25">
      <c r="B183" s="15" t="str">
        <f>IF(H177=3,B177,"")</f>
        <v/>
      </c>
      <c r="C183" s="15" t="str">
        <f>IFERROR(IF(B183="","",VLOOKUP(B183,LISTAS!$F$5:$G$1004,2,0)),"0")</f>
        <v/>
      </c>
      <c r="D183" s="223"/>
      <c r="E183" s="224"/>
      <c r="F183" s="223" t="s">
        <v>38</v>
      </c>
      <c r="G183" s="224"/>
      <c r="H183" s="223"/>
      <c r="I183" s="224"/>
      <c r="J183" s="21" t="str">
        <f>IF(H177=3,B179,"")</f>
        <v/>
      </c>
      <c r="K183" s="15" t="str">
        <f>IFERROR(IF(J183="","",VLOOKUP(J183,LISTAS!$F$5:$G$1004,2,0)),"0")</f>
        <v/>
      </c>
      <c r="L183" s="81"/>
    </row>
    <row r="184" spans="2:16" ht="18" customHeight="1" x14ac:dyDescent="0.25">
      <c r="B184" s="15" t="str">
        <f>IF(H177=3,B178,"")</f>
        <v/>
      </c>
      <c r="C184" s="15" t="str">
        <f>IFERROR(IF(B184="","",VLOOKUP(B184,LISTAS!$F$5:$G$1004,2,0)),"0")</f>
        <v/>
      </c>
      <c r="D184" s="223"/>
      <c r="E184" s="224"/>
      <c r="F184" s="223" t="s">
        <v>38</v>
      </c>
      <c r="G184" s="224"/>
      <c r="H184" s="223"/>
      <c r="I184" s="224"/>
      <c r="J184" s="21" t="str">
        <f>IF(H177=3,B179,"")</f>
        <v/>
      </c>
      <c r="K184" s="15" t="str">
        <f>IFERROR(IF(J184="","",VLOOKUP(J184,LISTAS!$F$5:$G$1004,2,0)),"0")</f>
        <v/>
      </c>
      <c r="L184" s="79"/>
    </row>
    <row r="185" spans="2:16" ht="18" customHeight="1" x14ac:dyDescent="0.25">
      <c r="B185" s="15" t="str">
        <f>IF(H177=3,B177,"")</f>
        <v/>
      </c>
      <c r="C185" s="15" t="str">
        <f>IFERROR(IF(B185="","",VLOOKUP(B185,LISTAS!$F$5:$G$1004,2,0)),"0")</f>
        <v/>
      </c>
      <c r="D185" s="223"/>
      <c r="E185" s="224"/>
      <c r="F185" s="223" t="s">
        <v>38</v>
      </c>
      <c r="G185" s="224"/>
      <c r="H185" s="223"/>
      <c r="I185" s="224"/>
      <c r="J185" s="21" t="str">
        <f>IF(H177=3,B178,"")</f>
        <v/>
      </c>
      <c r="K185" s="15" t="str">
        <f>IFERROR(IF(J185="","",VLOOKUP(J185,LISTAS!$F$5:$G$1004,2,0)),"0")</f>
        <v/>
      </c>
      <c r="L185" s="81"/>
    </row>
    <row r="188" spans="2:16" ht="30" customHeight="1" x14ac:dyDescent="0.25">
      <c r="B188" s="161" t="s">
        <v>58</v>
      </c>
      <c r="C188" s="79"/>
      <c r="D188" s="225" t="s">
        <v>42</v>
      </c>
      <c r="E188" s="226"/>
      <c r="F188" s="226"/>
      <c r="G188" s="227"/>
      <c r="H188" s="113"/>
      <c r="I188" s="225" t="s">
        <v>3</v>
      </c>
      <c r="J188" s="226"/>
      <c r="K188" s="226"/>
      <c r="L188" s="226"/>
    </row>
    <row r="189" spans="2:16" ht="18" customHeight="1" x14ac:dyDescent="0.25">
      <c r="B189" s="9" t="s">
        <v>15</v>
      </c>
      <c r="C189" s="9" t="s">
        <v>0</v>
      </c>
      <c r="D189" s="9" t="s">
        <v>43</v>
      </c>
      <c r="E189" s="9" t="s">
        <v>44</v>
      </c>
      <c r="F189" s="9" t="s">
        <v>77</v>
      </c>
      <c r="G189" s="9" t="s">
        <v>78</v>
      </c>
      <c r="H189" s="114"/>
      <c r="I189" s="9" t="s">
        <v>18</v>
      </c>
      <c r="J189" s="9" t="s">
        <v>15</v>
      </c>
      <c r="K189" s="9" t="s">
        <v>0</v>
      </c>
      <c r="L189" s="9" t="s">
        <v>45</v>
      </c>
    </row>
    <row r="190" spans="2:16" ht="18" customHeight="1" x14ac:dyDescent="0.25">
      <c r="B190" s="15"/>
      <c r="C190" s="15" t="str">
        <f>IFERROR(IF(B190="","",VLOOKUP(B190,LISTAS!$F$5:$G$1004,2,0)),"0")</f>
        <v/>
      </c>
      <c r="D190" s="15" t="str">
        <f>IF(H190&lt;3,"",IF(H190=3,IF(D196&lt;&gt;"",IF(H196&lt;&gt;"",IF(D196&lt;&gt;H196,IF(D196&gt;H196,"V","D"),""),""),"")))</f>
        <v/>
      </c>
      <c r="E190" s="15" t="str">
        <f>IF(H190&lt;3,"",IF(H190=3,IF(D198&lt;&gt;"",IF(H198&lt;&gt;"",IF(D198&lt;&gt;H198,IF(D198&gt;H198,"V","D"),""),""),"")))</f>
        <v/>
      </c>
      <c r="F190" s="15" t="s">
        <v>81</v>
      </c>
      <c r="G190" s="15" t="s">
        <v>81</v>
      </c>
      <c r="H190" s="117">
        <f>COUNTA(B190:B192)</f>
        <v>0</v>
      </c>
      <c r="I190" s="15" t="str">
        <f>IF(B190&lt;&gt;"",1,"")</f>
        <v/>
      </c>
      <c r="J190" s="15" t="str">
        <f>IF(I190&lt;&gt;"",P190,"")</f>
        <v/>
      </c>
      <c r="K190" s="15" t="str">
        <f>IFERROR(IF(J190="","",VLOOKUP(J190,LISTAS!$F$5:$G$1004,2,0)),"0")</f>
        <v/>
      </c>
      <c r="L190" s="119" t="str">
        <f>IF(H190=3,"OURO",IF(H190=4,"OURO",IF(H190=5,"OURO","")))</f>
        <v/>
      </c>
      <c r="M190" s="20" t="str">
        <f>IF(B190&lt;&gt;"",COUNTIF(D190:G190,"V")+(SUMIF(B196:B198,B190,D196:E198)/1000)+(SUMIF(J196:J198,B190,H196:I198)/1000)-(SUMIF(B196:B198,B190,H196:I198)/1000)-(SUMIF(J196:J198,B190,D196:E198)/1000)+0.003,"")</f>
        <v/>
      </c>
      <c r="N190" s="20" t="str">
        <f>IF(B190="","",B190)</f>
        <v/>
      </c>
      <c r="O190" s="20" t="str">
        <f>IF(B190&lt;&gt;"",LARGE(M190:M192,1),"")</f>
        <v/>
      </c>
      <c r="P190" s="20" t="str">
        <f>VLOOKUP(O190,M190:N192,2,0)</f>
        <v/>
      </c>
    </row>
    <row r="191" spans="2:16" ht="18" customHeight="1" x14ac:dyDescent="0.25">
      <c r="B191" s="15"/>
      <c r="C191" s="15" t="str">
        <f>IFERROR(IF(B191="","",VLOOKUP(B191,LISTAS!$F$5:$G$1004,2,0)),"0")</f>
        <v/>
      </c>
      <c r="D191" s="15" t="str">
        <f>IF(H190&lt;3,"",IF(H190=3,IF(D197&lt;&gt;"",IF(H197&lt;&gt;"",IF(D197&lt;&gt;H197,IF(D197&gt;H197,"V","D"),""),""),"")))</f>
        <v/>
      </c>
      <c r="E191" s="15" t="str">
        <f>IF(H190&lt;3,"",IF(H190=3,IF(D198&lt;&gt;"",IF(H198&lt;&gt;"",IF(D198&lt;&gt;H198,IF(D198&gt;H198,"D","V"),""),""),"")))</f>
        <v/>
      </c>
      <c r="F191" s="15" t="s">
        <v>81</v>
      </c>
      <c r="G191" s="15" t="s">
        <v>81</v>
      </c>
      <c r="H191" s="115"/>
      <c r="I191" s="15" t="str">
        <f>IF(B191&lt;&gt;"",2,"")</f>
        <v/>
      </c>
      <c r="J191" s="15" t="str">
        <f>IF(I191&lt;&gt;"",P191,"")</f>
        <v/>
      </c>
      <c r="K191" s="15" t="str">
        <f>IFERROR(IF(J191="","",VLOOKUP(J191,LISTAS!$F$5:$G$1004,2,0)),"0")</f>
        <v/>
      </c>
      <c r="L191" s="119" t="str">
        <f>IF(H190=3,"PRATA",IF(H190=4,"OURO",IF(H190=5,"OURO","")))</f>
        <v/>
      </c>
      <c r="M191" s="20" t="str">
        <f>IF(B191&lt;&gt;"",COUNTIF(D191:G191,"V")+(SUMIF(B196:B198,B191,D196:E198)/1000)+(SUMIF(J196:J198,B191,H196:I198)/1000)-(SUMIF(B196:B198,B191,H196:I198)/1000)-(SUMIF(J196:J198,B191,D196:E198)/1000)+0.002,"")</f>
        <v/>
      </c>
      <c r="N191" s="20" t="str">
        <f t="shared" ref="N191" si="13">IF(B191="","",B191)</f>
        <v/>
      </c>
      <c r="O191" s="20" t="str">
        <f>IF(B191&lt;&gt;"",LARGE(M190:M192,2),"")</f>
        <v/>
      </c>
      <c r="P191" s="20" t="str">
        <f>VLOOKUP(O191,M190:N192,2,0)</f>
        <v/>
      </c>
    </row>
    <row r="192" spans="2:16" ht="18" customHeight="1" x14ac:dyDescent="0.25">
      <c r="B192" s="15"/>
      <c r="C192" s="15" t="str">
        <f>IFERROR(IF(B192="","",VLOOKUP(B192,LISTAS!$F$5:$G$1004,2,0)),"0")</f>
        <v/>
      </c>
      <c r="D192" s="15" t="str">
        <f>IF(H190&lt;3,"",IF(H190=3,IF(D196&lt;&gt;"",IF(H196&lt;&gt;"",IF(D196&lt;&gt;H196,IF(D196&gt;H196,"D","V"),""),""),"")))</f>
        <v/>
      </c>
      <c r="E192" s="15" t="str">
        <f>IF(H190&lt;3,"",IF(H190=3,IF(D197&lt;&gt;"",IF(H197&lt;&gt;"",IF(D197&lt;&gt;H197,IF(D197&gt;H197,"D","V"),""),""),"")))</f>
        <v/>
      </c>
      <c r="F192" s="15" t="s">
        <v>81</v>
      </c>
      <c r="G192" s="15" t="s">
        <v>81</v>
      </c>
      <c r="H192" s="115"/>
      <c r="I192" s="15" t="str">
        <f>IF(B192&lt;&gt;"",3,"")</f>
        <v/>
      </c>
      <c r="J192" s="15" t="str">
        <f>IF(I192&lt;&gt;"",P192,"")</f>
        <v/>
      </c>
      <c r="K192" s="15" t="str">
        <f>IFERROR(IF(J192="","",VLOOKUP(J192,LISTAS!$F$5:$G$1004,2,0)),"0")</f>
        <v/>
      </c>
      <c r="L192" s="119" t="str">
        <f>IF(H190=3,"BRONZE",IF(H190=4,"PRATA",IF(H190=5,"OURO","")))</f>
        <v/>
      </c>
      <c r="M192" s="20" t="str">
        <f>IF(B192&lt;&gt;"",COUNTIF(D192:G192,"V")+(SUMIF(B196:B198,B192,D196:E198)/1000)+(SUMIF(J196:J198,B192,H196:I198)/1000)-(SUMIF(B196:B198,B192,H196:I198)/1000)-(SUMIF(J196:J198,B192,D196:E198)/1000)+0.001,"")</f>
        <v/>
      </c>
      <c r="N192" s="20" t="str">
        <f>IF(B192="","",B192)</f>
        <v/>
      </c>
      <c r="O192" s="20" t="str">
        <f>IF(B192&lt;&gt;"",LARGE(M190:M192,3),"")</f>
        <v/>
      </c>
      <c r="P192" s="20" t="str">
        <f>VLOOKUP(O192,M190:N192,2,0)</f>
        <v/>
      </c>
    </row>
    <row r="193" spans="2:16" ht="18" customHeight="1" x14ac:dyDescent="0.25">
      <c r="B193" s="79"/>
      <c r="C193" s="79"/>
      <c r="D193" s="79"/>
      <c r="E193" s="79"/>
      <c r="F193" s="79"/>
      <c r="G193" s="79"/>
      <c r="I193" s="80"/>
      <c r="J193" s="79"/>
      <c r="K193" s="81"/>
      <c r="L193" s="81"/>
    </row>
    <row r="194" spans="2:16" ht="23.25" customHeight="1" x14ac:dyDescent="0.25">
      <c r="B194" s="82" t="s">
        <v>40</v>
      </c>
      <c r="C194" s="79"/>
      <c r="D194" s="79"/>
      <c r="E194" s="79"/>
      <c r="F194" s="79"/>
      <c r="G194" s="79"/>
      <c r="H194" s="79"/>
      <c r="I194" s="79"/>
      <c r="J194" s="79"/>
      <c r="K194" s="79"/>
      <c r="L194" s="79"/>
    </row>
    <row r="195" spans="2:16" ht="18" customHeight="1" x14ac:dyDescent="0.25">
      <c r="B195" s="9" t="s">
        <v>15</v>
      </c>
      <c r="C195" s="9" t="s">
        <v>0</v>
      </c>
      <c r="D195" s="228" t="s">
        <v>41</v>
      </c>
      <c r="E195" s="229"/>
      <c r="F195" s="229"/>
      <c r="G195" s="229"/>
      <c r="H195" s="229"/>
      <c r="I195" s="230"/>
      <c r="J195" s="9" t="s">
        <v>15</v>
      </c>
      <c r="K195" s="9" t="s">
        <v>0</v>
      </c>
      <c r="L195" s="79"/>
    </row>
    <row r="196" spans="2:16" ht="18" customHeight="1" x14ac:dyDescent="0.25">
      <c r="B196" s="15" t="str">
        <f>IF(H190=3,B190,"")</f>
        <v/>
      </c>
      <c r="C196" s="15" t="str">
        <f>IFERROR(IF(B196="","",VLOOKUP(B196,LISTAS!$F$5:$G$1004,2,0)),"0")</f>
        <v/>
      </c>
      <c r="D196" s="223"/>
      <c r="E196" s="224"/>
      <c r="F196" s="223" t="s">
        <v>38</v>
      </c>
      <c r="G196" s="224"/>
      <c r="H196" s="223"/>
      <c r="I196" s="224"/>
      <c r="J196" s="21" t="str">
        <f>IF(H190=3,B192,"")</f>
        <v/>
      </c>
      <c r="K196" s="15" t="str">
        <f>IFERROR(IF(J196="","",VLOOKUP(J196,LISTAS!$F$5:$G$1004,2,0)),"0")</f>
        <v/>
      </c>
      <c r="L196" s="81"/>
    </row>
    <row r="197" spans="2:16" ht="18" customHeight="1" x14ac:dyDescent="0.25">
      <c r="B197" s="15" t="str">
        <f>IF(H190=3,B191,"")</f>
        <v/>
      </c>
      <c r="C197" s="15" t="str">
        <f>IFERROR(IF(B197="","",VLOOKUP(B197,LISTAS!$F$5:$G$1004,2,0)),"0")</f>
        <v/>
      </c>
      <c r="D197" s="223"/>
      <c r="E197" s="224"/>
      <c r="F197" s="223" t="s">
        <v>38</v>
      </c>
      <c r="G197" s="224"/>
      <c r="H197" s="223"/>
      <c r="I197" s="224"/>
      <c r="J197" s="21" t="str">
        <f>IF(H190=3,B192,"")</f>
        <v/>
      </c>
      <c r="K197" s="15" t="str">
        <f>IFERROR(IF(J197="","",VLOOKUP(J197,LISTAS!$F$5:$G$1004,2,0)),"0")</f>
        <v/>
      </c>
      <c r="L197" s="79"/>
    </row>
    <row r="198" spans="2:16" ht="18" customHeight="1" x14ac:dyDescent="0.25">
      <c r="B198" s="15" t="str">
        <f>IF(H190=3,B190,"")</f>
        <v/>
      </c>
      <c r="C198" s="15" t="str">
        <f>IFERROR(IF(B198="","",VLOOKUP(B198,LISTAS!$F$5:$G$1004,2,0)),"0")</f>
        <v/>
      </c>
      <c r="D198" s="223"/>
      <c r="E198" s="224"/>
      <c r="F198" s="223" t="s">
        <v>38</v>
      </c>
      <c r="G198" s="224"/>
      <c r="H198" s="223"/>
      <c r="I198" s="224"/>
      <c r="J198" s="21" t="str">
        <f>IF(H190=3,B191,"")</f>
        <v/>
      </c>
      <c r="K198" s="15" t="str">
        <f>IFERROR(IF(J198="","",VLOOKUP(J198,LISTAS!$F$5:$G$1004,2,0)),"0")</f>
        <v/>
      </c>
      <c r="L198" s="81"/>
    </row>
    <row r="201" spans="2:16" ht="30" customHeight="1" x14ac:dyDescent="0.25">
      <c r="B201" s="161" t="s">
        <v>59</v>
      </c>
      <c r="C201" s="79"/>
      <c r="D201" s="225" t="s">
        <v>42</v>
      </c>
      <c r="E201" s="226"/>
      <c r="F201" s="226"/>
      <c r="G201" s="227"/>
      <c r="H201" s="113"/>
      <c r="I201" s="225" t="s">
        <v>3</v>
      </c>
      <c r="J201" s="226"/>
      <c r="K201" s="226"/>
      <c r="L201" s="226"/>
    </row>
    <row r="202" spans="2:16" ht="18" customHeight="1" x14ac:dyDescent="0.25">
      <c r="B202" s="9" t="s">
        <v>15</v>
      </c>
      <c r="C202" s="9" t="s">
        <v>0</v>
      </c>
      <c r="D202" s="9" t="s">
        <v>43</v>
      </c>
      <c r="E202" s="9" t="s">
        <v>44</v>
      </c>
      <c r="F202" s="9" t="s">
        <v>77</v>
      </c>
      <c r="G202" s="9" t="s">
        <v>78</v>
      </c>
      <c r="H202" s="114"/>
      <c r="I202" s="9" t="s">
        <v>18</v>
      </c>
      <c r="J202" s="9" t="s">
        <v>15</v>
      </c>
      <c r="K202" s="9" t="s">
        <v>0</v>
      </c>
      <c r="L202" s="9" t="s">
        <v>45</v>
      </c>
    </row>
    <row r="203" spans="2:16" ht="18" customHeight="1" x14ac:dyDescent="0.25">
      <c r="B203" s="15"/>
      <c r="C203" s="15" t="str">
        <f>IFERROR(IF(B203="","",VLOOKUP(B203,LISTAS!$F$5:$G$1004,2,0)),"0")</f>
        <v/>
      </c>
      <c r="D203" s="15" t="str">
        <f>IF(H203&lt;3,"",IF(H203=3,IF(D209&lt;&gt;"",IF(H209&lt;&gt;"",IF(D209&lt;&gt;H209,IF(D209&gt;H209,"V","D"),""),""),"")))</f>
        <v/>
      </c>
      <c r="E203" s="15" t="str">
        <f>IF(H203&lt;3,"",IF(H203=3,IF(D211&lt;&gt;"",IF(H211&lt;&gt;"",IF(D211&lt;&gt;H211,IF(D211&gt;H211,"V","D"),""),""),"")))</f>
        <v/>
      </c>
      <c r="F203" s="15" t="s">
        <v>81</v>
      </c>
      <c r="G203" s="15" t="s">
        <v>81</v>
      </c>
      <c r="H203" s="117">
        <f>COUNTA(B203:B205)</f>
        <v>0</v>
      </c>
      <c r="I203" s="15" t="str">
        <f>IF(B203&lt;&gt;"",1,"")</f>
        <v/>
      </c>
      <c r="J203" s="15" t="str">
        <f>IF(I203&lt;&gt;"",P203,"")</f>
        <v/>
      </c>
      <c r="K203" s="15" t="str">
        <f>IFERROR(IF(J203="","",VLOOKUP(J203,LISTAS!$F$5:$G$1004,2,0)),"0")</f>
        <v/>
      </c>
      <c r="L203" s="119" t="str">
        <f>IF(H203=3,"OURO",IF(H203=4,"OURO",IF(H203=5,"OURO","")))</f>
        <v/>
      </c>
      <c r="M203" s="20" t="str">
        <f>IF(B203&lt;&gt;"",COUNTIF(D203:G203,"V")+(SUMIF(B209:B211,B203,D209:E211)/1000)+(SUMIF(J209:J211,B203,H209:I211)/1000)-(SUMIF(B209:B211,B203,H209:I211)/1000)-(SUMIF(J209:J211,B203,D209:E211)/1000)+0.003,"")</f>
        <v/>
      </c>
      <c r="N203" s="20" t="str">
        <f>IF(B203="","",B203)</f>
        <v/>
      </c>
      <c r="O203" s="20" t="str">
        <f>IF(B203&lt;&gt;"",LARGE(M203:M205,1),"")</f>
        <v/>
      </c>
      <c r="P203" s="20" t="str">
        <f>VLOOKUP(O203,M203:N205,2,0)</f>
        <v/>
      </c>
    </row>
    <row r="204" spans="2:16" ht="18" customHeight="1" x14ac:dyDescent="0.25">
      <c r="B204" s="15"/>
      <c r="C204" s="15" t="str">
        <f>IFERROR(IF(B204="","",VLOOKUP(B204,LISTAS!$F$5:$G$1004,2,0)),"0")</f>
        <v/>
      </c>
      <c r="D204" s="15" t="str">
        <f>IF(H203&lt;3,"",IF(H203=3,IF(D210&lt;&gt;"",IF(H210&lt;&gt;"",IF(D210&lt;&gt;H210,IF(D210&gt;H210,"V","D"),""),""),"")))</f>
        <v/>
      </c>
      <c r="E204" s="15" t="str">
        <f>IF(H203&lt;3,"",IF(H203=3,IF(D211&lt;&gt;"",IF(H211&lt;&gt;"",IF(D211&lt;&gt;H211,IF(D211&gt;H211,"D","V"),""),""),"")))</f>
        <v/>
      </c>
      <c r="F204" s="15" t="s">
        <v>81</v>
      </c>
      <c r="G204" s="15" t="s">
        <v>81</v>
      </c>
      <c r="H204" s="115"/>
      <c r="I204" s="15" t="str">
        <f>IF(B204&lt;&gt;"",2,"")</f>
        <v/>
      </c>
      <c r="J204" s="15" t="str">
        <f>IF(I204&lt;&gt;"",P204,"")</f>
        <v/>
      </c>
      <c r="K204" s="15" t="str">
        <f>IFERROR(IF(J204="","",VLOOKUP(J204,LISTAS!$F$5:$G$1004,2,0)),"0")</f>
        <v/>
      </c>
      <c r="L204" s="119" t="str">
        <f>IF(H203=3,"PRATA",IF(H203=4,"OURO",IF(H203=5,"OURO","")))</f>
        <v/>
      </c>
      <c r="M204" s="20" t="str">
        <f>IF(B204&lt;&gt;"",COUNTIF(D204:G204,"V")+(SUMIF(B209:B211,B204,D209:E211)/1000)+(SUMIF(J209:J211,B204,H209:I211)/1000)-(SUMIF(B209:B211,B204,H209:I211)/1000)-(SUMIF(J209:J211,B204,D209:E211)/1000)+0.002,"")</f>
        <v/>
      </c>
      <c r="N204" s="20" t="str">
        <f t="shared" ref="N204" si="14">IF(B204="","",B204)</f>
        <v/>
      </c>
      <c r="O204" s="20" t="str">
        <f>IF(B204&lt;&gt;"",LARGE(M203:M205,2),"")</f>
        <v/>
      </c>
      <c r="P204" s="20" t="str">
        <f>VLOOKUP(O204,M203:N205,2,0)</f>
        <v/>
      </c>
    </row>
    <row r="205" spans="2:16" ht="18" customHeight="1" x14ac:dyDescent="0.25">
      <c r="B205" s="15"/>
      <c r="C205" s="15" t="str">
        <f>IFERROR(IF(B205="","",VLOOKUP(B205,LISTAS!$F$5:$G$1004,2,0)),"0")</f>
        <v/>
      </c>
      <c r="D205" s="15" t="str">
        <f>IF(H203&lt;3,"",IF(H203=3,IF(D209&lt;&gt;"",IF(H209&lt;&gt;"",IF(D209&lt;&gt;H209,IF(D209&gt;H209,"D","V"),""),""),"")))</f>
        <v/>
      </c>
      <c r="E205" s="15" t="str">
        <f>IF(H203&lt;3,"",IF(H203=3,IF(D210&lt;&gt;"",IF(H210&lt;&gt;"",IF(D210&lt;&gt;H210,IF(D210&gt;H210,"D","V"),""),""),"")))</f>
        <v/>
      </c>
      <c r="F205" s="15" t="s">
        <v>81</v>
      </c>
      <c r="G205" s="15" t="s">
        <v>81</v>
      </c>
      <c r="H205" s="115"/>
      <c r="I205" s="15" t="str">
        <f>IF(B205&lt;&gt;"",3,"")</f>
        <v/>
      </c>
      <c r="J205" s="15" t="str">
        <f>IF(I205&lt;&gt;"",P205,"")</f>
        <v/>
      </c>
      <c r="K205" s="15" t="str">
        <f>IFERROR(IF(J205="","",VLOOKUP(J205,LISTAS!$F$5:$G$1004,2,0)),"0")</f>
        <v/>
      </c>
      <c r="L205" s="119" t="str">
        <f>IF(H203=3,"BRONZE",IF(H203=4,"PRATA",IF(H203=5,"OURO","")))</f>
        <v/>
      </c>
      <c r="M205" s="20" t="str">
        <f>IF(B205&lt;&gt;"",COUNTIF(D205:G205,"V")+(SUMIF(B209:B211,B205,D209:E211)/1000)+(SUMIF(J209:J211,B205,H209:I211)/1000)-(SUMIF(B209:B211,B205,H209:I211)/1000)-(SUMIF(J209:J211,B205,D209:E211)/1000)+0.001,"")</f>
        <v/>
      </c>
      <c r="N205" s="20" t="str">
        <f>IF(B205="","",B205)</f>
        <v/>
      </c>
      <c r="O205" s="20" t="str">
        <f>IF(B205&lt;&gt;"",LARGE(M203:M205,3),"")</f>
        <v/>
      </c>
      <c r="P205" s="20" t="str">
        <f>VLOOKUP(O205,M203:N205,2,0)</f>
        <v/>
      </c>
    </row>
    <row r="206" spans="2:16" ht="18" customHeight="1" x14ac:dyDescent="0.25">
      <c r="B206" s="79"/>
      <c r="C206" s="79"/>
      <c r="D206" s="79"/>
      <c r="E206" s="79"/>
      <c r="F206" s="79"/>
      <c r="G206" s="79"/>
      <c r="I206" s="80"/>
      <c r="J206" s="79"/>
      <c r="K206" s="81"/>
      <c r="L206" s="81"/>
    </row>
    <row r="207" spans="2:16" ht="23.25" customHeight="1" x14ac:dyDescent="0.25">
      <c r="B207" s="82" t="s">
        <v>40</v>
      </c>
      <c r="C207" s="79"/>
      <c r="D207" s="79"/>
      <c r="E207" s="79"/>
      <c r="F207" s="79"/>
      <c r="G207" s="79"/>
      <c r="H207" s="79"/>
      <c r="I207" s="79"/>
      <c r="J207" s="79"/>
      <c r="K207" s="79"/>
      <c r="L207" s="79"/>
    </row>
    <row r="208" spans="2:16" ht="18" customHeight="1" x14ac:dyDescent="0.25">
      <c r="B208" s="9" t="s">
        <v>15</v>
      </c>
      <c r="C208" s="9" t="s">
        <v>0</v>
      </c>
      <c r="D208" s="228" t="s">
        <v>41</v>
      </c>
      <c r="E208" s="229"/>
      <c r="F208" s="229"/>
      <c r="G208" s="229"/>
      <c r="H208" s="229"/>
      <c r="I208" s="230"/>
      <c r="J208" s="9" t="s">
        <v>15</v>
      </c>
      <c r="K208" s="9" t="s">
        <v>0</v>
      </c>
      <c r="L208" s="79"/>
    </row>
    <row r="209" spans="2:16" ht="18" customHeight="1" x14ac:dyDescent="0.25">
      <c r="B209" s="15" t="str">
        <f>IF(H203=3,B203,"")</f>
        <v/>
      </c>
      <c r="C209" s="15" t="str">
        <f>IFERROR(IF(B209="","",VLOOKUP(B209,LISTAS!$F$5:$G$1004,2,0)),"0")</f>
        <v/>
      </c>
      <c r="D209" s="223"/>
      <c r="E209" s="224"/>
      <c r="F209" s="223" t="s">
        <v>38</v>
      </c>
      <c r="G209" s="224"/>
      <c r="H209" s="223"/>
      <c r="I209" s="224"/>
      <c r="J209" s="21" t="str">
        <f>IF(H203=3,B205,"")</f>
        <v/>
      </c>
      <c r="K209" s="15" t="str">
        <f>IFERROR(IF(J209="","",VLOOKUP(J209,LISTAS!$F$5:$G$1004,2,0)),"0")</f>
        <v/>
      </c>
      <c r="L209" s="81"/>
    </row>
    <row r="210" spans="2:16" ht="18" customHeight="1" x14ac:dyDescent="0.25">
      <c r="B210" s="15" t="str">
        <f>IF(H203=3,B204,"")</f>
        <v/>
      </c>
      <c r="C210" s="15" t="str">
        <f>IFERROR(IF(B210="","",VLOOKUP(B210,LISTAS!$F$5:$G$1004,2,0)),"0")</f>
        <v/>
      </c>
      <c r="D210" s="223"/>
      <c r="E210" s="224"/>
      <c r="F210" s="223" t="s">
        <v>38</v>
      </c>
      <c r="G210" s="224"/>
      <c r="H210" s="223"/>
      <c r="I210" s="224"/>
      <c r="J210" s="21" t="str">
        <f>IF(H203=3,B205,"")</f>
        <v/>
      </c>
      <c r="K210" s="15" t="str">
        <f>IFERROR(IF(J210="","",VLOOKUP(J210,LISTAS!$F$5:$G$1004,2,0)),"0")</f>
        <v/>
      </c>
      <c r="L210" s="79"/>
    </row>
    <row r="211" spans="2:16" ht="18" customHeight="1" x14ac:dyDescent="0.25">
      <c r="B211" s="15" t="str">
        <f>IF(H203=3,B203,"")</f>
        <v/>
      </c>
      <c r="C211" s="15" t="str">
        <f>IFERROR(IF(B211="","",VLOOKUP(B211,LISTAS!$F$5:$G$1004,2,0)),"0")</f>
        <v/>
      </c>
      <c r="D211" s="223"/>
      <c r="E211" s="224"/>
      <c r="F211" s="223" t="s">
        <v>38</v>
      </c>
      <c r="G211" s="224"/>
      <c r="H211" s="223"/>
      <c r="I211" s="224"/>
      <c r="J211" s="21" t="str">
        <f>IF(H203=3,B204,"")</f>
        <v/>
      </c>
      <c r="K211" s="15" t="str">
        <f>IFERROR(IF(J211="","",VLOOKUP(J211,LISTAS!$F$5:$G$1004,2,0)),"0")</f>
        <v/>
      </c>
      <c r="L211" s="81"/>
    </row>
    <row r="214" spans="2:16" ht="30" customHeight="1" x14ac:dyDescent="0.25">
      <c r="B214" s="161" t="s">
        <v>60</v>
      </c>
      <c r="C214" s="79"/>
      <c r="D214" s="225" t="s">
        <v>42</v>
      </c>
      <c r="E214" s="226"/>
      <c r="F214" s="226"/>
      <c r="G214" s="227"/>
      <c r="H214" s="113"/>
      <c r="I214" s="225" t="s">
        <v>3</v>
      </c>
      <c r="J214" s="226"/>
      <c r="K214" s="226"/>
      <c r="L214" s="226"/>
    </row>
    <row r="215" spans="2:16" ht="18" customHeight="1" x14ac:dyDescent="0.25">
      <c r="B215" s="9" t="s">
        <v>15</v>
      </c>
      <c r="C215" s="9" t="s">
        <v>0</v>
      </c>
      <c r="D215" s="9" t="s">
        <v>43</v>
      </c>
      <c r="E215" s="9" t="s">
        <v>44</v>
      </c>
      <c r="F215" s="9" t="s">
        <v>77</v>
      </c>
      <c r="G215" s="9" t="s">
        <v>78</v>
      </c>
      <c r="H215" s="114"/>
      <c r="I215" s="9" t="s">
        <v>18</v>
      </c>
      <c r="J215" s="9" t="s">
        <v>15</v>
      </c>
      <c r="K215" s="9" t="s">
        <v>0</v>
      </c>
      <c r="L215" s="9" t="s">
        <v>45</v>
      </c>
    </row>
    <row r="216" spans="2:16" ht="18" customHeight="1" x14ac:dyDescent="0.25">
      <c r="B216" s="15"/>
      <c r="C216" s="15" t="str">
        <f>IFERROR(IF(B216="","",VLOOKUP(B216,LISTAS!$F$5:$G$1004,2,0)),"0")</f>
        <v/>
      </c>
      <c r="D216" s="15" t="str">
        <f>IF(H216&lt;3,"",IF(H216=3,IF(D222&lt;&gt;"",IF(H222&lt;&gt;"",IF(D222&lt;&gt;H222,IF(D222&gt;H222,"V","D"),""),""),"")))</f>
        <v/>
      </c>
      <c r="E216" s="15" t="str">
        <f>IF(H216&lt;3,"",IF(H216=3,IF(D224&lt;&gt;"",IF(H224&lt;&gt;"",IF(D224&lt;&gt;H224,IF(D224&gt;H224,"V","D"),""),""),"")))</f>
        <v/>
      </c>
      <c r="F216" s="15" t="s">
        <v>81</v>
      </c>
      <c r="G216" s="15" t="s">
        <v>81</v>
      </c>
      <c r="H216" s="117">
        <f>COUNTA(B216:B218)</f>
        <v>0</v>
      </c>
      <c r="I216" s="15" t="str">
        <f>IF(B216&lt;&gt;"",1,"")</f>
        <v/>
      </c>
      <c r="J216" s="15" t="str">
        <f>IF(I216&lt;&gt;"",P216,"")</f>
        <v/>
      </c>
      <c r="K216" s="15" t="str">
        <f>IFERROR(IF(J216="","",VLOOKUP(J216,LISTAS!$F$5:$G$1004,2,0)),"0")</f>
        <v/>
      </c>
      <c r="L216" s="119" t="str">
        <f>IF(H216=3,"OURO",IF(H216=4,"OURO",IF(H216=5,"OURO","")))</f>
        <v/>
      </c>
      <c r="M216" s="20" t="str">
        <f>IF(B216&lt;&gt;"",COUNTIF(D216:G216,"V")+(SUMIF(B222:B224,B216,D222:E224)/1000)+(SUMIF(J222:J224,B216,H222:I224)/1000)-(SUMIF(B222:B224,B216,H222:I224)/1000)-(SUMIF(J222:J224,B216,D222:E224)/1000)+0.003,"")</f>
        <v/>
      </c>
      <c r="N216" s="20" t="str">
        <f>IF(B216="","",B216)</f>
        <v/>
      </c>
      <c r="O216" s="20" t="str">
        <f>IF(B216&lt;&gt;"",LARGE(M216:M218,1),"")</f>
        <v/>
      </c>
      <c r="P216" s="20" t="str">
        <f>VLOOKUP(O216,M216:N218,2,0)</f>
        <v/>
      </c>
    </row>
    <row r="217" spans="2:16" ht="18" customHeight="1" x14ac:dyDescent="0.25">
      <c r="B217" s="15"/>
      <c r="C217" s="15" t="str">
        <f>IFERROR(IF(B217="","",VLOOKUP(B217,LISTAS!$F$5:$G$1004,2,0)),"0")</f>
        <v/>
      </c>
      <c r="D217" s="15" t="str">
        <f>IF(H216&lt;3,"",IF(H216=3,IF(D223&lt;&gt;"",IF(H223&lt;&gt;"",IF(D223&lt;&gt;H223,IF(D223&gt;H223,"V","D"),""),""),"")))</f>
        <v/>
      </c>
      <c r="E217" s="15" t="str">
        <f>IF(H216&lt;3,"",IF(H216=3,IF(D224&lt;&gt;"",IF(H224&lt;&gt;"",IF(D224&lt;&gt;H224,IF(D224&gt;H224,"D","V"),""),""),"")))</f>
        <v/>
      </c>
      <c r="F217" s="15" t="s">
        <v>81</v>
      </c>
      <c r="G217" s="15" t="s">
        <v>81</v>
      </c>
      <c r="H217" s="115"/>
      <c r="I217" s="15" t="str">
        <f>IF(B217&lt;&gt;"",2,"")</f>
        <v/>
      </c>
      <c r="J217" s="15" t="str">
        <f>IF(I217&lt;&gt;"",P217,"")</f>
        <v/>
      </c>
      <c r="K217" s="15" t="str">
        <f>IFERROR(IF(J217="","",VLOOKUP(J217,LISTAS!$F$5:$G$1004,2,0)),"0")</f>
        <v/>
      </c>
      <c r="L217" s="119" t="str">
        <f>IF(H216=3,"PRATA",IF(H216=4,"OURO",IF(H216=5,"OURO","")))</f>
        <v/>
      </c>
      <c r="M217" s="20" t="str">
        <f>IF(B217&lt;&gt;"",COUNTIF(D217:G217,"V")+(SUMIF(B222:B224,B217,D222:E224)/1000)+(SUMIF(J222:J224,B217,H222:I224)/1000)-(SUMIF(B222:B224,B217,H222:I224)/1000)-(SUMIF(J222:J224,B217,D222:E224)/1000)+0.002,"")</f>
        <v/>
      </c>
      <c r="N217" s="20" t="str">
        <f t="shared" ref="N217" si="15">IF(B217="","",B217)</f>
        <v/>
      </c>
      <c r="O217" s="20" t="str">
        <f>IF(B217&lt;&gt;"",LARGE(M216:M218,2),"")</f>
        <v/>
      </c>
      <c r="P217" s="20" t="str">
        <f>VLOOKUP(O217,M216:N218,2,0)</f>
        <v/>
      </c>
    </row>
    <row r="218" spans="2:16" ht="18" customHeight="1" x14ac:dyDescent="0.25">
      <c r="B218" s="15"/>
      <c r="C218" s="15" t="str">
        <f>IFERROR(IF(B218="","",VLOOKUP(B218,LISTAS!$F$5:$G$1004,2,0)),"0")</f>
        <v/>
      </c>
      <c r="D218" s="15" t="str">
        <f>IF(H216&lt;3,"",IF(H216=3,IF(D222&lt;&gt;"",IF(H222&lt;&gt;"",IF(D222&lt;&gt;H222,IF(D222&gt;H222,"D","V"),""),""),"")))</f>
        <v/>
      </c>
      <c r="E218" s="15" t="str">
        <f>IF(H216&lt;3,"",IF(H216=3,IF(D223&lt;&gt;"",IF(H223&lt;&gt;"",IF(D223&lt;&gt;H223,IF(D223&gt;H223,"D","V"),""),""),"")))</f>
        <v/>
      </c>
      <c r="F218" s="15" t="s">
        <v>81</v>
      </c>
      <c r="G218" s="15" t="s">
        <v>81</v>
      </c>
      <c r="H218" s="115"/>
      <c r="I218" s="15" t="str">
        <f>IF(B218&lt;&gt;"",3,"")</f>
        <v/>
      </c>
      <c r="J218" s="15" t="str">
        <f>IF(I218&lt;&gt;"",P218,"")</f>
        <v/>
      </c>
      <c r="K218" s="15" t="str">
        <f>IFERROR(IF(J218="","",VLOOKUP(J218,LISTAS!$F$5:$G$1004,2,0)),"0")</f>
        <v/>
      </c>
      <c r="L218" s="119" t="str">
        <f>IF(H216=3,"BRONZE",IF(H216=4,"PRATA",IF(H216=5,"OURO","")))</f>
        <v/>
      </c>
      <c r="M218" s="20" t="str">
        <f>IF(B218&lt;&gt;"",COUNTIF(D218:G218,"V")+(SUMIF(B222:B224,B218,D222:E224)/1000)+(SUMIF(J222:J224,B218,H222:I224)/1000)-(SUMIF(B222:B224,B218,H222:I224)/1000)-(SUMIF(J222:J224,B218,D222:E224)/1000)+0.001,"")</f>
        <v/>
      </c>
      <c r="N218" s="20" t="str">
        <f>IF(B218="","",B218)</f>
        <v/>
      </c>
      <c r="O218" s="20" t="str">
        <f>IF(B218&lt;&gt;"",LARGE(M216:M218,3),"")</f>
        <v/>
      </c>
      <c r="P218" s="20" t="str">
        <f>VLOOKUP(O218,M216:N218,2,0)</f>
        <v/>
      </c>
    </row>
    <row r="219" spans="2:16" ht="18" customHeight="1" x14ac:dyDescent="0.25">
      <c r="B219" s="79"/>
      <c r="C219" s="79"/>
      <c r="D219" s="79"/>
      <c r="E219" s="79"/>
      <c r="F219" s="79"/>
      <c r="G219" s="79"/>
      <c r="I219" s="80"/>
      <c r="J219" s="79"/>
      <c r="K219" s="81"/>
      <c r="L219" s="81"/>
    </row>
    <row r="220" spans="2:16" ht="23.25" customHeight="1" x14ac:dyDescent="0.25">
      <c r="B220" s="82" t="s">
        <v>40</v>
      </c>
      <c r="C220" s="79"/>
      <c r="D220" s="79"/>
      <c r="E220" s="79"/>
      <c r="F220" s="79"/>
      <c r="G220" s="79"/>
      <c r="H220" s="79"/>
      <c r="I220" s="79"/>
      <c r="J220" s="79"/>
      <c r="K220" s="79"/>
      <c r="L220" s="79"/>
    </row>
    <row r="221" spans="2:16" ht="18" customHeight="1" x14ac:dyDescent="0.25">
      <c r="B221" s="9" t="s">
        <v>15</v>
      </c>
      <c r="C221" s="9" t="s">
        <v>0</v>
      </c>
      <c r="D221" s="228" t="s">
        <v>41</v>
      </c>
      <c r="E221" s="229"/>
      <c r="F221" s="229"/>
      <c r="G221" s="229"/>
      <c r="H221" s="229"/>
      <c r="I221" s="230"/>
      <c r="J221" s="9" t="s">
        <v>15</v>
      </c>
      <c r="K221" s="9" t="s">
        <v>0</v>
      </c>
      <c r="L221" s="79"/>
    </row>
    <row r="222" spans="2:16" ht="18" customHeight="1" x14ac:dyDescent="0.25">
      <c r="B222" s="15" t="str">
        <f>IF(H216=3,B216,"")</f>
        <v/>
      </c>
      <c r="C222" s="15" t="str">
        <f>IFERROR(IF(B222="","",VLOOKUP(B222,LISTAS!$F$5:$G$1004,2,0)),"0")</f>
        <v/>
      </c>
      <c r="D222" s="223"/>
      <c r="E222" s="224"/>
      <c r="F222" s="223" t="s">
        <v>38</v>
      </c>
      <c r="G222" s="224"/>
      <c r="H222" s="223"/>
      <c r="I222" s="224"/>
      <c r="J222" s="21" t="str">
        <f>IF(H216=3,B218,"")</f>
        <v/>
      </c>
      <c r="K222" s="15" t="str">
        <f>IFERROR(IF(J222="","",VLOOKUP(J222,LISTAS!$F$5:$G$1004,2,0)),"0")</f>
        <v/>
      </c>
      <c r="L222" s="81"/>
    </row>
    <row r="223" spans="2:16" ht="18" customHeight="1" x14ac:dyDescent="0.25">
      <c r="B223" s="15" t="str">
        <f>IF(H216=3,B217,"")</f>
        <v/>
      </c>
      <c r="C223" s="15" t="str">
        <f>IFERROR(IF(B223="","",VLOOKUP(B223,LISTAS!$F$5:$G$1004,2,0)),"0")</f>
        <v/>
      </c>
      <c r="D223" s="223"/>
      <c r="E223" s="224"/>
      <c r="F223" s="223" t="s">
        <v>38</v>
      </c>
      <c r="G223" s="224"/>
      <c r="H223" s="223"/>
      <c r="I223" s="224"/>
      <c r="J223" s="21" t="str">
        <f>IF(H216=3,B218,"")</f>
        <v/>
      </c>
      <c r="K223" s="15" t="str">
        <f>IFERROR(IF(J223="","",VLOOKUP(J223,LISTAS!$F$5:$G$1004,2,0)),"0")</f>
        <v/>
      </c>
      <c r="L223" s="79"/>
    </row>
    <row r="224" spans="2:16" ht="18" customHeight="1" x14ac:dyDescent="0.25">
      <c r="B224" s="15" t="str">
        <f>IF(H216=3,B216,"")</f>
        <v/>
      </c>
      <c r="C224" s="15" t="str">
        <f>IFERROR(IF(B224="","",VLOOKUP(B224,LISTAS!$F$5:$G$1004,2,0)),"0")</f>
        <v/>
      </c>
      <c r="D224" s="223"/>
      <c r="E224" s="224"/>
      <c r="F224" s="223" t="s">
        <v>38</v>
      </c>
      <c r="G224" s="224"/>
      <c r="H224" s="223"/>
      <c r="I224" s="224"/>
      <c r="J224" s="21" t="str">
        <f>IF(H216=3,B217,"")</f>
        <v/>
      </c>
      <c r="K224" s="15" t="str">
        <f>IFERROR(IF(J224="","",VLOOKUP(J224,LISTAS!$F$5:$G$1004,2,0)),"0")</f>
        <v/>
      </c>
      <c r="L224" s="81"/>
    </row>
    <row r="227" spans="2:16" ht="30" customHeight="1" x14ac:dyDescent="0.25">
      <c r="B227" s="161" t="s">
        <v>61</v>
      </c>
      <c r="C227" s="79"/>
      <c r="D227" s="225" t="s">
        <v>42</v>
      </c>
      <c r="E227" s="226"/>
      <c r="F227" s="226"/>
      <c r="G227" s="227"/>
      <c r="H227" s="113"/>
      <c r="I227" s="225" t="s">
        <v>3</v>
      </c>
      <c r="J227" s="226"/>
      <c r="K227" s="226"/>
      <c r="L227" s="226"/>
    </row>
    <row r="228" spans="2:16" ht="18" customHeight="1" x14ac:dyDescent="0.25">
      <c r="B228" s="9" t="s">
        <v>15</v>
      </c>
      <c r="C228" s="9" t="s">
        <v>0</v>
      </c>
      <c r="D228" s="9" t="s">
        <v>43</v>
      </c>
      <c r="E228" s="9" t="s">
        <v>44</v>
      </c>
      <c r="F228" s="9" t="s">
        <v>77</v>
      </c>
      <c r="G228" s="9" t="s">
        <v>78</v>
      </c>
      <c r="H228" s="114"/>
      <c r="I228" s="9" t="s">
        <v>18</v>
      </c>
      <c r="J228" s="9" t="s">
        <v>15</v>
      </c>
      <c r="K228" s="9" t="s">
        <v>0</v>
      </c>
      <c r="L228" s="9" t="s">
        <v>45</v>
      </c>
    </row>
    <row r="229" spans="2:16" ht="18" customHeight="1" x14ac:dyDescent="0.25">
      <c r="B229" s="15"/>
      <c r="C229" s="15" t="str">
        <f>IFERROR(IF(B229="","",VLOOKUP(B229,LISTAS!$F$5:$G$1004,2,0)),"0")</f>
        <v/>
      </c>
      <c r="D229" s="15" t="str">
        <f>IF(H229&lt;3,"",IF(H229=3,IF(D235&lt;&gt;"",IF(H235&lt;&gt;"",IF(D235&lt;&gt;H235,IF(D235&gt;H235,"V","D"),""),""),"")))</f>
        <v/>
      </c>
      <c r="E229" s="15" t="str">
        <f>IF(H229&lt;3,"",IF(H229=3,IF(D237&lt;&gt;"",IF(H237&lt;&gt;"",IF(D237&lt;&gt;H237,IF(D237&gt;H237,"V","D"),""),""),"")))</f>
        <v/>
      </c>
      <c r="F229" s="15" t="s">
        <v>81</v>
      </c>
      <c r="G229" s="15" t="s">
        <v>81</v>
      </c>
      <c r="H229" s="117">
        <f>COUNTA(B229:B231)</f>
        <v>0</v>
      </c>
      <c r="I229" s="15" t="str">
        <f>IF(B229&lt;&gt;"",1,"")</f>
        <v/>
      </c>
      <c r="J229" s="15" t="str">
        <f>IF(I229&lt;&gt;"",P229,"")</f>
        <v/>
      </c>
      <c r="K229" s="15" t="str">
        <f>IFERROR(IF(J229="","",VLOOKUP(J229,LISTAS!$F$5:$G$1004,2,0)),"0")</f>
        <v/>
      </c>
      <c r="L229" s="119" t="str">
        <f>IF(H229=3,"OURO",IF(H229=4,"OURO",IF(H229=5,"OURO","")))</f>
        <v/>
      </c>
      <c r="M229" s="20" t="str">
        <f>IF(B229&lt;&gt;"",COUNTIF(D229:G229,"V")+(SUMIF(B235:B237,B229,D235:E237)/1000)+(SUMIF(J235:J237,B229,H235:I237)/1000)-(SUMIF(B235:B237,B229,H235:I237)/1000)-(SUMIF(J235:J237,B229,D235:E237)/1000)+0.003,"")</f>
        <v/>
      </c>
      <c r="N229" s="20" t="str">
        <f>IF(B229="","",B229)</f>
        <v/>
      </c>
      <c r="O229" s="20" t="str">
        <f>IF(B229&lt;&gt;"",LARGE(M229:M231,1),"")</f>
        <v/>
      </c>
      <c r="P229" s="20" t="str">
        <f>VLOOKUP(O229,M229:N231,2,0)</f>
        <v/>
      </c>
    </row>
    <row r="230" spans="2:16" ht="18" customHeight="1" x14ac:dyDescent="0.25">
      <c r="B230" s="15"/>
      <c r="C230" s="15" t="str">
        <f>IFERROR(IF(B230="","",VLOOKUP(B230,LISTAS!$F$5:$G$1004,2,0)),"0")</f>
        <v/>
      </c>
      <c r="D230" s="15" t="str">
        <f>IF(H229&lt;3,"",IF(H229=3,IF(D236&lt;&gt;"",IF(H236&lt;&gt;"",IF(D236&lt;&gt;H236,IF(D236&gt;H236,"V","D"),""),""),"")))</f>
        <v/>
      </c>
      <c r="E230" s="15" t="str">
        <f>IF(H229&lt;3,"",IF(H229=3,IF(D237&lt;&gt;"",IF(H237&lt;&gt;"",IF(D237&lt;&gt;H237,IF(D237&gt;H237,"D","V"),""),""),"")))</f>
        <v/>
      </c>
      <c r="F230" s="15" t="s">
        <v>81</v>
      </c>
      <c r="G230" s="15" t="s">
        <v>81</v>
      </c>
      <c r="H230" s="115"/>
      <c r="I230" s="15" t="str">
        <f>IF(B230&lt;&gt;"",2,"")</f>
        <v/>
      </c>
      <c r="J230" s="15" t="str">
        <f>IF(I230&lt;&gt;"",P230,"")</f>
        <v/>
      </c>
      <c r="K230" s="15" t="str">
        <f>IFERROR(IF(J230="","",VLOOKUP(J230,LISTAS!$F$5:$G$1004,2,0)),"0")</f>
        <v/>
      </c>
      <c r="L230" s="119" t="str">
        <f>IF(H229=3,"PRATA",IF(H229=4,"OURO",IF(H229=5,"OURO","")))</f>
        <v/>
      </c>
      <c r="M230" s="20" t="str">
        <f>IF(B230&lt;&gt;"",COUNTIF(D230:G230,"V")+(SUMIF(B235:B237,B230,D235:E237)/1000)+(SUMIF(J235:J237,B230,H235:I237)/1000)-(SUMIF(B235:B237,B230,H235:I237)/1000)-(SUMIF(J235:J237,B230,D235:E237)/1000)+0.002,"")</f>
        <v/>
      </c>
      <c r="N230" s="20" t="str">
        <f t="shared" ref="N230" si="16">IF(B230="","",B230)</f>
        <v/>
      </c>
      <c r="O230" s="20" t="str">
        <f>IF(B230&lt;&gt;"",LARGE(M229:M231,2),"")</f>
        <v/>
      </c>
      <c r="P230" s="20" t="str">
        <f>VLOOKUP(O230,M229:N231,2,0)</f>
        <v/>
      </c>
    </row>
    <row r="231" spans="2:16" ht="18" customHeight="1" x14ac:dyDescent="0.25">
      <c r="B231" s="15"/>
      <c r="C231" s="15" t="str">
        <f>IFERROR(IF(B231="","",VLOOKUP(B231,LISTAS!$F$5:$G$1004,2,0)),"0")</f>
        <v/>
      </c>
      <c r="D231" s="15" t="str">
        <f>IF(H229&lt;3,"",IF(H229=3,IF(D235&lt;&gt;"",IF(H235&lt;&gt;"",IF(D235&lt;&gt;H235,IF(D235&gt;H235,"D","V"),""),""),"")))</f>
        <v/>
      </c>
      <c r="E231" s="15" t="str">
        <f>IF(H229&lt;3,"",IF(H229=3,IF(D236&lt;&gt;"",IF(H236&lt;&gt;"",IF(D236&lt;&gt;H236,IF(D236&gt;H236,"D","V"),""),""),"")))</f>
        <v/>
      </c>
      <c r="F231" s="15" t="s">
        <v>81</v>
      </c>
      <c r="G231" s="15" t="s">
        <v>81</v>
      </c>
      <c r="H231" s="115"/>
      <c r="I231" s="15" t="str">
        <f>IF(B231&lt;&gt;"",3,"")</f>
        <v/>
      </c>
      <c r="J231" s="15" t="str">
        <f>IF(I231&lt;&gt;"",P231,"")</f>
        <v/>
      </c>
      <c r="K231" s="15" t="str">
        <f>IFERROR(IF(J231="","",VLOOKUP(J231,LISTAS!$F$5:$G$1004,2,0)),"0")</f>
        <v/>
      </c>
      <c r="L231" s="119" t="str">
        <f>IF(H229=3,"BRONZE",IF(H229=4,"PRATA",IF(H229=5,"OURO","")))</f>
        <v/>
      </c>
      <c r="M231" s="20" t="str">
        <f>IF(B231&lt;&gt;"",COUNTIF(D231:G231,"V")+(SUMIF(B235:B237,B231,D235:E237)/1000)+(SUMIF(J235:J237,B231,H235:I237)/1000)-(SUMIF(B235:B237,B231,H235:I237)/1000)-(SUMIF(J235:J237,B231,D235:E237)/1000)+0.001,"")</f>
        <v/>
      </c>
      <c r="N231" s="20" t="str">
        <f>IF(B231="","",B231)</f>
        <v/>
      </c>
      <c r="O231" s="20" t="str">
        <f>IF(B231&lt;&gt;"",LARGE(M229:M231,3),"")</f>
        <v/>
      </c>
      <c r="P231" s="20" t="str">
        <f>VLOOKUP(O231,M229:N231,2,0)</f>
        <v/>
      </c>
    </row>
    <row r="232" spans="2:16" ht="18" customHeight="1" x14ac:dyDescent="0.25">
      <c r="B232" s="79"/>
      <c r="C232" s="79"/>
      <c r="D232" s="79"/>
      <c r="E232" s="79"/>
      <c r="F232" s="79"/>
      <c r="G232" s="79"/>
      <c r="I232" s="80"/>
      <c r="J232" s="79"/>
      <c r="K232" s="81"/>
      <c r="L232" s="81"/>
    </row>
    <row r="233" spans="2:16" ht="23.25" customHeight="1" x14ac:dyDescent="0.25">
      <c r="B233" s="82" t="s">
        <v>40</v>
      </c>
      <c r="C233" s="79"/>
      <c r="D233" s="79"/>
      <c r="E233" s="79"/>
      <c r="F233" s="79"/>
      <c r="G233" s="79"/>
      <c r="H233" s="79"/>
      <c r="I233" s="79"/>
      <c r="J233" s="79"/>
      <c r="K233" s="79"/>
      <c r="L233" s="79"/>
    </row>
    <row r="234" spans="2:16" ht="18" customHeight="1" x14ac:dyDescent="0.25">
      <c r="B234" s="9" t="s">
        <v>15</v>
      </c>
      <c r="C234" s="9" t="s">
        <v>0</v>
      </c>
      <c r="D234" s="228" t="s">
        <v>41</v>
      </c>
      <c r="E234" s="229"/>
      <c r="F234" s="229"/>
      <c r="G234" s="229"/>
      <c r="H234" s="229"/>
      <c r="I234" s="230"/>
      <c r="J234" s="9" t="s">
        <v>15</v>
      </c>
      <c r="K234" s="9" t="s">
        <v>0</v>
      </c>
      <c r="L234" s="79"/>
    </row>
    <row r="235" spans="2:16" ht="18" customHeight="1" x14ac:dyDescent="0.25">
      <c r="B235" s="15" t="str">
        <f>IF(H229=3,B229,"")</f>
        <v/>
      </c>
      <c r="C235" s="15" t="str">
        <f>IFERROR(IF(B235="","",VLOOKUP(B235,LISTAS!$F$5:$G$1004,2,0)),"0")</f>
        <v/>
      </c>
      <c r="D235" s="223"/>
      <c r="E235" s="224"/>
      <c r="F235" s="223" t="s">
        <v>38</v>
      </c>
      <c r="G235" s="224"/>
      <c r="H235" s="223"/>
      <c r="I235" s="224"/>
      <c r="J235" s="21" t="str">
        <f>IF(H229=3,B231,"")</f>
        <v/>
      </c>
      <c r="K235" s="15" t="str">
        <f>IFERROR(IF(J235="","",VLOOKUP(J235,LISTAS!$F$5:$G$1004,2,0)),"0")</f>
        <v/>
      </c>
      <c r="L235" s="81"/>
    </row>
    <row r="236" spans="2:16" ht="18" customHeight="1" x14ac:dyDescent="0.25">
      <c r="B236" s="15" t="str">
        <f>IF(H229=3,B230,"")</f>
        <v/>
      </c>
      <c r="C236" s="15" t="str">
        <f>IFERROR(IF(B236="","",VLOOKUP(B236,LISTAS!$F$5:$G$1004,2,0)),"0")</f>
        <v/>
      </c>
      <c r="D236" s="223"/>
      <c r="E236" s="224"/>
      <c r="F236" s="223" t="s">
        <v>38</v>
      </c>
      <c r="G236" s="224"/>
      <c r="H236" s="223"/>
      <c r="I236" s="224"/>
      <c r="J236" s="21" t="str">
        <f>IF(H229=3,B231,"")</f>
        <v/>
      </c>
      <c r="K236" s="15" t="str">
        <f>IFERROR(IF(J236="","",VLOOKUP(J236,LISTAS!$F$5:$G$1004,2,0)),"0")</f>
        <v/>
      </c>
      <c r="L236" s="79"/>
    </row>
    <row r="237" spans="2:16" ht="18" customHeight="1" x14ac:dyDescent="0.25">
      <c r="B237" s="15" t="str">
        <f>IF(H229=3,B229,"")</f>
        <v/>
      </c>
      <c r="C237" s="15" t="str">
        <f>IFERROR(IF(B237="","",VLOOKUP(B237,LISTAS!$F$5:$G$1004,2,0)),"0")</f>
        <v/>
      </c>
      <c r="D237" s="223"/>
      <c r="E237" s="224"/>
      <c r="F237" s="223" t="s">
        <v>38</v>
      </c>
      <c r="G237" s="224"/>
      <c r="H237" s="223"/>
      <c r="I237" s="224"/>
      <c r="J237" s="21" t="str">
        <f>IF(H229=3,B230,"")</f>
        <v/>
      </c>
      <c r="K237" s="15" t="str">
        <f>IFERROR(IF(J237="","",VLOOKUP(J237,LISTAS!$F$5:$G$1004,2,0)),"0")</f>
        <v/>
      </c>
      <c r="L237" s="81"/>
    </row>
    <row r="240" spans="2:16" ht="30" customHeight="1" x14ac:dyDescent="0.25">
      <c r="B240" s="161" t="s">
        <v>62</v>
      </c>
      <c r="C240" s="79"/>
      <c r="D240" s="225" t="s">
        <v>42</v>
      </c>
      <c r="E240" s="226"/>
      <c r="F240" s="226"/>
      <c r="G240" s="227"/>
      <c r="H240" s="113"/>
      <c r="I240" s="225" t="s">
        <v>3</v>
      </c>
      <c r="J240" s="226"/>
      <c r="K240" s="226"/>
      <c r="L240" s="226"/>
    </row>
    <row r="241" spans="2:16" ht="18" customHeight="1" x14ac:dyDescent="0.25">
      <c r="B241" s="9" t="s">
        <v>15</v>
      </c>
      <c r="C241" s="9" t="s">
        <v>0</v>
      </c>
      <c r="D241" s="9" t="s">
        <v>43</v>
      </c>
      <c r="E241" s="9" t="s">
        <v>44</v>
      </c>
      <c r="F241" s="9" t="s">
        <v>77</v>
      </c>
      <c r="G241" s="9" t="s">
        <v>78</v>
      </c>
      <c r="H241" s="114"/>
      <c r="I241" s="9" t="s">
        <v>18</v>
      </c>
      <c r="J241" s="9" t="s">
        <v>15</v>
      </c>
      <c r="K241" s="9" t="s">
        <v>0</v>
      </c>
      <c r="L241" s="9" t="s">
        <v>45</v>
      </c>
    </row>
    <row r="242" spans="2:16" ht="18" customHeight="1" x14ac:dyDescent="0.25">
      <c r="B242" s="15"/>
      <c r="C242" s="15" t="str">
        <f>IFERROR(IF(B242="","",VLOOKUP(B242,LISTAS!$F$5:$G$1004,2,0)),"0")</f>
        <v/>
      </c>
      <c r="D242" s="15" t="str">
        <f>IF(H242&lt;3,"",IF(H242=3,IF(D248&lt;&gt;"",IF(H248&lt;&gt;"",IF(D248&lt;&gt;H248,IF(D248&gt;H248,"V","D"),""),""),"")))</f>
        <v/>
      </c>
      <c r="E242" s="15" t="str">
        <f>IF(H242&lt;3,"",IF(H242=3,IF(D250&lt;&gt;"",IF(H250&lt;&gt;"",IF(D250&lt;&gt;H250,IF(D250&gt;H250,"V","D"),""),""),"")))</f>
        <v/>
      </c>
      <c r="F242" s="15" t="s">
        <v>81</v>
      </c>
      <c r="G242" s="15" t="s">
        <v>81</v>
      </c>
      <c r="H242" s="117">
        <f>COUNTA(B242:B244)</f>
        <v>0</v>
      </c>
      <c r="I242" s="15" t="str">
        <f>IF(B242&lt;&gt;"",1,"")</f>
        <v/>
      </c>
      <c r="J242" s="15" t="str">
        <f>IF(I242&lt;&gt;"",P242,"")</f>
        <v/>
      </c>
      <c r="K242" s="15" t="str">
        <f>IFERROR(IF(J242="","",VLOOKUP(J242,LISTAS!$F$5:$G$1004,2,0)),"0")</f>
        <v/>
      </c>
      <c r="L242" s="119" t="str">
        <f>IF(H242=3,"OURO",IF(H242=4,"OURO",IF(H242=5,"OURO","")))</f>
        <v/>
      </c>
      <c r="M242" s="20" t="str">
        <f>IF(B242&lt;&gt;"",COUNTIF(D242:G242,"V")+(SUMIF(B248:B250,B242,D248:E250)/1000)+(SUMIF(J248:J250,B242,H248:I250)/1000)-(SUMIF(B248:B250,B242,H248:I250)/1000)-(SUMIF(J248:J250,B242,D248:E250)/1000)+0.003,"")</f>
        <v/>
      </c>
      <c r="N242" s="20" t="str">
        <f>IF(B242="","",B242)</f>
        <v/>
      </c>
      <c r="O242" s="20" t="str">
        <f>IF(B242&lt;&gt;"",LARGE(M242:M244,1),"")</f>
        <v/>
      </c>
      <c r="P242" s="20" t="str">
        <f>VLOOKUP(O242,M242:N244,2,0)</f>
        <v/>
      </c>
    </row>
    <row r="243" spans="2:16" ht="18" customHeight="1" x14ac:dyDescent="0.25">
      <c r="B243" s="15"/>
      <c r="C243" s="15" t="str">
        <f>IFERROR(IF(B243="","",VLOOKUP(B243,LISTAS!$F$5:$G$1004,2,0)),"0")</f>
        <v/>
      </c>
      <c r="D243" s="15" t="str">
        <f>IF(H242&lt;3,"",IF(H242=3,IF(D249&lt;&gt;"",IF(H249&lt;&gt;"",IF(D249&lt;&gt;H249,IF(D249&gt;H249,"V","D"),""),""),"")))</f>
        <v/>
      </c>
      <c r="E243" s="15" t="str">
        <f>IF(H242&lt;3,"",IF(H242=3,IF(D250&lt;&gt;"",IF(H250&lt;&gt;"",IF(D250&lt;&gt;H250,IF(D250&gt;H250,"D","V"),""),""),"")))</f>
        <v/>
      </c>
      <c r="F243" s="15" t="s">
        <v>81</v>
      </c>
      <c r="G243" s="15" t="s">
        <v>81</v>
      </c>
      <c r="H243" s="115"/>
      <c r="I243" s="15" t="str">
        <f>IF(B243&lt;&gt;"",2,"")</f>
        <v/>
      </c>
      <c r="J243" s="15" t="str">
        <f>IF(I243&lt;&gt;"",P243,"")</f>
        <v/>
      </c>
      <c r="K243" s="15" t="str">
        <f>IFERROR(IF(J243="","",VLOOKUP(J243,LISTAS!$F$5:$G$1004,2,0)),"0")</f>
        <v/>
      </c>
      <c r="L243" s="119" t="str">
        <f>IF(H242=3,"PRATA",IF(H242=4,"OURO",IF(H242=5,"OURO","")))</f>
        <v/>
      </c>
      <c r="M243" s="20" t="str">
        <f>IF(B243&lt;&gt;"",COUNTIF(D243:G243,"V")+(SUMIF(B248:B250,B243,D248:E250)/1000)+(SUMIF(J248:J250,B243,H248:I250)/1000)-(SUMIF(B248:B250,B243,H248:I250)/1000)-(SUMIF(J248:J250,B243,D248:E250)/1000)+0.002,"")</f>
        <v/>
      </c>
      <c r="N243" s="20" t="str">
        <f t="shared" ref="N243" si="17">IF(B243="","",B243)</f>
        <v/>
      </c>
      <c r="O243" s="20" t="str">
        <f>IF(B243&lt;&gt;"",LARGE(M242:M244,2),"")</f>
        <v/>
      </c>
      <c r="P243" s="20" t="str">
        <f>VLOOKUP(O243,M242:N244,2,0)</f>
        <v/>
      </c>
    </row>
    <row r="244" spans="2:16" ht="18" customHeight="1" x14ac:dyDescent="0.25">
      <c r="B244" s="15"/>
      <c r="C244" s="15" t="str">
        <f>IFERROR(IF(B244="","",VLOOKUP(B244,LISTAS!$F$5:$G$1004,2,0)),"0")</f>
        <v/>
      </c>
      <c r="D244" s="15" t="str">
        <f>IF(H242&lt;3,"",IF(H242=3,IF(D248&lt;&gt;"",IF(H248&lt;&gt;"",IF(D248&lt;&gt;H248,IF(D248&gt;H248,"D","V"),""),""),"")))</f>
        <v/>
      </c>
      <c r="E244" s="15" t="str">
        <f>IF(H242&lt;3,"",IF(H242=3,IF(D249&lt;&gt;"",IF(H249&lt;&gt;"",IF(D249&lt;&gt;H249,IF(D249&gt;H249,"D","V"),""),""),"")))</f>
        <v/>
      </c>
      <c r="F244" s="15" t="s">
        <v>81</v>
      </c>
      <c r="G244" s="15" t="s">
        <v>81</v>
      </c>
      <c r="H244" s="115"/>
      <c r="I244" s="15" t="str">
        <f>IF(B244&lt;&gt;"",3,"")</f>
        <v/>
      </c>
      <c r="J244" s="15" t="str">
        <f>IF(I244&lt;&gt;"",P244,"")</f>
        <v/>
      </c>
      <c r="K244" s="15" t="str">
        <f>IFERROR(IF(J244="","",VLOOKUP(J244,LISTAS!$F$5:$G$1004,2,0)),"0")</f>
        <v/>
      </c>
      <c r="L244" s="119" t="str">
        <f>IF(H242=3,"BRONZE",IF(H242=4,"PRATA",IF(H242=5,"OURO","")))</f>
        <v/>
      </c>
      <c r="M244" s="20" t="str">
        <f>IF(B244&lt;&gt;"",COUNTIF(D244:G244,"V")+(SUMIF(B248:B250,B244,D248:E250)/1000)+(SUMIF(J248:J250,B244,H248:I250)/1000)-(SUMIF(B248:B250,B244,H248:I250)/1000)-(SUMIF(J248:J250,B244,D248:E250)/1000)+0.001,"")</f>
        <v/>
      </c>
      <c r="N244" s="20" t="str">
        <f>IF(B244="","",B244)</f>
        <v/>
      </c>
      <c r="O244" s="20" t="str">
        <f>IF(B244&lt;&gt;"",LARGE(M242:M244,3),"")</f>
        <v/>
      </c>
      <c r="P244" s="20" t="str">
        <f>VLOOKUP(O244,M242:N244,2,0)</f>
        <v/>
      </c>
    </row>
    <row r="245" spans="2:16" ht="18" customHeight="1" x14ac:dyDescent="0.25">
      <c r="B245" s="79"/>
      <c r="C245" s="79"/>
      <c r="D245" s="79"/>
      <c r="E245" s="79"/>
      <c r="F245" s="79"/>
      <c r="G245" s="79"/>
      <c r="I245" s="80"/>
      <c r="J245" s="79"/>
      <c r="K245" s="81"/>
      <c r="L245" s="81"/>
    </row>
    <row r="246" spans="2:16" ht="23.25" customHeight="1" x14ac:dyDescent="0.25">
      <c r="B246" s="82" t="s">
        <v>40</v>
      </c>
      <c r="C246" s="79"/>
      <c r="D246" s="79"/>
      <c r="E246" s="79"/>
      <c r="F246" s="79"/>
      <c r="G246" s="79"/>
      <c r="H246" s="79"/>
      <c r="I246" s="79"/>
      <c r="J246" s="79"/>
      <c r="K246" s="79"/>
      <c r="L246" s="79"/>
    </row>
    <row r="247" spans="2:16" ht="18" customHeight="1" x14ac:dyDescent="0.25">
      <c r="B247" s="9" t="s">
        <v>15</v>
      </c>
      <c r="C247" s="9" t="s">
        <v>0</v>
      </c>
      <c r="D247" s="228" t="s">
        <v>41</v>
      </c>
      <c r="E247" s="229"/>
      <c r="F247" s="229"/>
      <c r="G247" s="229"/>
      <c r="H247" s="229"/>
      <c r="I247" s="230"/>
      <c r="J247" s="9" t="s">
        <v>15</v>
      </c>
      <c r="K247" s="9" t="s">
        <v>0</v>
      </c>
      <c r="L247" s="79"/>
    </row>
    <row r="248" spans="2:16" ht="18" customHeight="1" x14ac:dyDescent="0.25">
      <c r="B248" s="15" t="str">
        <f>IF(H242=3,B242,"")</f>
        <v/>
      </c>
      <c r="C248" s="15" t="str">
        <f>IFERROR(IF(B248="","",VLOOKUP(B248,LISTAS!$F$5:$G$1004,2,0)),"0")</f>
        <v/>
      </c>
      <c r="D248" s="223"/>
      <c r="E248" s="224"/>
      <c r="F248" s="223" t="s">
        <v>38</v>
      </c>
      <c r="G248" s="224"/>
      <c r="H248" s="223"/>
      <c r="I248" s="224"/>
      <c r="J248" s="21" t="str">
        <f>IF(H242=3,B244,"")</f>
        <v/>
      </c>
      <c r="K248" s="15" t="str">
        <f>IFERROR(IF(J248="","",VLOOKUP(J248,LISTAS!$F$5:$G$1004,2,0)),"0")</f>
        <v/>
      </c>
      <c r="L248" s="81"/>
    </row>
    <row r="249" spans="2:16" ht="18" customHeight="1" x14ac:dyDescent="0.25">
      <c r="B249" s="15" t="str">
        <f>IF(H242=3,B243,"")</f>
        <v/>
      </c>
      <c r="C249" s="15" t="str">
        <f>IFERROR(IF(B249="","",VLOOKUP(B249,LISTAS!$F$5:$G$1004,2,0)),"0")</f>
        <v/>
      </c>
      <c r="D249" s="223"/>
      <c r="E249" s="224"/>
      <c r="F249" s="223" t="s">
        <v>38</v>
      </c>
      <c r="G249" s="224"/>
      <c r="H249" s="223"/>
      <c r="I249" s="224"/>
      <c r="J249" s="21" t="str">
        <f>IF(H242=3,B244,"")</f>
        <v/>
      </c>
      <c r="K249" s="15" t="str">
        <f>IFERROR(IF(J249="","",VLOOKUP(J249,LISTAS!$F$5:$G$1004,2,0)),"0")</f>
        <v/>
      </c>
      <c r="L249" s="79"/>
    </row>
    <row r="250" spans="2:16" ht="18" customHeight="1" x14ac:dyDescent="0.25">
      <c r="B250" s="15" t="str">
        <f>IF(H242=3,B242,"")</f>
        <v/>
      </c>
      <c r="C250" s="15" t="str">
        <f>IFERROR(IF(B250="","",VLOOKUP(B250,LISTAS!$F$5:$G$1004,2,0)),"0")</f>
        <v/>
      </c>
      <c r="D250" s="223"/>
      <c r="E250" s="224"/>
      <c r="F250" s="223" t="s">
        <v>38</v>
      </c>
      <c r="G250" s="224"/>
      <c r="H250" s="223"/>
      <c r="I250" s="224"/>
      <c r="J250" s="21" t="str">
        <f>IF(H242=3,B243,"")</f>
        <v/>
      </c>
      <c r="K250" s="15" t="str">
        <f>IFERROR(IF(J250="","",VLOOKUP(J250,LISTAS!$F$5:$G$1004,2,0)),"0")</f>
        <v/>
      </c>
      <c r="L250" s="81"/>
    </row>
    <row r="253" spans="2:16" ht="30" customHeight="1" x14ac:dyDescent="0.25">
      <c r="B253" s="161" t="s">
        <v>63</v>
      </c>
      <c r="C253" s="79"/>
      <c r="D253" s="225" t="s">
        <v>42</v>
      </c>
      <c r="E253" s="226"/>
      <c r="F253" s="226"/>
      <c r="G253" s="227"/>
      <c r="H253" s="113"/>
      <c r="I253" s="225" t="s">
        <v>3</v>
      </c>
      <c r="J253" s="226"/>
      <c r="K253" s="226"/>
      <c r="L253" s="226"/>
    </row>
    <row r="254" spans="2:16" ht="18" customHeight="1" x14ac:dyDescent="0.25">
      <c r="B254" s="9" t="s">
        <v>15</v>
      </c>
      <c r="C254" s="9" t="s">
        <v>0</v>
      </c>
      <c r="D254" s="9" t="s">
        <v>43</v>
      </c>
      <c r="E254" s="9" t="s">
        <v>44</v>
      </c>
      <c r="F254" s="9" t="s">
        <v>77</v>
      </c>
      <c r="G254" s="9" t="s">
        <v>78</v>
      </c>
      <c r="H254" s="114"/>
      <c r="I254" s="9" t="s">
        <v>18</v>
      </c>
      <c r="J254" s="9" t="s">
        <v>15</v>
      </c>
      <c r="K254" s="9" t="s">
        <v>0</v>
      </c>
      <c r="L254" s="9" t="s">
        <v>45</v>
      </c>
    </row>
    <row r="255" spans="2:16" ht="18" customHeight="1" x14ac:dyDescent="0.25">
      <c r="B255" s="15"/>
      <c r="C255" s="15" t="str">
        <f>IFERROR(IF(B255="","",VLOOKUP(B255,LISTAS!$F$5:$G$1004,2,0)),"0")</f>
        <v/>
      </c>
      <c r="D255" s="15" t="str">
        <f>IF(H255&lt;3,"",IF(H255=3,IF(D261&lt;&gt;"",IF(H261&lt;&gt;"",IF(D261&lt;&gt;H261,IF(D261&gt;H261,"V","D"),""),""),"")))</f>
        <v/>
      </c>
      <c r="E255" s="15" t="str">
        <f>IF(H255&lt;3,"",IF(H255=3,IF(D263&lt;&gt;"",IF(H263&lt;&gt;"",IF(D263&lt;&gt;H263,IF(D263&gt;H263,"V","D"),""),""),"")))</f>
        <v/>
      </c>
      <c r="F255" s="15" t="s">
        <v>81</v>
      </c>
      <c r="G255" s="15" t="s">
        <v>81</v>
      </c>
      <c r="H255" s="117">
        <f>COUNTA(B255:B257)</f>
        <v>0</v>
      </c>
      <c r="I255" s="15" t="str">
        <f>IF(B255&lt;&gt;"",1,"")</f>
        <v/>
      </c>
      <c r="J255" s="15" t="str">
        <f>IF(I255&lt;&gt;"",P255,"")</f>
        <v/>
      </c>
      <c r="K255" s="15" t="str">
        <f>IFERROR(IF(J255="","",VLOOKUP(J255,LISTAS!$F$5:$G$1004,2,0)),"0")</f>
        <v/>
      </c>
      <c r="L255" s="119" t="str">
        <f>IF(H255=3,"OURO",IF(H255=4,"OURO",IF(H255=5,"OURO","")))</f>
        <v/>
      </c>
      <c r="M255" s="20" t="str">
        <f>IF(B255&lt;&gt;"",COUNTIF(D255:G255,"V")+(SUMIF(B261:B263,B255,D261:E263)/1000)+(SUMIF(J261:J263,B255,H261:I263)/1000)-(SUMIF(B261:B263,B255,H261:I263)/1000)-(SUMIF(J261:J263,B255,D261:E263)/1000)+0.003,"")</f>
        <v/>
      </c>
      <c r="N255" s="20" t="str">
        <f>IF(B255="","",B255)</f>
        <v/>
      </c>
      <c r="O255" s="20" t="str">
        <f>IF(B255&lt;&gt;"",LARGE(M255:M257,1),"")</f>
        <v/>
      </c>
      <c r="P255" s="20" t="str">
        <f>VLOOKUP(O255,M255:N257,2,0)</f>
        <v/>
      </c>
    </row>
    <row r="256" spans="2:16" ht="18" customHeight="1" x14ac:dyDescent="0.25">
      <c r="B256" s="15"/>
      <c r="C256" s="15" t="str">
        <f>IFERROR(IF(B256="","",VLOOKUP(B256,LISTAS!$F$5:$G$1004,2,0)),"0")</f>
        <v/>
      </c>
      <c r="D256" s="15" t="str">
        <f>IF(H255&lt;3,"",IF(H255=3,IF(D262&lt;&gt;"",IF(H262&lt;&gt;"",IF(D262&lt;&gt;H262,IF(D262&gt;H262,"V","D"),""),""),"")))</f>
        <v/>
      </c>
      <c r="E256" s="15" t="str">
        <f>IF(H255&lt;3,"",IF(H255=3,IF(D263&lt;&gt;"",IF(H263&lt;&gt;"",IF(D263&lt;&gt;H263,IF(D263&gt;H263,"D","V"),""),""),"")))</f>
        <v/>
      </c>
      <c r="F256" s="15" t="s">
        <v>81</v>
      </c>
      <c r="G256" s="15" t="s">
        <v>81</v>
      </c>
      <c r="H256" s="115"/>
      <c r="I256" s="15" t="str">
        <f>IF(B256&lt;&gt;"",2,"")</f>
        <v/>
      </c>
      <c r="J256" s="15" t="str">
        <f>IF(I256&lt;&gt;"",P256,"")</f>
        <v/>
      </c>
      <c r="K256" s="15" t="str">
        <f>IFERROR(IF(J256="","",VLOOKUP(J256,LISTAS!$F$5:$G$1004,2,0)),"0")</f>
        <v/>
      </c>
      <c r="L256" s="119" t="str">
        <f>IF(H255=3,"PRATA",IF(H255=4,"OURO",IF(H255=5,"OURO","")))</f>
        <v/>
      </c>
      <c r="M256" s="20" t="str">
        <f>IF(B256&lt;&gt;"",COUNTIF(D256:G256,"V")+(SUMIF(B261:B263,B256,D261:E263)/1000)+(SUMIF(J261:J263,B256,H261:I263)/1000)-(SUMIF(B261:B263,B256,H261:I263)/1000)-(SUMIF(J261:J263,B256,D261:E263)/1000)+0.002,"")</f>
        <v/>
      </c>
      <c r="N256" s="20" t="str">
        <f t="shared" ref="N256" si="18">IF(B256="","",B256)</f>
        <v/>
      </c>
      <c r="O256" s="20" t="str">
        <f>IF(B256&lt;&gt;"",LARGE(M255:M257,2),"")</f>
        <v/>
      </c>
      <c r="P256" s="20" t="str">
        <f>VLOOKUP(O256,M255:N257,2,0)</f>
        <v/>
      </c>
    </row>
    <row r="257" spans="2:16" ht="18" customHeight="1" x14ac:dyDescent="0.25">
      <c r="B257" s="15"/>
      <c r="C257" s="15" t="str">
        <f>IFERROR(IF(B257="","",VLOOKUP(B257,LISTAS!$F$5:$G$1004,2,0)),"0")</f>
        <v/>
      </c>
      <c r="D257" s="15" t="str">
        <f>IF(H255&lt;3,"",IF(H255=3,IF(D261&lt;&gt;"",IF(H261&lt;&gt;"",IF(D261&lt;&gt;H261,IF(D261&gt;H261,"D","V"),""),""),"")))</f>
        <v/>
      </c>
      <c r="E257" s="15" t="str">
        <f>IF(H255&lt;3,"",IF(H255=3,IF(D262&lt;&gt;"",IF(H262&lt;&gt;"",IF(D262&lt;&gt;H262,IF(D262&gt;H262,"D","V"),""),""),"")))</f>
        <v/>
      </c>
      <c r="F257" s="15" t="s">
        <v>81</v>
      </c>
      <c r="G257" s="15" t="s">
        <v>81</v>
      </c>
      <c r="H257" s="115"/>
      <c r="I257" s="15" t="str">
        <f>IF(B257&lt;&gt;"",3,"")</f>
        <v/>
      </c>
      <c r="J257" s="15" t="str">
        <f>IF(I257&lt;&gt;"",P257,"")</f>
        <v/>
      </c>
      <c r="K257" s="15" t="str">
        <f>IFERROR(IF(J257="","",VLOOKUP(J257,LISTAS!$F$5:$G$1004,2,0)),"0")</f>
        <v/>
      </c>
      <c r="L257" s="119" t="str">
        <f>IF(H255=3,"BRONZE",IF(H255=4,"PRATA",IF(H255=5,"OURO","")))</f>
        <v/>
      </c>
      <c r="M257" s="20" t="str">
        <f>IF(B257&lt;&gt;"",COUNTIF(D257:G257,"V")+(SUMIF(B261:B263,B257,D261:E263)/1000)+(SUMIF(J261:J263,B257,H261:I263)/1000)-(SUMIF(B261:B263,B257,H261:I263)/1000)-(SUMIF(J261:J263,B257,D261:E263)/1000)+0.001,"")</f>
        <v/>
      </c>
      <c r="N257" s="20" t="str">
        <f>IF(B257="","",B257)</f>
        <v/>
      </c>
      <c r="O257" s="20" t="str">
        <f>IF(B257&lt;&gt;"",LARGE(M255:M257,3),"")</f>
        <v/>
      </c>
      <c r="P257" s="20" t="str">
        <f>VLOOKUP(O257,M255:N257,2,0)</f>
        <v/>
      </c>
    </row>
    <row r="258" spans="2:16" ht="18" customHeight="1" x14ac:dyDescent="0.25">
      <c r="B258" s="79"/>
      <c r="C258" s="79"/>
      <c r="D258" s="79"/>
      <c r="E258" s="79"/>
      <c r="F258" s="79"/>
      <c r="G258" s="79"/>
      <c r="I258" s="80"/>
      <c r="J258" s="79"/>
      <c r="K258" s="81"/>
      <c r="L258" s="81"/>
    </row>
    <row r="259" spans="2:16" ht="23.25" customHeight="1" x14ac:dyDescent="0.25">
      <c r="B259" s="82" t="s">
        <v>40</v>
      </c>
      <c r="C259" s="79"/>
      <c r="D259" s="79"/>
      <c r="E259" s="79"/>
      <c r="F259" s="79"/>
      <c r="G259" s="79"/>
      <c r="H259" s="79"/>
      <c r="I259" s="79"/>
      <c r="J259" s="79"/>
      <c r="K259" s="79"/>
      <c r="L259" s="79"/>
    </row>
    <row r="260" spans="2:16" ht="18" customHeight="1" x14ac:dyDescent="0.25">
      <c r="B260" s="9" t="s">
        <v>15</v>
      </c>
      <c r="C260" s="9" t="s">
        <v>0</v>
      </c>
      <c r="D260" s="228" t="s">
        <v>41</v>
      </c>
      <c r="E260" s="229"/>
      <c r="F260" s="229"/>
      <c r="G260" s="229"/>
      <c r="H260" s="229"/>
      <c r="I260" s="230"/>
      <c r="J260" s="9" t="s">
        <v>15</v>
      </c>
      <c r="K260" s="9" t="s">
        <v>0</v>
      </c>
      <c r="L260" s="79"/>
    </row>
    <row r="261" spans="2:16" ht="18" customHeight="1" x14ac:dyDescent="0.25">
      <c r="B261" s="15" t="str">
        <f>IF(H255=3,B255,"")</f>
        <v/>
      </c>
      <c r="C261" s="15" t="str">
        <f>IFERROR(IF(B261="","",VLOOKUP(B261,LISTAS!$F$5:$G$1004,2,0)),"0")</f>
        <v/>
      </c>
      <c r="D261" s="223"/>
      <c r="E261" s="224"/>
      <c r="F261" s="223" t="s">
        <v>38</v>
      </c>
      <c r="G261" s="224"/>
      <c r="H261" s="223"/>
      <c r="I261" s="224"/>
      <c r="J261" s="21" t="str">
        <f>IF(H255=3,B257,"")</f>
        <v/>
      </c>
      <c r="K261" s="15" t="str">
        <f>IFERROR(IF(J261="","",VLOOKUP(J261,LISTAS!$F$5:$G$1004,2,0)),"0")</f>
        <v/>
      </c>
      <c r="L261" s="81"/>
    </row>
    <row r="262" spans="2:16" ht="18" customHeight="1" x14ac:dyDescent="0.25">
      <c r="B262" s="15" t="str">
        <f>IF(H255=3,B256,"")</f>
        <v/>
      </c>
      <c r="C262" s="15" t="str">
        <f>IFERROR(IF(B262="","",VLOOKUP(B262,LISTAS!$F$5:$G$1004,2,0)),"0")</f>
        <v/>
      </c>
      <c r="D262" s="223"/>
      <c r="E262" s="224"/>
      <c r="F262" s="223" t="s">
        <v>38</v>
      </c>
      <c r="G262" s="224"/>
      <c r="H262" s="223"/>
      <c r="I262" s="224"/>
      <c r="J262" s="21" t="str">
        <f>IF(H255=3,B257,"")</f>
        <v/>
      </c>
      <c r="K262" s="15" t="str">
        <f>IFERROR(IF(J262="","",VLOOKUP(J262,LISTAS!$F$5:$G$1004,2,0)),"0")</f>
        <v/>
      </c>
      <c r="L262" s="79"/>
    </row>
    <row r="263" spans="2:16" ht="18" customHeight="1" x14ac:dyDescent="0.25">
      <c r="B263" s="15" t="str">
        <f>IF(H255=3,B255,"")</f>
        <v/>
      </c>
      <c r="C263" s="15" t="str">
        <f>IFERROR(IF(B263="","",VLOOKUP(B263,LISTAS!$F$5:$G$1004,2,0)),"0")</f>
        <v/>
      </c>
      <c r="D263" s="223"/>
      <c r="E263" s="224"/>
      <c r="F263" s="223" t="s">
        <v>38</v>
      </c>
      <c r="G263" s="224"/>
      <c r="H263" s="223"/>
      <c r="I263" s="224"/>
      <c r="J263" s="21" t="str">
        <f>IF(H255=3,B256,"")</f>
        <v/>
      </c>
      <c r="K263" s="15" t="str">
        <f>IFERROR(IF(J263="","",VLOOKUP(J263,LISTAS!$F$5:$G$1004,2,0)),"0")</f>
        <v/>
      </c>
      <c r="L263" s="81"/>
    </row>
    <row r="266" spans="2:16" ht="30" customHeight="1" x14ac:dyDescent="0.25">
      <c r="B266" s="161" t="s">
        <v>64</v>
      </c>
      <c r="C266" s="79"/>
      <c r="D266" s="225" t="s">
        <v>42</v>
      </c>
      <c r="E266" s="226"/>
      <c r="F266" s="226"/>
      <c r="G266" s="227"/>
      <c r="H266" s="113"/>
      <c r="I266" s="225" t="s">
        <v>3</v>
      </c>
      <c r="J266" s="226"/>
      <c r="K266" s="226"/>
      <c r="L266" s="226"/>
    </row>
    <row r="267" spans="2:16" ht="18" customHeight="1" x14ac:dyDescent="0.25">
      <c r="B267" s="9" t="s">
        <v>15</v>
      </c>
      <c r="C267" s="9" t="s">
        <v>0</v>
      </c>
      <c r="D267" s="9" t="s">
        <v>43</v>
      </c>
      <c r="E267" s="9" t="s">
        <v>44</v>
      </c>
      <c r="F267" s="9" t="s">
        <v>77</v>
      </c>
      <c r="G267" s="9" t="s">
        <v>78</v>
      </c>
      <c r="H267" s="114"/>
      <c r="I267" s="9" t="s">
        <v>18</v>
      </c>
      <c r="J267" s="9" t="s">
        <v>15</v>
      </c>
      <c r="K267" s="9" t="s">
        <v>0</v>
      </c>
      <c r="L267" s="9" t="s">
        <v>45</v>
      </c>
    </row>
    <row r="268" spans="2:16" ht="18" customHeight="1" x14ac:dyDescent="0.25">
      <c r="B268" s="15"/>
      <c r="C268" s="15" t="str">
        <f>IFERROR(IF(B268="","",VLOOKUP(B268,LISTAS!$F$5:$G$1004,2,0)),"0")</f>
        <v/>
      </c>
      <c r="D268" s="15" t="str">
        <f>IF(H268&lt;3,"",IF(H268=3,IF(D274&lt;&gt;"",IF(H274&lt;&gt;"",IF(D274&lt;&gt;H274,IF(D274&gt;H274,"V","D"),""),""),"")))</f>
        <v/>
      </c>
      <c r="E268" s="15" t="str">
        <f>IF(H268&lt;3,"",IF(H268=3,IF(D276&lt;&gt;"",IF(H276&lt;&gt;"",IF(D276&lt;&gt;H276,IF(D276&gt;H276,"V","D"),""),""),"")))</f>
        <v/>
      </c>
      <c r="F268" s="15" t="s">
        <v>81</v>
      </c>
      <c r="G268" s="15" t="s">
        <v>81</v>
      </c>
      <c r="H268" s="117">
        <f>COUNTA(B268:B270)</f>
        <v>0</v>
      </c>
      <c r="I268" s="15" t="str">
        <f>IF(B268&lt;&gt;"",1,"")</f>
        <v/>
      </c>
      <c r="J268" s="15" t="str">
        <f>IF(I268&lt;&gt;"",P268,"")</f>
        <v/>
      </c>
      <c r="K268" s="15" t="str">
        <f>IFERROR(IF(J268="","",VLOOKUP(J268,LISTAS!$F$5:$G$1004,2,0)),"0")</f>
        <v/>
      </c>
      <c r="L268" s="119" t="str">
        <f>IF(H268=3,"OURO",IF(H268=4,"OURO",IF(H268=5,"OURO","")))</f>
        <v/>
      </c>
      <c r="M268" s="20" t="str">
        <f>IF(B268&lt;&gt;"",COUNTIF(D268:G268,"V")+(SUMIF(B274:B276,B268,D274:E276)/1000)+(SUMIF(J274:J276,B268,H274:I276)/1000)-(SUMIF(B274:B276,B268,H274:I276)/1000)-(SUMIF(J274:J276,B268,D274:E276)/1000)+0.003,"")</f>
        <v/>
      </c>
      <c r="N268" s="20" t="str">
        <f>IF(B268="","",B268)</f>
        <v/>
      </c>
      <c r="O268" s="20" t="str">
        <f>IF(B268&lt;&gt;"",LARGE(M268:M270,1),"")</f>
        <v/>
      </c>
      <c r="P268" s="20" t="str">
        <f>VLOOKUP(O268,M268:N270,2,0)</f>
        <v/>
      </c>
    </row>
    <row r="269" spans="2:16" ht="18" customHeight="1" x14ac:dyDescent="0.25">
      <c r="B269" s="15"/>
      <c r="C269" s="15" t="str">
        <f>IFERROR(IF(B269="","",VLOOKUP(B269,LISTAS!$F$5:$G$1004,2,0)),"0")</f>
        <v/>
      </c>
      <c r="D269" s="15" t="str">
        <f>IF(H268&lt;3,"",IF(H268=3,IF(D275&lt;&gt;"",IF(H275&lt;&gt;"",IF(D275&lt;&gt;H275,IF(D275&gt;H275,"V","D"),""),""),"")))</f>
        <v/>
      </c>
      <c r="E269" s="15" t="str">
        <f>IF(H268&lt;3,"",IF(H268=3,IF(D276&lt;&gt;"",IF(H276&lt;&gt;"",IF(D276&lt;&gt;H276,IF(D276&gt;H276,"D","V"),""),""),"")))</f>
        <v/>
      </c>
      <c r="F269" s="15" t="s">
        <v>81</v>
      </c>
      <c r="G269" s="15" t="s">
        <v>81</v>
      </c>
      <c r="H269" s="115"/>
      <c r="I269" s="15" t="str">
        <f>IF(B269&lt;&gt;"",2,"")</f>
        <v/>
      </c>
      <c r="J269" s="15" t="str">
        <f>IF(I269&lt;&gt;"",P269,"")</f>
        <v/>
      </c>
      <c r="K269" s="15" t="str">
        <f>IFERROR(IF(J269="","",VLOOKUP(J269,LISTAS!$F$5:$G$1004,2,0)),"0")</f>
        <v/>
      </c>
      <c r="L269" s="119" t="str">
        <f>IF(H268=3,"PRATA",IF(H268=4,"OURO",IF(H268=5,"OURO","")))</f>
        <v/>
      </c>
      <c r="M269" s="20" t="str">
        <f>IF(B269&lt;&gt;"",COUNTIF(D269:G269,"V")+(SUMIF(B274:B276,B269,D274:E276)/1000)+(SUMIF(J274:J276,B269,H274:I276)/1000)-(SUMIF(B274:B276,B269,H274:I276)/1000)-(SUMIF(J274:J276,B269,D274:E276)/1000)+0.002,"")</f>
        <v/>
      </c>
      <c r="N269" s="20" t="str">
        <f t="shared" ref="N269" si="19">IF(B269="","",B269)</f>
        <v/>
      </c>
      <c r="O269" s="20" t="str">
        <f>IF(B269&lt;&gt;"",LARGE(M268:M270,2),"")</f>
        <v/>
      </c>
      <c r="P269" s="20" t="str">
        <f>VLOOKUP(O269,M268:N270,2,0)</f>
        <v/>
      </c>
    </row>
    <row r="270" spans="2:16" ht="18" customHeight="1" x14ac:dyDescent="0.25">
      <c r="B270" s="15"/>
      <c r="C270" s="15" t="str">
        <f>IFERROR(IF(B270="","",VLOOKUP(B270,LISTAS!$F$5:$G$1004,2,0)),"0")</f>
        <v/>
      </c>
      <c r="D270" s="15" t="str">
        <f>IF(H268&lt;3,"",IF(H268=3,IF(D274&lt;&gt;"",IF(H274&lt;&gt;"",IF(D274&lt;&gt;H274,IF(D274&gt;H274,"D","V"),""),""),"")))</f>
        <v/>
      </c>
      <c r="E270" s="15" t="str">
        <f>IF(H268&lt;3,"",IF(H268=3,IF(D275&lt;&gt;"",IF(H275&lt;&gt;"",IF(D275&lt;&gt;H275,IF(D275&gt;H275,"D","V"),""),""),"")))</f>
        <v/>
      </c>
      <c r="F270" s="15" t="s">
        <v>81</v>
      </c>
      <c r="G270" s="15" t="s">
        <v>81</v>
      </c>
      <c r="H270" s="115"/>
      <c r="I270" s="15" t="str">
        <f>IF(B270&lt;&gt;"",3,"")</f>
        <v/>
      </c>
      <c r="J270" s="15" t="str">
        <f>IF(I270&lt;&gt;"",P270,"")</f>
        <v/>
      </c>
      <c r="K270" s="15" t="str">
        <f>IFERROR(IF(J270="","",VLOOKUP(J270,LISTAS!$F$5:$G$1004,2,0)),"0")</f>
        <v/>
      </c>
      <c r="L270" s="119" t="str">
        <f>IF(H268=3,"BRONZE",IF(H268=4,"PRATA",IF(H268=5,"OURO","")))</f>
        <v/>
      </c>
      <c r="M270" s="20" t="str">
        <f>IF(B270&lt;&gt;"",COUNTIF(D270:G270,"V")+(SUMIF(B274:B276,B270,D274:E276)/1000)+(SUMIF(J274:J276,B270,H274:I276)/1000)-(SUMIF(B274:B276,B270,H274:I276)/1000)-(SUMIF(J274:J276,B270,D274:E276)/1000)+0.001,"")</f>
        <v/>
      </c>
      <c r="N270" s="20" t="str">
        <f>IF(B270="","",B270)</f>
        <v/>
      </c>
      <c r="O270" s="20" t="str">
        <f>IF(B270&lt;&gt;"",LARGE(M268:M270,3),"")</f>
        <v/>
      </c>
      <c r="P270" s="20" t="str">
        <f>VLOOKUP(O270,M268:N270,2,0)</f>
        <v/>
      </c>
    </row>
    <row r="271" spans="2:16" ht="18" customHeight="1" x14ac:dyDescent="0.25">
      <c r="B271" s="79"/>
      <c r="C271" s="79"/>
      <c r="D271" s="79"/>
      <c r="E271" s="79"/>
      <c r="F271" s="79"/>
      <c r="G271" s="79"/>
      <c r="I271" s="80"/>
      <c r="J271" s="79"/>
      <c r="K271" s="81"/>
      <c r="L271" s="81"/>
    </row>
    <row r="272" spans="2:16" ht="23.25" customHeight="1" x14ac:dyDescent="0.25">
      <c r="B272" s="82" t="s">
        <v>40</v>
      </c>
      <c r="C272" s="79"/>
      <c r="D272" s="79"/>
      <c r="E272" s="79"/>
      <c r="F272" s="79"/>
      <c r="G272" s="79"/>
      <c r="H272" s="79"/>
      <c r="I272" s="79"/>
      <c r="J272" s="79"/>
      <c r="K272" s="79"/>
      <c r="L272" s="79"/>
    </row>
    <row r="273" spans="2:16" ht="18" customHeight="1" x14ac:dyDescent="0.25">
      <c r="B273" s="9" t="s">
        <v>15</v>
      </c>
      <c r="C273" s="9" t="s">
        <v>0</v>
      </c>
      <c r="D273" s="228" t="s">
        <v>41</v>
      </c>
      <c r="E273" s="229"/>
      <c r="F273" s="229"/>
      <c r="G273" s="229"/>
      <c r="H273" s="229"/>
      <c r="I273" s="230"/>
      <c r="J273" s="9" t="s">
        <v>15</v>
      </c>
      <c r="K273" s="9" t="s">
        <v>0</v>
      </c>
      <c r="L273" s="79"/>
    </row>
    <row r="274" spans="2:16" ht="18" customHeight="1" x14ac:dyDescent="0.25">
      <c r="B274" s="15" t="str">
        <f>IF(H268=3,B268,"")</f>
        <v/>
      </c>
      <c r="C274" s="15" t="str">
        <f>IFERROR(IF(B274="","",VLOOKUP(B274,LISTAS!$F$5:$G$1004,2,0)),"0")</f>
        <v/>
      </c>
      <c r="D274" s="223"/>
      <c r="E274" s="224"/>
      <c r="F274" s="223" t="s">
        <v>38</v>
      </c>
      <c r="G274" s="224"/>
      <c r="H274" s="223"/>
      <c r="I274" s="224"/>
      <c r="J274" s="21" t="str">
        <f>IF(H268=3,B270,"")</f>
        <v/>
      </c>
      <c r="K274" s="15" t="str">
        <f>IFERROR(IF(J274="","",VLOOKUP(J274,LISTAS!$F$5:$G$1004,2,0)),"0")</f>
        <v/>
      </c>
      <c r="L274" s="81"/>
    </row>
    <row r="275" spans="2:16" ht="18" customHeight="1" x14ac:dyDescent="0.25">
      <c r="B275" s="15" t="str">
        <f>IF(H268=3,B269,"")</f>
        <v/>
      </c>
      <c r="C275" s="15" t="str">
        <f>IFERROR(IF(B275="","",VLOOKUP(B275,LISTAS!$F$5:$G$1004,2,0)),"0")</f>
        <v/>
      </c>
      <c r="D275" s="223"/>
      <c r="E275" s="224"/>
      <c r="F275" s="223" t="s">
        <v>38</v>
      </c>
      <c r="G275" s="224"/>
      <c r="H275" s="223"/>
      <c r="I275" s="224"/>
      <c r="J275" s="21" t="str">
        <f>IF(H268=3,B270,"")</f>
        <v/>
      </c>
      <c r="K275" s="15" t="str">
        <f>IFERROR(IF(J275="","",VLOOKUP(J275,LISTAS!$F$5:$G$1004,2,0)),"0")</f>
        <v/>
      </c>
      <c r="L275" s="79"/>
    </row>
    <row r="276" spans="2:16" ht="18" customHeight="1" x14ac:dyDescent="0.25">
      <c r="B276" s="15" t="str">
        <f>IF(H268=3,B268,"")</f>
        <v/>
      </c>
      <c r="C276" s="15" t="str">
        <f>IFERROR(IF(B276="","",VLOOKUP(B276,LISTAS!$F$5:$G$1004,2,0)),"0")</f>
        <v/>
      </c>
      <c r="D276" s="223"/>
      <c r="E276" s="224"/>
      <c r="F276" s="223" t="s">
        <v>38</v>
      </c>
      <c r="G276" s="224"/>
      <c r="H276" s="223"/>
      <c r="I276" s="224"/>
      <c r="J276" s="21" t="str">
        <f>IF(H268=3,B269,"")</f>
        <v/>
      </c>
      <c r="K276" s="15" t="str">
        <f>IFERROR(IF(J276="","",VLOOKUP(J276,LISTAS!$F$5:$G$1004,2,0)),"0")</f>
        <v/>
      </c>
      <c r="L276" s="81"/>
    </row>
    <row r="279" spans="2:16" ht="30" customHeight="1" x14ac:dyDescent="0.25">
      <c r="B279" s="161" t="s">
        <v>65</v>
      </c>
      <c r="C279" s="79"/>
      <c r="D279" s="225" t="s">
        <v>42</v>
      </c>
      <c r="E279" s="226"/>
      <c r="F279" s="226"/>
      <c r="G279" s="227"/>
      <c r="H279" s="113"/>
      <c r="I279" s="225" t="s">
        <v>3</v>
      </c>
      <c r="J279" s="226"/>
      <c r="K279" s="226"/>
      <c r="L279" s="226"/>
    </row>
    <row r="280" spans="2:16" ht="18" customHeight="1" x14ac:dyDescent="0.25">
      <c r="B280" s="9" t="s">
        <v>15</v>
      </c>
      <c r="C280" s="9" t="s">
        <v>0</v>
      </c>
      <c r="D280" s="9" t="s">
        <v>43</v>
      </c>
      <c r="E280" s="9" t="s">
        <v>44</v>
      </c>
      <c r="F280" s="9" t="s">
        <v>77</v>
      </c>
      <c r="G280" s="9" t="s">
        <v>78</v>
      </c>
      <c r="H280" s="114"/>
      <c r="I280" s="9" t="s">
        <v>18</v>
      </c>
      <c r="J280" s="9" t="s">
        <v>15</v>
      </c>
      <c r="K280" s="9" t="s">
        <v>0</v>
      </c>
      <c r="L280" s="9" t="s">
        <v>45</v>
      </c>
    </row>
    <row r="281" spans="2:16" ht="18" customHeight="1" x14ac:dyDescent="0.25">
      <c r="B281" s="15"/>
      <c r="C281" s="15" t="str">
        <f>IFERROR(IF(B281="","",VLOOKUP(B281,LISTAS!$F$5:$G$1004,2,0)),"0")</f>
        <v/>
      </c>
      <c r="D281" s="15" t="str">
        <f>IF(H281&lt;3,"",IF(H281=3,IF(D287&lt;&gt;"",IF(H287&lt;&gt;"",IF(D287&lt;&gt;H287,IF(D287&gt;H287,"V","D"),""),""),"")))</f>
        <v/>
      </c>
      <c r="E281" s="15" t="str">
        <f>IF(H281&lt;3,"",IF(H281=3,IF(D289&lt;&gt;"",IF(H289&lt;&gt;"",IF(D289&lt;&gt;H289,IF(D289&gt;H289,"V","D"),""),""),"")))</f>
        <v/>
      </c>
      <c r="F281" s="15" t="s">
        <v>81</v>
      </c>
      <c r="G281" s="15" t="s">
        <v>81</v>
      </c>
      <c r="H281" s="117">
        <f>COUNTA(B281:B283)</f>
        <v>0</v>
      </c>
      <c r="I281" s="15" t="str">
        <f>IF(B281&lt;&gt;"",1,"")</f>
        <v/>
      </c>
      <c r="J281" s="15" t="str">
        <f>IF(I281&lt;&gt;"",P281,"")</f>
        <v/>
      </c>
      <c r="K281" s="15" t="str">
        <f>IFERROR(IF(J281="","",VLOOKUP(J281,LISTAS!$F$5:$G$1004,2,0)),"0")</f>
        <v/>
      </c>
      <c r="L281" s="119" t="str">
        <f>IF(H281=3,"OURO",IF(H281=4,"OURO",IF(H281=5,"OURO","")))</f>
        <v/>
      </c>
      <c r="M281" s="20" t="str">
        <f>IF(B281&lt;&gt;"",COUNTIF(D281:G281,"V")+(SUMIF(B287:B289,B281,D287:E289)/1000)+(SUMIF(J287:J289,B281,H287:I289)/1000)-(SUMIF(B287:B289,B281,H287:I289)/1000)-(SUMIF(J287:J289,B281,D287:E289)/1000)+0.003,"")</f>
        <v/>
      </c>
      <c r="N281" s="20" t="str">
        <f>IF(B281="","",B281)</f>
        <v/>
      </c>
      <c r="O281" s="20" t="str">
        <f>IF(B281&lt;&gt;"",LARGE(M281:M283,1),"")</f>
        <v/>
      </c>
      <c r="P281" s="20" t="str">
        <f>VLOOKUP(O281,M281:N283,2,0)</f>
        <v/>
      </c>
    </row>
    <row r="282" spans="2:16" ht="18" customHeight="1" x14ac:dyDescent="0.25">
      <c r="B282" s="15"/>
      <c r="C282" s="15" t="str">
        <f>IFERROR(IF(B282="","",VLOOKUP(B282,LISTAS!$F$5:$G$1004,2,0)),"0")</f>
        <v/>
      </c>
      <c r="D282" s="15" t="str">
        <f>IF(H281&lt;3,"",IF(H281=3,IF(D288&lt;&gt;"",IF(H288&lt;&gt;"",IF(D288&lt;&gt;H288,IF(D288&gt;H288,"V","D"),""),""),"")))</f>
        <v/>
      </c>
      <c r="E282" s="15" t="str">
        <f>IF(H281&lt;3,"",IF(H281=3,IF(D289&lt;&gt;"",IF(H289&lt;&gt;"",IF(D289&lt;&gt;H289,IF(D289&gt;H289,"D","V"),""),""),"")))</f>
        <v/>
      </c>
      <c r="F282" s="15" t="s">
        <v>81</v>
      </c>
      <c r="G282" s="15" t="s">
        <v>81</v>
      </c>
      <c r="H282" s="115"/>
      <c r="I282" s="15" t="str">
        <f>IF(B282&lt;&gt;"",2,"")</f>
        <v/>
      </c>
      <c r="J282" s="15" t="str">
        <f>IF(I282&lt;&gt;"",P282,"")</f>
        <v/>
      </c>
      <c r="K282" s="15" t="str">
        <f>IFERROR(IF(J282="","",VLOOKUP(J282,LISTAS!$F$5:$G$1004,2,0)),"0")</f>
        <v/>
      </c>
      <c r="L282" s="119" t="str">
        <f>IF(H281=3,"PRATA",IF(H281=4,"OURO",IF(H281=5,"OURO","")))</f>
        <v/>
      </c>
      <c r="M282" s="20" t="str">
        <f>IF(B282&lt;&gt;"",COUNTIF(D282:G282,"V")+(SUMIF(B287:B289,B282,D287:E289)/1000)+(SUMIF(J287:J289,B282,H287:I289)/1000)-(SUMIF(B287:B289,B282,H287:I289)/1000)-(SUMIF(J287:J289,B282,D287:E289)/1000)+0.002,"")</f>
        <v/>
      </c>
      <c r="N282" s="20" t="str">
        <f t="shared" ref="N282" si="20">IF(B282="","",B282)</f>
        <v/>
      </c>
      <c r="O282" s="20" t="str">
        <f>IF(B282&lt;&gt;"",LARGE(M281:M283,2),"")</f>
        <v/>
      </c>
      <c r="P282" s="20" t="str">
        <f>VLOOKUP(O282,M281:N283,2,0)</f>
        <v/>
      </c>
    </row>
    <row r="283" spans="2:16" ht="18" customHeight="1" x14ac:dyDescent="0.25">
      <c r="B283" s="15"/>
      <c r="C283" s="15" t="str">
        <f>IFERROR(IF(B283="","",VLOOKUP(B283,LISTAS!$F$5:$G$1004,2,0)),"0")</f>
        <v/>
      </c>
      <c r="D283" s="15" t="str">
        <f>IF(H281&lt;3,"",IF(H281=3,IF(D287&lt;&gt;"",IF(H287&lt;&gt;"",IF(D287&lt;&gt;H287,IF(D287&gt;H287,"D","V"),""),""),"")))</f>
        <v/>
      </c>
      <c r="E283" s="15" t="str">
        <f>IF(H281&lt;3,"",IF(H281=3,IF(D288&lt;&gt;"",IF(H288&lt;&gt;"",IF(D288&lt;&gt;H288,IF(D288&gt;H288,"D","V"),""),""),"")))</f>
        <v/>
      </c>
      <c r="F283" s="15" t="s">
        <v>81</v>
      </c>
      <c r="G283" s="15" t="s">
        <v>81</v>
      </c>
      <c r="H283" s="115"/>
      <c r="I283" s="15" t="str">
        <f>IF(B283&lt;&gt;"",3,"")</f>
        <v/>
      </c>
      <c r="J283" s="15" t="str">
        <f>IF(I283&lt;&gt;"",P283,"")</f>
        <v/>
      </c>
      <c r="K283" s="15" t="str">
        <f>IFERROR(IF(J283="","",VLOOKUP(J283,LISTAS!$F$5:$G$1004,2,0)),"0")</f>
        <v/>
      </c>
      <c r="L283" s="119" t="str">
        <f>IF(H281=3,"BRONZE",IF(H281=4,"PRATA",IF(H281=5,"OURO","")))</f>
        <v/>
      </c>
      <c r="M283" s="20" t="str">
        <f>IF(B283&lt;&gt;"",COUNTIF(D283:G283,"V")+(SUMIF(B287:B289,B283,D287:E289)/1000)+(SUMIF(J287:J289,B283,H287:I289)/1000)-(SUMIF(B287:B289,B283,H287:I289)/1000)-(SUMIF(J287:J289,B283,D287:E289)/1000)+0.001,"")</f>
        <v/>
      </c>
      <c r="N283" s="20" t="str">
        <f>IF(B283="","",B283)</f>
        <v/>
      </c>
      <c r="O283" s="20" t="str">
        <f>IF(B283&lt;&gt;"",LARGE(M281:M283,3),"")</f>
        <v/>
      </c>
      <c r="P283" s="20" t="str">
        <f>VLOOKUP(O283,M281:N283,2,0)</f>
        <v/>
      </c>
    </row>
    <row r="284" spans="2:16" ht="18" customHeight="1" x14ac:dyDescent="0.25">
      <c r="B284" s="79"/>
      <c r="C284" s="79"/>
      <c r="D284" s="79"/>
      <c r="E284" s="79"/>
      <c r="F284" s="79"/>
      <c r="G284" s="79"/>
      <c r="I284" s="80"/>
      <c r="J284" s="79"/>
      <c r="K284" s="81"/>
      <c r="L284" s="81"/>
    </row>
    <row r="285" spans="2:16" ht="23.25" customHeight="1" x14ac:dyDescent="0.25">
      <c r="B285" s="82" t="s">
        <v>40</v>
      </c>
      <c r="C285" s="79"/>
      <c r="D285" s="79"/>
      <c r="E285" s="79"/>
      <c r="F285" s="79"/>
      <c r="G285" s="79"/>
      <c r="H285" s="79"/>
      <c r="I285" s="79"/>
      <c r="J285" s="79"/>
      <c r="K285" s="79"/>
      <c r="L285" s="79"/>
    </row>
    <row r="286" spans="2:16" ht="18" customHeight="1" x14ac:dyDescent="0.25">
      <c r="B286" s="9" t="s">
        <v>15</v>
      </c>
      <c r="C286" s="9" t="s">
        <v>0</v>
      </c>
      <c r="D286" s="228" t="s">
        <v>41</v>
      </c>
      <c r="E286" s="229"/>
      <c r="F286" s="229"/>
      <c r="G286" s="229"/>
      <c r="H286" s="229"/>
      <c r="I286" s="230"/>
      <c r="J286" s="9" t="s">
        <v>15</v>
      </c>
      <c r="K286" s="9" t="s">
        <v>0</v>
      </c>
      <c r="L286" s="79"/>
    </row>
    <row r="287" spans="2:16" ht="18" customHeight="1" x14ac:dyDescent="0.25">
      <c r="B287" s="15" t="str">
        <f>IF(H281=3,B281,"")</f>
        <v/>
      </c>
      <c r="C287" s="15" t="str">
        <f>IFERROR(IF(B287="","",VLOOKUP(B287,LISTAS!$F$5:$G$1004,2,0)),"0")</f>
        <v/>
      </c>
      <c r="D287" s="223"/>
      <c r="E287" s="224"/>
      <c r="F287" s="223" t="s">
        <v>38</v>
      </c>
      <c r="G287" s="224"/>
      <c r="H287" s="223"/>
      <c r="I287" s="224"/>
      <c r="J287" s="21" t="str">
        <f>IF(H281=3,B283,"")</f>
        <v/>
      </c>
      <c r="K287" s="15" t="str">
        <f>IFERROR(IF(J287="","",VLOOKUP(J287,LISTAS!$F$5:$G$1004,2,0)),"0")</f>
        <v/>
      </c>
      <c r="L287" s="81"/>
    </row>
    <row r="288" spans="2:16" ht="18" customHeight="1" x14ac:dyDescent="0.25">
      <c r="B288" s="15" t="str">
        <f>IF(H281=3,B282,"")</f>
        <v/>
      </c>
      <c r="C288" s="15" t="str">
        <f>IFERROR(IF(B288="","",VLOOKUP(B288,LISTAS!$F$5:$G$1004,2,0)),"0")</f>
        <v/>
      </c>
      <c r="D288" s="223"/>
      <c r="E288" s="224"/>
      <c r="F288" s="223" t="s">
        <v>38</v>
      </c>
      <c r="G288" s="224"/>
      <c r="H288" s="223"/>
      <c r="I288" s="224"/>
      <c r="J288" s="21" t="str">
        <f>IF(H281=3,B283,"")</f>
        <v/>
      </c>
      <c r="K288" s="15" t="str">
        <f>IFERROR(IF(J288="","",VLOOKUP(J288,LISTAS!$F$5:$G$1004,2,0)),"0")</f>
        <v/>
      </c>
      <c r="L288" s="79"/>
    </row>
    <row r="289" spans="2:16" ht="18" customHeight="1" x14ac:dyDescent="0.25">
      <c r="B289" s="15" t="str">
        <f>IF(H281=3,B281,"")</f>
        <v/>
      </c>
      <c r="C289" s="15" t="str">
        <f>IFERROR(IF(B289="","",VLOOKUP(B289,LISTAS!$F$5:$G$1004,2,0)),"0")</f>
        <v/>
      </c>
      <c r="D289" s="223"/>
      <c r="E289" s="224"/>
      <c r="F289" s="223" t="s">
        <v>38</v>
      </c>
      <c r="G289" s="224"/>
      <c r="H289" s="223"/>
      <c r="I289" s="224"/>
      <c r="J289" s="21" t="str">
        <f>IF(H281=3,B282,"")</f>
        <v/>
      </c>
      <c r="K289" s="15" t="str">
        <f>IFERROR(IF(J289="","",VLOOKUP(J289,LISTAS!$F$5:$G$1004,2,0)),"0")</f>
        <v/>
      </c>
      <c r="L289" s="81"/>
    </row>
    <row r="292" spans="2:16" ht="30" customHeight="1" x14ac:dyDescent="0.25">
      <c r="B292" s="161" t="s">
        <v>66</v>
      </c>
      <c r="C292" s="79"/>
      <c r="D292" s="225" t="s">
        <v>42</v>
      </c>
      <c r="E292" s="226"/>
      <c r="F292" s="226"/>
      <c r="G292" s="227"/>
      <c r="H292" s="113"/>
      <c r="I292" s="225" t="s">
        <v>3</v>
      </c>
      <c r="J292" s="226"/>
      <c r="K292" s="226"/>
      <c r="L292" s="226"/>
    </row>
    <row r="293" spans="2:16" ht="18" customHeight="1" x14ac:dyDescent="0.25">
      <c r="B293" s="9" t="s">
        <v>15</v>
      </c>
      <c r="C293" s="9" t="s">
        <v>0</v>
      </c>
      <c r="D293" s="9" t="s">
        <v>43</v>
      </c>
      <c r="E293" s="9" t="s">
        <v>44</v>
      </c>
      <c r="F293" s="9" t="s">
        <v>77</v>
      </c>
      <c r="G293" s="9" t="s">
        <v>78</v>
      </c>
      <c r="H293" s="114"/>
      <c r="I293" s="9" t="s">
        <v>18</v>
      </c>
      <c r="J293" s="9" t="s">
        <v>15</v>
      </c>
      <c r="K293" s="9" t="s">
        <v>0</v>
      </c>
      <c r="L293" s="9" t="s">
        <v>45</v>
      </c>
    </row>
    <row r="294" spans="2:16" ht="18" customHeight="1" x14ac:dyDescent="0.25">
      <c r="B294" s="15"/>
      <c r="C294" s="15" t="str">
        <f>IFERROR(IF(B294="","",VLOOKUP(B294,LISTAS!$F$5:$G$1004,2,0)),"0")</f>
        <v/>
      </c>
      <c r="D294" s="15" t="str">
        <f>IF(H294&lt;3,"",IF(H294=3,IF(D300&lt;&gt;"",IF(H300&lt;&gt;"",IF(D300&lt;&gt;H300,IF(D300&gt;H300,"V","D"),""),""),"")))</f>
        <v/>
      </c>
      <c r="E294" s="15" t="str">
        <f>IF(H294&lt;3,"",IF(H294=3,IF(D302&lt;&gt;"",IF(H302&lt;&gt;"",IF(D302&lt;&gt;H302,IF(D302&gt;H302,"V","D"),""),""),"")))</f>
        <v/>
      </c>
      <c r="F294" s="15" t="s">
        <v>81</v>
      </c>
      <c r="G294" s="15" t="s">
        <v>81</v>
      </c>
      <c r="H294" s="117">
        <f>COUNTA(B294:B296)</f>
        <v>0</v>
      </c>
      <c r="I294" s="15" t="str">
        <f>IF(B294&lt;&gt;"",1,"")</f>
        <v/>
      </c>
      <c r="J294" s="15" t="str">
        <f>IF(I294&lt;&gt;"",P294,"")</f>
        <v/>
      </c>
      <c r="K294" s="15" t="str">
        <f>IFERROR(IF(J294="","",VLOOKUP(J294,LISTAS!$F$5:$G$1004,2,0)),"0")</f>
        <v/>
      </c>
      <c r="L294" s="119" t="str">
        <f>IF(H294=3,"OURO",IF(H294=4,"OURO",IF(H294=5,"OURO","")))</f>
        <v/>
      </c>
      <c r="M294" s="20" t="str">
        <f>IF(B294&lt;&gt;"",COUNTIF(D294:G294,"V")+(SUMIF(B300:B302,B294,D300:E302)/1000)+(SUMIF(J300:J302,B294,H300:I302)/1000)-(SUMIF(B300:B302,B294,H300:I302)/1000)-(SUMIF(J300:J302,B294,D300:E302)/1000)+0.003,"")</f>
        <v/>
      </c>
      <c r="N294" s="20" t="str">
        <f>IF(B294="","",B294)</f>
        <v/>
      </c>
      <c r="O294" s="20" t="str">
        <f>IF(B294&lt;&gt;"",LARGE(M294:M296,1),"")</f>
        <v/>
      </c>
      <c r="P294" s="20" t="str">
        <f>VLOOKUP(O294,M294:N296,2,0)</f>
        <v/>
      </c>
    </row>
    <row r="295" spans="2:16" ht="18" customHeight="1" x14ac:dyDescent="0.25">
      <c r="B295" s="15"/>
      <c r="C295" s="15" t="str">
        <f>IFERROR(IF(B295="","",VLOOKUP(B295,LISTAS!$F$5:$G$1004,2,0)),"0")</f>
        <v/>
      </c>
      <c r="D295" s="15" t="str">
        <f>IF(H294&lt;3,"",IF(H294=3,IF(D301&lt;&gt;"",IF(H301&lt;&gt;"",IF(D301&lt;&gt;H301,IF(D301&gt;H301,"V","D"),""),""),"")))</f>
        <v/>
      </c>
      <c r="E295" s="15" t="str">
        <f>IF(H294&lt;3,"",IF(H294=3,IF(D302&lt;&gt;"",IF(H302&lt;&gt;"",IF(D302&lt;&gt;H302,IF(D302&gt;H302,"D","V"),""),""),"")))</f>
        <v/>
      </c>
      <c r="F295" s="15" t="s">
        <v>81</v>
      </c>
      <c r="G295" s="15" t="s">
        <v>81</v>
      </c>
      <c r="H295" s="115"/>
      <c r="I295" s="15" t="str">
        <f>IF(B295&lt;&gt;"",2,"")</f>
        <v/>
      </c>
      <c r="J295" s="15" t="str">
        <f>IF(I295&lt;&gt;"",P295,"")</f>
        <v/>
      </c>
      <c r="K295" s="15" t="str">
        <f>IFERROR(IF(J295="","",VLOOKUP(J295,LISTAS!$F$5:$G$1004,2,0)),"0")</f>
        <v/>
      </c>
      <c r="L295" s="119" t="str">
        <f>IF(H294=3,"PRATA",IF(H294=4,"OURO",IF(H294=5,"OURO","")))</f>
        <v/>
      </c>
      <c r="M295" s="20" t="str">
        <f>IF(B295&lt;&gt;"",COUNTIF(D295:G295,"V")+(SUMIF(B300:B302,B295,D300:E302)/1000)+(SUMIF(J300:J302,B295,H300:I302)/1000)-(SUMIF(B300:B302,B295,H300:I302)/1000)-(SUMIF(J300:J302,B295,D300:E302)/1000)+0.002,"")</f>
        <v/>
      </c>
      <c r="N295" s="20" t="str">
        <f t="shared" ref="N295" si="21">IF(B295="","",B295)</f>
        <v/>
      </c>
      <c r="O295" s="20" t="str">
        <f>IF(B295&lt;&gt;"",LARGE(M294:M296,2),"")</f>
        <v/>
      </c>
      <c r="P295" s="20" t="str">
        <f>VLOOKUP(O295,M294:N296,2,0)</f>
        <v/>
      </c>
    </row>
    <row r="296" spans="2:16" ht="18" customHeight="1" x14ac:dyDescent="0.25">
      <c r="B296" s="15"/>
      <c r="C296" s="15" t="str">
        <f>IFERROR(IF(B296="","",VLOOKUP(B296,LISTAS!$F$5:$G$1004,2,0)),"0")</f>
        <v/>
      </c>
      <c r="D296" s="15" t="str">
        <f>IF(H294&lt;3,"",IF(H294=3,IF(D300&lt;&gt;"",IF(H300&lt;&gt;"",IF(D300&lt;&gt;H300,IF(D300&gt;H300,"D","V"),""),""),"")))</f>
        <v/>
      </c>
      <c r="E296" s="15" t="str">
        <f>IF(H294&lt;3,"",IF(H294=3,IF(D301&lt;&gt;"",IF(H301&lt;&gt;"",IF(D301&lt;&gt;H301,IF(D301&gt;H301,"D","V"),""),""),"")))</f>
        <v/>
      </c>
      <c r="F296" s="15" t="s">
        <v>81</v>
      </c>
      <c r="G296" s="15" t="s">
        <v>81</v>
      </c>
      <c r="H296" s="115"/>
      <c r="I296" s="15" t="str">
        <f>IF(B296&lt;&gt;"",3,"")</f>
        <v/>
      </c>
      <c r="J296" s="15" t="str">
        <f>IF(I296&lt;&gt;"",P296,"")</f>
        <v/>
      </c>
      <c r="K296" s="15" t="str">
        <f>IFERROR(IF(J296="","",VLOOKUP(J296,LISTAS!$F$5:$G$1004,2,0)),"0")</f>
        <v/>
      </c>
      <c r="L296" s="119" t="str">
        <f>IF(H294=3,"BRONZE",IF(H294=4,"PRATA",IF(H294=5,"OURO","")))</f>
        <v/>
      </c>
      <c r="M296" s="20" t="str">
        <f>IF(B296&lt;&gt;"",COUNTIF(D296:G296,"V")+(SUMIF(B300:B302,B296,D300:E302)/1000)+(SUMIF(J300:J302,B296,H300:I302)/1000)-(SUMIF(B300:B302,B296,H300:I302)/1000)-(SUMIF(J300:J302,B296,D300:E302)/1000)+0.001,"")</f>
        <v/>
      </c>
      <c r="N296" s="20" t="str">
        <f>IF(B296="","",B296)</f>
        <v/>
      </c>
      <c r="O296" s="20" t="str">
        <f>IF(B296&lt;&gt;"",LARGE(M294:M296,3),"")</f>
        <v/>
      </c>
      <c r="P296" s="20" t="str">
        <f>VLOOKUP(O296,M294:N296,2,0)</f>
        <v/>
      </c>
    </row>
    <row r="297" spans="2:16" ht="18" customHeight="1" x14ac:dyDescent="0.25">
      <c r="B297" s="79"/>
      <c r="C297" s="79"/>
      <c r="D297" s="79"/>
      <c r="E297" s="79"/>
      <c r="F297" s="79"/>
      <c r="G297" s="79"/>
      <c r="I297" s="80"/>
      <c r="J297" s="79"/>
      <c r="K297" s="81"/>
      <c r="L297" s="81"/>
    </row>
    <row r="298" spans="2:16" ht="23.25" customHeight="1" x14ac:dyDescent="0.25">
      <c r="B298" s="82" t="s">
        <v>40</v>
      </c>
      <c r="C298" s="79"/>
      <c r="D298" s="79"/>
      <c r="E298" s="79"/>
      <c r="F298" s="79"/>
      <c r="G298" s="79"/>
      <c r="H298" s="79"/>
      <c r="I298" s="79"/>
      <c r="J298" s="79"/>
      <c r="K298" s="79"/>
      <c r="L298" s="79"/>
    </row>
    <row r="299" spans="2:16" ht="18" customHeight="1" x14ac:dyDescent="0.25">
      <c r="B299" s="9" t="s">
        <v>15</v>
      </c>
      <c r="C299" s="9" t="s">
        <v>0</v>
      </c>
      <c r="D299" s="228" t="s">
        <v>41</v>
      </c>
      <c r="E299" s="229"/>
      <c r="F299" s="229"/>
      <c r="G299" s="229"/>
      <c r="H299" s="229"/>
      <c r="I299" s="230"/>
      <c r="J299" s="9" t="s">
        <v>15</v>
      </c>
      <c r="K299" s="9" t="s">
        <v>0</v>
      </c>
      <c r="L299" s="79"/>
    </row>
    <row r="300" spans="2:16" ht="18" customHeight="1" x14ac:dyDescent="0.25">
      <c r="B300" s="15" t="str">
        <f>IF(H294=3,B294,"")</f>
        <v/>
      </c>
      <c r="C300" s="15" t="str">
        <f>IFERROR(IF(B300="","",VLOOKUP(B300,LISTAS!$F$5:$G$1004,2,0)),"0")</f>
        <v/>
      </c>
      <c r="D300" s="223"/>
      <c r="E300" s="224"/>
      <c r="F300" s="223" t="s">
        <v>38</v>
      </c>
      <c r="G300" s="224"/>
      <c r="H300" s="223"/>
      <c r="I300" s="224"/>
      <c r="J300" s="21" t="str">
        <f>IF(H294=3,B296,"")</f>
        <v/>
      </c>
      <c r="K300" s="15" t="str">
        <f>IFERROR(IF(J300="","",VLOOKUP(J300,LISTAS!$F$5:$G$1004,2,0)),"0")</f>
        <v/>
      </c>
      <c r="L300" s="81"/>
    </row>
    <row r="301" spans="2:16" ht="18" customHeight="1" x14ac:dyDescent="0.25">
      <c r="B301" s="15" t="str">
        <f>IF(H294=3,B295,"")</f>
        <v/>
      </c>
      <c r="C301" s="15" t="str">
        <f>IFERROR(IF(B301="","",VLOOKUP(B301,LISTAS!$F$5:$G$1004,2,0)),"0")</f>
        <v/>
      </c>
      <c r="D301" s="223"/>
      <c r="E301" s="224"/>
      <c r="F301" s="223" t="s">
        <v>38</v>
      </c>
      <c r="G301" s="224"/>
      <c r="H301" s="223"/>
      <c r="I301" s="224"/>
      <c r="J301" s="21" t="str">
        <f>IF(H294=3,B296,"")</f>
        <v/>
      </c>
      <c r="K301" s="15" t="str">
        <f>IFERROR(IF(J301="","",VLOOKUP(J301,LISTAS!$F$5:$G$1004,2,0)),"0")</f>
        <v/>
      </c>
      <c r="L301" s="79"/>
    </row>
    <row r="302" spans="2:16" ht="18" customHeight="1" x14ac:dyDescent="0.25">
      <c r="B302" s="15" t="str">
        <f>IF(H294=3,B294,"")</f>
        <v/>
      </c>
      <c r="C302" s="15" t="str">
        <f>IFERROR(IF(B302="","",VLOOKUP(B302,LISTAS!$F$5:$G$1004,2,0)),"0")</f>
        <v/>
      </c>
      <c r="D302" s="223"/>
      <c r="E302" s="224"/>
      <c r="F302" s="223" t="s">
        <v>38</v>
      </c>
      <c r="G302" s="224"/>
      <c r="H302" s="223"/>
      <c r="I302" s="224"/>
      <c r="J302" s="21" t="str">
        <f>IF(H294=3,B295,"")</f>
        <v/>
      </c>
      <c r="K302" s="15" t="str">
        <f>IFERROR(IF(J302="","",VLOOKUP(J302,LISTAS!$F$5:$G$1004,2,0)),"0")</f>
        <v/>
      </c>
      <c r="L302" s="81"/>
    </row>
    <row r="305" spans="2:16" ht="30" customHeight="1" x14ac:dyDescent="0.25">
      <c r="B305" s="161" t="s">
        <v>67</v>
      </c>
      <c r="C305" s="79"/>
      <c r="D305" s="225" t="s">
        <v>42</v>
      </c>
      <c r="E305" s="226"/>
      <c r="F305" s="226"/>
      <c r="G305" s="227"/>
      <c r="H305" s="113"/>
      <c r="I305" s="225" t="s">
        <v>3</v>
      </c>
      <c r="J305" s="226"/>
      <c r="K305" s="226"/>
      <c r="L305" s="226"/>
    </row>
    <row r="306" spans="2:16" ht="18" customHeight="1" x14ac:dyDescent="0.25">
      <c r="B306" s="9" t="s">
        <v>15</v>
      </c>
      <c r="C306" s="9" t="s">
        <v>0</v>
      </c>
      <c r="D306" s="9" t="s">
        <v>43</v>
      </c>
      <c r="E306" s="9" t="s">
        <v>44</v>
      </c>
      <c r="F306" s="9" t="s">
        <v>77</v>
      </c>
      <c r="G306" s="9" t="s">
        <v>78</v>
      </c>
      <c r="H306" s="114"/>
      <c r="I306" s="9" t="s">
        <v>18</v>
      </c>
      <c r="J306" s="9" t="s">
        <v>15</v>
      </c>
      <c r="K306" s="9" t="s">
        <v>0</v>
      </c>
      <c r="L306" s="9" t="s">
        <v>45</v>
      </c>
    </row>
    <row r="307" spans="2:16" ht="18" customHeight="1" x14ac:dyDescent="0.25">
      <c r="B307" s="15"/>
      <c r="C307" s="15" t="str">
        <f>IFERROR(IF(B307="","",VLOOKUP(B307,LISTAS!$F$5:$G$1004,2,0)),"0")</f>
        <v/>
      </c>
      <c r="D307" s="15" t="str">
        <f>IF(H307&lt;3,"",IF(H307=3,IF(D313&lt;&gt;"",IF(H313&lt;&gt;"",IF(D313&lt;&gt;H313,IF(D313&gt;H313,"V","D"),""),""),"")))</f>
        <v/>
      </c>
      <c r="E307" s="15" t="str">
        <f>IF(H307&lt;3,"",IF(H307=3,IF(D315&lt;&gt;"",IF(H315&lt;&gt;"",IF(D315&lt;&gt;H315,IF(D315&gt;H315,"V","D"),""),""),"")))</f>
        <v/>
      </c>
      <c r="F307" s="15" t="s">
        <v>81</v>
      </c>
      <c r="G307" s="15" t="s">
        <v>81</v>
      </c>
      <c r="H307" s="117">
        <f>COUNTA(B307:B309)</f>
        <v>0</v>
      </c>
      <c r="I307" s="15" t="str">
        <f>IF(B307&lt;&gt;"",1,"")</f>
        <v/>
      </c>
      <c r="J307" s="15" t="str">
        <f>IF(I307&lt;&gt;"",P307,"")</f>
        <v/>
      </c>
      <c r="K307" s="15" t="str">
        <f>IFERROR(IF(J307="","",VLOOKUP(J307,LISTAS!$F$5:$G$1004,2,0)),"0")</f>
        <v/>
      </c>
      <c r="L307" s="119" t="str">
        <f>IF(H307=3,"OURO",IF(H307=4,"OURO",IF(H307=5,"OURO","")))</f>
        <v/>
      </c>
      <c r="M307" s="20" t="str">
        <f>IF(B307&lt;&gt;"",COUNTIF(D307:G307,"V")+(SUMIF(B313:B315,B307,D313:E315)/1000)+(SUMIF(J313:J315,B307,H313:I315)/1000)-(SUMIF(B313:B315,B307,H313:I315)/1000)-(SUMIF(J313:J315,B307,D313:E315)/1000)+0.003,"")</f>
        <v/>
      </c>
      <c r="N307" s="20" t="str">
        <f>IF(B307="","",B307)</f>
        <v/>
      </c>
      <c r="O307" s="20" t="str">
        <f>IF(B307&lt;&gt;"",LARGE(M307:M309,1),"")</f>
        <v/>
      </c>
      <c r="P307" s="20" t="str">
        <f>VLOOKUP(O307,M307:N309,2,0)</f>
        <v/>
      </c>
    </row>
    <row r="308" spans="2:16" ht="18" customHeight="1" x14ac:dyDescent="0.25">
      <c r="B308" s="15"/>
      <c r="C308" s="15" t="str">
        <f>IFERROR(IF(B308="","",VLOOKUP(B308,LISTAS!$F$5:$G$1004,2,0)),"0")</f>
        <v/>
      </c>
      <c r="D308" s="15" t="str">
        <f>IF(H307&lt;3,"",IF(H307=3,IF(D314&lt;&gt;"",IF(H314&lt;&gt;"",IF(D314&lt;&gt;H314,IF(D314&gt;H314,"V","D"),""),""),"")))</f>
        <v/>
      </c>
      <c r="E308" s="15" t="str">
        <f>IF(H307&lt;3,"",IF(H307=3,IF(D315&lt;&gt;"",IF(H315&lt;&gt;"",IF(D315&lt;&gt;H315,IF(D315&gt;H315,"D","V"),""),""),"")))</f>
        <v/>
      </c>
      <c r="F308" s="15" t="s">
        <v>81</v>
      </c>
      <c r="G308" s="15" t="s">
        <v>81</v>
      </c>
      <c r="H308" s="115"/>
      <c r="I308" s="15" t="str">
        <f>IF(B308&lt;&gt;"",2,"")</f>
        <v/>
      </c>
      <c r="J308" s="15" t="str">
        <f>IF(I308&lt;&gt;"",P308,"")</f>
        <v/>
      </c>
      <c r="K308" s="15" t="str">
        <f>IFERROR(IF(J308="","",VLOOKUP(J308,LISTAS!$F$5:$G$1004,2,0)),"0")</f>
        <v/>
      </c>
      <c r="L308" s="119" t="str">
        <f>IF(H307=3,"PRATA",IF(H307=4,"OURO",IF(H307=5,"OURO","")))</f>
        <v/>
      </c>
      <c r="M308" s="20" t="str">
        <f>IF(B308&lt;&gt;"",COUNTIF(D308:G308,"V")+(SUMIF(B313:B315,B308,D313:E315)/1000)+(SUMIF(J313:J315,B308,H313:I315)/1000)-(SUMIF(B313:B315,B308,H313:I315)/1000)-(SUMIF(J313:J315,B308,D313:E315)/1000)+0.002,"")</f>
        <v/>
      </c>
      <c r="N308" s="20" t="str">
        <f t="shared" ref="N308" si="22">IF(B308="","",B308)</f>
        <v/>
      </c>
      <c r="O308" s="20" t="str">
        <f>IF(B308&lt;&gt;"",LARGE(M307:M309,2),"")</f>
        <v/>
      </c>
      <c r="P308" s="20" t="str">
        <f>VLOOKUP(O308,M307:N309,2,0)</f>
        <v/>
      </c>
    </row>
    <row r="309" spans="2:16" ht="18" customHeight="1" x14ac:dyDescent="0.25">
      <c r="B309" s="15"/>
      <c r="C309" s="15" t="str">
        <f>IFERROR(IF(B309="","",VLOOKUP(B309,LISTAS!$F$5:$G$1004,2,0)),"0")</f>
        <v/>
      </c>
      <c r="D309" s="15" t="str">
        <f>IF(H307&lt;3,"",IF(H307=3,IF(D313&lt;&gt;"",IF(H313&lt;&gt;"",IF(D313&lt;&gt;H313,IF(D313&gt;H313,"D","V"),""),""),"")))</f>
        <v/>
      </c>
      <c r="E309" s="15" t="str">
        <f>IF(H307&lt;3,"",IF(H307=3,IF(D314&lt;&gt;"",IF(H314&lt;&gt;"",IF(D314&lt;&gt;H314,IF(D314&gt;H314,"D","V"),""),""),"")))</f>
        <v/>
      </c>
      <c r="F309" s="15" t="s">
        <v>81</v>
      </c>
      <c r="G309" s="15" t="s">
        <v>81</v>
      </c>
      <c r="H309" s="115"/>
      <c r="I309" s="15" t="str">
        <f>IF(B309&lt;&gt;"",3,"")</f>
        <v/>
      </c>
      <c r="J309" s="15" t="str">
        <f>IF(I309&lt;&gt;"",P309,"")</f>
        <v/>
      </c>
      <c r="K309" s="15" t="str">
        <f>IFERROR(IF(J309="","",VLOOKUP(J309,LISTAS!$F$5:$G$1004,2,0)),"0")</f>
        <v/>
      </c>
      <c r="L309" s="119" t="str">
        <f>IF(H307=3,"BRONZE",IF(H307=4,"PRATA",IF(H307=5,"OURO","")))</f>
        <v/>
      </c>
      <c r="M309" s="20" t="str">
        <f>IF(B309&lt;&gt;"",COUNTIF(D309:G309,"V")+(SUMIF(B313:B315,B309,D313:E315)/1000)+(SUMIF(J313:J315,B309,H313:I315)/1000)-(SUMIF(B313:B315,B309,H313:I315)/1000)-(SUMIF(J313:J315,B309,D313:E315)/1000)+0.001,"")</f>
        <v/>
      </c>
      <c r="N309" s="20" t="str">
        <f>IF(B309="","",B309)</f>
        <v/>
      </c>
      <c r="O309" s="20" t="str">
        <f>IF(B309&lt;&gt;"",LARGE(M307:M309,3),"")</f>
        <v/>
      </c>
      <c r="P309" s="20" t="str">
        <f>VLOOKUP(O309,M307:N309,2,0)</f>
        <v/>
      </c>
    </row>
    <row r="310" spans="2:16" ht="18" customHeight="1" x14ac:dyDescent="0.25">
      <c r="B310" s="79"/>
      <c r="C310" s="79"/>
      <c r="D310" s="79"/>
      <c r="E310" s="79"/>
      <c r="F310" s="79"/>
      <c r="G310" s="79"/>
      <c r="I310" s="80"/>
      <c r="J310" s="79"/>
      <c r="K310" s="81"/>
      <c r="L310" s="81"/>
    </row>
    <row r="311" spans="2:16" ht="23.25" customHeight="1" x14ac:dyDescent="0.25">
      <c r="B311" s="82" t="s">
        <v>40</v>
      </c>
      <c r="C311" s="79"/>
      <c r="D311" s="79"/>
      <c r="E311" s="79"/>
      <c r="F311" s="79"/>
      <c r="G311" s="79"/>
      <c r="H311" s="79"/>
      <c r="I311" s="79"/>
      <c r="J311" s="79"/>
      <c r="K311" s="79"/>
      <c r="L311" s="79"/>
    </row>
    <row r="312" spans="2:16" ht="18" customHeight="1" x14ac:dyDescent="0.25">
      <c r="B312" s="9" t="s">
        <v>15</v>
      </c>
      <c r="C312" s="9" t="s">
        <v>0</v>
      </c>
      <c r="D312" s="228" t="s">
        <v>41</v>
      </c>
      <c r="E312" s="229"/>
      <c r="F312" s="229"/>
      <c r="G312" s="229"/>
      <c r="H312" s="229"/>
      <c r="I312" s="230"/>
      <c r="J312" s="9" t="s">
        <v>15</v>
      </c>
      <c r="K312" s="9" t="s">
        <v>0</v>
      </c>
      <c r="L312" s="79"/>
    </row>
    <row r="313" spans="2:16" ht="18" customHeight="1" x14ac:dyDescent="0.25">
      <c r="B313" s="15" t="str">
        <f>IF(H307=3,B307,"")</f>
        <v/>
      </c>
      <c r="C313" s="15" t="str">
        <f>IFERROR(IF(B313="","",VLOOKUP(B313,LISTAS!$F$5:$G$1004,2,0)),"0")</f>
        <v/>
      </c>
      <c r="D313" s="223"/>
      <c r="E313" s="224"/>
      <c r="F313" s="223" t="s">
        <v>38</v>
      </c>
      <c r="G313" s="224"/>
      <c r="H313" s="223"/>
      <c r="I313" s="224"/>
      <c r="J313" s="21" t="str">
        <f>IF(H307=3,B309,"")</f>
        <v/>
      </c>
      <c r="K313" s="15" t="str">
        <f>IFERROR(IF(J313="","",VLOOKUP(J313,LISTAS!$F$5:$G$1004,2,0)),"0")</f>
        <v/>
      </c>
      <c r="L313" s="81"/>
    </row>
    <row r="314" spans="2:16" ht="18" customHeight="1" x14ac:dyDescent="0.25">
      <c r="B314" s="15" t="str">
        <f>IF(H307=3,B308,"")</f>
        <v/>
      </c>
      <c r="C314" s="15" t="str">
        <f>IFERROR(IF(B314="","",VLOOKUP(B314,LISTAS!$F$5:$G$1004,2,0)),"0")</f>
        <v/>
      </c>
      <c r="D314" s="223"/>
      <c r="E314" s="224"/>
      <c r="F314" s="223" t="s">
        <v>38</v>
      </c>
      <c r="G314" s="224"/>
      <c r="H314" s="223"/>
      <c r="I314" s="224"/>
      <c r="J314" s="21" t="str">
        <f>IF(H307=3,B309,"")</f>
        <v/>
      </c>
      <c r="K314" s="15" t="str">
        <f>IFERROR(IF(J314="","",VLOOKUP(J314,LISTAS!$F$5:$G$1004,2,0)),"0")</f>
        <v/>
      </c>
      <c r="L314" s="79"/>
    </row>
    <row r="315" spans="2:16" ht="18" customHeight="1" x14ac:dyDescent="0.25">
      <c r="B315" s="15" t="str">
        <f>IF(H307=3,B307,"")</f>
        <v/>
      </c>
      <c r="C315" s="15" t="str">
        <f>IFERROR(IF(B315="","",VLOOKUP(B315,LISTAS!$F$5:$G$1004,2,0)),"0")</f>
        <v/>
      </c>
      <c r="D315" s="223"/>
      <c r="E315" s="224"/>
      <c r="F315" s="223" t="s">
        <v>38</v>
      </c>
      <c r="G315" s="224"/>
      <c r="H315" s="223"/>
      <c r="I315" s="224"/>
      <c r="J315" s="21" t="str">
        <f>IF(H307=3,B308,"")</f>
        <v/>
      </c>
      <c r="K315" s="15" t="str">
        <f>IFERROR(IF(J315="","",VLOOKUP(J315,LISTAS!$F$5:$G$1004,2,0)),"0")</f>
        <v/>
      </c>
      <c r="L315" s="81"/>
    </row>
    <row r="318" spans="2:16" ht="30" customHeight="1" x14ac:dyDescent="0.25">
      <c r="B318" s="161" t="s">
        <v>68</v>
      </c>
      <c r="C318" s="79"/>
      <c r="D318" s="225" t="s">
        <v>42</v>
      </c>
      <c r="E318" s="226"/>
      <c r="F318" s="226"/>
      <c r="G318" s="227"/>
      <c r="H318" s="113"/>
      <c r="I318" s="225" t="s">
        <v>3</v>
      </c>
      <c r="J318" s="226"/>
      <c r="K318" s="226"/>
      <c r="L318" s="226"/>
    </row>
    <row r="319" spans="2:16" ht="18" customHeight="1" x14ac:dyDescent="0.25">
      <c r="B319" s="9" t="s">
        <v>15</v>
      </c>
      <c r="C319" s="9" t="s">
        <v>0</v>
      </c>
      <c r="D319" s="9" t="s">
        <v>43</v>
      </c>
      <c r="E319" s="9" t="s">
        <v>44</v>
      </c>
      <c r="F319" s="9" t="s">
        <v>77</v>
      </c>
      <c r="G319" s="9" t="s">
        <v>78</v>
      </c>
      <c r="H319" s="114"/>
      <c r="I319" s="9" t="s">
        <v>18</v>
      </c>
      <c r="J319" s="9" t="s">
        <v>15</v>
      </c>
      <c r="K319" s="9" t="s">
        <v>0</v>
      </c>
      <c r="L319" s="9" t="s">
        <v>45</v>
      </c>
    </row>
    <row r="320" spans="2:16" ht="18" customHeight="1" x14ac:dyDescent="0.25">
      <c r="B320" s="15"/>
      <c r="C320" s="15" t="str">
        <f>IFERROR(IF(B320="","",VLOOKUP(B320,LISTAS!$F$5:$G$1004,2,0)),"0")</f>
        <v/>
      </c>
      <c r="D320" s="15" t="str">
        <f>IF(H320&lt;3,"",IF(H320=3,IF(D326&lt;&gt;"",IF(H326&lt;&gt;"",IF(D326&lt;&gt;H326,IF(D326&gt;H326,"V","D"),""),""),"")))</f>
        <v/>
      </c>
      <c r="E320" s="15" t="str">
        <f>IF(H320&lt;3,"",IF(H320=3,IF(D328&lt;&gt;"",IF(H328&lt;&gt;"",IF(D328&lt;&gt;H328,IF(D328&gt;H328,"V","D"),""),""),"")))</f>
        <v/>
      </c>
      <c r="F320" s="15" t="s">
        <v>81</v>
      </c>
      <c r="G320" s="15" t="s">
        <v>81</v>
      </c>
      <c r="H320" s="117">
        <f>COUNTA(B320:B322)</f>
        <v>0</v>
      </c>
      <c r="I320" s="15" t="str">
        <f>IF(B320&lt;&gt;"",1,"")</f>
        <v/>
      </c>
      <c r="J320" s="15" t="str">
        <f>IF(I320&lt;&gt;"",P320,"")</f>
        <v/>
      </c>
      <c r="K320" s="15" t="str">
        <f>IFERROR(IF(J320="","",VLOOKUP(J320,LISTAS!$F$5:$G$1004,2,0)),"0")</f>
        <v/>
      </c>
      <c r="L320" s="119" t="str">
        <f>IF(H320=3,"OURO",IF(H320=4,"OURO",IF(H320=5,"OURO","")))</f>
        <v/>
      </c>
      <c r="M320" s="20" t="str">
        <f>IF(B320&lt;&gt;"",COUNTIF(D320:G320,"V")+(SUMIF(B326:B328,B320,D326:E328)/1000)+(SUMIF(J326:J328,B320,H326:I328)/1000)-(SUMIF(B326:B328,B320,H326:I328)/1000)-(SUMIF(J326:J328,B320,D326:E328)/1000)+0.003,"")</f>
        <v/>
      </c>
      <c r="N320" s="20" t="str">
        <f>IF(B320="","",B320)</f>
        <v/>
      </c>
      <c r="O320" s="20" t="str">
        <f>IF(B320&lt;&gt;"",LARGE(M320:M322,1),"")</f>
        <v/>
      </c>
      <c r="P320" s="20" t="str">
        <f>VLOOKUP(O320,M320:N322,2,0)</f>
        <v/>
      </c>
    </row>
    <row r="321" spans="2:16" ht="18" customHeight="1" x14ac:dyDescent="0.25">
      <c r="B321" s="15"/>
      <c r="C321" s="15" t="str">
        <f>IFERROR(IF(B321="","",VLOOKUP(B321,LISTAS!$F$5:$G$1004,2,0)),"0")</f>
        <v/>
      </c>
      <c r="D321" s="15" t="str">
        <f>IF(H320&lt;3,"",IF(H320=3,IF(D327&lt;&gt;"",IF(H327&lt;&gt;"",IF(D327&lt;&gt;H327,IF(D327&gt;H327,"V","D"),""),""),"")))</f>
        <v/>
      </c>
      <c r="E321" s="15" t="str">
        <f>IF(H320&lt;3,"",IF(H320=3,IF(D328&lt;&gt;"",IF(H328&lt;&gt;"",IF(D328&lt;&gt;H328,IF(D328&gt;H328,"D","V"),""),""),"")))</f>
        <v/>
      </c>
      <c r="F321" s="15" t="s">
        <v>81</v>
      </c>
      <c r="G321" s="15" t="s">
        <v>81</v>
      </c>
      <c r="H321" s="115"/>
      <c r="I321" s="15" t="str">
        <f>IF(B321&lt;&gt;"",2,"")</f>
        <v/>
      </c>
      <c r="J321" s="15" t="str">
        <f>IF(I321&lt;&gt;"",P321,"")</f>
        <v/>
      </c>
      <c r="K321" s="15" t="str">
        <f>IFERROR(IF(J321="","",VLOOKUP(J321,LISTAS!$F$5:$G$1004,2,0)),"0")</f>
        <v/>
      </c>
      <c r="L321" s="119" t="str">
        <f>IF(H320=3,"PRATA",IF(H320=4,"OURO",IF(H320=5,"OURO","")))</f>
        <v/>
      </c>
      <c r="M321" s="20" t="str">
        <f>IF(B321&lt;&gt;"",COUNTIF(D321:G321,"V")+(SUMIF(B326:B328,B321,D326:E328)/1000)+(SUMIF(J326:J328,B321,H326:I328)/1000)-(SUMIF(B326:B328,B321,H326:I328)/1000)-(SUMIF(J326:J328,B321,D326:E328)/1000)+0.002,"")</f>
        <v/>
      </c>
      <c r="N321" s="20" t="str">
        <f t="shared" ref="N321" si="23">IF(B321="","",B321)</f>
        <v/>
      </c>
      <c r="O321" s="20" t="str">
        <f>IF(B321&lt;&gt;"",LARGE(M320:M322,2),"")</f>
        <v/>
      </c>
      <c r="P321" s="20" t="str">
        <f>VLOOKUP(O321,M320:N322,2,0)</f>
        <v/>
      </c>
    </row>
    <row r="322" spans="2:16" ht="18" customHeight="1" x14ac:dyDescent="0.25">
      <c r="B322" s="15"/>
      <c r="C322" s="15" t="str">
        <f>IFERROR(IF(B322="","",VLOOKUP(B322,LISTAS!$F$5:$G$1004,2,0)),"0")</f>
        <v/>
      </c>
      <c r="D322" s="15" t="str">
        <f>IF(H320&lt;3,"",IF(H320=3,IF(D326&lt;&gt;"",IF(H326&lt;&gt;"",IF(D326&lt;&gt;H326,IF(D326&gt;H326,"D","V"),""),""),"")))</f>
        <v/>
      </c>
      <c r="E322" s="15" t="str">
        <f>IF(H320&lt;3,"",IF(H320=3,IF(D327&lt;&gt;"",IF(H327&lt;&gt;"",IF(D327&lt;&gt;H327,IF(D327&gt;H327,"D","V"),""),""),"")))</f>
        <v/>
      </c>
      <c r="F322" s="15" t="s">
        <v>81</v>
      </c>
      <c r="G322" s="15" t="s">
        <v>81</v>
      </c>
      <c r="H322" s="115"/>
      <c r="I322" s="15" t="str">
        <f>IF(B322&lt;&gt;"",3,"")</f>
        <v/>
      </c>
      <c r="J322" s="15" t="str">
        <f>IF(I322&lt;&gt;"",P322,"")</f>
        <v/>
      </c>
      <c r="K322" s="15" t="str">
        <f>IFERROR(IF(J322="","",VLOOKUP(J322,LISTAS!$F$5:$G$1004,2,0)),"0")</f>
        <v/>
      </c>
      <c r="L322" s="119" t="str">
        <f>IF(H320=3,"BRONZE",IF(H320=4,"PRATA",IF(H320=5,"OURO","")))</f>
        <v/>
      </c>
      <c r="M322" s="20" t="str">
        <f>IF(B322&lt;&gt;"",COUNTIF(D322:G322,"V")+(SUMIF(B326:B328,B322,D326:E328)/1000)+(SUMIF(J326:J328,B322,H326:I328)/1000)-(SUMIF(B326:B328,B322,H326:I328)/1000)-(SUMIF(J326:J328,B322,D326:E328)/1000)+0.001,"")</f>
        <v/>
      </c>
      <c r="N322" s="20" t="str">
        <f>IF(B322="","",B322)</f>
        <v/>
      </c>
      <c r="O322" s="20" t="str">
        <f>IF(B322&lt;&gt;"",LARGE(M320:M322,3),"")</f>
        <v/>
      </c>
      <c r="P322" s="20" t="str">
        <f>VLOOKUP(O322,M320:N322,2,0)</f>
        <v/>
      </c>
    </row>
    <row r="323" spans="2:16" ht="18" customHeight="1" x14ac:dyDescent="0.25">
      <c r="B323" s="79"/>
      <c r="C323" s="79"/>
      <c r="D323" s="79"/>
      <c r="E323" s="79"/>
      <c r="F323" s="79"/>
      <c r="G323" s="79"/>
      <c r="I323" s="80"/>
      <c r="J323" s="79"/>
      <c r="K323" s="81"/>
      <c r="L323" s="81"/>
    </row>
    <row r="324" spans="2:16" ht="23.25" customHeight="1" x14ac:dyDescent="0.25">
      <c r="B324" s="82" t="s">
        <v>40</v>
      </c>
      <c r="C324" s="79"/>
      <c r="D324" s="79"/>
      <c r="E324" s="79"/>
      <c r="F324" s="79"/>
      <c r="G324" s="79"/>
      <c r="H324" s="79"/>
      <c r="I324" s="79"/>
      <c r="J324" s="79"/>
      <c r="K324" s="79"/>
      <c r="L324" s="79"/>
    </row>
    <row r="325" spans="2:16" ht="18" customHeight="1" x14ac:dyDescent="0.25">
      <c r="B325" s="9" t="s">
        <v>15</v>
      </c>
      <c r="C325" s="9" t="s">
        <v>0</v>
      </c>
      <c r="D325" s="228" t="s">
        <v>41</v>
      </c>
      <c r="E325" s="229"/>
      <c r="F325" s="229"/>
      <c r="G325" s="229"/>
      <c r="H325" s="229"/>
      <c r="I325" s="230"/>
      <c r="J325" s="9" t="s">
        <v>15</v>
      </c>
      <c r="K325" s="9" t="s">
        <v>0</v>
      </c>
      <c r="L325" s="79"/>
    </row>
    <row r="326" spans="2:16" ht="18" customHeight="1" x14ac:dyDescent="0.25">
      <c r="B326" s="15" t="str">
        <f>IF(H320=3,B320,"")</f>
        <v/>
      </c>
      <c r="C326" s="15" t="str">
        <f>IFERROR(IF(B326="","",VLOOKUP(B326,LISTAS!$F$5:$G$1004,2,0)),"0")</f>
        <v/>
      </c>
      <c r="D326" s="223"/>
      <c r="E326" s="224"/>
      <c r="F326" s="223" t="s">
        <v>38</v>
      </c>
      <c r="G326" s="224"/>
      <c r="H326" s="223"/>
      <c r="I326" s="224"/>
      <c r="J326" s="21" t="str">
        <f>IF(H320=3,B322,"")</f>
        <v/>
      </c>
      <c r="K326" s="15" t="str">
        <f>IFERROR(IF(J326="","",VLOOKUP(J326,LISTAS!$F$5:$G$1004,2,0)),"0")</f>
        <v/>
      </c>
      <c r="L326" s="81"/>
    </row>
    <row r="327" spans="2:16" ht="18" customHeight="1" x14ac:dyDescent="0.25">
      <c r="B327" s="15" t="str">
        <f>IF(H320=3,B321,"")</f>
        <v/>
      </c>
      <c r="C327" s="15" t="str">
        <f>IFERROR(IF(B327="","",VLOOKUP(B327,LISTAS!$F$5:$G$1004,2,0)),"0")</f>
        <v/>
      </c>
      <c r="D327" s="223"/>
      <c r="E327" s="224"/>
      <c r="F327" s="223" t="s">
        <v>38</v>
      </c>
      <c r="G327" s="224"/>
      <c r="H327" s="223"/>
      <c r="I327" s="224"/>
      <c r="J327" s="21" t="str">
        <f>IF(H320=3,B322,"")</f>
        <v/>
      </c>
      <c r="K327" s="15" t="str">
        <f>IFERROR(IF(J327="","",VLOOKUP(J327,LISTAS!$F$5:$G$1004,2,0)),"0")</f>
        <v/>
      </c>
      <c r="L327" s="79"/>
    </row>
    <row r="328" spans="2:16" ht="18" customHeight="1" x14ac:dyDescent="0.25">
      <c r="B328" s="15" t="str">
        <f>IF(H320=3,B320,"")</f>
        <v/>
      </c>
      <c r="C328" s="15" t="str">
        <f>IFERROR(IF(B328="","",VLOOKUP(B328,LISTAS!$F$5:$G$1004,2,0)),"0")</f>
        <v/>
      </c>
      <c r="D328" s="223"/>
      <c r="E328" s="224"/>
      <c r="F328" s="223" t="s">
        <v>38</v>
      </c>
      <c r="G328" s="224"/>
      <c r="H328" s="223"/>
      <c r="I328" s="224"/>
      <c r="J328" s="21" t="str">
        <f>IF(H320=3,B321,"")</f>
        <v/>
      </c>
      <c r="K328" s="15" t="str">
        <f>IFERROR(IF(J328="","",VLOOKUP(J328,LISTAS!$F$5:$G$1004,2,0)),"0")</f>
        <v/>
      </c>
      <c r="L328" s="81"/>
    </row>
    <row r="331" spans="2:16" ht="30" customHeight="1" x14ac:dyDescent="0.25">
      <c r="B331" s="161" t="s">
        <v>69</v>
      </c>
      <c r="C331" s="79"/>
      <c r="D331" s="225" t="s">
        <v>42</v>
      </c>
      <c r="E331" s="226"/>
      <c r="F331" s="226"/>
      <c r="G331" s="227"/>
      <c r="H331" s="113"/>
      <c r="I331" s="225" t="s">
        <v>3</v>
      </c>
      <c r="J331" s="226"/>
      <c r="K331" s="226"/>
      <c r="L331" s="226"/>
    </row>
    <row r="332" spans="2:16" ht="18" customHeight="1" x14ac:dyDescent="0.25">
      <c r="B332" s="9" t="s">
        <v>15</v>
      </c>
      <c r="C332" s="9" t="s">
        <v>0</v>
      </c>
      <c r="D332" s="9" t="s">
        <v>43</v>
      </c>
      <c r="E332" s="9" t="s">
        <v>44</v>
      </c>
      <c r="F332" s="9" t="s">
        <v>77</v>
      </c>
      <c r="G332" s="9" t="s">
        <v>78</v>
      </c>
      <c r="H332" s="114"/>
      <c r="I332" s="9" t="s">
        <v>18</v>
      </c>
      <c r="J332" s="9" t="s">
        <v>15</v>
      </c>
      <c r="K332" s="9" t="s">
        <v>0</v>
      </c>
      <c r="L332" s="9" t="s">
        <v>45</v>
      </c>
    </row>
    <row r="333" spans="2:16" ht="18" customHeight="1" x14ac:dyDescent="0.25">
      <c r="B333" s="15"/>
      <c r="C333" s="15" t="str">
        <f>IFERROR(IF(B333="","",VLOOKUP(B333,LISTAS!$F$5:$G$1004,2,0)),"0")</f>
        <v/>
      </c>
      <c r="D333" s="15" t="str">
        <f>IF(H333&lt;3,"",IF(H333=3,IF(D339&lt;&gt;"",IF(H339&lt;&gt;"",IF(D339&lt;&gt;H339,IF(D339&gt;H339,"V","D"),""),""),"")))</f>
        <v/>
      </c>
      <c r="E333" s="15" t="str">
        <f>IF(H333&lt;3,"",IF(H333=3,IF(D341&lt;&gt;"",IF(H341&lt;&gt;"",IF(D341&lt;&gt;H341,IF(D341&gt;H341,"V","D"),""),""),"")))</f>
        <v/>
      </c>
      <c r="F333" s="15" t="s">
        <v>81</v>
      </c>
      <c r="G333" s="15" t="s">
        <v>81</v>
      </c>
      <c r="H333" s="117">
        <f>COUNTA(B333:B335)</f>
        <v>0</v>
      </c>
      <c r="I333" s="15" t="str">
        <f>IF(B333&lt;&gt;"",1,"")</f>
        <v/>
      </c>
      <c r="J333" s="15" t="str">
        <f>IF(I333&lt;&gt;"",P333,"")</f>
        <v/>
      </c>
      <c r="K333" s="15" t="str">
        <f>IFERROR(IF(J333="","",VLOOKUP(J333,LISTAS!$F$5:$G$1004,2,0)),"0")</f>
        <v/>
      </c>
      <c r="L333" s="119" t="str">
        <f>IF(H333=3,"OURO",IF(H333=4,"OURO",IF(H333=5,"OURO","")))</f>
        <v/>
      </c>
      <c r="M333" s="20" t="str">
        <f>IF(B333&lt;&gt;"",COUNTIF(D333:G333,"V")+(SUMIF(B339:B341,B333,D339:E341)/1000)+(SUMIF(J339:J341,B333,H339:I341)/1000)-(SUMIF(B339:B341,B333,H339:I341)/1000)-(SUMIF(J339:J341,B333,D339:E341)/1000)+0.003,"")</f>
        <v/>
      </c>
      <c r="N333" s="20" t="str">
        <f>IF(B333="","",B333)</f>
        <v/>
      </c>
      <c r="O333" s="20" t="str">
        <f>IF(B333&lt;&gt;"",LARGE(M333:M335,1),"")</f>
        <v/>
      </c>
      <c r="P333" s="20" t="str">
        <f>VLOOKUP(O333,M333:N335,2,0)</f>
        <v/>
      </c>
    </row>
    <row r="334" spans="2:16" ht="18" customHeight="1" x14ac:dyDescent="0.25">
      <c r="B334" s="15"/>
      <c r="C334" s="15" t="str">
        <f>IFERROR(IF(B334="","",VLOOKUP(B334,LISTAS!$F$5:$G$1004,2,0)),"0")</f>
        <v/>
      </c>
      <c r="D334" s="15" t="str">
        <f>IF(H333&lt;3,"",IF(H333=3,IF(D340&lt;&gt;"",IF(H340&lt;&gt;"",IF(D340&lt;&gt;H340,IF(D340&gt;H340,"V","D"),""),""),"")))</f>
        <v/>
      </c>
      <c r="E334" s="15" t="str">
        <f>IF(H333&lt;3,"",IF(H333=3,IF(D341&lt;&gt;"",IF(H341&lt;&gt;"",IF(D341&lt;&gt;H341,IF(D341&gt;H341,"D","V"),""),""),"")))</f>
        <v/>
      </c>
      <c r="F334" s="15" t="s">
        <v>81</v>
      </c>
      <c r="G334" s="15" t="s">
        <v>81</v>
      </c>
      <c r="H334" s="115"/>
      <c r="I334" s="15" t="str">
        <f>IF(B334&lt;&gt;"",2,"")</f>
        <v/>
      </c>
      <c r="J334" s="15" t="str">
        <f>IF(I334&lt;&gt;"",P334,"")</f>
        <v/>
      </c>
      <c r="K334" s="15" t="str">
        <f>IFERROR(IF(J334="","",VLOOKUP(J334,LISTAS!$F$5:$G$1004,2,0)),"0")</f>
        <v/>
      </c>
      <c r="L334" s="119" t="str">
        <f>IF(H333=3,"PRATA",IF(H333=4,"OURO",IF(H333=5,"OURO","")))</f>
        <v/>
      </c>
      <c r="M334" s="20" t="str">
        <f>IF(B334&lt;&gt;"",COUNTIF(D334:G334,"V")+(SUMIF(B339:B341,B334,D339:E341)/1000)+(SUMIF(J339:J341,B334,H339:I341)/1000)-(SUMIF(B339:B341,B334,H339:I341)/1000)-(SUMIF(J339:J341,B334,D339:E341)/1000)+0.002,"")</f>
        <v/>
      </c>
      <c r="N334" s="20" t="str">
        <f t="shared" ref="N334" si="24">IF(B334="","",B334)</f>
        <v/>
      </c>
      <c r="O334" s="20" t="str">
        <f>IF(B334&lt;&gt;"",LARGE(M333:M335,2),"")</f>
        <v/>
      </c>
      <c r="P334" s="20" t="str">
        <f>VLOOKUP(O334,M333:N335,2,0)</f>
        <v/>
      </c>
    </row>
    <row r="335" spans="2:16" ht="18" customHeight="1" x14ac:dyDescent="0.25">
      <c r="B335" s="15"/>
      <c r="C335" s="15" t="str">
        <f>IFERROR(IF(B335="","",VLOOKUP(B335,LISTAS!$F$5:$G$1004,2,0)),"0")</f>
        <v/>
      </c>
      <c r="D335" s="15" t="str">
        <f>IF(H333&lt;3,"",IF(H333=3,IF(D339&lt;&gt;"",IF(H339&lt;&gt;"",IF(D339&lt;&gt;H339,IF(D339&gt;H339,"D","V"),""),""),"")))</f>
        <v/>
      </c>
      <c r="E335" s="15" t="str">
        <f>IF(H333&lt;3,"",IF(H333=3,IF(D340&lt;&gt;"",IF(H340&lt;&gt;"",IF(D340&lt;&gt;H340,IF(D340&gt;H340,"D","V"),""),""),"")))</f>
        <v/>
      </c>
      <c r="F335" s="15" t="s">
        <v>81</v>
      </c>
      <c r="G335" s="15" t="s">
        <v>81</v>
      </c>
      <c r="H335" s="115"/>
      <c r="I335" s="15" t="str">
        <f>IF(B335&lt;&gt;"",3,"")</f>
        <v/>
      </c>
      <c r="J335" s="15" t="str">
        <f>IF(I335&lt;&gt;"",P335,"")</f>
        <v/>
      </c>
      <c r="K335" s="15" t="str">
        <f>IFERROR(IF(J335="","",VLOOKUP(J335,LISTAS!$F$5:$G$1004,2,0)),"0")</f>
        <v/>
      </c>
      <c r="L335" s="119" t="str">
        <f>IF(H333=3,"BRONZE",IF(H333=4,"PRATA",IF(H333=5,"OURO","")))</f>
        <v/>
      </c>
      <c r="M335" s="20" t="str">
        <f>IF(B335&lt;&gt;"",COUNTIF(D335:G335,"V")+(SUMIF(B339:B341,B335,D339:E341)/1000)+(SUMIF(J339:J341,B335,H339:I341)/1000)-(SUMIF(B339:B341,B335,H339:I341)/1000)-(SUMIF(J339:J341,B335,D339:E341)/1000)+0.001,"")</f>
        <v/>
      </c>
      <c r="N335" s="20" t="str">
        <f>IF(B335="","",B335)</f>
        <v/>
      </c>
      <c r="O335" s="20" t="str">
        <f>IF(B335&lt;&gt;"",LARGE(M333:M335,3),"")</f>
        <v/>
      </c>
      <c r="P335" s="20" t="str">
        <f>VLOOKUP(O335,M333:N335,2,0)</f>
        <v/>
      </c>
    </row>
    <row r="336" spans="2:16" ht="18" customHeight="1" x14ac:dyDescent="0.25">
      <c r="B336" s="79"/>
      <c r="C336" s="79"/>
      <c r="D336" s="79"/>
      <c r="E336" s="79"/>
      <c r="F336" s="79"/>
      <c r="G336" s="79"/>
      <c r="I336" s="80"/>
      <c r="J336" s="79"/>
      <c r="K336" s="81"/>
      <c r="L336" s="81"/>
    </row>
    <row r="337" spans="2:16" ht="23.25" customHeight="1" x14ac:dyDescent="0.25">
      <c r="B337" s="82" t="s">
        <v>40</v>
      </c>
      <c r="C337" s="79"/>
      <c r="D337" s="79"/>
      <c r="E337" s="79"/>
      <c r="F337" s="79"/>
      <c r="G337" s="79"/>
      <c r="H337" s="79"/>
      <c r="I337" s="79"/>
      <c r="J337" s="79"/>
      <c r="K337" s="79"/>
      <c r="L337" s="79"/>
    </row>
    <row r="338" spans="2:16" ht="18" customHeight="1" x14ac:dyDescent="0.25">
      <c r="B338" s="9" t="s">
        <v>15</v>
      </c>
      <c r="C338" s="9" t="s">
        <v>0</v>
      </c>
      <c r="D338" s="228" t="s">
        <v>41</v>
      </c>
      <c r="E338" s="229"/>
      <c r="F338" s="229"/>
      <c r="G338" s="229"/>
      <c r="H338" s="229"/>
      <c r="I338" s="230"/>
      <c r="J338" s="9" t="s">
        <v>15</v>
      </c>
      <c r="K338" s="9" t="s">
        <v>0</v>
      </c>
      <c r="L338" s="79"/>
    </row>
    <row r="339" spans="2:16" ht="18" customHeight="1" x14ac:dyDescent="0.25">
      <c r="B339" s="15" t="str">
        <f>IF(H333=3,B333,"")</f>
        <v/>
      </c>
      <c r="C339" s="15" t="str">
        <f>IFERROR(IF(B339="","",VLOOKUP(B339,LISTAS!$F$5:$G$1004,2,0)),"0")</f>
        <v/>
      </c>
      <c r="D339" s="223"/>
      <c r="E339" s="224"/>
      <c r="F339" s="223" t="s">
        <v>38</v>
      </c>
      <c r="G339" s="224"/>
      <c r="H339" s="223"/>
      <c r="I339" s="224"/>
      <c r="J339" s="21" t="str">
        <f>IF(H333=3,B335,"")</f>
        <v/>
      </c>
      <c r="K339" s="15" t="str">
        <f>IFERROR(IF(J339="","",VLOOKUP(J339,LISTAS!$F$5:$G$1004,2,0)),"0")</f>
        <v/>
      </c>
      <c r="L339" s="81"/>
    </row>
    <row r="340" spans="2:16" ht="18" customHeight="1" x14ac:dyDescent="0.25">
      <c r="B340" s="15" t="str">
        <f>IF(H333=3,B334,"")</f>
        <v/>
      </c>
      <c r="C340" s="15" t="str">
        <f>IFERROR(IF(B340="","",VLOOKUP(B340,LISTAS!$F$5:$G$1004,2,0)),"0")</f>
        <v/>
      </c>
      <c r="D340" s="223"/>
      <c r="E340" s="224"/>
      <c r="F340" s="223" t="s">
        <v>38</v>
      </c>
      <c r="G340" s="224"/>
      <c r="H340" s="223"/>
      <c r="I340" s="224"/>
      <c r="J340" s="21" t="str">
        <f>IF(H333=3,B335,"")</f>
        <v/>
      </c>
      <c r="K340" s="15" t="str">
        <f>IFERROR(IF(J340="","",VLOOKUP(J340,LISTAS!$F$5:$G$1004,2,0)),"0")</f>
        <v/>
      </c>
      <c r="L340" s="79"/>
    </row>
    <row r="341" spans="2:16" ht="18" customHeight="1" x14ac:dyDescent="0.25">
      <c r="B341" s="15" t="str">
        <f>IF(H333=3,B333,"")</f>
        <v/>
      </c>
      <c r="C341" s="15" t="str">
        <f>IFERROR(IF(B341="","",VLOOKUP(B341,LISTAS!$F$5:$G$1004,2,0)),"0")</f>
        <v/>
      </c>
      <c r="D341" s="223"/>
      <c r="E341" s="224"/>
      <c r="F341" s="223" t="s">
        <v>38</v>
      </c>
      <c r="G341" s="224"/>
      <c r="H341" s="223"/>
      <c r="I341" s="224"/>
      <c r="J341" s="21" t="str">
        <f>IF(H333=3,B334,"")</f>
        <v/>
      </c>
      <c r="K341" s="15" t="str">
        <f>IFERROR(IF(J341="","",VLOOKUP(J341,LISTAS!$F$5:$G$1004,2,0)),"0")</f>
        <v/>
      </c>
      <c r="L341" s="81"/>
    </row>
    <row r="344" spans="2:16" ht="30" customHeight="1" x14ac:dyDescent="0.25">
      <c r="B344" s="161" t="s">
        <v>70</v>
      </c>
      <c r="C344" s="79"/>
      <c r="D344" s="225" t="s">
        <v>42</v>
      </c>
      <c r="E344" s="226"/>
      <c r="F344" s="226"/>
      <c r="G344" s="227"/>
      <c r="H344" s="113"/>
      <c r="I344" s="225" t="s">
        <v>3</v>
      </c>
      <c r="J344" s="226"/>
      <c r="K344" s="226"/>
      <c r="L344" s="226"/>
    </row>
    <row r="345" spans="2:16" ht="18" customHeight="1" x14ac:dyDescent="0.25">
      <c r="B345" s="9" t="s">
        <v>15</v>
      </c>
      <c r="C345" s="9" t="s">
        <v>0</v>
      </c>
      <c r="D345" s="9" t="s">
        <v>43</v>
      </c>
      <c r="E345" s="9" t="s">
        <v>44</v>
      </c>
      <c r="F345" s="9" t="s">
        <v>77</v>
      </c>
      <c r="G345" s="9" t="s">
        <v>78</v>
      </c>
      <c r="H345" s="114"/>
      <c r="I345" s="9" t="s">
        <v>18</v>
      </c>
      <c r="J345" s="9" t="s">
        <v>15</v>
      </c>
      <c r="K345" s="9" t="s">
        <v>0</v>
      </c>
      <c r="L345" s="9" t="s">
        <v>45</v>
      </c>
    </row>
    <row r="346" spans="2:16" ht="18" customHeight="1" x14ac:dyDescent="0.25">
      <c r="B346" s="15"/>
      <c r="C346" s="15" t="str">
        <f>IFERROR(IF(B346="","",VLOOKUP(B346,LISTAS!$F$5:$G$1004,2,0)),"0")</f>
        <v/>
      </c>
      <c r="D346" s="15" t="str">
        <f>IF(H346&lt;3,"",IF(H346=3,IF(D352&lt;&gt;"",IF(H352&lt;&gt;"",IF(D352&lt;&gt;H352,IF(D352&gt;H352,"V","D"),""),""),"")))</f>
        <v/>
      </c>
      <c r="E346" s="15" t="str">
        <f>IF(H346&lt;3,"",IF(H346=3,IF(D354&lt;&gt;"",IF(H354&lt;&gt;"",IF(D354&lt;&gt;H354,IF(D354&gt;H354,"V","D"),""),""),"")))</f>
        <v/>
      </c>
      <c r="F346" s="15" t="s">
        <v>81</v>
      </c>
      <c r="G346" s="15" t="s">
        <v>81</v>
      </c>
      <c r="H346" s="117">
        <f>COUNTA(B346:B348)</f>
        <v>0</v>
      </c>
      <c r="I346" s="15" t="str">
        <f>IF(B346&lt;&gt;"",1,"")</f>
        <v/>
      </c>
      <c r="J346" s="15" t="str">
        <f>IF(I346&lt;&gt;"",P346,"")</f>
        <v/>
      </c>
      <c r="K346" s="15" t="str">
        <f>IFERROR(IF(J346="","",VLOOKUP(J346,LISTAS!$F$5:$G$1004,2,0)),"0")</f>
        <v/>
      </c>
      <c r="L346" s="119" t="str">
        <f>IF(H346=3,"OURO",IF(H346=4,"OURO",IF(H346=5,"OURO","")))</f>
        <v/>
      </c>
      <c r="M346" s="20" t="str">
        <f>IF(B346&lt;&gt;"",COUNTIF(D346:G346,"V")+(SUMIF(B352:B354,B346,D352:E354)/1000)+(SUMIF(J352:J354,B346,H352:I354)/1000)-(SUMIF(B352:B354,B346,H352:I354)/1000)-(SUMIF(J352:J354,B346,D352:E354)/1000)+0.003,"")</f>
        <v/>
      </c>
      <c r="N346" s="20" t="str">
        <f>IF(B346="","",B346)</f>
        <v/>
      </c>
      <c r="O346" s="20" t="str">
        <f>IF(B346&lt;&gt;"",LARGE(M346:M348,1),"")</f>
        <v/>
      </c>
      <c r="P346" s="20" t="str">
        <f>VLOOKUP(O346,M346:N348,2,0)</f>
        <v/>
      </c>
    </row>
    <row r="347" spans="2:16" ht="18" customHeight="1" x14ac:dyDescent="0.25">
      <c r="B347" s="15"/>
      <c r="C347" s="15" t="str">
        <f>IFERROR(IF(B347="","",VLOOKUP(B347,LISTAS!$F$5:$G$1004,2,0)),"0")</f>
        <v/>
      </c>
      <c r="D347" s="15" t="str">
        <f>IF(H346&lt;3,"",IF(H346=3,IF(D353&lt;&gt;"",IF(H353&lt;&gt;"",IF(D353&lt;&gt;H353,IF(D353&gt;H353,"V","D"),""),""),"")))</f>
        <v/>
      </c>
      <c r="E347" s="15" t="str">
        <f>IF(H346&lt;3,"",IF(H346=3,IF(D354&lt;&gt;"",IF(H354&lt;&gt;"",IF(D354&lt;&gt;H354,IF(D354&gt;H354,"D","V"),""),""),"")))</f>
        <v/>
      </c>
      <c r="F347" s="15" t="s">
        <v>81</v>
      </c>
      <c r="G347" s="15" t="s">
        <v>81</v>
      </c>
      <c r="H347" s="115"/>
      <c r="I347" s="15" t="str">
        <f>IF(B347&lt;&gt;"",2,"")</f>
        <v/>
      </c>
      <c r="J347" s="15" t="str">
        <f>IF(I347&lt;&gt;"",P347,"")</f>
        <v/>
      </c>
      <c r="K347" s="15" t="str">
        <f>IFERROR(IF(J347="","",VLOOKUP(J347,LISTAS!$F$5:$G$1004,2,0)),"0")</f>
        <v/>
      </c>
      <c r="L347" s="119" t="str">
        <f>IF(H346=3,"PRATA",IF(H346=4,"OURO",IF(H346=5,"OURO","")))</f>
        <v/>
      </c>
      <c r="M347" s="20" t="str">
        <f>IF(B347&lt;&gt;"",COUNTIF(D347:G347,"V")+(SUMIF(B352:B354,B347,D352:E354)/1000)+(SUMIF(J352:J354,B347,H352:I354)/1000)-(SUMIF(B352:B354,B347,H352:I354)/1000)-(SUMIF(J352:J354,B347,D352:E354)/1000)+0.002,"")</f>
        <v/>
      </c>
      <c r="N347" s="20" t="str">
        <f t="shared" ref="N347" si="25">IF(B347="","",B347)</f>
        <v/>
      </c>
      <c r="O347" s="20" t="str">
        <f>IF(B347&lt;&gt;"",LARGE(M346:M348,2),"")</f>
        <v/>
      </c>
      <c r="P347" s="20" t="str">
        <f>VLOOKUP(O347,M346:N348,2,0)</f>
        <v/>
      </c>
    </row>
    <row r="348" spans="2:16" ht="18" customHeight="1" x14ac:dyDescent="0.25">
      <c r="B348" s="15"/>
      <c r="C348" s="15" t="str">
        <f>IFERROR(IF(B348="","",VLOOKUP(B348,LISTAS!$F$5:$G$1004,2,0)),"0")</f>
        <v/>
      </c>
      <c r="D348" s="15" t="str">
        <f>IF(H346&lt;3,"",IF(H346=3,IF(D352&lt;&gt;"",IF(H352&lt;&gt;"",IF(D352&lt;&gt;H352,IF(D352&gt;H352,"D","V"),""),""),"")))</f>
        <v/>
      </c>
      <c r="E348" s="15" t="str">
        <f>IF(H346&lt;3,"",IF(H346=3,IF(D353&lt;&gt;"",IF(H353&lt;&gt;"",IF(D353&lt;&gt;H353,IF(D353&gt;H353,"D","V"),""),""),"")))</f>
        <v/>
      </c>
      <c r="F348" s="15" t="s">
        <v>81</v>
      </c>
      <c r="G348" s="15" t="s">
        <v>81</v>
      </c>
      <c r="H348" s="115"/>
      <c r="I348" s="15" t="str">
        <f>IF(B348&lt;&gt;"",3,"")</f>
        <v/>
      </c>
      <c r="J348" s="15" t="str">
        <f>IF(I348&lt;&gt;"",P348,"")</f>
        <v/>
      </c>
      <c r="K348" s="15" t="str">
        <f>IFERROR(IF(J348="","",VLOOKUP(J348,LISTAS!$F$5:$G$1004,2,0)),"0")</f>
        <v/>
      </c>
      <c r="L348" s="119" t="str">
        <f>IF(H346=3,"BRONZE",IF(H346=4,"PRATA",IF(H346=5,"OURO","")))</f>
        <v/>
      </c>
      <c r="M348" s="20" t="str">
        <f>IF(B348&lt;&gt;"",COUNTIF(D348:G348,"V")+(SUMIF(B352:B354,B348,D352:E354)/1000)+(SUMIF(J352:J354,B348,H352:I354)/1000)-(SUMIF(B352:B354,B348,H352:I354)/1000)-(SUMIF(J352:J354,B348,D352:E354)/1000)+0.001,"")</f>
        <v/>
      </c>
      <c r="N348" s="20" t="str">
        <f>IF(B348="","",B348)</f>
        <v/>
      </c>
      <c r="O348" s="20" t="str">
        <f>IF(B348&lt;&gt;"",LARGE(M346:M348,3),"")</f>
        <v/>
      </c>
      <c r="P348" s="20" t="str">
        <f>VLOOKUP(O348,M346:N348,2,0)</f>
        <v/>
      </c>
    </row>
    <row r="349" spans="2:16" ht="18" customHeight="1" x14ac:dyDescent="0.25">
      <c r="B349" s="79"/>
      <c r="C349" s="79"/>
      <c r="D349" s="79"/>
      <c r="E349" s="79"/>
      <c r="F349" s="79"/>
      <c r="G349" s="79"/>
      <c r="I349" s="80"/>
      <c r="J349" s="79"/>
      <c r="K349" s="81"/>
      <c r="L349" s="81"/>
    </row>
    <row r="350" spans="2:16" ht="23.25" customHeight="1" x14ac:dyDescent="0.25">
      <c r="B350" s="82" t="s">
        <v>40</v>
      </c>
      <c r="C350" s="79"/>
      <c r="D350" s="79"/>
      <c r="E350" s="79"/>
      <c r="F350" s="79"/>
      <c r="G350" s="79"/>
      <c r="H350" s="79"/>
      <c r="I350" s="79"/>
      <c r="J350" s="79"/>
      <c r="K350" s="79"/>
      <c r="L350" s="79"/>
    </row>
    <row r="351" spans="2:16" ht="18" customHeight="1" x14ac:dyDescent="0.25">
      <c r="B351" s="9" t="s">
        <v>15</v>
      </c>
      <c r="C351" s="9" t="s">
        <v>0</v>
      </c>
      <c r="D351" s="228" t="s">
        <v>41</v>
      </c>
      <c r="E351" s="229"/>
      <c r="F351" s="229"/>
      <c r="G351" s="229"/>
      <c r="H351" s="229"/>
      <c r="I351" s="230"/>
      <c r="J351" s="9" t="s">
        <v>15</v>
      </c>
      <c r="K351" s="9" t="s">
        <v>0</v>
      </c>
      <c r="L351" s="79"/>
    </row>
    <row r="352" spans="2:16" ht="18" customHeight="1" x14ac:dyDescent="0.25">
      <c r="B352" s="15" t="str">
        <f>IF(H346=3,B346,"")</f>
        <v/>
      </c>
      <c r="C352" s="15" t="str">
        <f>IFERROR(IF(B352="","",VLOOKUP(B352,LISTAS!$F$5:$G$1004,2,0)),"0")</f>
        <v/>
      </c>
      <c r="D352" s="223"/>
      <c r="E352" s="224"/>
      <c r="F352" s="223" t="s">
        <v>38</v>
      </c>
      <c r="G352" s="224"/>
      <c r="H352" s="223"/>
      <c r="I352" s="224"/>
      <c r="J352" s="21" t="str">
        <f>IF(H346=3,B348,"")</f>
        <v/>
      </c>
      <c r="K352" s="15" t="str">
        <f>IFERROR(IF(J352="","",VLOOKUP(J352,LISTAS!$F$5:$G$1004,2,0)),"0")</f>
        <v/>
      </c>
      <c r="L352" s="81"/>
    </row>
    <row r="353" spans="2:16" ht="18" customHeight="1" x14ac:dyDescent="0.25">
      <c r="B353" s="15" t="str">
        <f>IF(H346=3,B347,"")</f>
        <v/>
      </c>
      <c r="C353" s="15" t="str">
        <f>IFERROR(IF(B353="","",VLOOKUP(B353,LISTAS!$F$5:$G$1004,2,0)),"0")</f>
        <v/>
      </c>
      <c r="D353" s="223"/>
      <c r="E353" s="224"/>
      <c r="F353" s="223" t="s">
        <v>38</v>
      </c>
      <c r="G353" s="224"/>
      <c r="H353" s="223"/>
      <c r="I353" s="224"/>
      <c r="J353" s="21" t="str">
        <f>IF(H346=3,B348,"")</f>
        <v/>
      </c>
      <c r="K353" s="15" t="str">
        <f>IFERROR(IF(J353="","",VLOOKUP(J353,LISTAS!$F$5:$G$1004,2,0)),"0")</f>
        <v/>
      </c>
      <c r="L353" s="79"/>
    </row>
    <row r="354" spans="2:16" ht="18" customHeight="1" x14ac:dyDescent="0.25">
      <c r="B354" s="15" t="str">
        <f>IF(H346=3,B346,"")</f>
        <v/>
      </c>
      <c r="C354" s="15" t="str">
        <f>IFERROR(IF(B354="","",VLOOKUP(B354,LISTAS!$F$5:$G$1004,2,0)),"0")</f>
        <v/>
      </c>
      <c r="D354" s="223"/>
      <c r="E354" s="224"/>
      <c r="F354" s="223" t="s">
        <v>38</v>
      </c>
      <c r="G354" s="224"/>
      <c r="H354" s="223"/>
      <c r="I354" s="224"/>
      <c r="J354" s="21" t="str">
        <f>IF(H346=3,B347,"")</f>
        <v/>
      </c>
      <c r="K354" s="15" t="str">
        <f>IFERROR(IF(J354="","",VLOOKUP(J354,LISTAS!$F$5:$G$1004,2,0)),"0")</f>
        <v/>
      </c>
      <c r="L354" s="81"/>
    </row>
    <row r="357" spans="2:16" ht="30" customHeight="1" x14ac:dyDescent="0.25">
      <c r="B357" s="161" t="s">
        <v>71</v>
      </c>
      <c r="C357" s="79"/>
      <c r="D357" s="225" t="s">
        <v>42</v>
      </c>
      <c r="E357" s="226"/>
      <c r="F357" s="226"/>
      <c r="G357" s="227"/>
      <c r="H357" s="113"/>
      <c r="I357" s="225" t="s">
        <v>3</v>
      </c>
      <c r="J357" s="226"/>
      <c r="K357" s="226"/>
      <c r="L357" s="226"/>
    </row>
    <row r="358" spans="2:16" ht="18" customHeight="1" x14ac:dyDescent="0.25">
      <c r="B358" s="9" t="s">
        <v>15</v>
      </c>
      <c r="C358" s="9" t="s">
        <v>0</v>
      </c>
      <c r="D358" s="9" t="s">
        <v>43</v>
      </c>
      <c r="E358" s="9" t="s">
        <v>44</v>
      </c>
      <c r="F358" s="9" t="s">
        <v>77</v>
      </c>
      <c r="G358" s="9" t="s">
        <v>78</v>
      </c>
      <c r="H358" s="114"/>
      <c r="I358" s="9" t="s">
        <v>18</v>
      </c>
      <c r="J358" s="9" t="s">
        <v>15</v>
      </c>
      <c r="K358" s="9" t="s">
        <v>0</v>
      </c>
      <c r="L358" s="9" t="s">
        <v>45</v>
      </c>
    </row>
    <row r="359" spans="2:16" ht="18" customHeight="1" x14ac:dyDescent="0.25">
      <c r="B359" s="15"/>
      <c r="C359" s="15" t="str">
        <f>IFERROR(IF(B359="","",VLOOKUP(B359,LISTAS!$F$5:$G$1004,2,0)),"0")</f>
        <v/>
      </c>
      <c r="D359" s="15" t="str">
        <f>IF(H359&lt;3,"",IF(H359=3,IF(D365&lt;&gt;"",IF(H365&lt;&gt;"",IF(D365&lt;&gt;H365,IF(D365&gt;H365,"V","D"),""),""),"")))</f>
        <v/>
      </c>
      <c r="E359" s="15" t="str">
        <f>IF(H359&lt;3,"",IF(H359=3,IF(D367&lt;&gt;"",IF(H367&lt;&gt;"",IF(D367&lt;&gt;H367,IF(D367&gt;H367,"V","D"),""),""),"")))</f>
        <v/>
      </c>
      <c r="F359" s="15" t="s">
        <v>81</v>
      </c>
      <c r="G359" s="15" t="s">
        <v>81</v>
      </c>
      <c r="H359" s="117">
        <f>COUNTA(B359:B361)</f>
        <v>0</v>
      </c>
      <c r="I359" s="15" t="str">
        <f>IF(B359&lt;&gt;"",1,"")</f>
        <v/>
      </c>
      <c r="J359" s="15" t="str">
        <f>IF(I359&lt;&gt;"",P359,"")</f>
        <v/>
      </c>
      <c r="K359" s="15" t="str">
        <f>IFERROR(IF(J359="","",VLOOKUP(J359,LISTAS!$F$5:$G$1004,2,0)),"0")</f>
        <v/>
      </c>
      <c r="L359" s="119" t="str">
        <f>IF(H359=3,"OURO",IF(H359=4,"OURO",IF(H359=5,"OURO","")))</f>
        <v/>
      </c>
      <c r="M359" s="20" t="str">
        <f>IF(B359&lt;&gt;"",COUNTIF(D359:G359,"V")+(SUMIF(B365:B367,B359,D365:E367)/1000)+(SUMIF(J365:J367,B359,H365:I367)/1000)-(SUMIF(B365:B367,B359,H365:I367)/1000)-(SUMIF(J365:J367,B359,D365:E367)/1000)+0.003,"")</f>
        <v/>
      </c>
      <c r="N359" s="20" t="str">
        <f>IF(B359="","",B359)</f>
        <v/>
      </c>
      <c r="O359" s="20" t="str">
        <f>IF(B359&lt;&gt;"",LARGE(M359:M361,1),"")</f>
        <v/>
      </c>
      <c r="P359" s="20" t="str">
        <f>VLOOKUP(O359,M359:N361,2,0)</f>
        <v/>
      </c>
    </row>
    <row r="360" spans="2:16" ht="18" customHeight="1" x14ac:dyDescent="0.25">
      <c r="B360" s="15"/>
      <c r="C360" s="15" t="str">
        <f>IFERROR(IF(B360="","",VLOOKUP(B360,LISTAS!$F$5:$G$1004,2,0)),"0")</f>
        <v/>
      </c>
      <c r="D360" s="15" t="str">
        <f>IF(H359&lt;3,"",IF(H359=3,IF(D366&lt;&gt;"",IF(H366&lt;&gt;"",IF(D366&lt;&gt;H366,IF(D366&gt;H366,"V","D"),""),""),"")))</f>
        <v/>
      </c>
      <c r="E360" s="15" t="str">
        <f>IF(H359&lt;3,"",IF(H359=3,IF(D367&lt;&gt;"",IF(H367&lt;&gt;"",IF(D367&lt;&gt;H367,IF(D367&gt;H367,"D","V"),""),""),"")))</f>
        <v/>
      </c>
      <c r="F360" s="15" t="s">
        <v>81</v>
      </c>
      <c r="G360" s="15" t="s">
        <v>81</v>
      </c>
      <c r="H360" s="115"/>
      <c r="I360" s="15" t="str">
        <f>IF(B360&lt;&gt;"",2,"")</f>
        <v/>
      </c>
      <c r="J360" s="15" t="str">
        <f>IF(I360&lt;&gt;"",P360,"")</f>
        <v/>
      </c>
      <c r="K360" s="15" t="str">
        <f>IFERROR(IF(J360="","",VLOOKUP(J360,LISTAS!$F$5:$G$1004,2,0)),"0")</f>
        <v/>
      </c>
      <c r="L360" s="119" t="str">
        <f>IF(H359=3,"PRATA",IF(H359=4,"OURO",IF(H359=5,"OURO","")))</f>
        <v/>
      </c>
      <c r="M360" s="20" t="str">
        <f>IF(B360&lt;&gt;"",COUNTIF(D360:G360,"V")+(SUMIF(B365:B367,B360,D365:E367)/1000)+(SUMIF(J365:J367,B360,H365:I367)/1000)-(SUMIF(B365:B367,B360,H365:I367)/1000)-(SUMIF(J365:J367,B360,D365:E367)/1000)+0.002,"")</f>
        <v/>
      </c>
      <c r="N360" s="20" t="str">
        <f t="shared" ref="N360" si="26">IF(B360="","",B360)</f>
        <v/>
      </c>
      <c r="O360" s="20" t="str">
        <f>IF(B360&lt;&gt;"",LARGE(M359:M361,2),"")</f>
        <v/>
      </c>
      <c r="P360" s="20" t="str">
        <f>VLOOKUP(O360,M359:N361,2,0)</f>
        <v/>
      </c>
    </row>
    <row r="361" spans="2:16" ht="18" customHeight="1" x14ac:dyDescent="0.25">
      <c r="B361" s="15"/>
      <c r="C361" s="15" t="str">
        <f>IFERROR(IF(B361="","",VLOOKUP(B361,LISTAS!$F$5:$G$1004,2,0)),"0")</f>
        <v/>
      </c>
      <c r="D361" s="15" t="str">
        <f>IF(H359&lt;3,"",IF(H359=3,IF(D365&lt;&gt;"",IF(H365&lt;&gt;"",IF(D365&lt;&gt;H365,IF(D365&gt;H365,"D","V"),""),""),"")))</f>
        <v/>
      </c>
      <c r="E361" s="15" t="str">
        <f>IF(H359&lt;3,"",IF(H359=3,IF(D366&lt;&gt;"",IF(H366&lt;&gt;"",IF(D366&lt;&gt;H366,IF(D366&gt;H366,"D","V"),""),""),"")))</f>
        <v/>
      </c>
      <c r="F361" s="15" t="s">
        <v>81</v>
      </c>
      <c r="G361" s="15" t="s">
        <v>81</v>
      </c>
      <c r="H361" s="115"/>
      <c r="I361" s="15" t="str">
        <f>IF(B361&lt;&gt;"",3,"")</f>
        <v/>
      </c>
      <c r="J361" s="15" t="str">
        <f>IF(I361&lt;&gt;"",P361,"")</f>
        <v/>
      </c>
      <c r="K361" s="15" t="str">
        <f>IFERROR(IF(J361="","",VLOOKUP(J361,LISTAS!$F$5:$G$1004,2,0)),"0")</f>
        <v/>
      </c>
      <c r="L361" s="119" t="str">
        <f>IF(H359=3,"BRONZE",IF(H359=4,"PRATA",IF(H359=5,"OURO","")))</f>
        <v/>
      </c>
      <c r="M361" s="20" t="str">
        <f>IF(B361&lt;&gt;"",COUNTIF(D361:G361,"V")+(SUMIF(B365:B367,B361,D365:E367)/1000)+(SUMIF(J365:J367,B361,H365:I367)/1000)-(SUMIF(B365:B367,B361,H365:I367)/1000)-(SUMIF(J365:J367,B361,D365:E367)/1000)+0.001,"")</f>
        <v/>
      </c>
      <c r="N361" s="20" t="str">
        <f>IF(B361="","",B361)</f>
        <v/>
      </c>
      <c r="O361" s="20" t="str">
        <f>IF(B361&lt;&gt;"",LARGE(M359:M361,3),"")</f>
        <v/>
      </c>
      <c r="P361" s="20" t="str">
        <f>VLOOKUP(O361,M359:N361,2,0)</f>
        <v/>
      </c>
    </row>
    <row r="362" spans="2:16" ht="18" customHeight="1" x14ac:dyDescent="0.25">
      <c r="B362" s="79"/>
      <c r="C362" s="79"/>
      <c r="D362" s="79"/>
      <c r="E362" s="79"/>
      <c r="F362" s="79"/>
      <c r="G362" s="79"/>
      <c r="I362" s="80"/>
      <c r="J362" s="79"/>
      <c r="K362" s="81"/>
      <c r="L362" s="81"/>
    </row>
    <row r="363" spans="2:16" ht="23.25" customHeight="1" x14ac:dyDescent="0.25">
      <c r="B363" s="82" t="s">
        <v>40</v>
      </c>
      <c r="C363" s="79"/>
      <c r="D363" s="79"/>
      <c r="E363" s="79"/>
      <c r="F363" s="79"/>
      <c r="G363" s="79"/>
      <c r="H363" s="79"/>
      <c r="I363" s="79"/>
      <c r="J363" s="79"/>
      <c r="K363" s="79"/>
      <c r="L363" s="79"/>
    </row>
    <row r="364" spans="2:16" ht="18" customHeight="1" x14ac:dyDescent="0.25">
      <c r="B364" s="9" t="s">
        <v>15</v>
      </c>
      <c r="C364" s="9" t="s">
        <v>0</v>
      </c>
      <c r="D364" s="228" t="s">
        <v>41</v>
      </c>
      <c r="E364" s="229"/>
      <c r="F364" s="229"/>
      <c r="G364" s="229"/>
      <c r="H364" s="229"/>
      <c r="I364" s="230"/>
      <c r="J364" s="9" t="s">
        <v>15</v>
      </c>
      <c r="K364" s="9" t="s">
        <v>0</v>
      </c>
      <c r="L364" s="79"/>
    </row>
    <row r="365" spans="2:16" ht="18" customHeight="1" x14ac:dyDescent="0.25">
      <c r="B365" s="15" t="str">
        <f>IF(H359=3,B359,"")</f>
        <v/>
      </c>
      <c r="C365" s="15" t="str">
        <f>IFERROR(IF(B365="","",VLOOKUP(B365,LISTAS!$F$5:$G$1004,2,0)),"0")</f>
        <v/>
      </c>
      <c r="D365" s="223"/>
      <c r="E365" s="224"/>
      <c r="F365" s="223" t="s">
        <v>38</v>
      </c>
      <c r="G365" s="224"/>
      <c r="H365" s="223"/>
      <c r="I365" s="224"/>
      <c r="J365" s="21" t="str">
        <f>IF(H359=3,B361,"")</f>
        <v/>
      </c>
      <c r="K365" s="15" t="str">
        <f>IFERROR(IF(J365="","",VLOOKUP(J365,LISTAS!$F$5:$G$1004,2,0)),"0")</f>
        <v/>
      </c>
      <c r="L365" s="81"/>
    </row>
    <row r="366" spans="2:16" ht="18" customHeight="1" x14ac:dyDescent="0.25">
      <c r="B366" s="15" t="str">
        <f>IF(H359=3,B360,"")</f>
        <v/>
      </c>
      <c r="C366" s="15" t="str">
        <f>IFERROR(IF(B366="","",VLOOKUP(B366,LISTAS!$F$5:$G$1004,2,0)),"0")</f>
        <v/>
      </c>
      <c r="D366" s="223"/>
      <c r="E366" s="224"/>
      <c r="F366" s="223" t="s">
        <v>38</v>
      </c>
      <c r="G366" s="224"/>
      <c r="H366" s="223"/>
      <c r="I366" s="224"/>
      <c r="J366" s="21" t="str">
        <f>IF(H359=3,B361,"")</f>
        <v/>
      </c>
      <c r="K366" s="15" t="str">
        <f>IFERROR(IF(J366="","",VLOOKUP(J366,LISTAS!$F$5:$G$1004,2,0)),"0")</f>
        <v/>
      </c>
      <c r="L366" s="79"/>
    </row>
    <row r="367" spans="2:16" ht="18" customHeight="1" x14ac:dyDescent="0.25">
      <c r="B367" s="15" t="str">
        <f>IF(H359=3,B359,"")</f>
        <v/>
      </c>
      <c r="C367" s="15" t="str">
        <f>IFERROR(IF(B367="","",VLOOKUP(B367,LISTAS!$F$5:$G$1004,2,0)),"0")</f>
        <v/>
      </c>
      <c r="D367" s="223"/>
      <c r="E367" s="224"/>
      <c r="F367" s="223" t="s">
        <v>38</v>
      </c>
      <c r="G367" s="224"/>
      <c r="H367" s="223"/>
      <c r="I367" s="224"/>
      <c r="J367" s="21" t="str">
        <f>IF(H359=3,B360,"")</f>
        <v/>
      </c>
      <c r="K367" s="15" t="str">
        <f>IFERROR(IF(J367="","",VLOOKUP(J367,LISTAS!$F$5:$G$1004,2,0)),"0")</f>
        <v/>
      </c>
      <c r="L367" s="81"/>
    </row>
    <row r="370" spans="2:16" ht="30" customHeight="1" x14ac:dyDescent="0.25">
      <c r="B370" s="161" t="s">
        <v>72</v>
      </c>
      <c r="C370" s="79"/>
      <c r="D370" s="225" t="s">
        <v>42</v>
      </c>
      <c r="E370" s="226"/>
      <c r="F370" s="226"/>
      <c r="G370" s="227"/>
      <c r="H370" s="113"/>
      <c r="I370" s="225" t="s">
        <v>3</v>
      </c>
      <c r="J370" s="226"/>
      <c r="K370" s="226"/>
      <c r="L370" s="226"/>
    </row>
    <row r="371" spans="2:16" ht="18" customHeight="1" x14ac:dyDescent="0.25">
      <c r="B371" s="9" t="s">
        <v>15</v>
      </c>
      <c r="C371" s="9" t="s">
        <v>0</v>
      </c>
      <c r="D371" s="9" t="s">
        <v>43</v>
      </c>
      <c r="E371" s="9" t="s">
        <v>44</v>
      </c>
      <c r="F371" s="9" t="s">
        <v>77</v>
      </c>
      <c r="G371" s="9" t="s">
        <v>78</v>
      </c>
      <c r="H371" s="114"/>
      <c r="I371" s="9" t="s">
        <v>18</v>
      </c>
      <c r="J371" s="9" t="s">
        <v>15</v>
      </c>
      <c r="K371" s="9" t="s">
        <v>0</v>
      </c>
      <c r="L371" s="9" t="s">
        <v>45</v>
      </c>
    </row>
    <row r="372" spans="2:16" ht="18" customHeight="1" x14ac:dyDescent="0.25">
      <c r="B372" s="15"/>
      <c r="C372" s="15" t="str">
        <f>IFERROR(IF(B372="","",VLOOKUP(B372,LISTAS!$F$5:$G$1004,2,0)),"0")</f>
        <v/>
      </c>
      <c r="D372" s="15" t="str">
        <f>IF(H372&lt;3,"",IF(H372=3,IF(D378&lt;&gt;"",IF(H378&lt;&gt;"",IF(D378&lt;&gt;H378,IF(D378&gt;H378,"V","D"),""),""),"")))</f>
        <v/>
      </c>
      <c r="E372" s="15" t="str">
        <f>IF(H372&lt;3,"",IF(H372=3,IF(D380&lt;&gt;"",IF(H380&lt;&gt;"",IF(D380&lt;&gt;H380,IF(D380&gt;H380,"V","D"),""),""),"")))</f>
        <v/>
      </c>
      <c r="F372" s="15" t="s">
        <v>81</v>
      </c>
      <c r="G372" s="15" t="s">
        <v>81</v>
      </c>
      <c r="H372" s="117">
        <f>COUNTA(B372:B374)</f>
        <v>0</v>
      </c>
      <c r="I372" s="15" t="str">
        <f>IF(B372&lt;&gt;"",1,"")</f>
        <v/>
      </c>
      <c r="J372" s="15" t="str">
        <f>IF(I372&lt;&gt;"",P372,"")</f>
        <v/>
      </c>
      <c r="K372" s="15" t="str">
        <f>IFERROR(IF(J372="","",VLOOKUP(J372,LISTAS!$F$5:$G$1004,2,0)),"0")</f>
        <v/>
      </c>
      <c r="L372" s="119" t="str">
        <f>IF(H372=3,"OURO",IF(H372=4,"OURO",IF(H372=5,"OURO","")))</f>
        <v/>
      </c>
      <c r="M372" s="20" t="str">
        <f>IF(B372&lt;&gt;"",COUNTIF(D372:G372,"V")+(SUMIF(B378:B380,B372,D378:E380)/1000)+(SUMIF(J378:J380,B372,H378:I380)/1000)-(SUMIF(B378:B380,B372,H378:I380)/1000)-(SUMIF(J378:J380,B372,D378:E380)/1000)+0.003,"")</f>
        <v/>
      </c>
      <c r="N372" s="20" t="str">
        <f>IF(B372="","",B372)</f>
        <v/>
      </c>
      <c r="O372" s="20" t="str">
        <f>IF(B372&lt;&gt;"",LARGE(M372:M374,1),"")</f>
        <v/>
      </c>
      <c r="P372" s="20" t="str">
        <f>VLOOKUP(O372,M372:N374,2,0)</f>
        <v/>
      </c>
    </row>
    <row r="373" spans="2:16" ht="18" customHeight="1" x14ac:dyDescent="0.25">
      <c r="B373" s="15"/>
      <c r="C373" s="15" t="str">
        <f>IFERROR(IF(B373="","",VLOOKUP(B373,LISTAS!$F$5:$G$1004,2,0)),"0")</f>
        <v/>
      </c>
      <c r="D373" s="15" t="str">
        <f>IF(H372&lt;3,"",IF(H372=3,IF(D379&lt;&gt;"",IF(H379&lt;&gt;"",IF(D379&lt;&gt;H379,IF(D379&gt;H379,"V","D"),""),""),"")))</f>
        <v/>
      </c>
      <c r="E373" s="15" t="str">
        <f>IF(H372&lt;3,"",IF(H372=3,IF(D380&lt;&gt;"",IF(H380&lt;&gt;"",IF(D380&lt;&gt;H380,IF(D380&gt;H380,"D","V"),""),""),"")))</f>
        <v/>
      </c>
      <c r="F373" s="15" t="s">
        <v>81</v>
      </c>
      <c r="G373" s="15" t="s">
        <v>81</v>
      </c>
      <c r="H373" s="115"/>
      <c r="I373" s="15" t="str">
        <f>IF(B373&lt;&gt;"",2,"")</f>
        <v/>
      </c>
      <c r="J373" s="15" t="str">
        <f>IF(I373&lt;&gt;"",P373,"")</f>
        <v/>
      </c>
      <c r="K373" s="15" t="str">
        <f>IFERROR(IF(J373="","",VLOOKUP(J373,LISTAS!$F$5:$G$1004,2,0)),"0")</f>
        <v/>
      </c>
      <c r="L373" s="119" t="str">
        <f>IF(H372=3,"PRATA",IF(H372=4,"OURO",IF(H372=5,"OURO","")))</f>
        <v/>
      </c>
      <c r="M373" s="20" t="str">
        <f>IF(B373&lt;&gt;"",COUNTIF(D373:G373,"V")+(SUMIF(B378:B380,B373,D378:E380)/1000)+(SUMIF(J378:J380,B373,H378:I380)/1000)-(SUMIF(B378:B380,B373,H378:I380)/1000)-(SUMIF(J378:J380,B373,D378:E380)/1000)+0.002,"")</f>
        <v/>
      </c>
      <c r="N373" s="20" t="str">
        <f t="shared" ref="N373" si="27">IF(B373="","",B373)</f>
        <v/>
      </c>
      <c r="O373" s="20" t="str">
        <f>IF(B373&lt;&gt;"",LARGE(M372:M374,2),"")</f>
        <v/>
      </c>
      <c r="P373" s="20" t="str">
        <f>VLOOKUP(O373,M372:N374,2,0)</f>
        <v/>
      </c>
    </row>
    <row r="374" spans="2:16" ht="18" customHeight="1" x14ac:dyDescent="0.25">
      <c r="B374" s="15"/>
      <c r="C374" s="15" t="str">
        <f>IFERROR(IF(B374="","",VLOOKUP(B374,LISTAS!$F$5:$G$1004,2,0)),"0")</f>
        <v/>
      </c>
      <c r="D374" s="15" t="str">
        <f>IF(H372&lt;3,"",IF(H372=3,IF(D378&lt;&gt;"",IF(H378&lt;&gt;"",IF(D378&lt;&gt;H378,IF(D378&gt;H378,"D","V"),""),""),"")))</f>
        <v/>
      </c>
      <c r="E374" s="15" t="str">
        <f>IF(H372&lt;3,"",IF(H372=3,IF(D379&lt;&gt;"",IF(H379&lt;&gt;"",IF(D379&lt;&gt;H379,IF(D379&gt;H379,"D","V"),""),""),"")))</f>
        <v/>
      </c>
      <c r="F374" s="15" t="s">
        <v>81</v>
      </c>
      <c r="G374" s="15" t="s">
        <v>81</v>
      </c>
      <c r="H374" s="115"/>
      <c r="I374" s="15" t="str">
        <f>IF(B374&lt;&gt;"",3,"")</f>
        <v/>
      </c>
      <c r="J374" s="15" t="str">
        <f>IF(I374&lt;&gt;"",P374,"")</f>
        <v/>
      </c>
      <c r="K374" s="15" t="str">
        <f>IFERROR(IF(J374="","",VLOOKUP(J374,LISTAS!$F$5:$G$1004,2,0)),"0")</f>
        <v/>
      </c>
      <c r="L374" s="119" t="str">
        <f>IF(H372=3,"BRONZE",IF(H372=4,"PRATA",IF(H372=5,"OURO","")))</f>
        <v/>
      </c>
      <c r="M374" s="20" t="str">
        <f>IF(B374&lt;&gt;"",COUNTIF(D374:G374,"V")+(SUMIF(B378:B380,B374,D378:E380)/1000)+(SUMIF(J378:J380,B374,H378:I380)/1000)-(SUMIF(B378:B380,B374,H378:I380)/1000)-(SUMIF(J378:J380,B374,D378:E380)/1000)+0.001,"")</f>
        <v/>
      </c>
      <c r="N374" s="20" t="str">
        <f>IF(B374="","",B374)</f>
        <v/>
      </c>
      <c r="O374" s="20" t="str">
        <f>IF(B374&lt;&gt;"",LARGE(M372:M374,3),"")</f>
        <v/>
      </c>
      <c r="P374" s="20" t="str">
        <f>VLOOKUP(O374,M372:N374,2,0)</f>
        <v/>
      </c>
    </row>
    <row r="375" spans="2:16" ht="18" customHeight="1" x14ac:dyDescent="0.25">
      <c r="B375" s="79"/>
      <c r="C375" s="79"/>
      <c r="D375" s="79"/>
      <c r="E375" s="79"/>
      <c r="F375" s="79"/>
      <c r="G375" s="79"/>
      <c r="I375" s="80"/>
      <c r="J375" s="79"/>
      <c r="K375" s="81"/>
      <c r="L375" s="81"/>
    </row>
    <row r="376" spans="2:16" ht="23.25" customHeight="1" x14ac:dyDescent="0.25">
      <c r="B376" s="82" t="s">
        <v>40</v>
      </c>
      <c r="C376" s="79"/>
      <c r="D376" s="79"/>
      <c r="E376" s="79"/>
      <c r="F376" s="79"/>
      <c r="G376" s="79"/>
      <c r="H376" s="79"/>
      <c r="I376" s="79"/>
      <c r="J376" s="79"/>
      <c r="K376" s="79"/>
      <c r="L376" s="79"/>
    </row>
    <row r="377" spans="2:16" ht="18" customHeight="1" x14ac:dyDescent="0.25">
      <c r="B377" s="9" t="s">
        <v>15</v>
      </c>
      <c r="C377" s="9" t="s">
        <v>0</v>
      </c>
      <c r="D377" s="228" t="s">
        <v>41</v>
      </c>
      <c r="E377" s="229"/>
      <c r="F377" s="229"/>
      <c r="G377" s="229"/>
      <c r="H377" s="229"/>
      <c r="I377" s="230"/>
      <c r="J377" s="9" t="s">
        <v>15</v>
      </c>
      <c r="K377" s="9" t="s">
        <v>0</v>
      </c>
      <c r="L377" s="79"/>
    </row>
    <row r="378" spans="2:16" ht="18" customHeight="1" x14ac:dyDescent="0.25">
      <c r="B378" s="15" t="str">
        <f>IF(H372=3,B372,"")</f>
        <v/>
      </c>
      <c r="C378" s="15" t="str">
        <f>IFERROR(IF(B378="","",VLOOKUP(B378,LISTAS!$F$5:$G$1004,2,0)),"0")</f>
        <v/>
      </c>
      <c r="D378" s="223"/>
      <c r="E378" s="224"/>
      <c r="F378" s="223" t="s">
        <v>38</v>
      </c>
      <c r="G378" s="224"/>
      <c r="H378" s="223"/>
      <c r="I378" s="224"/>
      <c r="J378" s="21" t="str">
        <f>IF(H372=3,B374,"")</f>
        <v/>
      </c>
      <c r="K378" s="15" t="str">
        <f>IFERROR(IF(J378="","",VLOOKUP(J378,LISTAS!$F$5:$G$1004,2,0)),"0")</f>
        <v/>
      </c>
      <c r="L378" s="81"/>
    </row>
    <row r="379" spans="2:16" ht="18" customHeight="1" x14ac:dyDescent="0.25">
      <c r="B379" s="15" t="str">
        <f>IF(H372=3,B373,"")</f>
        <v/>
      </c>
      <c r="C379" s="15" t="str">
        <f>IFERROR(IF(B379="","",VLOOKUP(B379,LISTAS!$F$5:$G$1004,2,0)),"0")</f>
        <v/>
      </c>
      <c r="D379" s="223"/>
      <c r="E379" s="224"/>
      <c r="F379" s="223" t="s">
        <v>38</v>
      </c>
      <c r="G379" s="224"/>
      <c r="H379" s="223"/>
      <c r="I379" s="224"/>
      <c r="J379" s="21" t="str">
        <f>IF(H372=3,B374,"")</f>
        <v/>
      </c>
      <c r="K379" s="15" t="str">
        <f>IFERROR(IF(J379="","",VLOOKUP(J379,LISTAS!$F$5:$G$1004,2,0)),"0")</f>
        <v/>
      </c>
      <c r="L379" s="79"/>
    </row>
    <row r="380" spans="2:16" ht="18" customHeight="1" x14ac:dyDescent="0.25">
      <c r="B380" s="15" t="str">
        <f>IF(H372=3,B372,"")</f>
        <v/>
      </c>
      <c r="C380" s="15" t="str">
        <f>IFERROR(IF(B380="","",VLOOKUP(B380,LISTAS!$F$5:$G$1004,2,0)),"0")</f>
        <v/>
      </c>
      <c r="D380" s="223"/>
      <c r="E380" s="224"/>
      <c r="F380" s="223" t="s">
        <v>38</v>
      </c>
      <c r="G380" s="224"/>
      <c r="H380" s="223"/>
      <c r="I380" s="224"/>
      <c r="J380" s="21" t="str">
        <f>IF(H372=3,B373,"")</f>
        <v/>
      </c>
      <c r="K380" s="15" t="str">
        <f>IFERROR(IF(J380="","",VLOOKUP(J380,LISTAS!$F$5:$G$1004,2,0)),"0")</f>
        <v/>
      </c>
      <c r="L380" s="81"/>
    </row>
    <row r="383" spans="2:16" ht="30" customHeight="1" x14ac:dyDescent="0.25">
      <c r="B383" s="161" t="s">
        <v>73</v>
      </c>
      <c r="C383" s="79"/>
      <c r="D383" s="225" t="s">
        <v>42</v>
      </c>
      <c r="E383" s="226"/>
      <c r="F383" s="226"/>
      <c r="G383" s="227"/>
      <c r="H383" s="113"/>
      <c r="I383" s="225" t="s">
        <v>3</v>
      </c>
      <c r="J383" s="226"/>
      <c r="K383" s="226"/>
      <c r="L383" s="226"/>
    </row>
    <row r="384" spans="2:16" ht="18" customHeight="1" x14ac:dyDescent="0.25">
      <c r="B384" s="9" t="s">
        <v>15</v>
      </c>
      <c r="C384" s="9" t="s">
        <v>0</v>
      </c>
      <c r="D384" s="9" t="s">
        <v>43</v>
      </c>
      <c r="E384" s="9" t="s">
        <v>44</v>
      </c>
      <c r="F384" s="9" t="s">
        <v>77</v>
      </c>
      <c r="G384" s="9" t="s">
        <v>78</v>
      </c>
      <c r="H384" s="114"/>
      <c r="I384" s="9" t="s">
        <v>18</v>
      </c>
      <c r="J384" s="9" t="s">
        <v>15</v>
      </c>
      <c r="K384" s="9" t="s">
        <v>0</v>
      </c>
      <c r="L384" s="9" t="s">
        <v>45</v>
      </c>
    </row>
    <row r="385" spans="2:16" ht="18" customHeight="1" x14ac:dyDescent="0.25">
      <c r="B385" s="15"/>
      <c r="C385" s="15" t="str">
        <f>IFERROR(IF(B385="","",VLOOKUP(B385,LISTAS!$F$5:$G$1004,2,0)),"0")</f>
        <v/>
      </c>
      <c r="D385" s="15" t="str">
        <f>IF(H385&lt;3,"",IF(H385=3,IF(D391&lt;&gt;"",IF(H391&lt;&gt;"",IF(D391&lt;&gt;H391,IF(D391&gt;H391,"V","D"),""),""),"")))</f>
        <v/>
      </c>
      <c r="E385" s="15" t="str">
        <f>IF(H385&lt;3,"",IF(H385=3,IF(D393&lt;&gt;"",IF(H393&lt;&gt;"",IF(D393&lt;&gt;H393,IF(D393&gt;H393,"V","D"),""),""),"")))</f>
        <v/>
      </c>
      <c r="F385" s="15" t="s">
        <v>81</v>
      </c>
      <c r="G385" s="15" t="s">
        <v>81</v>
      </c>
      <c r="H385" s="117">
        <f>COUNTA(B385:B387)</f>
        <v>0</v>
      </c>
      <c r="I385" s="15" t="str">
        <f>IF(B385&lt;&gt;"",1,"")</f>
        <v/>
      </c>
      <c r="J385" s="15" t="str">
        <f>IF(I385&lt;&gt;"",P385,"")</f>
        <v/>
      </c>
      <c r="K385" s="15" t="str">
        <f>IFERROR(IF(J385="","",VLOOKUP(J385,LISTAS!$F$5:$G$1004,2,0)),"0")</f>
        <v/>
      </c>
      <c r="L385" s="119" t="str">
        <f>IF(H385=3,"OURO",IF(H385=4,"OURO",IF(H385=5,"OURO","")))</f>
        <v/>
      </c>
      <c r="M385" s="20" t="str">
        <f>IF(B385&lt;&gt;"",COUNTIF(D385:G385,"V")+(SUMIF(B391:B393,B385,D391:E393)/1000)+(SUMIF(J391:J393,B385,H391:I393)/1000)-(SUMIF(B391:B393,B385,H391:I393)/1000)-(SUMIF(J391:J393,B385,D391:E393)/1000)+0.003,"")</f>
        <v/>
      </c>
      <c r="N385" s="20" t="str">
        <f>IF(B385="","",B385)</f>
        <v/>
      </c>
      <c r="O385" s="20" t="str">
        <f>IF(B385&lt;&gt;"",LARGE(M385:M387,1),"")</f>
        <v/>
      </c>
      <c r="P385" s="20" t="str">
        <f>VLOOKUP(O385,M385:N387,2,0)</f>
        <v/>
      </c>
    </row>
    <row r="386" spans="2:16" ht="18" customHeight="1" x14ac:dyDescent="0.25">
      <c r="B386" s="15"/>
      <c r="C386" s="15" t="str">
        <f>IFERROR(IF(B386="","",VLOOKUP(B386,LISTAS!$F$5:$G$1004,2,0)),"0")</f>
        <v/>
      </c>
      <c r="D386" s="15" t="str">
        <f>IF(H385&lt;3,"",IF(H385=3,IF(D392&lt;&gt;"",IF(H392&lt;&gt;"",IF(D392&lt;&gt;H392,IF(D392&gt;H392,"V","D"),""),""),"")))</f>
        <v/>
      </c>
      <c r="E386" s="15" t="str">
        <f>IF(H385&lt;3,"",IF(H385=3,IF(D393&lt;&gt;"",IF(H393&lt;&gt;"",IF(D393&lt;&gt;H393,IF(D393&gt;H393,"D","V"),""),""),"")))</f>
        <v/>
      </c>
      <c r="F386" s="15" t="s">
        <v>81</v>
      </c>
      <c r="G386" s="15" t="s">
        <v>81</v>
      </c>
      <c r="H386" s="115"/>
      <c r="I386" s="15" t="str">
        <f>IF(B386&lt;&gt;"",2,"")</f>
        <v/>
      </c>
      <c r="J386" s="15" t="str">
        <f>IF(I386&lt;&gt;"",P386,"")</f>
        <v/>
      </c>
      <c r="K386" s="15" t="str">
        <f>IFERROR(IF(J386="","",VLOOKUP(J386,LISTAS!$F$5:$G$1004,2,0)),"0")</f>
        <v/>
      </c>
      <c r="L386" s="119" t="str">
        <f>IF(H385=3,"PRATA",IF(H385=4,"OURO",IF(H385=5,"OURO","")))</f>
        <v/>
      </c>
      <c r="M386" s="20" t="str">
        <f>IF(B386&lt;&gt;"",COUNTIF(D386:G386,"V")+(SUMIF(B391:B393,B386,D391:E393)/1000)+(SUMIF(J391:J393,B386,H391:I393)/1000)-(SUMIF(B391:B393,B386,H391:I393)/1000)-(SUMIF(J391:J393,B386,D391:E393)/1000)+0.002,"")</f>
        <v/>
      </c>
      <c r="N386" s="20" t="str">
        <f t="shared" ref="N386" si="28">IF(B386="","",B386)</f>
        <v/>
      </c>
      <c r="O386" s="20" t="str">
        <f>IF(B386&lt;&gt;"",LARGE(M385:M387,2),"")</f>
        <v/>
      </c>
      <c r="P386" s="20" t="str">
        <f>VLOOKUP(O386,M385:N387,2,0)</f>
        <v/>
      </c>
    </row>
    <row r="387" spans="2:16" ht="18" customHeight="1" x14ac:dyDescent="0.25">
      <c r="B387" s="15"/>
      <c r="C387" s="15" t="str">
        <f>IFERROR(IF(B387="","",VLOOKUP(B387,LISTAS!$F$5:$G$1004,2,0)),"0")</f>
        <v/>
      </c>
      <c r="D387" s="15" t="str">
        <f>IF(H385&lt;3,"",IF(H385=3,IF(D391&lt;&gt;"",IF(H391&lt;&gt;"",IF(D391&lt;&gt;H391,IF(D391&gt;H391,"D","V"),""),""),"")))</f>
        <v/>
      </c>
      <c r="E387" s="15" t="str">
        <f>IF(H385&lt;3,"",IF(H385=3,IF(D392&lt;&gt;"",IF(H392&lt;&gt;"",IF(D392&lt;&gt;H392,IF(D392&gt;H392,"D","V"),""),""),"")))</f>
        <v/>
      </c>
      <c r="F387" s="15" t="s">
        <v>81</v>
      </c>
      <c r="G387" s="15" t="s">
        <v>81</v>
      </c>
      <c r="H387" s="115"/>
      <c r="I387" s="15" t="str">
        <f>IF(B387&lt;&gt;"",3,"")</f>
        <v/>
      </c>
      <c r="J387" s="15" t="str">
        <f>IF(I387&lt;&gt;"",P387,"")</f>
        <v/>
      </c>
      <c r="K387" s="15" t="str">
        <f>IFERROR(IF(J387="","",VLOOKUP(J387,LISTAS!$F$5:$G$1004,2,0)),"0")</f>
        <v/>
      </c>
      <c r="L387" s="119" t="str">
        <f>IF(H385=3,"BRONZE",IF(H385=4,"PRATA",IF(H385=5,"OURO","")))</f>
        <v/>
      </c>
      <c r="M387" s="20" t="str">
        <f>IF(B387&lt;&gt;"",COUNTIF(D387:G387,"V")+(SUMIF(B391:B393,B387,D391:E393)/1000)+(SUMIF(J391:J393,B387,H391:I393)/1000)-(SUMIF(B391:B393,B387,H391:I393)/1000)-(SUMIF(J391:J393,B387,D391:E393)/1000)+0.001,"")</f>
        <v/>
      </c>
      <c r="N387" s="20" t="str">
        <f>IF(B387="","",B387)</f>
        <v/>
      </c>
      <c r="O387" s="20" t="str">
        <f>IF(B387&lt;&gt;"",LARGE(M385:M387,3),"")</f>
        <v/>
      </c>
      <c r="P387" s="20" t="str">
        <f>VLOOKUP(O387,M385:N387,2,0)</f>
        <v/>
      </c>
    </row>
    <row r="388" spans="2:16" ht="18" customHeight="1" x14ac:dyDescent="0.25">
      <c r="B388" s="79"/>
      <c r="C388" s="79"/>
      <c r="D388" s="79"/>
      <c r="E388" s="79"/>
      <c r="F388" s="79"/>
      <c r="G388" s="79"/>
      <c r="I388" s="80"/>
      <c r="J388" s="79"/>
      <c r="K388" s="81"/>
      <c r="L388" s="81"/>
    </row>
    <row r="389" spans="2:16" ht="23.25" customHeight="1" x14ac:dyDescent="0.25">
      <c r="B389" s="82" t="s">
        <v>40</v>
      </c>
      <c r="C389" s="79"/>
      <c r="D389" s="79"/>
      <c r="E389" s="79"/>
      <c r="F389" s="79"/>
      <c r="G389" s="79"/>
      <c r="H389" s="79"/>
      <c r="I389" s="79"/>
      <c r="J389" s="79"/>
      <c r="K389" s="79"/>
      <c r="L389" s="79"/>
    </row>
    <row r="390" spans="2:16" ht="18" customHeight="1" x14ac:dyDescent="0.25">
      <c r="B390" s="9" t="s">
        <v>15</v>
      </c>
      <c r="C390" s="9" t="s">
        <v>0</v>
      </c>
      <c r="D390" s="228" t="s">
        <v>41</v>
      </c>
      <c r="E390" s="229"/>
      <c r="F390" s="229"/>
      <c r="G390" s="229"/>
      <c r="H390" s="229"/>
      <c r="I390" s="230"/>
      <c r="J390" s="9" t="s">
        <v>15</v>
      </c>
      <c r="K390" s="9" t="s">
        <v>0</v>
      </c>
      <c r="L390" s="79"/>
    </row>
    <row r="391" spans="2:16" ht="18" customHeight="1" x14ac:dyDescent="0.25">
      <c r="B391" s="15" t="str">
        <f>IF(H385=3,B385,"")</f>
        <v/>
      </c>
      <c r="C391" s="15" t="str">
        <f>IFERROR(IF(B391="","",VLOOKUP(B391,LISTAS!$F$5:$G$1004,2,0)),"0")</f>
        <v/>
      </c>
      <c r="D391" s="223"/>
      <c r="E391" s="224"/>
      <c r="F391" s="223" t="s">
        <v>38</v>
      </c>
      <c r="G391" s="224"/>
      <c r="H391" s="223"/>
      <c r="I391" s="224"/>
      <c r="J391" s="21" t="str">
        <f>IF(H385=3,B387,"")</f>
        <v/>
      </c>
      <c r="K391" s="15" t="str">
        <f>IFERROR(IF(J391="","",VLOOKUP(J391,LISTAS!$F$5:$G$1004,2,0)),"0")</f>
        <v/>
      </c>
      <c r="L391" s="81"/>
    </row>
    <row r="392" spans="2:16" ht="18" customHeight="1" x14ac:dyDescent="0.25">
      <c r="B392" s="15" t="str">
        <f>IF(H385=3,B386,"")</f>
        <v/>
      </c>
      <c r="C392" s="15" t="str">
        <f>IFERROR(IF(B392="","",VLOOKUP(B392,LISTAS!$F$5:$G$1004,2,0)),"0")</f>
        <v/>
      </c>
      <c r="D392" s="223"/>
      <c r="E392" s="224"/>
      <c r="F392" s="223" t="s">
        <v>38</v>
      </c>
      <c r="G392" s="224"/>
      <c r="H392" s="223"/>
      <c r="I392" s="224"/>
      <c r="J392" s="21" t="str">
        <f>IF(H385=3,B387,"")</f>
        <v/>
      </c>
      <c r="K392" s="15" t="str">
        <f>IFERROR(IF(J392="","",VLOOKUP(J392,LISTAS!$F$5:$G$1004,2,0)),"0")</f>
        <v/>
      </c>
      <c r="L392" s="79"/>
    </row>
    <row r="393" spans="2:16" ht="18" customHeight="1" x14ac:dyDescent="0.25">
      <c r="B393" s="15" t="str">
        <f>IF(H385=3,B385,"")</f>
        <v/>
      </c>
      <c r="C393" s="15" t="str">
        <f>IFERROR(IF(B393="","",VLOOKUP(B393,LISTAS!$F$5:$G$1004,2,0)),"0")</f>
        <v/>
      </c>
      <c r="D393" s="223"/>
      <c r="E393" s="224"/>
      <c r="F393" s="223" t="s">
        <v>38</v>
      </c>
      <c r="G393" s="224"/>
      <c r="H393" s="223"/>
      <c r="I393" s="224"/>
      <c r="J393" s="21" t="str">
        <f>IF(H385=3,B386,"")</f>
        <v/>
      </c>
      <c r="K393" s="15" t="str">
        <f>IFERROR(IF(J393="","",VLOOKUP(J393,LISTAS!$F$5:$G$1004,2,0)),"0")</f>
        <v/>
      </c>
      <c r="L393" s="81"/>
    </row>
    <row r="396" spans="2:16" ht="30" customHeight="1" x14ac:dyDescent="0.25">
      <c r="B396" s="161" t="s">
        <v>74</v>
      </c>
      <c r="C396" s="79"/>
      <c r="D396" s="225" t="s">
        <v>42</v>
      </c>
      <c r="E396" s="226"/>
      <c r="F396" s="226"/>
      <c r="G396" s="227"/>
      <c r="H396" s="113"/>
      <c r="I396" s="225" t="s">
        <v>3</v>
      </c>
      <c r="J396" s="226"/>
      <c r="K396" s="226"/>
      <c r="L396" s="226"/>
    </row>
    <row r="397" spans="2:16" ht="18" customHeight="1" x14ac:dyDescent="0.25">
      <c r="B397" s="9" t="s">
        <v>15</v>
      </c>
      <c r="C397" s="9" t="s">
        <v>0</v>
      </c>
      <c r="D397" s="9" t="s">
        <v>43</v>
      </c>
      <c r="E397" s="9" t="s">
        <v>44</v>
      </c>
      <c r="F397" s="9" t="s">
        <v>77</v>
      </c>
      <c r="G397" s="9" t="s">
        <v>78</v>
      </c>
      <c r="H397" s="114"/>
      <c r="I397" s="9" t="s">
        <v>18</v>
      </c>
      <c r="J397" s="9" t="s">
        <v>15</v>
      </c>
      <c r="K397" s="9" t="s">
        <v>0</v>
      </c>
      <c r="L397" s="9" t="s">
        <v>45</v>
      </c>
    </row>
    <row r="398" spans="2:16" ht="18" customHeight="1" x14ac:dyDescent="0.25">
      <c r="B398" s="15"/>
      <c r="C398" s="15" t="str">
        <f>IFERROR(IF(B398="","",VLOOKUP(B398,LISTAS!$F$5:$G$1004,2,0)),"0")</f>
        <v/>
      </c>
      <c r="D398" s="15" t="str">
        <f>IF(H398&lt;3,"",IF(H398=3,IF(D404&lt;&gt;"",IF(H404&lt;&gt;"",IF(D404&lt;&gt;H404,IF(D404&gt;H404,"V","D"),""),""),"")))</f>
        <v/>
      </c>
      <c r="E398" s="15" t="str">
        <f>IF(H398&lt;3,"",IF(H398=3,IF(D406&lt;&gt;"",IF(H406&lt;&gt;"",IF(D406&lt;&gt;H406,IF(D406&gt;H406,"V","D"),""),""),"")))</f>
        <v/>
      </c>
      <c r="F398" s="15" t="s">
        <v>81</v>
      </c>
      <c r="G398" s="15" t="s">
        <v>81</v>
      </c>
      <c r="H398" s="117">
        <f>COUNTA(B398:B400)</f>
        <v>0</v>
      </c>
      <c r="I398" s="15" t="str">
        <f>IF(B398&lt;&gt;"",1,"")</f>
        <v/>
      </c>
      <c r="J398" s="15" t="str">
        <f>IF(I398&lt;&gt;"",P398,"")</f>
        <v/>
      </c>
      <c r="K398" s="15" t="str">
        <f>IFERROR(IF(J398="","",VLOOKUP(J398,LISTAS!$F$5:$G$1004,2,0)),"0")</f>
        <v/>
      </c>
      <c r="L398" s="119" t="str">
        <f>IF(H398=3,"OURO",IF(H398=4,"OURO",IF(H398=5,"OURO","")))</f>
        <v/>
      </c>
      <c r="M398" s="20" t="str">
        <f>IF(B398&lt;&gt;"",COUNTIF(D398:G398,"V")+(SUMIF(B404:B406,B398,D404:E406)/1000)+(SUMIF(J404:J406,B398,H404:I406)/1000)-(SUMIF(B404:B406,B398,H404:I406)/1000)-(SUMIF(J404:J406,B398,D404:E406)/1000)+0.003,"")</f>
        <v/>
      </c>
      <c r="N398" s="20" t="str">
        <f>IF(B398="","",B398)</f>
        <v/>
      </c>
      <c r="O398" s="20" t="str">
        <f>IF(B398&lt;&gt;"",LARGE(M398:M400,1),"")</f>
        <v/>
      </c>
      <c r="P398" s="20" t="str">
        <f>VLOOKUP(O398,M398:N400,2,0)</f>
        <v/>
      </c>
    </row>
    <row r="399" spans="2:16" ht="18" customHeight="1" x14ac:dyDescent="0.25">
      <c r="B399" s="15"/>
      <c r="C399" s="15" t="str">
        <f>IFERROR(IF(B399="","",VLOOKUP(B399,LISTAS!$F$5:$G$1004,2,0)),"0")</f>
        <v/>
      </c>
      <c r="D399" s="15" t="str">
        <f>IF(H398&lt;3,"",IF(H398=3,IF(D405&lt;&gt;"",IF(H405&lt;&gt;"",IF(D405&lt;&gt;H405,IF(D405&gt;H405,"V","D"),""),""),"")))</f>
        <v/>
      </c>
      <c r="E399" s="15" t="str">
        <f>IF(H398&lt;3,"",IF(H398=3,IF(D406&lt;&gt;"",IF(H406&lt;&gt;"",IF(D406&lt;&gt;H406,IF(D406&gt;H406,"D","V"),""),""),"")))</f>
        <v/>
      </c>
      <c r="F399" s="15" t="s">
        <v>81</v>
      </c>
      <c r="G399" s="15" t="s">
        <v>81</v>
      </c>
      <c r="H399" s="115"/>
      <c r="I399" s="15" t="str">
        <f>IF(B399&lt;&gt;"",2,"")</f>
        <v/>
      </c>
      <c r="J399" s="15" t="str">
        <f>IF(I399&lt;&gt;"",P399,"")</f>
        <v/>
      </c>
      <c r="K399" s="15" t="str">
        <f>IFERROR(IF(J399="","",VLOOKUP(J399,LISTAS!$F$5:$G$1004,2,0)),"0")</f>
        <v/>
      </c>
      <c r="L399" s="119" t="str">
        <f>IF(H398=3,"PRATA",IF(H398=4,"OURO",IF(H398=5,"OURO","")))</f>
        <v/>
      </c>
      <c r="M399" s="20" t="str">
        <f>IF(B399&lt;&gt;"",COUNTIF(D399:G399,"V")+(SUMIF(B404:B406,B399,D404:E406)/1000)+(SUMIF(J404:J406,B399,H404:I406)/1000)-(SUMIF(B404:B406,B399,H404:I406)/1000)-(SUMIF(J404:J406,B399,D404:E406)/1000)+0.002,"")</f>
        <v/>
      </c>
      <c r="N399" s="20" t="str">
        <f t="shared" ref="N399" si="29">IF(B399="","",B399)</f>
        <v/>
      </c>
      <c r="O399" s="20" t="str">
        <f>IF(B399&lt;&gt;"",LARGE(M398:M400,2),"")</f>
        <v/>
      </c>
      <c r="P399" s="20" t="str">
        <f>VLOOKUP(O399,M398:N400,2,0)</f>
        <v/>
      </c>
    </row>
    <row r="400" spans="2:16" ht="18" customHeight="1" x14ac:dyDescent="0.25">
      <c r="B400" s="15"/>
      <c r="C400" s="15" t="str">
        <f>IFERROR(IF(B400="","",VLOOKUP(B400,LISTAS!$F$5:$G$1004,2,0)),"0")</f>
        <v/>
      </c>
      <c r="D400" s="15" t="str">
        <f>IF(H398&lt;3,"",IF(H398=3,IF(D404&lt;&gt;"",IF(H404&lt;&gt;"",IF(D404&lt;&gt;H404,IF(D404&gt;H404,"D","V"),""),""),"")))</f>
        <v/>
      </c>
      <c r="E400" s="15" t="str">
        <f>IF(H398&lt;3,"",IF(H398=3,IF(D405&lt;&gt;"",IF(H405&lt;&gt;"",IF(D405&lt;&gt;H405,IF(D405&gt;H405,"D","V"),""),""),"")))</f>
        <v/>
      </c>
      <c r="F400" s="15" t="s">
        <v>81</v>
      </c>
      <c r="G400" s="15" t="s">
        <v>81</v>
      </c>
      <c r="H400" s="115"/>
      <c r="I400" s="15" t="str">
        <f>IF(B400&lt;&gt;"",3,"")</f>
        <v/>
      </c>
      <c r="J400" s="15" t="str">
        <f>IF(I400&lt;&gt;"",P400,"")</f>
        <v/>
      </c>
      <c r="K400" s="15" t="str">
        <f>IFERROR(IF(J400="","",VLOOKUP(J400,LISTAS!$F$5:$G$1004,2,0)),"0")</f>
        <v/>
      </c>
      <c r="L400" s="119" t="str">
        <f>IF(H398=3,"BRONZE",IF(H398=4,"PRATA",IF(H398=5,"OURO","")))</f>
        <v/>
      </c>
      <c r="M400" s="20" t="str">
        <f>IF(B400&lt;&gt;"",COUNTIF(D400:G400,"V")+(SUMIF(B404:B406,B400,D404:E406)/1000)+(SUMIF(J404:J406,B400,H404:I406)/1000)-(SUMIF(B404:B406,B400,H404:I406)/1000)-(SUMIF(J404:J406,B400,D404:E406)/1000)+0.001,"")</f>
        <v/>
      </c>
      <c r="N400" s="20" t="str">
        <f>IF(B400="","",B400)</f>
        <v/>
      </c>
      <c r="O400" s="20" t="str">
        <f>IF(B400&lt;&gt;"",LARGE(M398:M400,3),"")</f>
        <v/>
      </c>
      <c r="P400" s="20" t="str">
        <f>VLOOKUP(O400,M398:N400,2,0)</f>
        <v/>
      </c>
    </row>
    <row r="401" spans="2:16" ht="18" customHeight="1" x14ac:dyDescent="0.25">
      <c r="B401" s="79"/>
      <c r="C401" s="79"/>
      <c r="D401" s="79"/>
      <c r="E401" s="79"/>
      <c r="F401" s="79"/>
      <c r="G401" s="79"/>
      <c r="I401" s="80"/>
      <c r="J401" s="79"/>
      <c r="K401" s="81"/>
      <c r="L401" s="81"/>
    </row>
    <row r="402" spans="2:16" ht="23.25" customHeight="1" x14ac:dyDescent="0.25">
      <c r="B402" s="82" t="s">
        <v>40</v>
      </c>
      <c r="C402" s="79"/>
      <c r="D402" s="79"/>
      <c r="E402" s="79"/>
      <c r="F402" s="79"/>
      <c r="G402" s="79"/>
      <c r="H402" s="79"/>
      <c r="I402" s="79"/>
      <c r="J402" s="79"/>
      <c r="K402" s="79"/>
      <c r="L402" s="79"/>
    </row>
    <row r="403" spans="2:16" ht="18" customHeight="1" x14ac:dyDescent="0.25">
      <c r="B403" s="9" t="s">
        <v>15</v>
      </c>
      <c r="C403" s="9" t="s">
        <v>0</v>
      </c>
      <c r="D403" s="228" t="s">
        <v>41</v>
      </c>
      <c r="E403" s="229"/>
      <c r="F403" s="229"/>
      <c r="G403" s="229"/>
      <c r="H403" s="229"/>
      <c r="I403" s="230"/>
      <c r="J403" s="9" t="s">
        <v>15</v>
      </c>
      <c r="K403" s="9" t="s">
        <v>0</v>
      </c>
      <c r="L403" s="79"/>
    </row>
    <row r="404" spans="2:16" ht="18" customHeight="1" x14ac:dyDescent="0.25">
      <c r="B404" s="15" t="str">
        <f>IF(H398=3,B398,"")</f>
        <v/>
      </c>
      <c r="C404" s="15" t="str">
        <f>IFERROR(IF(B404="","",VLOOKUP(B404,LISTAS!$F$5:$G$1004,2,0)),"0")</f>
        <v/>
      </c>
      <c r="D404" s="223"/>
      <c r="E404" s="224"/>
      <c r="F404" s="223" t="s">
        <v>38</v>
      </c>
      <c r="G404" s="224"/>
      <c r="H404" s="223"/>
      <c r="I404" s="224"/>
      <c r="J404" s="21" t="str">
        <f>IF(H398=3,B400,"")</f>
        <v/>
      </c>
      <c r="K404" s="15" t="str">
        <f>IFERROR(IF(J404="","",VLOOKUP(J404,LISTAS!$F$5:$G$1004,2,0)),"0")</f>
        <v/>
      </c>
      <c r="L404" s="81"/>
    </row>
    <row r="405" spans="2:16" ht="18" customHeight="1" x14ac:dyDescent="0.25">
      <c r="B405" s="15" t="str">
        <f>IF(H398=3,B399,"")</f>
        <v/>
      </c>
      <c r="C405" s="15" t="str">
        <f>IFERROR(IF(B405="","",VLOOKUP(B405,LISTAS!$F$5:$G$1004,2,0)),"0")</f>
        <v/>
      </c>
      <c r="D405" s="223"/>
      <c r="E405" s="224"/>
      <c r="F405" s="223" t="s">
        <v>38</v>
      </c>
      <c r="G405" s="224"/>
      <c r="H405" s="223"/>
      <c r="I405" s="224"/>
      <c r="J405" s="21" t="str">
        <f>IF(H398=3,B400,"")</f>
        <v/>
      </c>
      <c r="K405" s="15" t="str">
        <f>IFERROR(IF(J405="","",VLOOKUP(J405,LISTAS!$F$5:$G$1004,2,0)),"0")</f>
        <v/>
      </c>
      <c r="L405" s="79"/>
    </row>
    <row r="406" spans="2:16" ht="18" customHeight="1" x14ac:dyDescent="0.25">
      <c r="B406" s="15" t="str">
        <f>IF(H398=3,B398,"")</f>
        <v/>
      </c>
      <c r="C406" s="15" t="str">
        <f>IFERROR(IF(B406="","",VLOOKUP(B406,LISTAS!$F$5:$G$1004,2,0)),"0")</f>
        <v/>
      </c>
      <c r="D406" s="223"/>
      <c r="E406" s="224"/>
      <c r="F406" s="223" t="s">
        <v>38</v>
      </c>
      <c r="G406" s="224"/>
      <c r="H406" s="223"/>
      <c r="I406" s="224"/>
      <c r="J406" s="21" t="str">
        <f>IF(H398=3,B399,"")</f>
        <v/>
      </c>
      <c r="K406" s="15" t="str">
        <f>IFERROR(IF(J406="","",VLOOKUP(J406,LISTAS!$F$5:$G$1004,2,0)),"0")</f>
        <v/>
      </c>
      <c r="L406" s="81"/>
    </row>
    <row r="409" spans="2:16" ht="30" customHeight="1" x14ac:dyDescent="0.25">
      <c r="B409" s="161" t="s">
        <v>75</v>
      </c>
      <c r="C409" s="79"/>
      <c r="D409" s="225" t="s">
        <v>42</v>
      </c>
      <c r="E409" s="226"/>
      <c r="F409" s="226"/>
      <c r="G409" s="227"/>
      <c r="H409" s="113"/>
      <c r="I409" s="225" t="s">
        <v>3</v>
      </c>
      <c r="J409" s="226"/>
      <c r="K409" s="226"/>
      <c r="L409" s="226"/>
    </row>
    <row r="410" spans="2:16" ht="18" customHeight="1" x14ac:dyDescent="0.25">
      <c r="B410" s="9" t="s">
        <v>15</v>
      </c>
      <c r="C410" s="9" t="s">
        <v>0</v>
      </c>
      <c r="D410" s="9" t="s">
        <v>43</v>
      </c>
      <c r="E410" s="9" t="s">
        <v>44</v>
      </c>
      <c r="F410" s="9" t="s">
        <v>77</v>
      </c>
      <c r="G410" s="9" t="s">
        <v>78</v>
      </c>
      <c r="H410" s="114"/>
      <c r="I410" s="9" t="s">
        <v>18</v>
      </c>
      <c r="J410" s="9" t="s">
        <v>15</v>
      </c>
      <c r="K410" s="9" t="s">
        <v>0</v>
      </c>
      <c r="L410" s="9" t="s">
        <v>45</v>
      </c>
    </row>
    <row r="411" spans="2:16" ht="18" customHeight="1" x14ac:dyDescent="0.25">
      <c r="B411" s="15"/>
      <c r="C411" s="15" t="str">
        <f>IFERROR(IF(B411="","",VLOOKUP(B411,LISTAS!$F$5:$G$1004,2,0)),"0")</f>
        <v/>
      </c>
      <c r="D411" s="15" t="str">
        <f>IF(H411&lt;3,"",IF(H411=3,IF(D417&lt;&gt;"",IF(H417&lt;&gt;"",IF(D417&lt;&gt;H417,IF(D417&gt;H417,"V","D"),""),""),"")))</f>
        <v/>
      </c>
      <c r="E411" s="15" t="str">
        <f>IF(H411&lt;3,"",IF(H411=3,IF(D419&lt;&gt;"",IF(H419&lt;&gt;"",IF(D419&lt;&gt;H419,IF(D419&gt;H419,"V","D"),""),""),"")))</f>
        <v/>
      </c>
      <c r="F411" s="15" t="s">
        <v>81</v>
      </c>
      <c r="G411" s="15" t="s">
        <v>81</v>
      </c>
      <c r="H411" s="117">
        <f>COUNTA(B411:B413)</f>
        <v>0</v>
      </c>
      <c r="I411" s="15" t="str">
        <f>IF(B411&lt;&gt;"",1,"")</f>
        <v/>
      </c>
      <c r="J411" s="15" t="str">
        <f>IF(I411&lt;&gt;"",P411,"")</f>
        <v/>
      </c>
      <c r="K411" s="15" t="str">
        <f>IFERROR(IF(J411="","",VLOOKUP(J411,LISTAS!$F$5:$G$1004,2,0)),"0")</f>
        <v/>
      </c>
      <c r="L411" s="119" t="str">
        <f>IF(H411=3,"OURO",IF(H411=4,"OURO",IF(H411=5,"OURO","")))</f>
        <v/>
      </c>
      <c r="M411" s="20" t="str">
        <f>IF(B411&lt;&gt;"",COUNTIF(D411:G411,"V")+(SUMIF(B417:B419,B411,D417:E419)/1000)+(SUMIF(J417:J419,B411,H417:I419)/1000)-(SUMIF(B417:B419,B411,H417:I419)/1000)-(SUMIF(J417:J419,B411,D417:E419)/1000)+0.003,"")</f>
        <v/>
      </c>
      <c r="N411" s="20" t="str">
        <f>IF(B411="","",B411)</f>
        <v/>
      </c>
      <c r="O411" s="20" t="str">
        <f>IF(B411&lt;&gt;"",LARGE(M411:M413,1),"")</f>
        <v/>
      </c>
      <c r="P411" s="20" t="str">
        <f>VLOOKUP(O411,M411:N413,2,0)</f>
        <v/>
      </c>
    </row>
    <row r="412" spans="2:16" ht="18" customHeight="1" x14ac:dyDescent="0.25">
      <c r="B412" s="15"/>
      <c r="C412" s="15" t="str">
        <f>IFERROR(IF(B412="","",VLOOKUP(B412,LISTAS!$F$5:$G$1004,2,0)),"0")</f>
        <v/>
      </c>
      <c r="D412" s="15" t="str">
        <f>IF(H411&lt;3,"",IF(H411=3,IF(D418&lt;&gt;"",IF(H418&lt;&gt;"",IF(D418&lt;&gt;H418,IF(D418&gt;H418,"V","D"),""),""),"")))</f>
        <v/>
      </c>
      <c r="E412" s="15" t="str">
        <f>IF(H411&lt;3,"",IF(H411=3,IF(D419&lt;&gt;"",IF(H419&lt;&gt;"",IF(D419&lt;&gt;H419,IF(D419&gt;H419,"D","V"),""),""),"")))</f>
        <v/>
      </c>
      <c r="F412" s="15" t="s">
        <v>81</v>
      </c>
      <c r="G412" s="15" t="s">
        <v>81</v>
      </c>
      <c r="H412" s="115"/>
      <c r="I412" s="15" t="str">
        <f>IF(B412&lt;&gt;"",2,"")</f>
        <v/>
      </c>
      <c r="J412" s="15" t="str">
        <f>IF(I412&lt;&gt;"",P412,"")</f>
        <v/>
      </c>
      <c r="K412" s="15" t="str">
        <f>IFERROR(IF(J412="","",VLOOKUP(J412,LISTAS!$F$5:$G$1004,2,0)),"0")</f>
        <v/>
      </c>
      <c r="L412" s="119" t="str">
        <f>IF(H411=3,"PRATA",IF(H411=4,"OURO",IF(H411=5,"OURO","")))</f>
        <v/>
      </c>
      <c r="M412" s="20" t="str">
        <f>IF(B412&lt;&gt;"",COUNTIF(D412:G412,"V")+(SUMIF(B417:B419,B412,D417:E419)/1000)+(SUMIF(J417:J419,B412,H417:I419)/1000)-(SUMIF(B417:B419,B412,H417:I419)/1000)-(SUMIF(J417:J419,B412,D417:E419)/1000)+0.002,"")</f>
        <v/>
      </c>
      <c r="N412" s="20" t="str">
        <f t="shared" ref="N412" si="30">IF(B412="","",B412)</f>
        <v/>
      </c>
      <c r="O412" s="20" t="str">
        <f>IF(B412&lt;&gt;"",LARGE(M411:M413,2),"")</f>
        <v/>
      </c>
      <c r="P412" s="20" t="str">
        <f>VLOOKUP(O412,M411:N413,2,0)</f>
        <v/>
      </c>
    </row>
    <row r="413" spans="2:16" ht="18" customHeight="1" x14ac:dyDescent="0.25">
      <c r="B413" s="15"/>
      <c r="C413" s="15" t="str">
        <f>IFERROR(IF(B413="","",VLOOKUP(B413,LISTAS!$F$5:$G$1004,2,0)),"0")</f>
        <v/>
      </c>
      <c r="D413" s="15" t="str">
        <f>IF(H411&lt;3,"",IF(H411=3,IF(D417&lt;&gt;"",IF(H417&lt;&gt;"",IF(D417&lt;&gt;H417,IF(D417&gt;H417,"D","V"),""),""),"")))</f>
        <v/>
      </c>
      <c r="E413" s="15" t="str">
        <f>IF(H411&lt;3,"",IF(H411=3,IF(D418&lt;&gt;"",IF(H418&lt;&gt;"",IF(D418&lt;&gt;H418,IF(D418&gt;H418,"D","V"),""),""),"")))</f>
        <v/>
      </c>
      <c r="F413" s="15" t="s">
        <v>81</v>
      </c>
      <c r="G413" s="15" t="s">
        <v>81</v>
      </c>
      <c r="H413" s="115"/>
      <c r="I413" s="15" t="str">
        <f>IF(B413&lt;&gt;"",3,"")</f>
        <v/>
      </c>
      <c r="J413" s="15" t="str">
        <f>IF(I413&lt;&gt;"",P413,"")</f>
        <v/>
      </c>
      <c r="K413" s="15" t="str">
        <f>IFERROR(IF(J413="","",VLOOKUP(J413,LISTAS!$F$5:$G$1004,2,0)),"0")</f>
        <v/>
      </c>
      <c r="L413" s="119" t="str">
        <f>IF(H411=3,"BRONZE",IF(H411=4,"PRATA",IF(H411=5,"OURO","")))</f>
        <v/>
      </c>
      <c r="M413" s="20" t="str">
        <f>IF(B413&lt;&gt;"",COUNTIF(D413:G413,"V")+(SUMIF(B417:B419,B413,D417:E419)/1000)+(SUMIF(J417:J419,B413,H417:I419)/1000)-(SUMIF(B417:B419,B413,H417:I419)/1000)-(SUMIF(J417:J419,B413,D417:E419)/1000)+0.001,"")</f>
        <v/>
      </c>
      <c r="N413" s="20" t="str">
        <f>IF(B413="","",B413)</f>
        <v/>
      </c>
      <c r="O413" s="20" t="str">
        <f>IF(B413&lt;&gt;"",LARGE(M411:M413,3),"")</f>
        <v/>
      </c>
      <c r="P413" s="20" t="str">
        <f>VLOOKUP(O413,M411:N413,2,0)</f>
        <v/>
      </c>
    </row>
    <row r="414" spans="2:16" ht="18" customHeight="1" x14ac:dyDescent="0.25">
      <c r="B414" s="79"/>
      <c r="C414" s="79"/>
      <c r="D414" s="79"/>
      <c r="E414" s="79"/>
      <c r="F414" s="79"/>
      <c r="G414" s="79"/>
      <c r="I414" s="80"/>
      <c r="J414" s="79"/>
      <c r="K414" s="81"/>
      <c r="L414" s="81"/>
    </row>
    <row r="415" spans="2:16" ht="23.25" customHeight="1" x14ac:dyDescent="0.25">
      <c r="B415" s="82" t="s">
        <v>40</v>
      </c>
      <c r="C415" s="79"/>
      <c r="D415" s="79"/>
      <c r="E415" s="79"/>
      <c r="F415" s="79"/>
      <c r="G415" s="79"/>
      <c r="H415" s="79"/>
      <c r="I415" s="79"/>
      <c r="J415" s="79"/>
      <c r="K415" s="79"/>
      <c r="L415" s="79"/>
    </row>
    <row r="416" spans="2:16" ht="18" customHeight="1" x14ac:dyDescent="0.25">
      <c r="B416" s="9" t="s">
        <v>15</v>
      </c>
      <c r="C416" s="9" t="s">
        <v>0</v>
      </c>
      <c r="D416" s="228" t="s">
        <v>41</v>
      </c>
      <c r="E416" s="229"/>
      <c r="F416" s="229"/>
      <c r="G416" s="229"/>
      <c r="H416" s="229"/>
      <c r="I416" s="230"/>
      <c r="J416" s="9" t="s">
        <v>15</v>
      </c>
      <c r="K416" s="9" t="s">
        <v>0</v>
      </c>
      <c r="L416" s="79"/>
    </row>
    <row r="417" spans="2:16" ht="18" customHeight="1" x14ac:dyDescent="0.25">
      <c r="B417" s="15" t="str">
        <f>IF(H411=3,B411,"")</f>
        <v/>
      </c>
      <c r="C417" s="15" t="str">
        <f>IFERROR(IF(B417="","",VLOOKUP(B417,LISTAS!$F$5:$G$1004,2,0)),"0")</f>
        <v/>
      </c>
      <c r="D417" s="223"/>
      <c r="E417" s="224"/>
      <c r="F417" s="223" t="s">
        <v>38</v>
      </c>
      <c r="G417" s="224"/>
      <c r="H417" s="223"/>
      <c r="I417" s="224"/>
      <c r="J417" s="21" t="str">
        <f>IF(H411=3,B413,"")</f>
        <v/>
      </c>
      <c r="K417" s="15" t="str">
        <f>IFERROR(IF(J417="","",VLOOKUP(J417,LISTAS!$F$5:$G$1004,2,0)),"0")</f>
        <v/>
      </c>
      <c r="L417" s="81"/>
    </row>
    <row r="418" spans="2:16" ht="18" customHeight="1" x14ac:dyDescent="0.25">
      <c r="B418" s="15" t="str">
        <f>IF(H411=3,B412,"")</f>
        <v/>
      </c>
      <c r="C418" s="15" t="str">
        <f>IFERROR(IF(B418="","",VLOOKUP(B418,LISTAS!$F$5:$G$1004,2,0)),"0")</f>
        <v/>
      </c>
      <c r="D418" s="223"/>
      <c r="E418" s="224"/>
      <c r="F418" s="223" t="s">
        <v>38</v>
      </c>
      <c r="G418" s="224"/>
      <c r="H418" s="223"/>
      <c r="I418" s="224"/>
      <c r="J418" s="21" t="str">
        <f>IF(H411=3,B413,"")</f>
        <v/>
      </c>
      <c r="K418" s="15" t="str">
        <f>IFERROR(IF(J418="","",VLOOKUP(J418,LISTAS!$F$5:$G$1004,2,0)),"0")</f>
        <v/>
      </c>
      <c r="L418" s="79"/>
    </row>
    <row r="419" spans="2:16" ht="18" customHeight="1" x14ac:dyDescent="0.25">
      <c r="B419" s="15" t="str">
        <f>IF(H411=3,B411,"")</f>
        <v/>
      </c>
      <c r="C419" s="15" t="str">
        <f>IFERROR(IF(B419="","",VLOOKUP(B419,LISTAS!$F$5:$G$1004,2,0)),"0")</f>
        <v/>
      </c>
      <c r="D419" s="223"/>
      <c r="E419" s="224"/>
      <c r="F419" s="223" t="s">
        <v>38</v>
      </c>
      <c r="G419" s="224"/>
      <c r="H419" s="223"/>
      <c r="I419" s="224"/>
      <c r="J419" s="21" t="str">
        <f>IF(H411=3,B412,"")</f>
        <v/>
      </c>
      <c r="K419" s="15" t="str">
        <f>IFERROR(IF(J419="","",VLOOKUP(J419,LISTAS!$F$5:$G$1004,2,0)),"0")</f>
        <v/>
      </c>
      <c r="L419" s="81"/>
    </row>
    <row r="422" spans="2:16" ht="30" customHeight="1" x14ac:dyDescent="0.25">
      <c r="B422" s="161" t="s">
        <v>76</v>
      </c>
      <c r="C422" s="79"/>
      <c r="D422" s="225" t="s">
        <v>42</v>
      </c>
      <c r="E422" s="226"/>
      <c r="F422" s="226"/>
      <c r="G422" s="227"/>
      <c r="H422" s="113"/>
      <c r="I422" s="225" t="s">
        <v>3</v>
      </c>
      <c r="J422" s="226"/>
      <c r="K422" s="226"/>
      <c r="L422" s="226"/>
    </row>
    <row r="423" spans="2:16" ht="18" customHeight="1" x14ac:dyDescent="0.25">
      <c r="B423" s="9" t="s">
        <v>15</v>
      </c>
      <c r="C423" s="9" t="s">
        <v>0</v>
      </c>
      <c r="D423" s="9" t="s">
        <v>43</v>
      </c>
      <c r="E423" s="9" t="s">
        <v>44</v>
      </c>
      <c r="F423" s="9" t="s">
        <v>77</v>
      </c>
      <c r="G423" s="9" t="s">
        <v>78</v>
      </c>
      <c r="H423" s="114"/>
      <c r="I423" s="9" t="s">
        <v>18</v>
      </c>
      <c r="J423" s="9" t="s">
        <v>15</v>
      </c>
      <c r="K423" s="9" t="s">
        <v>0</v>
      </c>
      <c r="L423" s="9" t="s">
        <v>45</v>
      </c>
    </row>
    <row r="424" spans="2:16" ht="18" customHeight="1" x14ac:dyDescent="0.25">
      <c r="B424" s="15"/>
      <c r="C424" s="15" t="str">
        <f>IFERROR(IF(B424="","",VLOOKUP(B424,LISTAS!$F$5:$G$1004,2,0)),"0")</f>
        <v/>
      </c>
      <c r="D424" s="15" t="str">
        <f>IF(H424&lt;3,"",IF(H424=3,IF(D430&lt;&gt;"",IF(H430&lt;&gt;"",IF(D430&lt;&gt;H430,IF(D430&gt;H430,"V","D"),""),""),"")))</f>
        <v/>
      </c>
      <c r="E424" s="15" t="str">
        <f>IF(H424&lt;3,"",IF(H424=3,IF(D432&lt;&gt;"",IF(H432&lt;&gt;"",IF(D432&lt;&gt;H432,IF(D432&gt;H432,"V","D"),""),""),"")))</f>
        <v/>
      </c>
      <c r="F424" s="15" t="s">
        <v>81</v>
      </c>
      <c r="G424" s="15" t="s">
        <v>81</v>
      </c>
      <c r="H424" s="117">
        <f>COUNTA(B424:B426)</f>
        <v>0</v>
      </c>
      <c r="I424" s="15" t="str">
        <f>IF(B424&lt;&gt;"",1,"")</f>
        <v/>
      </c>
      <c r="J424" s="15" t="str">
        <f>IF(I424&lt;&gt;"",P424,"")</f>
        <v/>
      </c>
      <c r="K424" s="15" t="str">
        <f>IFERROR(IF(J424="","",VLOOKUP(J424,LISTAS!$F$5:$G$1004,2,0)),"0")</f>
        <v/>
      </c>
      <c r="L424" s="119" t="str">
        <f>IF(H424=3,"OURO",IF(H424=4,"OURO",IF(H424=5,"OURO","")))</f>
        <v/>
      </c>
      <c r="M424" s="20" t="str">
        <f>IF(B424&lt;&gt;"",COUNTIF(D424:G424,"V")+(SUMIF(B430:B432,B424,D430:E432)/1000)+(SUMIF(J430:J432,B424,H430:I432)/1000)-(SUMIF(B430:B432,B424,H430:I432)/1000)-(SUMIF(J430:J432,B424,D430:E432)/1000)+0.003,"")</f>
        <v/>
      </c>
      <c r="N424" s="20" t="str">
        <f>IF(B424="","",B424)</f>
        <v/>
      </c>
      <c r="O424" s="20" t="str">
        <f>IF(B424&lt;&gt;"",LARGE(M424:M426,1),"")</f>
        <v/>
      </c>
      <c r="P424" s="20" t="str">
        <f>VLOOKUP(O424,M424:N426,2,0)</f>
        <v/>
      </c>
    </row>
    <row r="425" spans="2:16" ht="18" customHeight="1" x14ac:dyDescent="0.25">
      <c r="B425" s="15"/>
      <c r="C425" s="15" t="str">
        <f>IFERROR(IF(B425="","",VLOOKUP(B425,LISTAS!$F$5:$G$1004,2,0)),"0")</f>
        <v/>
      </c>
      <c r="D425" s="15" t="str">
        <f>IF(H424&lt;3,"",IF(H424=3,IF(D431&lt;&gt;"",IF(H431&lt;&gt;"",IF(D431&lt;&gt;H431,IF(D431&gt;H431,"V","D"),""),""),"")))</f>
        <v/>
      </c>
      <c r="E425" s="15" t="str">
        <f>IF(H424&lt;3,"",IF(H424=3,IF(D432&lt;&gt;"",IF(H432&lt;&gt;"",IF(D432&lt;&gt;H432,IF(D432&gt;H432,"D","V"),""),""),"")))</f>
        <v/>
      </c>
      <c r="F425" s="15" t="s">
        <v>81</v>
      </c>
      <c r="G425" s="15" t="s">
        <v>81</v>
      </c>
      <c r="H425" s="115"/>
      <c r="I425" s="15" t="str">
        <f>IF(B425&lt;&gt;"",2,"")</f>
        <v/>
      </c>
      <c r="J425" s="15" t="str">
        <f>IF(I425&lt;&gt;"",P425,"")</f>
        <v/>
      </c>
      <c r="K425" s="15" t="str">
        <f>IFERROR(IF(J425="","",VLOOKUP(J425,LISTAS!$F$5:$G$1004,2,0)),"0")</f>
        <v/>
      </c>
      <c r="L425" s="119" t="str">
        <f>IF(H424=3,"PRATA",IF(H424=4,"OURO",IF(H424=5,"OURO","")))</f>
        <v/>
      </c>
      <c r="M425" s="20" t="str">
        <f>IF(B425&lt;&gt;"",COUNTIF(D425:G425,"V")+(SUMIF(B430:B432,B425,D430:E432)/1000)+(SUMIF(J430:J432,B425,H430:I432)/1000)-(SUMIF(B430:B432,B425,H430:I432)/1000)-(SUMIF(J430:J432,B425,D430:E432)/1000)+0.002,"")</f>
        <v/>
      </c>
      <c r="N425" s="20" t="str">
        <f t="shared" ref="N425" si="31">IF(B425="","",B425)</f>
        <v/>
      </c>
      <c r="O425" s="20" t="str">
        <f>IF(B425&lt;&gt;"",LARGE(M424:M426,2),"")</f>
        <v/>
      </c>
      <c r="P425" s="20" t="str">
        <f>VLOOKUP(O425,M424:N426,2,0)</f>
        <v/>
      </c>
    </row>
    <row r="426" spans="2:16" ht="18" customHeight="1" x14ac:dyDescent="0.25">
      <c r="B426" s="15"/>
      <c r="C426" s="15" t="str">
        <f>IFERROR(IF(B426="","",VLOOKUP(B426,LISTAS!$F$5:$G$1004,2,0)),"0")</f>
        <v/>
      </c>
      <c r="D426" s="15" t="str">
        <f>IF(H424&lt;3,"",IF(H424=3,IF(D430&lt;&gt;"",IF(H430&lt;&gt;"",IF(D430&lt;&gt;H430,IF(D430&gt;H430,"D","V"),""),""),"")))</f>
        <v/>
      </c>
      <c r="E426" s="15" t="str">
        <f>IF(H424&lt;3,"",IF(H424=3,IF(D431&lt;&gt;"",IF(H431&lt;&gt;"",IF(D431&lt;&gt;H431,IF(D431&gt;H431,"D","V"),""),""),"")))</f>
        <v/>
      </c>
      <c r="F426" s="15" t="s">
        <v>81</v>
      </c>
      <c r="G426" s="15" t="s">
        <v>81</v>
      </c>
      <c r="H426" s="115"/>
      <c r="I426" s="15" t="str">
        <f>IF(B426&lt;&gt;"",3,"")</f>
        <v/>
      </c>
      <c r="J426" s="15" t="str">
        <f>IF(I426&lt;&gt;"",P426,"")</f>
        <v/>
      </c>
      <c r="K426" s="15" t="str">
        <f>IFERROR(IF(J426="","",VLOOKUP(J426,LISTAS!$F$5:$G$1004,2,0)),"0")</f>
        <v/>
      </c>
      <c r="L426" s="119" t="str">
        <f>IF(H424=3,"BRONZE",IF(H424=4,"PRATA",IF(H424=5,"OURO","")))</f>
        <v/>
      </c>
      <c r="M426" s="20" t="str">
        <f>IF(B426&lt;&gt;"",COUNTIF(D426:G426,"V")+(SUMIF(B430:B432,B426,D430:E432)/1000)+(SUMIF(J430:J432,B426,H430:I432)/1000)-(SUMIF(B430:B432,B426,H430:I432)/1000)-(SUMIF(J430:J432,B426,D430:E432)/1000)+0.001,"")</f>
        <v/>
      </c>
      <c r="N426" s="20" t="str">
        <f>IF(B426="","",B426)</f>
        <v/>
      </c>
      <c r="O426" s="20" t="str">
        <f>IF(B426&lt;&gt;"",LARGE(M424:M426,3),"")</f>
        <v/>
      </c>
      <c r="P426" s="20" t="str">
        <f>VLOOKUP(O426,M424:N426,2,0)</f>
        <v/>
      </c>
    </row>
    <row r="427" spans="2:16" ht="18" customHeight="1" x14ac:dyDescent="0.25">
      <c r="B427" s="79"/>
      <c r="C427" s="79"/>
      <c r="D427" s="79"/>
      <c r="E427" s="79"/>
      <c r="F427" s="79"/>
      <c r="G427" s="79"/>
      <c r="I427" s="80"/>
      <c r="J427" s="79"/>
      <c r="K427" s="81"/>
      <c r="L427" s="81"/>
    </row>
    <row r="428" spans="2:16" ht="23.25" customHeight="1" x14ac:dyDescent="0.25">
      <c r="B428" s="82" t="s">
        <v>40</v>
      </c>
      <c r="C428" s="79"/>
      <c r="D428" s="79"/>
      <c r="E428" s="79"/>
      <c r="F428" s="79"/>
      <c r="G428" s="79"/>
      <c r="H428" s="79"/>
      <c r="I428" s="79"/>
      <c r="J428" s="79"/>
      <c r="K428" s="79"/>
      <c r="L428" s="79"/>
    </row>
    <row r="429" spans="2:16" ht="18" customHeight="1" x14ac:dyDescent="0.25">
      <c r="B429" s="9" t="s">
        <v>15</v>
      </c>
      <c r="C429" s="9" t="s">
        <v>0</v>
      </c>
      <c r="D429" s="228" t="s">
        <v>41</v>
      </c>
      <c r="E429" s="229"/>
      <c r="F429" s="229"/>
      <c r="G429" s="229"/>
      <c r="H429" s="229"/>
      <c r="I429" s="230"/>
      <c r="J429" s="9" t="s">
        <v>15</v>
      </c>
      <c r="K429" s="9" t="s">
        <v>0</v>
      </c>
      <c r="L429" s="79"/>
    </row>
    <row r="430" spans="2:16" ht="18" customHeight="1" x14ac:dyDescent="0.25">
      <c r="B430" s="15" t="str">
        <f>IF(H424=3,B424,"")</f>
        <v/>
      </c>
      <c r="C430" s="15" t="str">
        <f>IFERROR(IF(B430="","",VLOOKUP(B430,LISTAS!$F$5:$G$1004,2,0)),"0")</f>
        <v/>
      </c>
      <c r="D430" s="223"/>
      <c r="E430" s="224"/>
      <c r="F430" s="223" t="s">
        <v>38</v>
      </c>
      <c r="G430" s="224"/>
      <c r="H430" s="223"/>
      <c r="I430" s="224"/>
      <c r="J430" s="21" t="str">
        <f>IF(H424=3,B426,"")</f>
        <v/>
      </c>
      <c r="K430" s="15" t="str">
        <f>IFERROR(IF(J430="","",VLOOKUP(J430,LISTAS!$F$5:$G$1004,2,0)),"0")</f>
        <v/>
      </c>
      <c r="L430" s="81"/>
    </row>
    <row r="431" spans="2:16" ht="18" customHeight="1" x14ac:dyDescent="0.25">
      <c r="B431" s="15" t="str">
        <f>IF(H424=3,B425,"")</f>
        <v/>
      </c>
      <c r="C431" s="15" t="str">
        <f>IFERROR(IF(B431="","",VLOOKUP(B431,LISTAS!$F$5:$G$1004,2,0)),"0")</f>
        <v/>
      </c>
      <c r="D431" s="223"/>
      <c r="E431" s="224"/>
      <c r="F431" s="223" t="s">
        <v>38</v>
      </c>
      <c r="G431" s="224"/>
      <c r="H431" s="223"/>
      <c r="I431" s="224"/>
      <c r="J431" s="21" t="str">
        <f>IF(H424=3,B426,"")</f>
        <v/>
      </c>
      <c r="K431" s="15" t="str">
        <f>IFERROR(IF(J431="","",VLOOKUP(J431,LISTAS!$F$5:$G$1004,2,0)),"0")</f>
        <v/>
      </c>
      <c r="L431" s="79"/>
    </row>
    <row r="432" spans="2:16" ht="18" customHeight="1" x14ac:dyDescent="0.25">
      <c r="B432" s="15" t="str">
        <f>IF(H424=3,B424,"")</f>
        <v/>
      </c>
      <c r="C432" s="15" t="str">
        <f>IFERROR(IF(B432="","",VLOOKUP(B432,LISTAS!$F$5:$G$1004,2,0)),"0")</f>
        <v/>
      </c>
      <c r="D432" s="223"/>
      <c r="E432" s="224"/>
      <c r="F432" s="223" t="s">
        <v>38</v>
      </c>
      <c r="G432" s="224"/>
      <c r="H432" s="223"/>
      <c r="I432" s="224"/>
      <c r="J432" s="21" t="str">
        <f>IF(H424=3,B425,"")</f>
        <v/>
      </c>
      <c r="K432" s="15" t="str">
        <f>IFERROR(IF(J432="","",VLOOKUP(J432,LISTAS!$F$5:$G$1004,2,0)),"0")</f>
        <v/>
      </c>
      <c r="L432" s="81"/>
    </row>
  </sheetData>
  <mergeCells count="416">
    <mergeCell ref="B2:L4"/>
    <mergeCell ref="C5:F5"/>
    <mergeCell ref="D6:G6"/>
    <mergeCell ref="I6:L6"/>
    <mergeCell ref="D15:I15"/>
    <mergeCell ref="D16:E16"/>
    <mergeCell ref="F16:G16"/>
    <mergeCell ref="H16:I16"/>
    <mergeCell ref="D19:E19"/>
    <mergeCell ref="F19:G19"/>
    <mergeCell ref="H19:I19"/>
    <mergeCell ref="D20:E20"/>
    <mergeCell ref="F20:G20"/>
    <mergeCell ref="H20:I20"/>
    <mergeCell ref="D17:E17"/>
    <mergeCell ref="F17:G17"/>
    <mergeCell ref="H17:I17"/>
    <mergeCell ref="D18:E18"/>
    <mergeCell ref="F18:G18"/>
    <mergeCell ref="H18:I18"/>
    <mergeCell ref="D23:E23"/>
    <mergeCell ref="F23:G23"/>
    <mergeCell ref="H23:I23"/>
    <mergeCell ref="D24:E24"/>
    <mergeCell ref="F24:G24"/>
    <mergeCell ref="H24:I24"/>
    <mergeCell ref="D21:E21"/>
    <mergeCell ref="F21:G21"/>
    <mergeCell ref="H21:I21"/>
    <mergeCell ref="D22:E22"/>
    <mergeCell ref="F22:G22"/>
    <mergeCell ref="H22:I22"/>
    <mergeCell ref="D37:E37"/>
    <mergeCell ref="F37:G37"/>
    <mergeCell ref="H37:I37"/>
    <mergeCell ref="D38:E38"/>
    <mergeCell ref="F38:G38"/>
    <mergeCell ref="H38:I38"/>
    <mergeCell ref="D25:E25"/>
    <mergeCell ref="F25:G25"/>
    <mergeCell ref="H25:I25"/>
    <mergeCell ref="D28:G28"/>
    <mergeCell ref="I28:L28"/>
    <mergeCell ref="D36:I36"/>
    <mergeCell ref="D41:E41"/>
    <mergeCell ref="F41:G41"/>
    <mergeCell ref="H41:I41"/>
    <mergeCell ref="D42:E42"/>
    <mergeCell ref="F42:G42"/>
    <mergeCell ref="H42:I42"/>
    <mergeCell ref="D39:E39"/>
    <mergeCell ref="F39:G39"/>
    <mergeCell ref="H39:I39"/>
    <mergeCell ref="D40:E40"/>
    <mergeCell ref="F40:G40"/>
    <mergeCell ref="H40:I40"/>
    <mergeCell ref="D54:E54"/>
    <mergeCell ref="F54:G54"/>
    <mergeCell ref="H54:I54"/>
    <mergeCell ref="D55:E55"/>
    <mergeCell ref="F55:G55"/>
    <mergeCell ref="H55:I55"/>
    <mergeCell ref="D45:G45"/>
    <mergeCell ref="I45:L45"/>
    <mergeCell ref="D52:I52"/>
    <mergeCell ref="D53:E53"/>
    <mergeCell ref="F53:G53"/>
    <mergeCell ref="H53:I53"/>
    <mergeCell ref="D67:E67"/>
    <mergeCell ref="F67:G67"/>
    <mergeCell ref="H67:I67"/>
    <mergeCell ref="D68:E68"/>
    <mergeCell ref="F68:G68"/>
    <mergeCell ref="H68:I68"/>
    <mergeCell ref="D58:G58"/>
    <mergeCell ref="I58:L58"/>
    <mergeCell ref="D65:I65"/>
    <mergeCell ref="D66:E66"/>
    <mergeCell ref="F66:G66"/>
    <mergeCell ref="H66:I66"/>
    <mergeCell ref="D80:E80"/>
    <mergeCell ref="F80:G80"/>
    <mergeCell ref="H80:I80"/>
    <mergeCell ref="D81:E81"/>
    <mergeCell ref="F81:G81"/>
    <mergeCell ref="H81:I81"/>
    <mergeCell ref="D71:G71"/>
    <mergeCell ref="I71:L71"/>
    <mergeCell ref="D78:I78"/>
    <mergeCell ref="D79:E79"/>
    <mergeCell ref="F79:G79"/>
    <mergeCell ref="H79:I79"/>
    <mergeCell ref="D93:E93"/>
    <mergeCell ref="F93:G93"/>
    <mergeCell ref="H93:I93"/>
    <mergeCell ref="D94:E94"/>
    <mergeCell ref="F94:G94"/>
    <mergeCell ref="H94:I94"/>
    <mergeCell ref="D84:G84"/>
    <mergeCell ref="I84:L84"/>
    <mergeCell ref="D91:I91"/>
    <mergeCell ref="D92:E92"/>
    <mergeCell ref="F92:G92"/>
    <mergeCell ref="H92:I92"/>
    <mergeCell ref="D106:E106"/>
    <mergeCell ref="F106:G106"/>
    <mergeCell ref="H106:I106"/>
    <mergeCell ref="D107:E107"/>
    <mergeCell ref="F107:G107"/>
    <mergeCell ref="H107:I107"/>
    <mergeCell ref="D97:G97"/>
    <mergeCell ref="I97:L97"/>
    <mergeCell ref="D104:I104"/>
    <mergeCell ref="D105:E105"/>
    <mergeCell ref="F105:G105"/>
    <mergeCell ref="H105:I105"/>
    <mergeCell ref="D119:E119"/>
    <mergeCell ref="F119:G119"/>
    <mergeCell ref="H119:I119"/>
    <mergeCell ref="D120:E120"/>
    <mergeCell ref="F120:G120"/>
    <mergeCell ref="H120:I120"/>
    <mergeCell ref="D110:G110"/>
    <mergeCell ref="I110:L110"/>
    <mergeCell ref="D117:I117"/>
    <mergeCell ref="D118:E118"/>
    <mergeCell ref="F118:G118"/>
    <mergeCell ref="H118:I118"/>
    <mergeCell ref="D132:E132"/>
    <mergeCell ref="F132:G132"/>
    <mergeCell ref="H132:I132"/>
    <mergeCell ref="D133:E133"/>
    <mergeCell ref="F133:G133"/>
    <mergeCell ref="H133:I133"/>
    <mergeCell ref="D123:G123"/>
    <mergeCell ref="I123:L123"/>
    <mergeCell ref="D130:I130"/>
    <mergeCell ref="D131:E131"/>
    <mergeCell ref="F131:G131"/>
    <mergeCell ref="H131:I131"/>
    <mergeCell ref="D145:E145"/>
    <mergeCell ref="F145:G145"/>
    <mergeCell ref="H145:I145"/>
    <mergeCell ref="D146:E146"/>
    <mergeCell ref="F146:G146"/>
    <mergeCell ref="H146:I146"/>
    <mergeCell ref="D136:G136"/>
    <mergeCell ref="I136:L136"/>
    <mergeCell ref="D143:I143"/>
    <mergeCell ref="D144:E144"/>
    <mergeCell ref="F144:G144"/>
    <mergeCell ref="H144:I144"/>
    <mergeCell ref="D158:E158"/>
    <mergeCell ref="F158:G158"/>
    <mergeCell ref="H158:I158"/>
    <mergeCell ref="D159:E159"/>
    <mergeCell ref="F159:G159"/>
    <mergeCell ref="H159:I159"/>
    <mergeCell ref="D149:G149"/>
    <mergeCell ref="I149:L149"/>
    <mergeCell ref="D156:I156"/>
    <mergeCell ref="D157:E157"/>
    <mergeCell ref="F157:G157"/>
    <mergeCell ref="H157:I157"/>
    <mergeCell ref="D171:E171"/>
    <mergeCell ref="F171:G171"/>
    <mergeCell ref="H171:I171"/>
    <mergeCell ref="D172:E172"/>
    <mergeCell ref="F172:G172"/>
    <mergeCell ref="H172:I172"/>
    <mergeCell ref="D162:G162"/>
    <mergeCell ref="I162:L162"/>
    <mergeCell ref="D169:I169"/>
    <mergeCell ref="D170:E170"/>
    <mergeCell ref="F170:G170"/>
    <mergeCell ref="H170:I170"/>
    <mergeCell ref="D184:E184"/>
    <mergeCell ref="F184:G184"/>
    <mergeCell ref="H184:I184"/>
    <mergeCell ref="D185:E185"/>
    <mergeCell ref="F185:G185"/>
    <mergeCell ref="H185:I185"/>
    <mergeCell ref="D175:G175"/>
    <mergeCell ref="I175:L175"/>
    <mergeCell ref="D182:I182"/>
    <mergeCell ref="D183:E183"/>
    <mergeCell ref="F183:G183"/>
    <mergeCell ref="H183:I183"/>
    <mergeCell ref="D197:E197"/>
    <mergeCell ref="F197:G197"/>
    <mergeCell ref="H197:I197"/>
    <mergeCell ref="D198:E198"/>
    <mergeCell ref="F198:G198"/>
    <mergeCell ref="H198:I198"/>
    <mergeCell ref="D188:G188"/>
    <mergeCell ref="I188:L188"/>
    <mergeCell ref="D195:I195"/>
    <mergeCell ref="D196:E196"/>
    <mergeCell ref="F196:G196"/>
    <mergeCell ref="H196:I196"/>
    <mergeCell ref="D210:E210"/>
    <mergeCell ref="F210:G210"/>
    <mergeCell ref="H210:I210"/>
    <mergeCell ref="D211:E211"/>
    <mergeCell ref="F211:G211"/>
    <mergeCell ref="H211:I211"/>
    <mergeCell ref="D201:G201"/>
    <mergeCell ref="I201:L201"/>
    <mergeCell ref="D208:I208"/>
    <mergeCell ref="D209:E209"/>
    <mergeCell ref="F209:G209"/>
    <mergeCell ref="H209:I209"/>
    <mergeCell ref="D223:E223"/>
    <mergeCell ref="F223:G223"/>
    <mergeCell ref="H223:I223"/>
    <mergeCell ref="D224:E224"/>
    <mergeCell ref="F224:G224"/>
    <mergeCell ref="H224:I224"/>
    <mergeCell ref="D214:G214"/>
    <mergeCell ref="I214:L214"/>
    <mergeCell ref="D221:I221"/>
    <mergeCell ref="D222:E222"/>
    <mergeCell ref="F222:G222"/>
    <mergeCell ref="H222:I222"/>
    <mergeCell ref="D236:E236"/>
    <mergeCell ref="F236:G236"/>
    <mergeCell ref="H236:I236"/>
    <mergeCell ref="D237:E237"/>
    <mergeCell ref="F237:G237"/>
    <mergeCell ref="H237:I237"/>
    <mergeCell ref="D227:G227"/>
    <mergeCell ref="I227:L227"/>
    <mergeCell ref="D234:I234"/>
    <mergeCell ref="D235:E235"/>
    <mergeCell ref="F235:G235"/>
    <mergeCell ref="H235:I235"/>
    <mergeCell ref="D249:E249"/>
    <mergeCell ref="F249:G249"/>
    <mergeCell ref="H249:I249"/>
    <mergeCell ref="D250:E250"/>
    <mergeCell ref="F250:G250"/>
    <mergeCell ref="H250:I250"/>
    <mergeCell ref="D240:G240"/>
    <mergeCell ref="I240:L240"/>
    <mergeCell ref="D247:I247"/>
    <mergeCell ref="D248:E248"/>
    <mergeCell ref="F248:G248"/>
    <mergeCell ref="H248:I248"/>
    <mergeCell ref="D262:E262"/>
    <mergeCell ref="F262:G262"/>
    <mergeCell ref="H262:I262"/>
    <mergeCell ref="D263:E263"/>
    <mergeCell ref="F263:G263"/>
    <mergeCell ref="H263:I263"/>
    <mergeCell ref="D253:G253"/>
    <mergeCell ref="I253:L253"/>
    <mergeCell ref="D260:I260"/>
    <mergeCell ref="D261:E261"/>
    <mergeCell ref="F261:G261"/>
    <mergeCell ref="H261:I261"/>
    <mergeCell ref="D275:E275"/>
    <mergeCell ref="F275:G275"/>
    <mergeCell ref="H275:I275"/>
    <mergeCell ref="D276:E276"/>
    <mergeCell ref="F276:G276"/>
    <mergeCell ref="H276:I276"/>
    <mergeCell ref="D266:G266"/>
    <mergeCell ref="I266:L266"/>
    <mergeCell ref="D273:I273"/>
    <mergeCell ref="D274:E274"/>
    <mergeCell ref="F274:G274"/>
    <mergeCell ref="H274:I274"/>
    <mergeCell ref="D288:E288"/>
    <mergeCell ref="F288:G288"/>
    <mergeCell ref="H288:I288"/>
    <mergeCell ref="D289:E289"/>
    <mergeCell ref="F289:G289"/>
    <mergeCell ref="H289:I289"/>
    <mergeCell ref="D279:G279"/>
    <mergeCell ref="I279:L279"/>
    <mergeCell ref="D286:I286"/>
    <mergeCell ref="D287:E287"/>
    <mergeCell ref="F287:G287"/>
    <mergeCell ref="H287:I287"/>
    <mergeCell ref="D301:E301"/>
    <mergeCell ref="F301:G301"/>
    <mergeCell ref="H301:I301"/>
    <mergeCell ref="D302:E302"/>
    <mergeCell ref="F302:G302"/>
    <mergeCell ref="H302:I302"/>
    <mergeCell ref="D292:G292"/>
    <mergeCell ref="I292:L292"/>
    <mergeCell ref="D299:I299"/>
    <mergeCell ref="D300:E300"/>
    <mergeCell ref="F300:G300"/>
    <mergeCell ref="H300:I300"/>
    <mergeCell ref="D314:E314"/>
    <mergeCell ref="F314:G314"/>
    <mergeCell ref="H314:I314"/>
    <mergeCell ref="D315:E315"/>
    <mergeCell ref="F315:G315"/>
    <mergeCell ref="H315:I315"/>
    <mergeCell ref="D305:G305"/>
    <mergeCell ref="I305:L305"/>
    <mergeCell ref="D312:I312"/>
    <mergeCell ref="D313:E313"/>
    <mergeCell ref="F313:G313"/>
    <mergeCell ref="H313:I313"/>
    <mergeCell ref="D327:E327"/>
    <mergeCell ref="F327:G327"/>
    <mergeCell ref="H327:I327"/>
    <mergeCell ref="D328:E328"/>
    <mergeCell ref="F328:G328"/>
    <mergeCell ref="H328:I328"/>
    <mergeCell ref="D318:G318"/>
    <mergeCell ref="I318:L318"/>
    <mergeCell ref="D325:I325"/>
    <mergeCell ref="D326:E326"/>
    <mergeCell ref="F326:G326"/>
    <mergeCell ref="H326:I326"/>
    <mergeCell ref="D340:E340"/>
    <mergeCell ref="F340:G340"/>
    <mergeCell ref="H340:I340"/>
    <mergeCell ref="D341:E341"/>
    <mergeCell ref="F341:G341"/>
    <mergeCell ref="H341:I341"/>
    <mergeCell ref="D331:G331"/>
    <mergeCell ref="I331:L331"/>
    <mergeCell ref="D338:I338"/>
    <mergeCell ref="D339:E339"/>
    <mergeCell ref="F339:G339"/>
    <mergeCell ref="H339:I339"/>
    <mergeCell ref="D353:E353"/>
    <mergeCell ref="F353:G353"/>
    <mergeCell ref="H353:I353"/>
    <mergeCell ref="D354:E354"/>
    <mergeCell ref="F354:G354"/>
    <mergeCell ref="H354:I354"/>
    <mergeCell ref="D344:G344"/>
    <mergeCell ref="I344:L344"/>
    <mergeCell ref="D351:I351"/>
    <mergeCell ref="D352:E352"/>
    <mergeCell ref="F352:G352"/>
    <mergeCell ref="H352:I352"/>
    <mergeCell ref="D366:E366"/>
    <mergeCell ref="F366:G366"/>
    <mergeCell ref="H366:I366"/>
    <mergeCell ref="D367:E367"/>
    <mergeCell ref="F367:G367"/>
    <mergeCell ref="H367:I367"/>
    <mergeCell ref="D357:G357"/>
    <mergeCell ref="I357:L357"/>
    <mergeCell ref="D364:I364"/>
    <mergeCell ref="D365:E365"/>
    <mergeCell ref="F365:G365"/>
    <mergeCell ref="H365:I365"/>
    <mergeCell ref="D379:E379"/>
    <mergeCell ref="F379:G379"/>
    <mergeCell ref="H379:I379"/>
    <mergeCell ref="D380:E380"/>
    <mergeCell ref="F380:G380"/>
    <mergeCell ref="H380:I380"/>
    <mergeCell ref="D370:G370"/>
    <mergeCell ref="I370:L370"/>
    <mergeCell ref="D377:I377"/>
    <mergeCell ref="D378:E378"/>
    <mergeCell ref="F378:G378"/>
    <mergeCell ref="H378:I378"/>
    <mergeCell ref="D392:E392"/>
    <mergeCell ref="F392:G392"/>
    <mergeCell ref="H392:I392"/>
    <mergeCell ref="D393:E393"/>
    <mergeCell ref="F393:G393"/>
    <mergeCell ref="H393:I393"/>
    <mergeCell ref="D383:G383"/>
    <mergeCell ref="I383:L383"/>
    <mergeCell ref="D390:I390"/>
    <mergeCell ref="D391:E391"/>
    <mergeCell ref="F391:G391"/>
    <mergeCell ref="H391:I391"/>
    <mergeCell ref="D405:E405"/>
    <mergeCell ref="F405:G405"/>
    <mergeCell ref="H405:I405"/>
    <mergeCell ref="D406:E406"/>
    <mergeCell ref="F406:G406"/>
    <mergeCell ref="H406:I406"/>
    <mergeCell ref="D396:G396"/>
    <mergeCell ref="I396:L396"/>
    <mergeCell ref="D403:I403"/>
    <mergeCell ref="D404:E404"/>
    <mergeCell ref="F404:G404"/>
    <mergeCell ref="H404:I404"/>
    <mergeCell ref="D418:E418"/>
    <mergeCell ref="F418:G418"/>
    <mergeCell ref="H418:I418"/>
    <mergeCell ref="D419:E419"/>
    <mergeCell ref="F419:G419"/>
    <mergeCell ref="H419:I419"/>
    <mergeCell ref="D409:G409"/>
    <mergeCell ref="I409:L409"/>
    <mergeCell ref="D416:I416"/>
    <mergeCell ref="D417:E417"/>
    <mergeCell ref="F417:G417"/>
    <mergeCell ref="H417:I417"/>
    <mergeCell ref="D431:E431"/>
    <mergeCell ref="F431:G431"/>
    <mergeCell ref="H431:I431"/>
    <mergeCell ref="D432:E432"/>
    <mergeCell ref="F432:G432"/>
    <mergeCell ref="H432:I432"/>
    <mergeCell ref="D422:G422"/>
    <mergeCell ref="I422:L422"/>
    <mergeCell ref="D429:I429"/>
    <mergeCell ref="D430:E430"/>
    <mergeCell ref="F430:G430"/>
    <mergeCell ref="H430:I430"/>
  </mergeCells>
  <conditionalFormatting sqref="L8:L12">
    <cfRule type="cellIs" dxfId="833" priority="94" operator="equal">
      <formula>"BRONZE"</formula>
    </cfRule>
    <cfRule type="cellIs" dxfId="832" priority="95" operator="equal">
      <formula>"PRATA"</formula>
    </cfRule>
    <cfRule type="containsText" dxfId="831" priority="96" operator="containsText" text="OURO">
      <formula>NOT(ISERROR(SEARCH("OURO",L8)))</formula>
    </cfRule>
  </conditionalFormatting>
  <conditionalFormatting sqref="L30:L33">
    <cfRule type="cellIs" dxfId="830" priority="1" operator="equal">
      <formula>"BRONZE"</formula>
    </cfRule>
    <cfRule type="cellIs" dxfId="829" priority="2" operator="equal">
      <formula>"PRATA"</formula>
    </cfRule>
    <cfRule type="containsText" dxfId="828" priority="3" operator="containsText" text="OURO">
      <formula>NOT(ISERROR(SEARCH("OURO",L30)))</formula>
    </cfRule>
  </conditionalFormatting>
  <conditionalFormatting sqref="L47:L49">
    <cfRule type="cellIs" dxfId="827" priority="91" operator="equal">
      <formula>"BRONZE"</formula>
    </cfRule>
    <cfRule type="cellIs" dxfId="826" priority="92" operator="equal">
      <formula>"PRATA"</formula>
    </cfRule>
    <cfRule type="containsText" dxfId="825" priority="93" operator="containsText" text="OURO">
      <formula>NOT(ISERROR(SEARCH("OURO",L47)))</formula>
    </cfRule>
  </conditionalFormatting>
  <conditionalFormatting sqref="L60:L62">
    <cfRule type="cellIs" dxfId="824" priority="88" operator="equal">
      <formula>"BRONZE"</formula>
    </cfRule>
    <cfRule type="cellIs" dxfId="823" priority="89" operator="equal">
      <formula>"PRATA"</formula>
    </cfRule>
    <cfRule type="containsText" dxfId="822" priority="90" operator="containsText" text="OURO">
      <formula>NOT(ISERROR(SEARCH("OURO",L60)))</formula>
    </cfRule>
  </conditionalFormatting>
  <conditionalFormatting sqref="L73:L75">
    <cfRule type="cellIs" dxfId="821" priority="85" operator="equal">
      <formula>"BRONZE"</formula>
    </cfRule>
    <cfRule type="cellIs" dxfId="820" priority="86" operator="equal">
      <formula>"PRATA"</formula>
    </cfRule>
    <cfRule type="containsText" dxfId="819" priority="87" operator="containsText" text="OURO">
      <formula>NOT(ISERROR(SEARCH("OURO",L73)))</formula>
    </cfRule>
  </conditionalFormatting>
  <conditionalFormatting sqref="L86:L88">
    <cfRule type="cellIs" dxfId="818" priority="82" operator="equal">
      <formula>"BRONZE"</formula>
    </cfRule>
    <cfRule type="cellIs" dxfId="817" priority="83" operator="equal">
      <formula>"PRATA"</formula>
    </cfRule>
    <cfRule type="containsText" dxfId="816" priority="84" operator="containsText" text="OURO">
      <formula>NOT(ISERROR(SEARCH("OURO",L86)))</formula>
    </cfRule>
  </conditionalFormatting>
  <conditionalFormatting sqref="L99:L101">
    <cfRule type="cellIs" dxfId="815" priority="79" operator="equal">
      <formula>"BRONZE"</formula>
    </cfRule>
    <cfRule type="cellIs" dxfId="814" priority="80" operator="equal">
      <formula>"PRATA"</formula>
    </cfRule>
    <cfRule type="containsText" dxfId="813" priority="81" operator="containsText" text="OURO">
      <formula>NOT(ISERROR(SEARCH("OURO",L99)))</formula>
    </cfRule>
  </conditionalFormatting>
  <conditionalFormatting sqref="L112:L114">
    <cfRule type="cellIs" dxfId="812" priority="76" operator="equal">
      <formula>"BRONZE"</formula>
    </cfRule>
    <cfRule type="cellIs" dxfId="811" priority="77" operator="equal">
      <formula>"PRATA"</formula>
    </cfRule>
    <cfRule type="containsText" dxfId="810" priority="78" operator="containsText" text="OURO">
      <formula>NOT(ISERROR(SEARCH("OURO",L112)))</formula>
    </cfRule>
  </conditionalFormatting>
  <conditionalFormatting sqref="L125:L127">
    <cfRule type="cellIs" dxfId="809" priority="73" operator="equal">
      <formula>"BRONZE"</formula>
    </cfRule>
    <cfRule type="cellIs" dxfId="808" priority="74" operator="equal">
      <formula>"PRATA"</formula>
    </cfRule>
    <cfRule type="containsText" dxfId="807" priority="75" operator="containsText" text="OURO">
      <formula>NOT(ISERROR(SEARCH("OURO",L125)))</formula>
    </cfRule>
  </conditionalFormatting>
  <conditionalFormatting sqref="L138:L140">
    <cfRule type="cellIs" dxfId="806" priority="70" operator="equal">
      <formula>"BRONZE"</formula>
    </cfRule>
    <cfRule type="cellIs" dxfId="805" priority="71" operator="equal">
      <formula>"PRATA"</formula>
    </cfRule>
    <cfRule type="containsText" dxfId="804" priority="72" operator="containsText" text="OURO">
      <formula>NOT(ISERROR(SEARCH("OURO",L138)))</formula>
    </cfRule>
  </conditionalFormatting>
  <conditionalFormatting sqref="L151:L153">
    <cfRule type="cellIs" dxfId="803" priority="67" operator="equal">
      <formula>"BRONZE"</formula>
    </cfRule>
    <cfRule type="cellIs" dxfId="802" priority="68" operator="equal">
      <formula>"PRATA"</formula>
    </cfRule>
    <cfRule type="containsText" dxfId="801" priority="69" operator="containsText" text="OURO">
      <formula>NOT(ISERROR(SEARCH("OURO",L151)))</formula>
    </cfRule>
  </conditionalFormatting>
  <conditionalFormatting sqref="L164:L166">
    <cfRule type="cellIs" dxfId="800" priority="64" operator="equal">
      <formula>"BRONZE"</formula>
    </cfRule>
    <cfRule type="cellIs" dxfId="799" priority="65" operator="equal">
      <formula>"PRATA"</formula>
    </cfRule>
    <cfRule type="containsText" dxfId="798" priority="66" operator="containsText" text="OURO">
      <formula>NOT(ISERROR(SEARCH("OURO",L164)))</formula>
    </cfRule>
  </conditionalFormatting>
  <conditionalFormatting sqref="L177:L179">
    <cfRule type="cellIs" dxfId="797" priority="61" operator="equal">
      <formula>"BRONZE"</formula>
    </cfRule>
    <cfRule type="cellIs" dxfId="796" priority="62" operator="equal">
      <formula>"PRATA"</formula>
    </cfRule>
    <cfRule type="containsText" dxfId="795" priority="63" operator="containsText" text="OURO">
      <formula>NOT(ISERROR(SEARCH("OURO",L177)))</formula>
    </cfRule>
  </conditionalFormatting>
  <conditionalFormatting sqref="L190:L192">
    <cfRule type="cellIs" dxfId="794" priority="58" operator="equal">
      <formula>"BRONZE"</formula>
    </cfRule>
    <cfRule type="cellIs" dxfId="793" priority="59" operator="equal">
      <formula>"PRATA"</formula>
    </cfRule>
    <cfRule type="containsText" dxfId="792" priority="60" operator="containsText" text="OURO">
      <formula>NOT(ISERROR(SEARCH("OURO",L190)))</formula>
    </cfRule>
  </conditionalFormatting>
  <conditionalFormatting sqref="L203:L205">
    <cfRule type="cellIs" dxfId="791" priority="55" operator="equal">
      <formula>"BRONZE"</formula>
    </cfRule>
    <cfRule type="cellIs" dxfId="790" priority="56" operator="equal">
      <formula>"PRATA"</formula>
    </cfRule>
    <cfRule type="containsText" dxfId="789" priority="57" operator="containsText" text="OURO">
      <formula>NOT(ISERROR(SEARCH("OURO",L203)))</formula>
    </cfRule>
  </conditionalFormatting>
  <conditionalFormatting sqref="L216:L218">
    <cfRule type="cellIs" dxfId="788" priority="52" operator="equal">
      <formula>"BRONZE"</formula>
    </cfRule>
    <cfRule type="cellIs" dxfId="787" priority="53" operator="equal">
      <formula>"PRATA"</formula>
    </cfRule>
    <cfRule type="containsText" dxfId="786" priority="54" operator="containsText" text="OURO">
      <formula>NOT(ISERROR(SEARCH("OURO",L216)))</formula>
    </cfRule>
  </conditionalFormatting>
  <conditionalFormatting sqref="L229:L231">
    <cfRule type="cellIs" dxfId="785" priority="49" operator="equal">
      <formula>"BRONZE"</formula>
    </cfRule>
    <cfRule type="cellIs" dxfId="784" priority="50" operator="equal">
      <formula>"PRATA"</formula>
    </cfRule>
    <cfRule type="containsText" dxfId="783" priority="51" operator="containsText" text="OURO">
      <formula>NOT(ISERROR(SEARCH("OURO",L229)))</formula>
    </cfRule>
  </conditionalFormatting>
  <conditionalFormatting sqref="L242:L244">
    <cfRule type="cellIs" dxfId="782" priority="46" operator="equal">
      <formula>"BRONZE"</formula>
    </cfRule>
    <cfRule type="cellIs" dxfId="781" priority="47" operator="equal">
      <formula>"PRATA"</formula>
    </cfRule>
    <cfRule type="containsText" dxfId="780" priority="48" operator="containsText" text="OURO">
      <formula>NOT(ISERROR(SEARCH("OURO",L242)))</formula>
    </cfRule>
  </conditionalFormatting>
  <conditionalFormatting sqref="L255:L257">
    <cfRule type="cellIs" dxfId="779" priority="43" operator="equal">
      <formula>"BRONZE"</formula>
    </cfRule>
    <cfRule type="cellIs" dxfId="778" priority="44" operator="equal">
      <formula>"PRATA"</formula>
    </cfRule>
    <cfRule type="containsText" dxfId="777" priority="45" operator="containsText" text="OURO">
      <formula>NOT(ISERROR(SEARCH("OURO",L255)))</formula>
    </cfRule>
  </conditionalFormatting>
  <conditionalFormatting sqref="L268:L270">
    <cfRule type="cellIs" dxfId="776" priority="40" operator="equal">
      <formula>"BRONZE"</formula>
    </cfRule>
    <cfRule type="cellIs" dxfId="775" priority="41" operator="equal">
      <formula>"PRATA"</formula>
    </cfRule>
    <cfRule type="containsText" dxfId="774" priority="42" operator="containsText" text="OURO">
      <formula>NOT(ISERROR(SEARCH("OURO",L268)))</formula>
    </cfRule>
  </conditionalFormatting>
  <conditionalFormatting sqref="L281:L283">
    <cfRule type="cellIs" dxfId="773" priority="37" operator="equal">
      <formula>"BRONZE"</formula>
    </cfRule>
    <cfRule type="cellIs" dxfId="772" priority="38" operator="equal">
      <formula>"PRATA"</formula>
    </cfRule>
    <cfRule type="containsText" dxfId="771" priority="39" operator="containsText" text="OURO">
      <formula>NOT(ISERROR(SEARCH("OURO",L281)))</formula>
    </cfRule>
  </conditionalFormatting>
  <conditionalFormatting sqref="L294:L296">
    <cfRule type="cellIs" dxfId="770" priority="34" operator="equal">
      <formula>"BRONZE"</formula>
    </cfRule>
    <cfRule type="cellIs" dxfId="769" priority="35" operator="equal">
      <formula>"PRATA"</formula>
    </cfRule>
    <cfRule type="containsText" dxfId="768" priority="36" operator="containsText" text="OURO">
      <formula>NOT(ISERROR(SEARCH("OURO",L294)))</formula>
    </cfRule>
  </conditionalFormatting>
  <conditionalFormatting sqref="L307:L309">
    <cfRule type="cellIs" dxfId="767" priority="31" operator="equal">
      <formula>"BRONZE"</formula>
    </cfRule>
    <cfRule type="cellIs" dxfId="766" priority="32" operator="equal">
      <formula>"PRATA"</formula>
    </cfRule>
    <cfRule type="containsText" dxfId="765" priority="33" operator="containsText" text="OURO">
      <formula>NOT(ISERROR(SEARCH("OURO",L307)))</formula>
    </cfRule>
  </conditionalFormatting>
  <conditionalFormatting sqref="L320:L322">
    <cfRule type="cellIs" dxfId="764" priority="28" operator="equal">
      <formula>"BRONZE"</formula>
    </cfRule>
    <cfRule type="cellIs" dxfId="763" priority="29" operator="equal">
      <formula>"PRATA"</formula>
    </cfRule>
    <cfRule type="containsText" dxfId="762" priority="30" operator="containsText" text="OURO">
      <formula>NOT(ISERROR(SEARCH("OURO",L320)))</formula>
    </cfRule>
  </conditionalFormatting>
  <conditionalFormatting sqref="L333:L335">
    <cfRule type="cellIs" dxfId="761" priority="25" operator="equal">
      <formula>"BRONZE"</formula>
    </cfRule>
    <cfRule type="cellIs" dxfId="760" priority="26" operator="equal">
      <formula>"PRATA"</formula>
    </cfRule>
    <cfRule type="containsText" dxfId="759" priority="27" operator="containsText" text="OURO">
      <formula>NOT(ISERROR(SEARCH("OURO",L333)))</formula>
    </cfRule>
  </conditionalFormatting>
  <conditionalFormatting sqref="L346:L348">
    <cfRule type="cellIs" dxfId="758" priority="22" operator="equal">
      <formula>"BRONZE"</formula>
    </cfRule>
    <cfRule type="cellIs" dxfId="757" priority="23" operator="equal">
      <formula>"PRATA"</formula>
    </cfRule>
    <cfRule type="containsText" dxfId="756" priority="24" operator="containsText" text="OURO">
      <formula>NOT(ISERROR(SEARCH("OURO",L346)))</formula>
    </cfRule>
  </conditionalFormatting>
  <conditionalFormatting sqref="L359:L361">
    <cfRule type="cellIs" dxfId="755" priority="19" operator="equal">
      <formula>"BRONZE"</formula>
    </cfRule>
    <cfRule type="cellIs" dxfId="754" priority="20" operator="equal">
      <formula>"PRATA"</formula>
    </cfRule>
    <cfRule type="containsText" dxfId="753" priority="21" operator="containsText" text="OURO">
      <formula>NOT(ISERROR(SEARCH("OURO",L359)))</formula>
    </cfRule>
  </conditionalFormatting>
  <conditionalFormatting sqref="L372:L374">
    <cfRule type="cellIs" dxfId="752" priority="16" operator="equal">
      <formula>"BRONZE"</formula>
    </cfRule>
    <cfRule type="cellIs" dxfId="751" priority="17" operator="equal">
      <formula>"PRATA"</formula>
    </cfRule>
    <cfRule type="containsText" dxfId="750" priority="18" operator="containsText" text="OURO">
      <formula>NOT(ISERROR(SEARCH("OURO",L372)))</formula>
    </cfRule>
  </conditionalFormatting>
  <conditionalFormatting sqref="L385:L387">
    <cfRule type="cellIs" dxfId="749" priority="13" operator="equal">
      <formula>"BRONZE"</formula>
    </cfRule>
    <cfRule type="cellIs" dxfId="748" priority="14" operator="equal">
      <formula>"PRATA"</formula>
    </cfRule>
    <cfRule type="containsText" dxfId="747" priority="15" operator="containsText" text="OURO">
      <formula>NOT(ISERROR(SEARCH("OURO",L385)))</formula>
    </cfRule>
  </conditionalFormatting>
  <conditionalFormatting sqref="L398:L400">
    <cfRule type="cellIs" dxfId="746" priority="10" operator="equal">
      <formula>"BRONZE"</formula>
    </cfRule>
    <cfRule type="cellIs" dxfId="745" priority="11" operator="equal">
      <formula>"PRATA"</formula>
    </cfRule>
    <cfRule type="containsText" dxfId="744" priority="12" operator="containsText" text="OURO">
      <formula>NOT(ISERROR(SEARCH("OURO",L398)))</formula>
    </cfRule>
  </conditionalFormatting>
  <conditionalFormatting sqref="L411:L413">
    <cfRule type="cellIs" dxfId="743" priority="7" operator="equal">
      <formula>"BRONZE"</formula>
    </cfRule>
    <cfRule type="cellIs" dxfId="742" priority="8" operator="equal">
      <formula>"PRATA"</formula>
    </cfRule>
    <cfRule type="containsText" dxfId="741" priority="9" operator="containsText" text="OURO">
      <formula>NOT(ISERROR(SEARCH("OURO",L411)))</formula>
    </cfRule>
  </conditionalFormatting>
  <conditionalFormatting sqref="L424:L426">
    <cfRule type="cellIs" dxfId="740" priority="4" operator="equal">
      <formula>"BRONZE"</formula>
    </cfRule>
    <cfRule type="cellIs" dxfId="739" priority="5" operator="equal">
      <formula>"PRATA"</formula>
    </cfRule>
    <cfRule type="containsText" dxfId="738" priority="6" operator="containsText" text="OURO">
      <formula>NOT(ISERROR(SEARCH("OURO",L424)))</formula>
    </cfRule>
  </conditionalFormatting>
  <pageMargins left="0.51181102362204722" right="0.51181102362204722" top="0.78740157480314965" bottom="0.78740157480314965" header="0.31496062992125984" footer="0.31496062992125984"/>
  <pageSetup paperSize="9" scale="60" orientation="landscape"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LISTAS!$D$10:$D$41</xm:f>
          </x14:formula1>
          <xm:sqref>G5</xm:sqref>
        </x14:dataValidation>
        <x14:dataValidation type="list" allowBlank="1" showInputMessage="1" showErrorMessage="1" xr:uid="{00000000-0002-0000-0400-000001000000}">
          <x14:formula1>
            <xm:f>LISTAS!$F$5:$F$1004</xm:f>
          </x14:formula1>
          <xm:sqref>B8:B12 B30:B33 B47:B49 B60:B62 B73:B75 B86:B88 B99:B101 B112:B114 B125:B127 B138:B140 B151:B153 B164:B166 B177:B179 B190:B192 B203:B205 B216:B218 B229:B231 B242:B244 B255:B257 B268:B270 B281:B283 B294:B296 B307:B309 B320:B322 B333:B335 B346:B348 B359:B361 B372:B374 B385:B387 B398:B400 B411:B413 B424:B426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12">
    <tabColor rgb="FFFF66FF"/>
    <pageSetUpPr fitToPage="1"/>
  </sheetPr>
  <dimension ref="B1:AW200"/>
  <sheetViews>
    <sheetView showGridLines="0" topLeftCell="W134" zoomScale="85" zoomScaleNormal="85" workbookViewId="0">
      <selection activeCell="Y179" sqref="Y179"/>
    </sheetView>
  </sheetViews>
  <sheetFormatPr defaultColWidth="25.28515625" defaultRowHeight="16.5" x14ac:dyDescent="0.25"/>
  <cols>
    <col min="1" max="1" width="1.140625" style="1" customWidth="1"/>
    <col min="2" max="2" width="3.140625" style="1" customWidth="1"/>
    <col min="3" max="3" width="18.7109375" style="163" customWidth="1"/>
    <col min="4" max="4" width="5" style="1" customWidth="1"/>
    <col min="5" max="6" width="3.7109375" style="1" customWidth="1"/>
    <col min="7" max="7" width="18.7109375" style="173" customWidth="1"/>
    <col min="8" max="8" width="5" style="1" customWidth="1"/>
    <col min="9" max="9" width="3.7109375" style="1" customWidth="1"/>
    <col min="10" max="10" width="3.85546875" style="1" customWidth="1"/>
    <col min="11" max="11" width="38.42578125" style="173" customWidth="1"/>
    <col min="12" max="12" width="5" style="1" customWidth="1"/>
    <col min="13" max="14" width="3.7109375" style="1" customWidth="1"/>
    <col min="15" max="15" width="18.7109375" style="173" customWidth="1"/>
    <col min="16" max="16" width="5" style="1" customWidth="1"/>
    <col min="17" max="17" width="6.28515625" style="23" customWidth="1"/>
    <col min="18" max="18" width="18.7109375" style="183" customWidth="1"/>
    <col min="19" max="21" width="3.7109375" style="23" customWidth="1"/>
    <col min="22" max="22" width="18.5703125" style="183" customWidth="1"/>
    <col min="23" max="23" width="6.28515625" style="1" customWidth="1"/>
    <col min="24" max="24" width="5" style="2" customWidth="1"/>
    <col min="25" max="25" width="18.7109375" style="173" customWidth="1"/>
    <col min="26" max="27" width="3.7109375" style="1" customWidth="1"/>
    <col min="28" max="28" width="5" style="1" customWidth="1"/>
    <col min="29" max="29" width="38.5703125" style="173" customWidth="1"/>
    <col min="30" max="31" width="3.7109375" style="1" customWidth="1"/>
    <col min="32" max="32" width="5" style="1" customWidth="1"/>
    <col min="33" max="33" width="18.85546875" style="173" customWidth="1"/>
    <col min="34" max="34" width="3.7109375" style="1" customWidth="1"/>
    <col min="35" max="35" width="3.5703125" style="1" customWidth="1"/>
    <col min="36" max="36" width="5" style="1" customWidth="1"/>
    <col min="37" max="37" width="18.7109375" style="173" customWidth="1"/>
    <col min="38" max="38" width="3.28515625" style="23" customWidth="1"/>
    <col min="39" max="41" width="1.42578125" style="20" customWidth="1"/>
    <col min="42" max="42" width="9.7109375" style="1" customWidth="1"/>
    <col min="43" max="43" width="15.5703125" style="1" customWidth="1"/>
    <col min="44" max="44" width="57.28515625" style="1" customWidth="1"/>
    <col min="45" max="16384" width="25.28515625" style="1"/>
  </cols>
  <sheetData>
    <row r="1" spans="2:49" ht="6" customHeight="1" x14ac:dyDescent="0.25"/>
    <row r="2" spans="2:49" s="3" customFormat="1" ht="60.75" customHeight="1" x14ac:dyDescent="0.25">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5"/>
      <c r="AN2" s="25"/>
      <c r="AO2" s="25"/>
      <c r="AP2" s="233"/>
      <c r="AQ2" s="233"/>
      <c r="AR2" s="233"/>
      <c r="AS2" s="233"/>
      <c r="AT2" s="233"/>
      <c r="AU2" s="233"/>
    </row>
    <row r="3" spans="2:49" s="3" customFormat="1" ht="60.75" customHeight="1" x14ac:dyDescent="0.25">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5"/>
      <c r="AN3" s="25"/>
      <c r="AO3" s="25"/>
      <c r="AP3" s="233"/>
      <c r="AQ3" s="233"/>
      <c r="AR3" s="233"/>
      <c r="AS3" s="233"/>
      <c r="AT3" s="233"/>
      <c r="AU3" s="233"/>
      <c r="AV3" s="1"/>
      <c r="AW3" s="1"/>
    </row>
    <row r="4" spans="2:49" s="3" customFormat="1" ht="13.5" customHeight="1" x14ac:dyDescent="0.25">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5"/>
      <c r="AN4" s="25"/>
      <c r="AO4" s="25"/>
      <c r="AP4" s="4"/>
      <c r="AQ4" s="4"/>
      <c r="AR4" s="4"/>
      <c r="AS4" s="4"/>
      <c r="AT4" s="4"/>
      <c r="AU4" s="4"/>
    </row>
    <row r="5" spans="2:49" s="3" customFormat="1" ht="30" customHeight="1" x14ac:dyDescent="0.25">
      <c r="B5" s="242" t="s">
        <v>12</v>
      </c>
      <c r="C5" s="242"/>
      <c r="D5" s="243"/>
      <c r="E5" s="40"/>
      <c r="G5" s="174"/>
      <c r="H5" s="4"/>
      <c r="K5" s="178"/>
      <c r="O5" s="178"/>
      <c r="Q5" s="24"/>
      <c r="R5" s="184"/>
      <c r="S5" s="24"/>
      <c r="T5" s="24"/>
      <c r="U5" s="24"/>
      <c r="V5" s="184"/>
      <c r="W5" s="24"/>
      <c r="X5" s="24"/>
      <c r="Y5" s="184"/>
      <c r="Z5" s="5"/>
      <c r="AB5" s="4"/>
      <c r="AC5" s="174"/>
      <c r="AG5" s="178"/>
      <c r="AK5" s="178"/>
      <c r="AL5" s="24"/>
      <c r="AM5" s="25"/>
      <c r="AN5" s="25"/>
      <c r="AO5" s="25"/>
      <c r="AP5" s="244" t="s">
        <v>12</v>
      </c>
      <c r="AQ5" s="245"/>
      <c r="AR5" s="6" t="s">
        <v>13</v>
      </c>
      <c r="AS5" s="7" t="s">
        <v>14</v>
      </c>
      <c r="AT5" s="4"/>
      <c r="AU5" s="4"/>
    </row>
    <row r="6" spans="2:49" ht="30" customHeight="1" x14ac:dyDescent="0.25">
      <c r="B6" s="247" t="s">
        <v>21</v>
      </c>
      <c r="C6" s="248"/>
      <c r="D6" s="248"/>
      <c r="E6" s="248"/>
      <c r="F6" s="248"/>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P6" s="246" t="s">
        <v>21</v>
      </c>
      <c r="AQ6" s="246"/>
      <c r="AR6" s="246"/>
      <c r="AS6" s="246"/>
      <c r="AT6" s="246"/>
      <c r="AU6" s="246"/>
    </row>
    <row r="7" spans="2:49" ht="28.5" customHeight="1" thickBot="1" x14ac:dyDescent="0.3">
      <c r="B7" s="73"/>
      <c r="C7" s="164"/>
      <c r="D7" s="61"/>
      <c r="E7" s="61"/>
      <c r="F7" s="61"/>
      <c r="G7" s="175"/>
      <c r="H7" s="61"/>
      <c r="I7" s="61"/>
      <c r="J7" s="61"/>
      <c r="K7" s="179"/>
      <c r="L7" s="61"/>
      <c r="M7" s="61"/>
      <c r="N7" s="61"/>
      <c r="O7" s="179"/>
      <c r="P7" s="61"/>
      <c r="Q7" s="61"/>
      <c r="R7" s="179"/>
      <c r="S7" s="61"/>
      <c r="T7" s="61"/>
      <c r="U7" s="61"/>
      <c r="V7" s="179"/>
      <c r="W7" s="61"/>
      <c r="X7" s="74"/>
      <c r="Y7" s="179"/>
      <c r="Z7" s="61"/>
      <c r="AA7" s="61"/>
      <c r="AB7" s="75"/>
      <c r="AC7" s="179"/>
      <c r="AD7" s="61"/>
      <c r="AE7" s="61"/>
      <c r="AF7" s="61"/>
      <c r="AG7" s="186"/>
      <c r="AH7" s="129"/>
      <c r="AI7" s="129"/>
      <c r="AJ7" s="61"/>
      <c r="AK7" s="179"/>
      <c r="AL7" s="61"/>
      <c r="AP7" s="228" t="s">
        <v>3</v>
      </c>
      <c r="AQ7" s="230"/>
      <c r="AR7" s="9" t="s">
        <v>15</v>
      </c>
      <c r="AS7" s="9" t="s">
        <v>0</v>
      </c>
      <c r="AT7" s="9" t="s">
        <v>16</v>
      </c>
      <c r="AU7" s="9" t="s">
        <v>17</v>
      </c>
    </row>
    <row r="8" spans="2:49" ht="18" customHeight="1" x14ac:dyDescent="0.25">
      <c r="B8" s="10">
        <v>1</v>
      </c>
      <c r="C8" s="162" t="str">
        <f>IF('11F GRP'!G5&gt;=3,'11F GRP'!J8,IF('11F GRP'!G5=2,'11F GRP'!J8,IF('11F GRP'!G5=1,'11F GRP'!J8,"")))</f>
        <v>JÚLIA DE OLIVEIRA COMETTI</v>
      </c>
      <c r="D8" s="234">
        <v>2</v>
      </c>
      <c r="E8" s="51">
        <f>IF(D8&lt;&gt;"",D8,"")</f>
        <v>2</v>
      </c>
      <c r="F8" s="51" t="str">
        <f>IF(D8&lt;&gt;"",IF(C8="","",C8),"")</f>
        <v>JÚLIA DE OLIVEIRA COMETTI</v>
      </c>
      <c r="G8" s="176">
        <f>IF(E8&lt;&gt;"",IF(E10&lt;&gt;"",SMALL(E8:E10,1),""),"")</f>
        <v>0</v>
      </c>
      <c r="H8" s="11"/>
      <c r="I8" s="11"/>
      <c r="J8" s="11"/>
      <c r="K8" s="166"/>
      <c r="L8" s="11"/>
      <c r="M8" s="12"/>
      <c r="N8" s="12"/>
      <c r="O8" s="180"/>
      <c r="P8" s="12"/>
      <c r="Q8" s="8"/>
      <c r="R8" s="182"/>
      <c r="S8" s="8"/>
      <c r="T8" s="8"/>
      <c r="U8" s="8"/>
      <c r="V8" s="182"/>
      <c r="W8" s="8"/>
      <c r="X8" s="62"/>
      <c r="Y8" s="182"/>
      <c r="Z8" s="8"/>
      <c r="AA8" s="8"/>
      <c r="AB8" s="11"/>
      <c r="AC8" s="182"/>
      <c r="AD8" s="8"/>
      <c r="AE8" s="8"/>
      <c r="AF8" s="8"/>
      <c r="AG8" s="181">
        <f>IF(AJ8&lt;&gt;"",AJ8,"")</f>
        <v>2</v>
      </c>
      <c r="AH8" s="78" t="str">
        <f>IF(AJ8&lt;&gt;"",IF(AK8="","",AK8),"")</f>
        <v>KAORU UEHARA DE MORAIS</v>
      </c>
      <c r="AI8" s="51">
        <f>IF(AG8&lt;&gt;"",IF(AG10&lt;&gt;"",SMALL(AG8:AG10,1),""),"")</f>
        <v>0</v>
      </c>
      <c r="AJ8" s="234">
        <v>2</v>
      </c>
      <c r="AK8" s="162" t="str">
        <f>IF('11F GRP'!G5&gt;=3,'11F GRP'!J47,IF('11F GRP'!G5=2,IF('11F GRP'!H8=3,"",'11F GRP'!J9),IF('11F GRP'!G5=1,'11F GRP'!J10,"")))</f>
        <v>KAORU UEHARA DE MORAIS</v>
      </c>
      <c r="AL8" s="63">
        <v>3</v>
      </c>
      <c r="AP8" s="13">
        <f>IF(AR8&lt;&gt;"",1,"")</f>
        <v>1</v>
      </c>
      <c r="AQ8" s="14" t="str">
        <f>IF(AP8&lt;&gt;"","LUGAR","")</f>
        <v>LUGAR</v>
      </c>
      <c r="AR8" s="15" t="str">
        <f>IF(S36&lt;&gt;"",IF(U36&lt;&gt;"",IF(S36=U36,"",IF(S36&gt;U36,R36,V36)),""),"")</f>
        <v>HELENA VERAS CASTRO</v>
      </c>
      <c r="AS8" s="15" t="str">
        <f>IFERROR(IF(AR8="","",VLOOKUP(AR8,LISTAS!$F$5:$G$1004,2,0)),"0")</f>
        <v>COLÉGIO BANDEIRANTES</v>
      </c>
      <c r="AT8" s="15">
        <f t="shared" ref="AT8:AT38" si="0">IF(AP8="","",IF(AP8=1,400,IF(AP8=2,340,IF(AP8=3,300,IF(AP8=4,280,IF(AP8=5,270,IF(AP8=6,260,IF(AP8=7,250,IF(AP8=8,240,IF(AP8=9,200,IF(AP8=10,200,IF(AP8=11,200,IF(AP8=12,200,IF(AP8=13,200,IF(AP8=14,200,IF(AP8=15,200,IF(AP8=16,200,IF(AP8&gt;16,"",""))))))))))))))))))</f>
        <v>400</v>
      </c>
      <c r="AU8" s="15">
        <f>IF(AP8="","",IF($AS$5="NÃO","",IF(AP8=1,400,IF(AP8=2,340,IF(AP8=3,300,IF(AP8=4,280,IF(AP8=5,270,IF(AP8=6,260,IF(AP8=7,250,IF(AP8=8,240,IF(AP8=9,200,IF(AP8=10,200,IF(AP8=11,200,IF(AP8=12,200,IF(AP8=13,200,IF(AP8=14,200,IF(AP8=15,200,IF(AP8=16,200,IF(AP8&gt;16,"","")))))))))))))))))))</f>
        <v>400</v>
      </c>
    </row>
    <row r="9" spans="2:49" ht="18" customHeight="1" thickBot="1" x14ac:dyDescent="0.3">
      <c r="B9" s="10"/>
      <c r="C9" s="165" t="str">
        <f>IFERROR(IF(C8="","",VLOOKUP(C8,LISTAS!$F$5:$G$1004,2,0)),"0")</f>
        <v>COLEGIO PETROPOLIS</v>
      </c>
      <c r="D9" s="235"/>
      <c r="E9" s="51"/>
      <c r="F9" s="51"/>
      <c r="G9" s="176"/>
      <c r="H9" s="11"/>
      <c r="I9" s="11"/>
      <c r="J9" s="11"/>
      <c r="K9" s="166"/>
      <c r="L9" s="11"/>
      <c r="M9" s="12"/>
      <c r="N9" s="12"/>
      <c r="O9" s="180"/>
      <c r="P9" s="12"/>
      <c r="Q9" s="8"/>
      <c r="R9" s="182"/>
      <c r="S9" s="8"/>
      <c r="T9" s="8"/>
      <c r="U9" s="8"/>
      <c r="V9" s="182"/>
      <c r="W9" s="8"/>
      <c r="X9" s="62"/>
      <c r="Y9" s="182"/>
      <c r="Z9" s="8"/>
      <c r="AA9" s="8"/>
      <c r="AB9" s="11"/>
      <c r="AC9" s="182"/>
      <c r="AD9" s="8"/>
      <c r="AE9" s="8"/>
      <c r="AF9" s="8"/>
      <c r="AG9" s="181"/>
      <c r="AH9" s="78"/>
      <c r="AI9" s="51"/>
      <c r="AJ9" s="235"/>
      <c r="AK9" s="165" t="str">
        <f>IFERROR(IF(AK8="","",VLOOKUP(AK8,LISTAS!$F$5:$G$1004,2,0)),"0")</f>
        <v>COLÉGIO ENGENHEIRO SALVADOR ARENA</v>
      </c>
      <c r="AL9" s="63"/>
      <c r="AP9" s="13">
        <f>IF(AR9&lt;&gt;"",1+COUNTIF(AP8,"1"),"")</f>
        <v>2</v>
      </c>
      <c r="AQ9" s="14" t="str">
        <f t="shared" ref="AQ9:AQ39" si="1">IF(AP9&lt;&gt;"","LUGAR","")</f>
        <v>LUGAR</v>
      </c>
      <c r="AR9" s="15" t="str">
        <f>IF(S36&lt;&gt;"",IF(U36&lt;&gt;"",IF(S36=U36,"",IF(S36&lt;U36,R36,V36)),""),"")</f>
        <v>BEATRIZ DELPOIO DE ARAÚJO</v>
      </c>
      <c r="AS9" s="15" t="str">
        <f>IFERROR(IF(AR9="","",VLOOKUP(AR9,LISTAS!$F$5:$G$1004,2,0)),"0")</f>
        <v>LICEU JARDIM</v>
      </c>
      <c r="AT9" s="15">
        <f t="shared" si="0"/>
        <v>340</v>
      </c>
      <c r="AU9" s="15">
        <f t="shared" ref="AU9:AU38" si="2">IF(AP9="","",IF($AS$5="NÃO","",IF(AP9=1,400,IF(AP9=2,340,IF(AP9=3,300,IF(AP9=4,280,IF(AP9=5,270,IF(AP9=6,260,IF(AP9=7,250,IF(AP9=8,240,IF(AP9=9,200,IF(AP9=10,200,IF(AP9=11,200,IF(AP9=12,200,IF(AP9=13,200,IF(AP9=14,200,IF(AP9=15,200,IF(AP9=16,200,IF(AP9&gt;16,"","")))))))))))))))))))</f>
        <v>340</v>
      </c>
    </row>
    <row r="10" spans="2:49" ht="18" customHeight="1" x14ac:dyDescent="0.25">
      <c r="B10" s="16">
        <v>32</v>
      </c>
      <c r="C10" s="162" t="str">
        <f>IF('11F GRP'!G5&gt;=3,'11F GRP'!J424,IF('11F GRP'!G5=2,"",IF('11F GRP'!G5=1,"","")))</f>
        <v/>
      </c>
      <c r="D10" s="234">
        <v>0</v>
      </c>
      <c r="E10" s="52">
        <f>IF(D10&lt;&gt;"",D10,"")</f>
        <v>0</v>
      </c>
      <c r="F10" s="51" t="str">
        <f>IF(D10&lt;&gt;"",IF(C10="","",C10),"")</f>
        <v/>
      </c>
      <c r="G10" s="176" t="str">
        <f>VLOOKUP(G8,E8:F10,2,0)</f>
        <v/>
      </c>
      <c r="H10" s="11"/>
      <c r="I10" s="11"/>
      <c r="J10" s="11"/>
      <c r="K10" s="166"/>
      <c r="L10" s="11"/>
      <c r="M10" s="12"/>
      <c r="N10" s="12"/>
      <c r="O10" s="180"/>
      <c r="P10" s="12"/>
      <c r="Q10" s="8"/>
      <c r="R10" s="182"/>
      <c r="S10" s="8"/>
      <c r="T10" s="8"/>
      <c r="U10" s="8"/>
      <c r="V10" s="182"/>
      <c r="W10" s="8"/>
      <c r="X10" s="62"/>
      <c r="Y10" s="182"/>
      <c r="Z10" s="8"/>
      <c r="AA10" s="8"/>
      <c r="AB10" s="11"/>
      <c r="AC10" s="182"/>
      <c r="AD10" s="8"/>
      <c r="AE10" s="8"/>
      <c r="AF10" s="8"/>
      <c r="AG10" s="181">
        <f>IF(AJ10&lt;&gt;"",AJ10,"")</f>
        <v>0</v>
      </c>
      <c r="AH10" s="78" t="str">
        <f>IF(AJ10&lt;&gt;"",IF(AK10="","",AK10),"")</f>
        <v/>
      </c>
      <c r="AI10" s="55" t="str">
        <f>VLOOKUP(AI8,AG8:AH10,2,0)</f>
        <v/>
      </c>
      <c r="AJ10" s="234">
        <v>0</v>
      </c>
      <c r="AK10" s="162" t="str">
        <f>IF('11F GRP'!G5&gt;=3,'11F GRP'!J398,IF('11F GRP'!G5=2,"",IF('11F GRP'!G5=1,"","")))</f>
        <v/>
      </c>
      <c r="AL10" s="11">
        <v>30</v>
      </c>
      <c r="AP10" s="13">
        <f>IF(AR10&lt;&gt;"",1+COUNTIF(AP8:AP9,"1")+COUNTIF(AP8:AP9,"2"),"")</f>
        <v>3</v>
      </c>
      <c r="AQ10" s="14" t="str">
        <f t="shared" si="1"/>
        <v>LUGAR</v>
      </c>
      <c r="AR10" s="21" t="str">
        <f>IF(AR8&lt;&gt;"",IF(O35=AR8,O37,IF(O37=AR8,O35,IF(Y35=AR8,Y37,IF(Y37=AR8,Y35)))),"")</f>
        <v>MANUELA CORDEIRO DA SILVA LIRA</v>
      </c>
      <c r="AS10" s="15" t="str">
        <f>IFERROR(IF(AR10="","",VLOOKUP(AR10,LISTAS!$F$5:$G$1004,2,0)),"0")</f>
        <v>COLÉGIO ENGENHEIRO SALVADOR ARENA</v>
      </c>
      <c r="AT10" s="15">
        <f t="shared" si="0"/>
        <v>300</v>
      </c>
      <c r="AU10" s="15">
        <f t="shared" si="2"/>
        <v>300</v>
      </c>
    </row>
    <row r="11" spans="2:49" ht="18" customHeight="1" thickBot="1" x14ac:dyDescent="0.3">
      <c r="B11" s="16"/>
      <c r="C11" s="165" t="str">
        <f>IF($C10="","",VLOOKUP($C10,LISTAS!$F$5:$G$964,2,0))</f>
        <v/>
      </c>
      <c r="D11" s="235"/>
      <c r="E11" s="128"/>
      <c r="F11" s="51"/>
      <c r="G11" s="176"/>
      <c r="H11" s="11"/>
      <c r="I11" s="11"/>
      <c r="J11" s="11"/>
      <c r="K11" s="166"/>
      <c r="L11" s="11"/>
      <c r="M11" s="12"/>
      <c r="N11" s="12"/>
      <c r="O11" s="180"/>
      <c r="P11" s="12"/>
      <c r="Q11" s="8"/>
      <c r="R11" s="182"/>
      <c r="S11" s="8"/>
      <c r="T11" s="8"/>
      <c r="U11" s="8"/>
      <c r="V11" s="182"/>
      <c r="W11" s="8"/>
      <c r="X11" s="62"/>
      <c r="Y11" s="182"/>
      <c r="Z11" s="8"/>
      <c r="AA11" s="8"/>
      <c r="AB11" s="11"/>
      <c r="AC11" s="182"/>
      <c r="AD11" s="8"/>
      <c r="AE11" s="8"/>
      <c r="AF11" s="8"/>
      <c r="AG11" s="181"/>
      <c r="AH11" s="78"/>
      <c r="AI11" s="123"/>
      <c r="AJ11" s="235"/>
      <c r="AK11" s="165" t="str">
        <f>IFERROR(IF(AK10="","",VLOOKUP(AK10,LISTAS!$F$5:$G$1004,2,0)),"0")</f>
        <v/>
      </c>
      <c r="AL11" s="11"/>
      <c r="AP11" s="13">
        <f>IF(AR11&lt;&gt;"",1+COUNTIF(AP8:AP10,"1")+COUNTIF(AP8:AP10,"2")+COUNTIF(AP8:AP10,"3"),"")</f>
        <v>4</v>
      </c>
      <c r="AQ11" s="14" t="str">
        <f t="shared" si="1"/>
        <v>LUGAR</v>
      </c>
      <c r="AR11" s="21" t="str">
        <f>IF(AR9&lt;&gt;"",IF(O35=AR9,O37,IF(O37=AR9,O35,IF(Y35=AR9,Y37,IF(Y37=AR9,Y35)))),"")</f>
        <v>JÚLIA DE OLIVEIRA COMETTI</v>
      </c>
      <c r="AS11" s="15" t="str">
        <f>IFERROR(IF(AR11="","",VLOOKUP(AR11,LISTAS!$F$5:$G$1004,2,0)),"0")</f>
        <v>COLEGIO PETROPOLIS</v>
      </c>
      <c r="AT11" s="15">
        <f t="shared" si="0"/>
        <v>280</v>
      </c>
      <c r="AU11" s="15">
        <f t="shared" si="2"/>
        <v>280</v>
      </c>
    </row>
    <row r="12" spans="2:49" ht="18" customHeight="1" x14ac:dyDescent="0.25">
      <c r="B12" s="16"/>
      <c r="C12" s="166"/>
      <c r="D12" s="11"/>
      <c r="E12" s="11"/>
      <c r="F12" s="17"/>
      <c r="G12" s="162" t="str">
        <f>IF(D8&lt;&gt;"",IF(D10&lt;&gt;"",IF(D8=D10,"",IF(D8&gt;D10,C8,C10)),""),"")</f>
        <v>JÚLIA DE OLIVEIRA COMETTI</v>
      </c>
      <c r="H12" s="234">
        <v>2</v>
      </c>
      <c r="I12" s="51">
        <f>IF(H12&lt;&gt;"",H12,"")</f>
        <v>2</v>
      </c>
      <c r="J12" s="51" t="str">
        <f>IF(H12&lt;&gt;"",IF(G12="","",G12),"")</f>
        <v>JÚLIA DE OLIVEIRA COMETTI</v>
      </c>
      <c r="K12" s="176">
        <f>IF(I12&lt;&gt;"",IF(I14&lt;&gt;"",SMALL(I12:J14,1),""),"")</f>
        <v>0</v>
      </c>
      <c r="L12" s="11"/>
      <c r="M12" s="11"/>
      <c r="N12" s="11"/>
      <c r="O12" s="166"/>
      <c r="P12" s="11"/>
      <c r="Q12" s="8"/>
      <c r="R12" s="182"/>
      <c r="S12" s="8"/>
      <c r="T12" s="8"/>
      <c r="U12" s="8"/>
      <c r="V12" s="182"/>
      <c r="W12" s="8"/>
      <c r="X12" s="62"/>
      <c r="Y12" s="182"/>
      <c r="Z12" s="8"/>
      <c r="AA12" s="8"/>
      <c r="AB12" s="11"/>
      <c r="AC12" s="182"/>
      <c r="AD12" s="8"/>
      <c r="AE12" s="67"/>
      <c r="AF12" s="234">
        <v>2</v>
      </c>
      <c r="AG12" s="162" t="str">
        <f>IF(AJ8&lt;&gt;"",IF(AJ10&lt;&gt;"",IF(AJ8=AJ10,"",IF(AJ8&gt;AJ10,AK8,AK10)),""),"")</f>
        <v>KAORU UEHARA DE MORAIS</v>
      </c>
      <c r="AH12" s="65"/>
      <c r="AI12" s="8"/>
      <c r="AJ12" s="11"/>
      <c r="AK12" s="166"/>
      <c r="AL12" s="11"/>
      <c r="AP12" s="13">
        <f>IF(AR12&lt;&gt;"",1+COUNTIF(AP8:AP11,"1")+COUNTIF(AP8:AP11,"2")+COUNTIF(AP8:AP11,"3")+COUNTIF(AP8:AP11,"4"),"")</f>
        <v>5</v>
      </c>
      <c r="AQ12" s="14" t="str">
        <f t="shared" si="1"/>
        <v>LUGAR</v>
      </c>
      <c r="AR12" s="21" t="str">
        <f>IF(AR8&lt;&gt;"",IF(K20=AR8,K22,IF(K22=AR8,K20,IF(K50=AR8,K52,IF(K52=AR8,K50,IF(AC20=AR8,AC22,IF(AC22=AR8,AC20,IF(AC50=AR8,AC52,IF(AC52=AR8,AC50)))))))),"")</f>
        <v>CECÍLIA MARIA DE SOUZA BASTOS</v>
      </c>
      <c r="AS12" s="15" t="str">
        <f>IFERROR(IF(AR12="","",VLOOKUP(AR12,LISTAS!$F$5:$G$1004,2,0)),"0")</f>
        <v>COLÉGIO ARBOS - UNIDADE SANTO ANDRÉ</v>
      </c>
      <c r="AT12" s="15">
        <f t="shared" si="0"/>
        <v>270</v>
      </c>
      <c r="AU12" s="15">
        <f t="shared" si="2"/>
        <v>270</v>
      </c>
    </row>
    <row r="13" spans="2:49" ht="18" customHeight="1" thickBot="1" x14ac:dyDescent="0.3">
      <c r="B13" s="16"/>
      <c r="C13" s="166"/>
      <c r="D13" s="11"/>
      <c r="E13" s="11"/>
      <c r="F13" s="17"/>
      <c r="G13" s="165" t="str">
        <f>IFERROR(IF(G12="","",VLOOKUP(G12,LISTAS!$F$5:$G$1004,2,0)),"0")</f>
        <v>COLEGIO PETROPOLIS</v>
      </c>
      <c r="H13" s="235"/>
      <c r="I13" s="51"/>
      <c r="J13" s="51"/>
      <c r="K13" s="176"/>
      <c r="L13" s="11"/>
      <c r="M13" s="11"/>
      <c r="N13" s="11"/>
      <c r="O13" s="166"/>
      <c r="P13" s="11"/>
      <c r="Q13" s="8"/>
      <c r="R13" s="182"/>
      <c r="S13" s="8"/>
      <c r="T13" s="8"/>
      <c r="U13" s="8"/>
      <c r="V13" s="182"/>
      <c r="W13" s="8"/>
      <c r="X13" s="62"/>
      <c r="Y13" s="182"/>
      <c r="Z13" s="8"/>
      <c r="AA13" s="8"/>
      <c r="AB13" s="11"/>
      <c r="AC13" s="182"/>
      <c r="AD13" s="8"/>
      <c r="AE13" s="67"/>
      <c r="AF13" s="235"/>
      <c r="AG13" s="165" t="str">
        <f>IFERROR(IF(AG12="","",VLOOKUP(AG12,LISTAS!$F$5:$G$1004,2,0)),"0")</f>
        <v>COLÉGIO ENGENHEIRO SALVADOR ARENA</v>
      </c>
      <c r="AH13" s="65"/>
      <c r="AI13" s="8"/>
      <c r="AJ13" s="11"/>
      <c r="AK13" s="166"/>
      <c r="AL13" s="11"/>
      <c r="AP13" s="13">
        <f>IF(AR13&lt;&gt;"",1+COUNTIF(AP8:AP12,"1")+COUNTIF(AP8:AP12,"2")+COUNTIF(AP8:AP12,"3")+COUNTIF(AP8:AP12,"4")+COUNTIF(AP8:AP12,"5"),"")</f>
        <v>6</v>
      </c>
      <c r="AQ13" s="14" t="str">
        <f t="shared" si="1"/>
        <v>LUGAR</v>
      </c>
      <c r="AR13" s="21" t="str">
        <f>IF(AR9&lt;&gt;"",IF(K20=AR9,K22,IF(K22=AR9,K20,IF(K50=AR9,K52,IF(K52=AR9,K50,IF(AC20=AR9,AC22,IF(AC22=AR9,AC20,IF(AC50=AR9,AC52,IF(AC52=AR9,AC50)))))))),"")</f>
        <v>LARISSA MARQUES FURTADO</v>
      </c>
      <c r="AS13" s="15" t="str">
        <f>IFERROR(IF(AR13="","",VLOOKUP(AR13,LISTAS!$F$5:$G$1004,2,0)),"0")</f>
        <v>IEBURIX -SBC</v>
      </c>
      <c r="AT13" s="15">
        <f t="shared" si="0"/>
        <v>260</v>
      </c>
      <c r="AU13" s="15">
        <f t="shared" si="2"/>
        <v>260</v>
      </c>
    </row>
    <row r="14" spans="2:49" ht="18" customHeight="1" x14ac:dyDescent="0.25">
      <c r="B14" s="16"/>
      <c r="C14" s="166"/>
      <c r="D14" s="11"/>
      <c r="E14" s="18"/>
      <c r="F14" s="19"/>
      <c r="G14" s="162" t="str">
        <f>IF(D16&lt;&gt;"",IF(D18&lt;&gt;"",IF(D16=D18,"",IF(D16&gt;D18,C16,C18)),""),"")</f>
        <v/>
      </c>
      <c r="H14" s="234">
        <v>0</v>
      </c>
      <c r="I14" s="52">
        <f>IF(H14&lt;&gt;"",H14,"")</f>
        <v>0</v>
      </c>
      <c r="J14" s="51" t="str">
        <f>IF(H14&lt;&gt;"",IF(G14="","",G14),"")</f>
        <v/>
      </c>
      <c r="K14" s="176" t="str">
        <f>VLOOKUP(K12,I12:J14,2,0)</f>
        <v/>
      </c>
      <c r="L14" s="11"/>
      <c r="M14" s="11"/>
      <c r="N14" s="11"/>
      <c r="O14" s="166"/>
      <c r="P14" s="11"/>
      <c r="Q14" s="8"/>
      <c r="R14" s="182"/>
      <c r="S14" s="8"/>
      <c r="T14" s="8"/>
      <c r="U14" s="8"/>
      <c r="V14" s="182"/>
      <c r="W14" s="8"/>
      <c r="X14" s="62"/>
      <c r="Y14" s="182"/>
      <c r="Z14" s="8"/>
      <c r="AA14" s="8"/>
      <c r="AB14" s="11"/>
      <c r="AC14" s="182"/>
      <c r="AD14" s="65"/>
      <c r="AE14" s="68"/>
      <c r="AF14" s="234">
        <v>0</v>
      </c>
      <c r="AG14" s="162" t="str">
        <f>IF(AJ16&lt;&gt;"",IF(AJ18&lt;&gt;"",IF(AJ16=AJ18,"",IF(AJ16&gt;AJ18,AK16,AK18)),""),"")</f>
        <v/>
      </c>
      <c r="AH14" s="66"/>
      <c r="AI14" s="8"/>
      <c r="AJ14" s="11"/>
      <c r="AK14" s="166"/>
      <c r="AL14" s="11"/>
      <c r="AP14" s="13">
        <f>IF(AR14&lt;&gt;"",1+COUNTIF(AP8:AP13,"1")+COUNTIF(AP8:AP13,"2")+COUNTIF(AP8:AP13,"3")+COUNTIF(AP8:AP13,"4")+COUNTIF(AP8:AP13,"5")+COUNTIF(AP8:AP13,"6"),"")</f>
        <v>7</v>
      </c>
      <c r="AQ14" s="14" t="str">
        <f t="shared" si="1"/>
        <v>LUGAR</v>
      </c>
      <c r="AR14" s="21" t="str">
        <f>IF(AR10&lt;&gt;"",IF(K20=AR10,K22,IF(K22=AR10,K20,IF(K50=AR10,K52,IF(K52=AR10,K50,IF(AC20=AR10,AC22,IF(AC22=AR10,AC20,IF(AC50=AR10,AC52,IF(AC52=AR10,AC50)))))))),"")</f>
        <v>KAORU UEHARA DE MORAIS</v>
      </c>
      <c r="AS14" s="15" t="str">
        <f>IFERROR(IF(AR14="","",VLOOKUP(AR14,LISTAS!$F$5:$G$1004,2,0)),"0")</f>
        <v>COLÉGIO ENGENHEIRO SALVADOR ARENA</v>
      </c>
      <c r="AT14" s="15">
        <f t="shared" si="0"/>
        <v>250</v>
      </c>
      <c r="AU14" s="15">
        <f t="shared" si="2"/>
        <v>250</v>
      </c>
    </row>
    <row r="15" spans="2:49" ht="18" customHeight="1" thickBot="1" x14ac:dyDescent="0.3">
      <c r="B15" s="16"/>
      <c r="C15" s="166"/>
      <c r="D15" s="11"/>
      <c r="E15" s="18"/>
      <c r="F15" s="11"/>
      <c r="G15" s="165" t="str">
        <f>IFERROR(IF(G14="","",VLOOKUP(G14,LISTAS!$F$5:$G$1004,2,0)),"0")</f>
        <v/>
      </c>
      <c r="H15" s="235"/>
      <c r="I15" s="54"/>
      <c r="J15" s="51"/>
      <c r="K15" s="176"/>
      <c r="L15" s="11"/>
      <c r="M15" s="11"/>
      <c r="N15" s="11"/>
      <c r="O15" s="166"/>
      <c r="P15" s="11"/>
      <c r="Q15" s="8"/>
      <c r="R15" s="182"/>
      <c r="S15" s="8"/>
      <c r="T15" s="8"/>
      <c r="U15" s="8"/>
      <c r="V15" s="182"/>
      <c r="W15" s="8"/>
      <c r="X15" s="62"/>
      <c r="Y15" s="182"/>
      <c r="Z15" s="8"/>
      <c r="AA15" s="8"/>
      <c r="AB15" s="11"/>
      <c r="AC15" s="182"/>
      <c r="AD15" s="65"/>
      <c r="AE15" s="8"/>
      <c r="AF15" s="235"/>
      <c r="AG15" s="165" t="str">
        <f>IFERROR(IF(AG14="","",VLOOKUP(AG14,LISTAS!$F$5:$G$1004,2,0)),"0")</f>
        <v/>
      </c>
      <c r="AH15" s="8"/>
      <c r="AI15" s="69"/>
      <c r="AJ15" s="11"/>
      <c r="AK15" s="166"/>
      <c r="AL15" s="11"/>
      <c r="AP15" s="13">
        <f>IF(AR15&lt;&gt;"",1+COUNTIF(AP8:AP14,"1")+COUNTIF(AP8:AP14,"2")+COUNTIF(AP8:AP14,"3")+COUNTIF(AP8:AP14,"4")+COUNTIF(AP8:AP14,"5")+COUNTIF(AP8:AP14,"6")+COUNTIF(AP8:AP14,"7"),"")</f>
        <v>8</v>
      </c>
      <c r="AQ15" s="14" t="str">
        <f t="shared" si="1"/>
        <v>LUGAR</v>
      </c>
      <c r="AR15" s="21" t="str">
        <f>IF(AR11&lt;&gt;"",IF(K20=AR11,K22,IF(K22=AR11,K20,IF(K50=AR11,K52,IF(K52=AR11,K50,IF(AC20=AR11,AC22,IF(AC22=AR11,AC20,IF(AC50=AR11,AC52,IF(AC52=AR11,AC50)))))))),"")</f>
        <v>LAURA RAMOS GRIZOLLI</v>
      </c>
      <c r="AS15" s="15" t="str">
        <f>IFERROR(IF(AR15="","",VLOOKUP(AR15,LISTAS!$F$5:$G$1004,2,0)),"0")</f>
        <v>ESCOLA VILLARE</v>
      </c>
      <c r="AT15" s="15">
        <f t="shared" si="0"/>
        <v>240</v>
      </c>
      <c r="AU15" s="15">
        <f t="shared" si="2"/>
        <v>240</v>
      </c>
    </row>
    <row r="16" spans="2:49" ht="18" customHeight="1" x14ac:dyDescent="0.25">
      <c r="B16" s="16">
        <v>17</v>
      </c>
      <c r="C16" s="162" t="str">
        <f>IF('11F GRP'!G5&gt;=3,'11F GRP'!J229,IF('11F GRP'!G5=2,"",IF('11F GRP'!G5=1,"","")))</f>
        <v/>
      </c>
      <c r="D16" s="234">
        <v>0</v>
      </c>
      <c r="E16" s="56">
        <f>IF(D16&lt;&gt;"",D16,"")</f>
        <v>0</v>
      </c>
      <c r="F16" s="51" t="str">
        <f>IF(D16&lt;&gt;"",IF(C16="","",C16),"")</f>
        <v/>
      </c>
      <c r="G16" s="176">
        <f>IF(E16&lt;&gt;"",IF(E18&lt;&gt;"",SMALL(E16:E18,1),""),"")</f>
        <v>0</v>
      </c>
      <c r="H16" s="11"/>
      <c r="I16" s="18"/>
      <c r="J16" s="11"/>
      <c r="K16" s="166"/>
      <c r="L16" s="11"/>
      <c r="M16" s="11"/>
      <c r="N16" s="11"/>
      <c r="O16" s="166"/>
      <c r="P16" s="11"/>
      <c r="Q16" s="8"/>
      <c r="R16" s="182"/>
      <c r="S16" s="8"/>
      <c r="T16" s="8"/>
      <c r="U16" s="8"/>
      <c r="V16" s="182"/>
      <c r="W16" s="8"/>
      <c r="X16" s="62"/>
      <c r="Y16" s="182"/>
      <c r="Z16" s="8"/>
      <c r="AA16" s="8"/>
      <c r="AB16" s="11"/>
      <c r="AC16" s="182"/>
      <c r="AD16" s="65"/>
      <c r="AE16" s="8"/>
      <c r="AF16" s="8"/>
      <c r="AG16" s="181">
        <f>IF(AJ16&lt;&gt;"",AJ16,"")</f>
        <v>0</v>
      </c>
      <c r="AH16" s="78" t="str">
        <f>IF(AJ16&lt;&gt;"",IF(AK16="","",AK16),"")</f>
        <v/>
      </c>
      <c r="AI16" s="53">
        <f>IF(AG16&lt;&gt;"",IF(AG18&lt;&gt;"",SMALL(AG16:AG18,1),""),"")</f>
        <v>0</v>
      </c>
      <c r="AJ16" s="234">
        <v>0</v>
      </c>
      <c r="AK16" s="162" t="str">
        <f>IF('11F GRP'!G5&gt;=3,'11F GRP'!J190,IF('11F GRP'!G5=2,"",IF('11F GRP'!G5=1,"","")))</f>
        <v/>
      </c>
      <c r="AL16" s="11">
        <v>14</v>
      </c>
      <c r="AP16" s="13" t="str">
        <f>IF(AR16&lt;&gt;"",1+COUNTIF(AP8:AP15,"1")+COUNTIF(AP8:AP15,"2")+COUNTIF(AP8:AP15,"3")+COUNTIF(AP8:AP15,"4")+COUNTIF(AP8:AP15,"5")+COUNTIF(AP8:AP15,"6")+COUNTIF(AP8:AP15,"7")+COUNTIF(AP8:AP15,"8"),"")</f>
        <v/>
      </c>
      <c r="AQ16" s="14" t="str">
        <f t="shared" si="1"/>
        <v/>
      </c>
      <c r="AR16" s="21" t="str">
        <f>IF(AR8&lt;&gt;"",IF(G12=AR8,G14,IF(G14=AR8,G12,IF(G28=AR8,G30,IF(G30=AR8,G28,IF(AG12=AR8,AG14,IF(AG14=AR8,AG12,IF(AG28=AR8,AG30,IF(AG30=AR8,AG28,IF(G42=AR8,G44,IF(G44=AR8,G42,IF(G58=AR8,G60,IF(G60=AR8,G58,IF(AG42=AR8,AG44,IF(AG44=AR8,AG42,IF(AG58=AR8,AG60,IF(AG60=AR8,AG58)))))))))))))))),"")</f>
        <v/>
      </c>
      <c r="AS16" s="15" t="str">
        <f>IFERROR(IF(AR16="","",VLOOKUP(AR16,LISTAS!$F$5:$G$1004,2,0)),"0")</f>
        <v/>
      </c>
      <c r="AT16" s="15" t="str">
        <f t="shared" si="0"/>
        <v/>
      </c>
      <c r="AU16" s="15" t="str">
        <f t="shared" si="2"/>
        <v/>
      </c>
    </row>
    <row r="17" spans="2:47" ht="18" customHeight="1" thickBot="1" x14ac:dyDescent="0.3">
      <c r="B17" s="16"/>
      <c r="C17" s="165" t="str">
        <f>IFERROR(IF(C16="","",VLOOKUP(C16,LISTAS!$F$5:$G$1004,2,0)),"0")</f>
        <v/>
      </c>
      <c r="D17" s="235"/>
      <c r="E17" s="57"/>
      <c r="F17" s="51"/>
      <c r="G17" s="176"/>
      <c r="H17" s="11"/>
      <c r="I17" s="18"/>
      <c r="J17" s="11"/>
      <c r="K17" s="166"/>
      <c r="L17" s="11"/>
      <c r="M17" s="11"/>
      <c r="N17" s="11"/>
      <c r="O17" s="166"/>
      <c r="P17" s="11"/>
      <c r="Q17" s="8"/>
      <c r="R17" s="182"/>
      <c r="S17" s="8"/>
      <c r="T17" s="8"/>
      <c r="U17" s="8"/>
      <c r="V17" s="182"/>
      <c r="W17" s="8"/>
      <c r="X17" s="62"/>
      <c r="Y17" s="182"/>
      <c r="Z17" s="8"/>
      <c r="AA17" s="8"/>
      <c r="AB17" s="11"/>
      <c r="AC17" s="182"/>
      <c r="AD17" s="65"/>
      <c r="AE17" s="8"/>
      <c r="AF17" s="8"/>
      <c r="AG17" s="181"/>
      <c r="AH17" s="78"/>
      <c r="AI17" s="124"/>
      <c r="AJ17" s="235"/>
      <c r="AK17" s="165" t="str">
        <f>IFERROR(IF(AK16="","",VLOOKUP(AK16,LISTAS!$F$5:$G$1004,2,0)),"0")</f>
        <v/>
      </c>
      <c r="AL17" s="11"/>
      <c r="AP17" s="13" t="str">
        <f>IF(AR17&lt;&gt;"",1+COUNTIF(AP8:AP16,"1")+COUNTIF(AP8:AP16,"2")+COUNTIF(AP8:AP16,"3")+COUNTIF(AP8:AP16,"4")+COUNTIF(AP8:AP16,"5")+COUNTIF(AP8:AP16,"6")+COUNTIF(AP8:AP16,"7")+COUNTIF(AP8:AP16,"8")+COUNTIF(AP8:AP16,"9"),"")</f>
        <v/>
      </c>
      <c r="AQ17" s="14" t="str">
        <f t="shared" si="1"/>
        <v/>
      </c>
      <c r="AR17" s="21" t="str">
        <f>IF(AR9&lt;&gt;"",IF(G12=AR9,G14,IF(G14=AR9,G12,IF(G28=AR9,G30,IF(G30=AR9,G28,IF(AG12=AR9,AG14,IF(AG14=AR9,AG12,IF(AG28=AR9,AG30,IF(AG30=AR9,AG28,IF(G42=AR9,G44,IF(G44=AR9,G42,IF(G58=AR9,G60,IF(G60=AR9,G58,IF(AG42=AR9,AG44,IF(AG44=AR9,AG42,IF(AG58=AR9,AG60,IF(AG60=AR9,AG58)))))))))))))))),"")</f>
        <v/>
      </c>
      <c r="AS17" s="15" t="str">
        <f>IFERROR(IF(AR17="","",VLOOKUP(AR17,LISTAS!$F$5:$G$1004,2,0)),"0")</f>
        <v/>
      </c>
      <c r="AT17" s="15" t="str">
        <f t="shared" si="0"/>
        <v/>
      </c>
      <c r="AU17" s="15" t="str">
        <f t="shared" si="2"/>
        <v/>
      </c>
    </row>
    <row r="18" spans="2:47" ht="18" customHeight="1" x14ac:dyDescent="0.25">
      <c r="B18" s="16">
        <v>16</v>
      </c>
      <c r="C18" s="162" t="str">
        <f>IF('11F GRP'!G5&gt;=3,'11F GRP'!J216,IF('11F GRP'!G5=2,"",IF('11F GRP'!G5=1,"","")))</f>
        <v/>
      </c>
      <c r="D18" s="234">
        <v>0</v>
      </c>
      <c r="E18" s="57">
        <f>IF(D18&lt;&gt;"",D18,"")</f>
        <v>0</v>
      </c>
      <c r="F18" s="51" t="str">
        <f>IF(D18&lt;&gt;"",IF(C18="","",C18),"")</f>
        <v/>
      </c>
      <c r="G18" s="176" t="str">
        <f>VLOOKUP(G16,E16:F18,2,0)</f>
        <v/>
      </c>
      <c r="H18" s="11"/>
      <c r="I18" s="18"/>
      <c r="J18" s="11"/>
      <c r="K18" s="166"/>
      <c r="L18" s="11"/>
      <c r="M18" s="11"/>
      <c r="N18" s="11"/>
      <c r="O18" s="166"/>
      <c r="P18" s="11"/>
      <c r="Q18" s="8"/>
      <c r="R18" s="182"/>
      <c r="S18" s="8"/>
      <c r="T18" s="8"/>
      <c r="U18" s="8"/>
      <c r="V18" s="182"/>
      <c r="W18" s="8"/>
      <c r="X18" s="62"/>
      <c r="Y18" s="182"/>
      <c r="Z18" s="8"/>
      <c r="AA18" s="8"/>
      <c r="AB18" s="11"/>
      <c r="AC18" s="182"/>
      <c r="AD18" s="65"/>
      <c r="AE18" s="8"/>
      <c r="AF18" s="8"/>
      <c r="AG18" s="181">
        <f>IF(AJ18&lt;&gt;"",AJ18,"")</f>
        <v>0</v>
      </c>
      <c r="AH18" s="78" t="str">
        <f>IF(AJ18&lt;&gt;"",IF(AK18="","",AK18),"")</f>
        <v/>
      </c>
      <c r="AI18" s="76" t="str">
        <f>VLOOKUP(AI16,AG16:AH18,2,0)</f>
        <v/>
      </c>
      <c r="AJ18" s="234">
        <v>0</v>
      </c>
      <c r="AK18" s="162" t="str">
        <f>IF('11F GRP'!G5&gt;=3,'11F GRP'!J255,IF('11F GRP'!G5=2,"",IF('11F GRP'!G5=1,"","")))</f>
        <v/>
      </c>
      <c r="AL18" s="11">
        <v>19</v>
      </c>
      <c r="AP18" s="13" t="str">
        <f>IF(AR18&lt;&gt;"",1+COUNTIF(AP8:AP17,"1")+COUNTIF(AP8:AP17,"2")+COUNTIF(AP8:AP17,"3")+COUNTIF(AP8:AP17,"4")+COUNTIF(AP8:AP17,"5")+COUNTIF(AP8:AP17,"6")+COUNTIF(AP8:AP17,"7")+COUNTIF(AP8:AP17,"8")+COUNTIF(AP8:AP17,"9")+COUNTIF(AP8:AP17,"10"),"")</f>
        <v/>
      </c>
      <c r="AQ18" s="14" t="str">
        <f t="shared" si="1"/>
        <v/>
      </c>
      <c r="AR18" s="21" t="str">
        <f>IF(AR10&lt;&gt;"",IF(G12=AR10,G14,IF(G14=AR10,G12,IF(G28=AR10,G30,IF(G30=AR10,G28,IF(AG12=AR10,AG14,IF(AG14=AR10,AG12,IF(AG28=AR10,AG30,IF(AG30=AR10,AG28,IF(G42=AR10,G44,IF(G44=AR10,G42,IF(G58=AR10,G60,IF(G60=AR10,G58,IF(AG42=AR10,AG44,IF(AG44=AR10,AG42,IF(AG58=AR10,AG60,IF(AG60=AR10,AG58)))))))))))))))),"")</f>
        <v/>
      </c>
      <c r="AS18" s="15" t="str">
        <f>IFERROR(IF(AR18="","",VLOOKUP(AR18,LISTAS!$F$5:$G$1004,2,0)),"0")</f>
        <v/>
      </c>
      <c r="AT18" s="15" t="str">
        <f t="shared" si="0"/>
        <v/>
      </c>
      <c r="AU18" s="15" t="str">
        <f t="shared" si="2"/>
        <v/>
      </c>
    </row>
    <row r="19" spans="2:47" ht="18" customHeight="1" thickBot="1" x14ac:dyDescent="0.3">
      <c r="B19" s="16"/>
      <c r="C19" s="165" t="str">
        <f>IFERROR(IF(C18="","",VLOOKUP(C18,LISTAS!$F$5:$G$1004,2,0)),"0")</f>
        <v/>
      </c>
      <c r="D19" s="235"/>
      <c r="E19" s="51"/>
      <c r="F19" s="51"/>
      <c r="G19" s="176"/>
      <c r="H19" s="11"/>
      <c r="I19" s="18"/>
      <c r="J19" s="11"/>
      <c r="K19" s="166"/>
      <c r="L19" s="11"/>
      <c r="M19" s="11"/>
      <c r="N19" s="11"/>
      <c r="O19" s="166"/>
      <c r="P19" s="11"/>
      <c r="Q19" s="8"/>
      <c r="R19" s="182"/>
      <c r="S19" s="8"/>
      <c r="T19" s="8"/>
      <c r="U19" s="8"/>
      <c r="V19" s="182"/>
      <c r="W19" s="8"/>
      <c r="X19" s="62"/>
      <c r="Y19" s="182"/>
      <c r="Z19" s="8"/>
      <c r="AA19" s="8"/>
      <c r="AB19" s="11"/>
      <c r="AC19" s="182"/>
      <c r="AD19" s="65"/>
      <c r="AE19" s="8"/>
      <c r="AF19" s="8"/>
      <c r="AG19" s="181"/>
      <c r="AH19" s="78"/>
      <c r="AI19" s="51"/>
      <c r="AJ19" s="235"/>
      <c r="AK19" s="165" t="str">
        <f>IFERROR(IF(AK18="","",VLOOKUP(AK18,LISTAS!$F$5:$G$1004,2,0)),"0")</f>
        <v/>
      </c>
      <c r="AL19" s="11"/>
      <c r="AP19" s="13" t="str">
        <f>IF(AR19&lt;&gt;"",1+COUNTIF(AP8:AP18,"1")+COUNTIF(AP8:AP18,"2")+COUNTIF(AP8:AP18,"3")+COUNTIF(AP8:AP18,"4")+COUNTIF(AP8:AP18,"5")+COUNTIF(AP8:AP18,"6")+COUNTIF(AP8:AP18,"7")+COUNTIF(AP8:AP18,"8")+COUNTIF(AP8:AP18,"9")+COUNTIF(AP8:AP18,"10")+COUNTIF(AP8:AP18,"11"),"")</f>
        <v/>
      </c>
      <c r="AQ19" s="14" t="str">
        <f t="shared" si="1"/>
        <v/>
      </c>
      <c r="AR19" s="21" t="str">
        <f>IF(AR11&lt;&gt;"",IF(G12=AR11,G14,IF(G14=AR11,G12,IF(G28=AR11,G30,IF(G30=AR11,G28,IF(AG12=AR11,AG14,IF(AG14=AR11,AG12,IF(AG28=AR11,AG30,IF(AG30=AR11,AG28,IF(G42=AR11,G44,IF(G44=AR11,G42,IF(G58=AR11,G60,IF(G60=AR11,G58,IF(AG42=AR11,AG44,IF(AG44=AR11,AG42,IF(AG58=AR11,AG60,IF(AG60=AR11,AG58)))))))))))))))),"")</f>
        <v/>
      </c>
      <c r="AS19" s="15" t="str">
        <f>IFERROR(IF(AR19="","",VLOOKUP(AR19,LISTAS!$F$5:$G$1004,2,0)),"0")</f>
        <v/>
      </c>
      <c r="AT19" s="15" t="str">
        <f t="shared" si="0"/>
        <v/>
      </c>
      <c r="AU19" s="15" t="str">
        <f t="shared" si="2"/>
        <v/>
      </c>
    </row>
    <row r="20" spans="2:47" ht="18" customHeight="1" x14ac:dyDescent="0.25">
      <c r="B20" s="16"/>
      <c r="C20" s="166"/>
      <c r="D20" s="11"/>
      <c r="E20" s="51"/>
      <c r="F20" s="51"/>
      <c r="G20" s="176"/>
      <c r="H20" s="11"/>
      <c r="I20" s="18"/>
      <c r="J20" s="11"/>
      <c r="K20" s="162" t="str">
        <f>IF(H12&lt;&gt;"",IF(H14&lt;&gt;"",IF(H12=H14,"",IF(H12&gt;H14,G12,G14)),""),"")</f>
        <v>JÚLIA DE OLIVEIRA COMETTI</v>
      </c>
      <c r="L20" s="234">
        <v>1</v>
      </c>
      <c r="M20" s="51">
        <f>IF(L20&lt;&gt;"",L20,"")</f>
        <v>1</v>
      </c>
      <c r="N20" s="51" t="str">
        <f>IF(L20&lt;&gt;"",IF(K20="","",K20),"")</f>
        <v>JÚLIA DE OLIVEIRA COMETTI</v>
      </c>
      <c r="O20" s="176">
        <f>IF(M20&lt;&gt;"",IF(M22&lt;&gt;"",SMALL(M20:N22,1),""),"")</f>
        <v>0</v>
      </c>
      <c r="P20" s="11"/>
      <c r="Q20" s="8"/>
      <c r="R20" s="202"/>
      <c r="S20" s="202"/>
      <c r="T20" s="202" t="s">
        <v>21</v>
      </c>
      <c r="U20" s="202"/>
      <c r="V20" s="202"/>
      <c r="W20" s="8"/>
      <c r="X20" s="62"/>
      <c r="Y20" s="182"/>
      <c r="Z20" s="8"/>
      <c r="AA20" s="8"/>
      <c r="AB20" s="234">
        <v>0</v>
      </c>
      <c r="AC20" s="162" t="str">
        <f>IF(AF12&lt;&gt;"",IF(AF14&lt;&gt;"",IF(AF12=AF14,"",IF(AF12&gt;AF14,AG12,AG14)),""),"")</f>
        <v>KAORU UEHARA DE MORAIS</v>
      </c>
      <c r="AD20" s="112"/>
      <c r="AE20" s="8"/>
      <c r="AF20" s="8"/>
      <c r="AG20" s="182"/>
      <c r="AH20" s="8"/>
      <c r="AI20" s="8"/>
      <c r="AJ20" s="11"/>
      <c r="AK20" s="166"/>
      <c r="AL20" s="11"/>
      <c r="AM20" s="23"/>
      <c r="AN20" s="23"/>
      <c r="AO20" s="23"/>
      <c r="AP20" s="13" t="str">
        <f>IF(AR20&lt;&gt;"",1+COUNTIF(AP8:AP19,"1")+COUNTIF(AP8:AP19,"2")+COUNTIF(AP8:AP19,"3")+COUNTIF(AP8:AP19,"4")+COUNTIF(AP8:AP19,"5")+COUNTIF(AP8:AP19,"6")+COUNTIF(AP8:AP19,"7")+COUNTIF(AP8:AP19,"8")+COUNTIF(AP8:AP19,"9")+COUNTIF(AP8:AP19,"10")+COUNTIF(AP8:AP19,"11")+COUNTIF(AP8:AP19,"12"),"")</f>
        <v/>
      </c>
      <c r="AQ20" s="14" t="str">
        <f t="shared" si="1"/>
        <v/>
      </c>
      <c r="AR20" s="21" t="str">
        <f>IF(AR12&lt;&gt;"",IF(G12=AR12,G14,IF(G14=AR12,G12,IF(G28=AR12,G30,IF(G30=AR12,G28,IF(AG12=AR12,AG14,IF(AG14=AR12,AG12,IF(AG28=AR12,AG30,IF(AG30=AR12,AG28,IF(G42=AR12,G44,IF(G44=AR12,G42,IF(G58=AR12,G60,IF(G60=AR12,G58,IF(AG42=AR12,AG44,IF(AG44=AR12,AG42,IF(AG58=AR12,AG60,IF(AG60=AR12,AG58)))))))))))))))),"")</f>
        <v/>
      </c>
      <c r="AS20" s="15" t="str">
        <f>IFERROR(IF(AR20="","",VLOOKUP(AR20,LISTAS!$F$5:$G$1004,2,0)),"0")</f>
        <v/>
      </c>
      <c r="AT20" s="15" t="str">
        <f t="shared" si="0"/>
        <v/>
      </c>
      <c r="AU20" s="15" t="str">
        <f t="shared" si="2"/>
        <v/>
      </c>
    </row>
    <row r="21" spans="2:47" ht="18" customHeight="1" thickBot="1" x14ac:dyDescent="0.3">
      <c r="B21" s="16"/>
      <c r="C21" s="166"/>
      <c r="D21" s="11"/>
      <c r="E21" s="11"/>
      <c r="F21" s="11"/>
      <c r="G21" s="166"/>
      <c r="H21" s="11"/>
      <c r="I21" s="18"/>
      <c r="J21" s="11"/>
      <c r="K21" s="165" t="str">
        <f>IFERROR(IF(K20="","",VLOOKUP(K20,LISTAS!$F$5:$G$1004,2,0)),"0")</f>
        <v>COLEGIO PETROPOLIS</v>
      </c>
      <c r="L21" s="235"/>
      <c r="M21" s="51"/>
      <c r="N21" s="51"/>
      <c r="O21" s="176"/>
      <c r="P21" s="11"/>
      <c r="Q21" s="8"/>
      <c r="R21" s="202"/>
      <c r="S21" s="202"/>
      <c r="T21" s="202" t="s">
        <v>12</v>
      </c>
      <c r="U21" s="202"/>
      <c r="V21" s="202"/>
      <c r="W21" s="8"/>
      <c r="X21" s="62"/>
      <c r="Y21" s="182"/>
      <c r="Z21" s="8"/>
      <c r="AA21" s="8"/>
      <c r="AB21" s="235"/>
      <c r="AC21" s="165" t="str">
        <f>IFERROR(IF(AC20="","",VLOOKUP(AC20,LISTAS!$F$5:$G$1004,2,0)),"0")</f>
        <v>COLÉGIO ENGENHEIRO SALVADOR ARENA</v>
      </c>
      <c r="AD21" s="8"/>
      <c r="AE21" s="69"/>
      <c r="AF21" s="8"/>
      <c r="AG21" s="182"/>
      <c r="AH21" s="8"/>
      <c r="AI21" s="8"/>
      <c r="AJ21" s="11"/>
      <c r="AK21" s="166"/>
      <c r="AL21" s="11"/>
      <c r="AM21" s="23"/>
      <c r="AN21" s="23"/>
      <c r="AO21" s="23"/>
      <c r="AP21" s="13" t="str">
        <f>IF(AR21&lt;&gt;"",1+COUNTIF(AP8:AP20,"1")+COUNTIF(AP8:AP20,"2")+COUNTIF(AP8:AP20,"3")+COUNTIF(AP8:AP20,"4")+COUNTIF(AP8:AP20,"5")+COUNTIF(AP8:AP20,"6")+COUNTIF(AP8:AP20,"7")+COUNTIF(AP8:AP20,"8")+COUNTIF(AP8:AP20,"9")+COUNTIF(AP8:AP20,"10")+COUNTIF(AP8:AP20,"11")+COUNTIF(AP8:AP20,"12")+COUNTIF(AP8:AP20,"13"),"")</f>
        <v/>
      </c>
      <c r="AQ21" s="14" t="str">
        <f t="shared" si="1"/>
        <v/>
      </c>
      <c r="AR21" s="21" t="str">
        <f>IF(AR13&lt;&gt;"",IF(G12=AR13,G14,IF(G14=AR13,G12,IF(G28=AR13,G30,IF(G30=AR13,G28,IF(AG12=AR13,AG14,IF(AG14=AR13,AG12,IF(AG28=AR13,AG30,IF(AG30=AR13,AG28,IF(G42=AR13,G44,IF(G44=AR13,G42,IF(G58=AR13,G60,IF(G60=AR13,G58,IF(AG42=AR13,AG44,IF(AG44=AR13,AG42,IF(AG58=AR13,AG60,IF(AG60=AR13,AG58)))))))))))))))),"")</f>
        <v/>
      </c>
      <c r="AS21" s="15" t="str">
        <f>IFERROR(IF(AR21="","",VLOOKUP(AR21,LISTAS!$F$5:$G$1004,2,0)),"0")</f>
        <v/>
      </c>
      <c r="AT21" s="15" t="str">
        <f t="shared" si="0"/>
        <v/>
      </c>
      <c r="AU21" s="15" t="str">
        <f t="shared" si="2"/>
        <v/>
      </c>
    </row>
    <row r="22" spans="2:47" ht="18" customHeight="1" x14ac:dyDescent="0.25">
      <c r="B22" s="16"/>
      <c r="C22" s="166"/>
      <c r="D22" s="11"/>
      <c r="E22" s="11"/>
      <c r="F22" s="11"/>
      <c r="G22" s="166"/>
      <c r="H22" s="11"/>
      <c r="I22" s="18"/>
      <c r="J22" s="19"/>
      <c r="K22" s="162" t="str">
        <f>IF(H28&lt;&gt;"",IF(H30&lt;&gt;"",IF(H28=H30,"",IF(H28&gt;H30,G28,G30)),""),"")</f>
        <v>LAURA RAMOS GRIZOLLI</v>
      </c>
      <c r="L22" s="234">
        <v>0</v>
      </c>
      <c r="M22" s="52">
        <f>IF(L22&lt;&gt;"",L22,"")</f>
        <v>0</v>
      </c>
      <c r="N22" s="51" t="str">
        <f>IF(L22&lt;&gt;"",IF(K22="","",K22),"")</f>
        <v>LAURA RAMOS GRIZOLLI</v>
      </c>
      <c r="O22" s="176" t="str">
        <f>VLOOKUP(O20,M20:N22,2,0)</f>
        <v>LAURA RAMOS GRIZOLLI</v>
      </c>
      <c r="P22" s="11"/>
      <c r="Q22" s="8"/>
      <c r="R22" s="182"/>
      <c r="S22" s="8"/>
      <c r="T22" s="8"/>
      <c r="U22" s="8"/>
      <c r="V22" s="182"/>
      <c r="W22" s="8"/>
      <c r="X22" s="62"/>
      <c r="Y22" s="182"/>
      <c r="Z22" s="65"/>
      <c r="AA22" s="68"/>
      <c r="AB22" s="234">
        <v>1</v>
      </c>
      <c r="AC22" s="162" t="str">
        <f>IF(AF28&lt;&gt;"",IF(AF30&lt;&gt;"",IF(AF28=AF30,"",IF(AF28&gt;AF30,AG28,AG30)),""),"")</f>
        <v>MANUELA CORDEIRO DA SILVA LIRA</v>
      </c>
      <c r="AD22" s="8"/>
      <c r="AE22" s="69"/>
      <c r="AF22" s="8"/>
      <c r="AG22" s="182"/>
      <c r="AH22" s="8"/>
      <c r="AI22" s="8"/>
      <c r="AJ22" s="11"/>
      <c r="AK22" s="166"/>
      <c r="AL22" s="11"/>
      <c r="AP22" s="13" t="str">
        <f>IF(AR22&lt;&gt;"",1+COUNTIF(AP8:AP21,"1")+COUNTIF(AP8:AP21,"2")+COUNTIF(AP8:AP21,"3")+COUNTIF(AP8:AP21,"4")+COUNTIF(AP8:AP21,"5")+COUNTIF(AP8:AP21,"6")+COUNTIF(AP8:AP21,"7")+COUNTIF(AP8:AP21,"8")+COUNTIF(AP8:AP21,"9")+COUNTIF(AP8:AP21,"10")+COUNTIF(AP8:AP21,"11")+COUNTIF(AP8:AP21,"12")+COUNTIF(AP8:AP21,"13")+COUNTIF(AP8:AP21,"14"),"")</f>
        <v/>
      </c>
      <c r="AQ22" s="14" t="str">
        <f t="shared" si="1"/>
        <v/>
      </c>
      <c r="AR22" s="21" t="str">
        <f>IF(AR14&lt;&gt;"",IF(G12=AR14,G14,IF(G14=AR14,G12,IF(G28=AR14,G30,IF(G30=AR14,G28,IF(AG12=AR14,AG14,IF(AG14=AR14,AG12,IF(AG28=AR14,AG30,IF(AG30=AR14,AG28,IF(G42=AR14,G44,IF(G44=AR14,G42,IF(G58=AR14,G60,IF(G60=AR14,G58,IF(AG42=AR14,AG44,IF(AG44=AR14,AG42,IF(AG58=AR14,AG60,IF(AG60=AR14,AG58)))))))))))))))),"")</f>
        <v/>
      </c>
      <c r="AS22" s="15" t="str">
        <f>IFERROR(IF(AR22="","",VLOOKUP(AR22,LISTAS!$F$5:$G$1004,2,0)),"0")</f>
        <v/>
      </c>
      <c r="AT22" s="15" t="str">
        <f t="shared" si="0"/>
        <v/>
      </c>
      <c r="AU22" s="15" t="str">
        <f t="shared" si="2"/>
        <v/>
      </c>
    </row>
    <row r="23" spans="2:47" ht="18" customHeight="1" thickBot="1" x14ac:dyDescent="0.3">
      <c r="B23" s="16"/>
      <c r="C23" s="166"/>
      <c r="D23" s="11"/>
      <c r="E23" s="11"/>
      <c r="F23" s="11"/>
      <c r="G23" s="166"/>
      <c r="H23" s="11"/>
      <c r="I23" s="18"/>
      <c r="J23" s="11"/>
      <c r="K23" s="165" t="str">
        <f>IFERROR(IF(K22="","",VLOOKUP(K22,LISTAS!$F$5:$G$1004,2,0)),"0")</f>
        <v>ESCOLA VILLARE</v>
      </c>
      <c r="L23" s="235"/>
      <c r="M23" s="54"/>
      <c r="N23" s="51"/>
      <c r="O23" s="176"/>
      <c r="P23" s="11"/>
      <c r="Q23" s="8"/>
      <c r="R23" s="182"/>
      <c r="S23" s="8"/>
      <c r="T23" s="8"/>
      <c r="U23" s="8"/>
      <c r="V23" s="182"/>
      <c r="W23" s="8"/>
      <c r="X23" s="62"/>
      <c r="Y23" s="182"/>
      <c r="Z23" s="65"/>
      <c r="AA23" s="8"/>
      <c r="AB23" s="235"/>
      <c r="AC23" s="165" t="str">
        <f>IFERROR(IF(AC22="","",VLOOKUP(AC22,LISTAS!$F$5:$G$1004,2,0)),"0")</f>
        <v>COLÉGIO ENGENHEIRO SALVADOR ARENA</v>
      </c>
      <c r="AD23" s="8"/>
      <c r="AE23" s="69"/>
      <c r="AF23" s="8"/>
      <c r="AG23" s="182"/>
      <c r="AH23" s="8"/>
      <c r="AI23" s="8"/>
      <c r="AJ23" s="11"/>
      <c r="AK23" s="166"/>
      <c r="AL23" s="11"/>
      <c r="AP23" s="13" t="str">
        <f>IF(AR23&lt;&gt;"",1+COUNTIF(AP8:AP22,"1")+COUNTIF(AP8:AP22,"2")+COUNTIF(AP8:AP22,"3")+COUNTIF(AP8:AP22,"4")+COUNTIF(AP8:AP22,"5")+COUNTIF(AP8:AP22,"6")+COUNTIF(AP8:AP22,"7")+COUNTIF(AP8:AP22,"8")+COUNTIF(AP8:AP22,"9")+COUNTIF(AP8:AP22,"10")+COUNTIF(AP8:AP22,"11")+COUNTIF(AP8:AP22,"12")+COUNTIF(AP8:AP22,"13")+COUNTIF(AP8:AP22,"14")+COUNTIF(AP8:AP22,"15"),"")</f>
        <v/>
      </c>
      <c r="AQ23" s="14" t="str">
        <f t="shared" si="1"/>
        <v/>
      </c>
      <c r="AR23" s="21" t="str">
        <f>IF(AR15&lt;&gt;"",IF(G12=AR15,G14,IF(G14=AR15,G12,IF(G28=AR15,G30,IF(G30=AR15,G28,IF(AG12=AR15,AG14,IF(AG14=AR15,AG12,IF(AG28=AR15,AG30,IF(AG30=AR15,AG28,IF(G42=AR15,G44,IF(G44=AR15,G42,IF(G58=AR15,G60,IF(G60=AR15,G58,IF(AG42=AR15,AG44,IF(AG44=AR15,AG42,IF(AG58=AR15,AG60,IF(AG60=AR15,AG58)))))))))))))))),"")</f>
        <v/>
      </c>
      <c r="AS23" s="15" t="str">
        <f>IFERROR(IF(AR23="","",VLOOKUP(AR23,LISTAS!$F$5:$G$1004,2,0)),"0")</f>
        <v/>
      </c>
      <c r="AT23" s="15" t="str">
        <f t="shared" si="0"/>
        <v/>
      </c>
      <c r="AU23" s="15" t="str">
        <f t="shared" si="2"/>
        <v/>
      </c>
    </row>
    <row r="24" spans="2:47" ht="18" customHeight="1" x14ac:dyDescent="0.25">
      <c r="B24" s="16">
        <v>9</v>
      </c>
      <c r="C24" s="162" t="str">
        <f>IF('11F GRP'!G5&gt;=3,'11F GRP'!J125,IF('11F GRP'!G5=2,"",IF('11F GRP'!G5=1,"","")))</f>
        <v/>
      </c>
      <c r="D24" s="234">
        <v>0</v>
      </c>
      <c r="E24" s="51">
        <f>IF(D24&lt;&gt;"",D24,"")</f>
        <v>0</v>
      </c>
      <c r="F24" s="51" t="str">
        <f>IF(D24&lt;&gt;"",IF(C24="","",C24),"")</f>
        <v/>
      </c>
      <c r="G24" s="176">
        <f>IF(E24&lt;&gt;"",IF(E26&lt;&gt;"",SMALL(E24:E26,1),""),"")</f>
        <v>0</v>
      </c>
      <c r="H24" s="11"/>
      <c r="I24" s="18"/>
      <c r="J24" s="11"/>
      <c r="K24" s="166"/>
      <c r="L24" s="11"/>
      <c r="M24" s="54"/>
      <c r="N24" s="51"/>
      <c r="O24" s="176"/>
      <c r="P24" s="11"/>
      <c r="Q24" s="8"/>
      <c r="R24" s="182"/>
      <c r="S24" s="8"/>
      <c r="T24" s="8"/>
      <c r="U24" s="8"/>
      <c r="V24" s="182"/>
      <c r="W24" s="8"/>
      <c r="X24" s="62"/>
      <c r="Y24" s="182"/>
      <c r="Z24" s="65"/>
      <c r="AA24" s="8"/>
      <c r="AB24" s="11"/>
      <c r="AC24" s="182"/>
      <c r="AD24" s="8"/>
      <c r="AE24" s="69"/>
      <c r="AF24" s="8"/>
      <c r="AG24" s="181">
        <f>IF(AJ24&lt;&gt;"",AJ24,"")</f>
        <v>0</v>
      </c>
      <c r="AH24" s="78" t="str">
        <f>IF(AJ24&lt;&gt;"",IF(AK24="","",AK24),"")</f>
        <v/>
      </c>
      <c r="AI24" s="51">
        <f>IF(AG24&lt;&gt;"",IF(AG26&lt;&gt;"",SMALL(AG24:AG26,1),""),"")</f>
        <v>0</v>
      </c>
      <c r="AJ24" s="234">
        <v>0</v>
      </c>
      <c r="AK24" s="162" t="str">
        <f>IF('11F GRP'!G5&gt;=3,'11F GRP'!J294,IF('11F GRP'!G5=2,"",IF('11F GRP'!G5=1,"","")))</f>
        <v/>
      </c>
      <c r="AL24" s="11">
        <v>22</v>
      </c>
      <c r="AP24" s="13" t="str">
        <f>IF(AR24&lt;&gt;"",1+COUNTIF(AP8:AP23,"1")+COUNTIF(AP8:AP23,"2")+COUNTIF(AP8:AP23,"3")+COUNTIF(AP8:AP23,"4")+COUNTIF(AP8:AP23,"5")+COUNTIF(AP8:AP23,"6")+COUNTIF(AP8:AP23,"7")+COUNTIF(AP8:AP23,"8")+COUNTIF(AP8:AP23,"9")+COUNTIF(AP8:AP23,"10")+COUNTIF(AP8:AP23,"11")+COUNTIF(AP8:AP23,"12")+COUNTIF(AP8:AP23,"13")+COUNTIF(AP8:AP23,"14")+COUNTIF(AP8:AP23,"15")+COUNTIF(AP8:AP23,"16"),"")</f>
        <v/>
      </c>
      <c r="AQ24" s="14" t="str">
        <f t="shared" si="1"/>
        <v/>
      </c>
      <c r="AR24" s="21" t="str">
        <f>IF(AR8&lt;&gt;"",IF(C8=AR8,G10,IF(C10=AR8,G10,IF(C16=AR8,G18,IF(C18=AR8,G18,IF(C38=AR8,G40,IF(C40=AR8,G40,IF(C46=AR8,G48,IF(C48=AR8,G48,IF(C24=AR8,G26,IF(C26=AR8,G26,IF(C32=AR8,G34,IF(C34=AR8,G34,IF(C54=AR8,G56,IF(C56=AR8,G56,IF(C62=AR8,G64,IF(C64=AR8,G64,IF(AK8=AR8,AI10,IF(AK10=AR8,AI10,IF(AK16=AR8,AI18,IF(AK18=AR8,AI18,IF(AK38=AR8,AI40,IF(AK40=AR8,AI40,IF(AK46=AR8,AI48,IF(AK48=AR8,AI48,IF(AK24=AR8,AI26,IF(AK26=AR8,AI26,IF(AK32=AR8,AI34,IF(AK34=AR8,AI34,IF(AK54=AR8,AI56,IF(AK56=AR8,AI56,IF(AK62=AR8,AI64,IF(AK64=AR8,AI64)))))))))))))))))))))))))))))))),"")</f>
        <v/>
      </c>
      <c r="AS24" s="15" t="str">
        <f>IFERROR(IF(AR24="","",VLOOKUP(AR24,LISTAS!$F$5:$G$1004,2,0)),"0")</f>
        <v/>
      </c>
      <c r="AT24" s="15" t="str">
        <f t="shared" si="0"/>
        <v/>
      </c>
      <c r="AU24" s="15" t="str">
        <f t="shared" si="2"/>
        <v/>
      </c>
    </row>
    <row r="25" spans="2:47" ht="18" customHeight="1" thickBot="1" x14ac:dyDescent="0.3">
      <c r="B25" s="16"/>
      <c r="C25" s="165" t="str">
        <f>IFERROR(IF(C24="","",VLOOKUP(C24,LISTAS!$F$5:$G$1004,2,0)),"0")</f>
        <v/>
      </c>
      <c r="D25" s="235"/>
      <c r="E25" s="51"/>
      <c r="F25" s="51"/>
      <c r="G25" s="176"/>
      <c r="H25" s="11"/>
      <c r="I25" s="18"/>
      <c r="J25" s="11"/>
      <c r="K25" s="166"/>
      <c r="L25" s="11"/>
      <c r="M25" s="18"/>
      <c r="N25" s="11"/>
      <c r="O25" s="166"/>
      <c r="P25" s="11"/>
      <c r="Q25" s="8"/>
      <c r="R25" s="182"/>
      <c r="S25" s="8"/>
      <c r="T25" s="8"/>
      <c r="U25" s="8"/>
      <c r="V25" s="182"/>
      <c r="W25" s="8"/>
      <c r="X25" s="62"/>
      <c r="Y25" s="182"/>
      <c r="Z25" s="65"/>
      <c r="AA25" s="8"/>
      <c r="AB25" s="11"/>
      <c r="AC25" s="182"/>
      <c r="AD25" s="8"/>
      <c r="AE25" s="69"/>
      <c r="AF25" s="8"/>
      <c r="AG25" s="181"/>
      <c r="AH25" s="78"/>
      <c r="AI25" s="51"/>
      <c r="AJ25" s="235"/>
      <c r="AK25" s="165" t="str">
        <f>IFERROR(IF(AK24="","",VLOOKUP(AK24,LISTAS!$F$5:$G$1004,2,0)),"0")</f>
        <v/>
      </c>
      <c r="AL25" s="11"/>
      <c r="AP25" s="13" t="str">
        <f>IF(AR25&lt;&gt;"",1+COUNTIF(AP8:AP24,"1")+COUNTIF(AP8:AP24,"2")+COUNTIF(AP8:AP24,"3")+COUNTIF(AP8:AP24,"4")+COUNTIF(AP8:AP24,"5")+COUNTIF(AP8:AP24,"6")+COUNTIF(AP8:AP24,"7")+COUNTIF(AP8:AP24,"8")+COUNTIF(AP8:AP24,"9")+COUNTIF(AP8:AP24,"10")+COUNTIF(AP8:AP24,"11")+COUNTIF(AP8:AP24,"12")+COUNTIF(AP8:AP24,"13")+COUNTIF(AP8:AP24,"14")+COUNTIF(AP8:AP24,"15")+COUNTIF(AP8:AP24,"16")+COUNTIF(AP8:AP24,"17"),"")</f>
        <v/>
      </c>
      <c r="AQ25" s="14" t="str">
        <f t="shared" si="1"/>
        <v/>
      </c>
      <c r="AR25" s="21" t="str">
        <f>IF(AR9&lt;&gt;"",IF(C8=AR9,G10,IF(C10=AR9,G10,IF(C16=AR9,G18,IF(C18=AR9,G18,IF(C38=AR9,G40,IF(C40=AR9,G40,IF(C46=AR9,G48,IF(C48=AR9,G48,IF(C24=AR9,G26,IF(C26=AR9,G26,IF(C32=AR9,G34,IF(C34=AR9,G34,IF(C54=AR9,G56,IF(C56=AR9,G56,IF(C62=AR9,G64,IF(C64=AR9,G64,IF(AK8=AR9,AI10,IF(AK10=AR9,AI10,IF(AK16=AR9,AI18,IF(AK18=AR9,AI18,IF(AK38=AR9,AI40,IF(AK40=AR9,AI40,IF(AK46=AR9,AI48,IF(AK48=AR9,AI48,IF(AK24=AR9,AI26,IF(AK26=AR9,AI26,IF(AK32=AR9,AI34,IF(AK34=AR9,AI34,IF(AK54=AR9,AI56,IF(AK56=AR9,AI56,IF(AK62=AR9,AI64,IF(AK64=AR9,AI64)))))))))))))))))))))))))))))))),"")</f>
        <v/>
      </c>
      <c r="AS25" s="15" t="str">
        <f>IFERROR(IF(AR25="","",VLOOKUP(AR25,LISTAS!$F$5:$G$1004,2,0)),"0")</f>
        <v/>
      </c>
      <c r="AT25" s="15" t="str">
        <f t="shared" si="0"/>
        <v/>
      </c>
      <c r="AU25" s="15" t="str">
        <f t="shared" si="2"/>
        <v/>
      </c>
    </row>
    <row r="26" spans="2:47" ht="18" customHeight="1" x14ac:dyDescent="0.25">
      <c r="B26" s="16">
        <v>24</v>
      </c>
      <c r="C26" s="162" t="str">
        <f>IF('11F GRP'!G5&gt;=3,'11F GRP'!J320,IF('11F GRP'!G5=2,"",IF('11F GRP'!G5=1,"","")))</f>
        <v/>
      </c>
      <c r="D26" s="234">
        <v>0</v>
      </c>
      <c r="E26" s="52">
        <f>IF(D26&lt;&gt;"",D26,"")</f>
        <v>0</v>
      </c>
      <c r="F26" s="51" t="str">
        <f>IF(D26&lt;&gt;"",IF(C26="","",C26),"")</f>
        <v/>
      </c>
      <c r="G26" s="176" t="str">
        <f>VLOOKUP(G24,E24:F26,2,0)</f>
        <v/>
      </c>
      <c r="H26" s="11"/>
      <c r="I26" s="18"/>
      <c r="J26" s="11"/>
      <c r="K26" s="166"/>
      <c r="L26" s="11"/>
      <c r="M26" s="18"/>
      <c r="N26" s="11"/>
      <c r="O26" s="166"/>
      <c r="P26" s="11"/>
      <c r="Q26" s="8"/>
      <c r="R26" s="182"/>
      <c r="S26" s="8"/>
      <c r="T26" s="8"/>
      <c r="U26" s="8"/>
      <c r="V26" s="182"/>
      <c r="W26" s="8"/>
      <c r="X26" s="62"/>
      <c r="Y26" s="182"/>
      <c r="Z26" s="65"/>
      <c r="AA26" s="8"/>
      <c r="AB26" s="11"/>
      <c r="AC26" s="182"/>
      <c r="AD26" s="8"/>
      <c r="AE26" s="69"/>
      <c r="AF26" s="8"/>
      <c r="AG26" s="181">
        <f>IF(AJ26&lt;&gt;"",AJ26,"")</f>
        <v>0</v>
      </c>
      <c r="AH26" s="78" t="str">
        <f>IF(AJ26&lt;&gt;"",IF(AK26="","",AK26),"")</f>
        <v/>
      </c>
      <c r="AI26" s="55" t="str">
        <f>VLOOKUP(AI24,AG24:AH26,2,0)</f>
        <v/>
      </c>
      <c r="AJ26" s="234">
        <v>0</v>
      </c>
      <c r="AK26" s="162" t="str">
        <f>IF('11F GRP'!G5&gt;=3,'11F GRP'!J151,IF('11F GRP'!G5=2,"",IF('11F GRP'!G5=1,"","")))</f>
        <v/>
      </c>
      <c r="AL26" s="11">
        <v>11</v>
      </c>
      <c r="AM26" s="23"/>
      <c r="AN26" s="23"/>
      <c r="AO26" s="23"/>
      <c r="AP26" s="13" t="str">
        <f>IF(AR26&lt;&gt;"",1+COUNTIF(AP8:AP25,"1")+COUNTIF(AP8:AP25,"2")+COUNTIF(AP8:AP25,"3")+COUNTIF(AP8:AP25,"4")+COUNTIF(AP8:AP25,"5")+COUNTIF(AP8:AP25,"6")+COUNTIF(AP8:AP25,"7")+COUNTIF(AP8:AP25,"8")+COUNTIF(AP8:AP25,"9")+COUNTIF(AP8:AP25,"10")+COUNTIF(AP8:AP25,"11")+COUNTIF(AP8:AP25,"12")+COUNTIF(AP8:AP25,"13")+COUNTIF(AP8:AP25,"14")+COUNTIF(AP8:AP25,"15")+COUNTIF(AP8:AP25,"16")+COUNTIF(AP8:AP25,"17")+COUNTIF(AP8:AP25,"18"),"")</f>
        <v/>
      </c>
      <c r="AQ26" s="14" t="str">
        <f t="shared" si="1"/>
        <v/>
      </c>
      <c r="AR26" s="21" t="str">
        <f>IF(AR10&lt;&gt;"",IF(C8=AR10,G10,IF(C10=AR10,G10,IF(C16=AR10,G18,IF(C18=AR10,G18,IF(C38=AR10,G40,IF(C40=AR10,G40,IF(C46=AR10,G48,IF(C48=AR10,G48,IF(C24=AR10,G26,IF(C26=AR10,G26,IF(C32=AR10,G34,IF(C34=AR10,G34,IF(C54=AR10,G56,IF(C56=AR10,G56,IF(C62=AR10,G64,IF(C64=AR10,G64,IF(AK8=AR10,AI10,IF(AK10=AR10,AI10,IF(AK16=AR10,AI18,IF(AK18=AR10,AI18,IF(AK38=AR10,AI40,IF(AK40=AR10,AI40,IF(AK46=AR10,AI48,IF(AK48=AR10,AI48,IF(AK24=AR10,AI26,IF(AK26=AR10,AI26,IF(AK32=AR10,AI34,IF(AK34=AR10,AI34,IF(AK54=AR10,AI56,IF(AK56=AR10,AI56,IF(AK62=AR10,AI64,IF(AK64=AR10,AI64)))))))))))))))))))))))))))))))),"")</f>
        <v/>
      </c>
      <c r="AS26" s="15" t="str">
        <f>IFERROR(IF(AR26="","",VLOOKUP(AR26,LISTAS!$F$5:$G$1004,2,0)),"0")</f>
        <v/>
      </c>
      <c r="AT26" s="15" t="str">
        <f t="shared" si="0"/>
        <v/>
      </c>
      <c r="AU26" s="15" t="str">
        <f t="shared" si="2"/>
        <v/>
      </c>
    </row>
    <row r="27" spans="2:47" ht="18" customHeight="1" thickBot="1" x14ac:dyDescent="0.3">
      <c r="B27" s="16"/>
      <c r="C27" s="165" t="str">
        <f>IFERROR(IF(C26="","",VLOOKUP(C26,LISTAS!$F$5:$G$1004,2,0)),"0")</f>
        <v/>
      </c>
      <c r="D27" s="235"/>
      <c r="E27" s="128"/>
      <c r="F27" s="51"/>
      <c r="G27" s="176"/>
      <c r="H27" s="11"/>
      <c r="I27" s="18"/>
      <c r="J27" s="11"/>
      <c r="K27" s="166"/>
      <c r="L27" s="11"/>
      <c r="M27" s="18"/>
      <c r="N27" s="11"/>
      <c r="O27" s="166"/>
      <c r="P27" s="11"/>
      <c r="Q27" s="8"/>
      <c r="R27" s="182"/>
      <c r="S27" s="8"/>
      <c r="T27" s="8"/>
      <c r="U27" s="8"/>
      <c r="V27" s="182"/>
      <c r="W27" s="8"/>
      <c r="X27" s="62"/>
      <c r="Y27" s="182"/>
      <c r="Z27" s="65"/>
      <c r="AA27" s="8"/>
      <c r="AB27" s="11"/>
      <c r="AC27" s="182"/>
      <c r="AD27" s="8"/>
      <c r="AE27" s="69"/>
      <c r="AF27" s="8"/>
      <c r="AG27" s="181"/>
      <c r="AH27" s="78"/>
      <c r="AI27" s="123"/>
      <c r="AJ27" s="235"/>
      <c r="AK27" s="165" t="str">
        <f>IFERROR(IF(AK26="","",VLOOKUP(AK26,LISTAS!$F$5:$G$1004,2,0)),"0")</f>
        <v/>
      </c>
      <c r="AL27" s="11"/>
      <c r="AP27" s="13" t="str">
        <f>IF(AR27&lt;&gt;"",1+COUNTIF(AP8:AP26,"1")+COUNTIF(AP8:AP26,"2")+COUNTIF(AP8:AP26,"3")+COUNTIF(AP8:AP26,"4")+COUNTIF(AP8:AP26,"5")+COUNTIF(AP8:AP26,"6")+COUNTIF(AP8:AP26,"7")+COUNTIF(AP8:AP26,"8")+COUNTIF(AP8:AP26,"9")+COUNTIF(AP8:AP26,"10")+COUNTIF(AP8:AP26,"11")+COUNTIF(AP8:AP26,"12")+COUNTIF(AP8:AP26,"13")+COUNTIF(AP8:AP26,"14")+COUNTIF(AP8:AP26,"15")+COUNTIF(AP8:AP26,"16")+COUNTIF(AP8:AP26,"17")+COUNTIF(AP8:AP26,"18")+COUNTIF(AP8:AP26,"19"),"")</f>
        <v/>
      </c>
      <c r="AQ27" s="14" t="str">
        <f t="shared" si="1"/>
        <v/>
      </c>
      <c r="AR27" s="21" t="str">
        <f>IF(AR11&lt;&gt;"",IF(C8=AR11,G10,IF(C10=AR11,G10,IF(C16=AR11,G18,IF(C18=AR11,G18,IF(C38=AR11,G40,IF(C40=AR11,G40,IF(C46=AR11,G48,IF(C48=AR11,G48,IF(C24=AR11,G26,IF(C26=AR11,G26,IF(C32=AR11,G34,IF(C34=AR11,G34,IF(C54=AR11,G56,IF(C56=AR11,G56,IF(C62=AR11,G64,IF(C64=AR11,G64,IF(AK8=AR11,AI10,IF(AK10=AR11,AI10,IF(AK16=AR11,AI18,IF(AK18=AR11,AI18,IF(AK38=AR11,AI40,IF(AK40=AR11,AI40,IF(AK46=AR11,AI48,IF(AK48=AR11,AI48,IF(AK24=AR11,AI26,IF(AK26=AR11,AI26,IF(AK32=AR11,AI34,IF(AK34=AR11,AI34,IF(AK54=AR11,AI56,IF(AK56=AR11,AI56,IF(AK62=AR11,AI64,IF(AK64=AR11,AI64)))))))))))))))))))))))))))))))),"")</f>
        <v/>
      </c>
      <c r="AS27" s="15" t="str">
        <f>IFERROR(IF(AR27="","",VLOOKUP(AR27,LISTAS!$F$5:$G$1004,2,0)),"0")</f>
        <v/>
      </c>
      <c r="AT27" s="15" t="str">
        <f t="shared" si="0"/>
        <v/>
      </c>
      <c r="AU27" s="15" t="str">
        <f t="shared" si="2"/>
        <v/>
      </c>
    </row>
    <row r="28" spans="2:47" ht="18" customHeight="1" x14ac:dyDescent="0.25">
      <c r="B28" s="16"/>
      <c r="C28" s="166"/>
      <c r="D28" s="11"/>
      <c r="E28" s="11"/>
      <c r="F28" s="17"/>
      <c r="G28" s="162" t="str">
        <f>IF(D24&lt;&gt;"",IF(D26&lt;&gt;"",IF(D24=D26,"",IF(D24&gt;D26,C24,C26)),""),"")</f>
        <v/>
      </c>
      <c r="H28" s="234">
        <v>0</v>
      </c>
      <c r="I28" s="56">
        <f>IF(H28&lt;&gt;"",H28,"")</f>
        <v>0</v>
      </c>
      <c r="J28" s="51" t="str">
        <f>IF(H28&lt;&gt;"",IF(G28="","",G28),"")</f>
        <v/>
      </c>
      <c r="K28" s="176">
        <f>IF(I28&lt;&gt;"",IF(I30&lt;&gt;"",SMALL(I28:J30,1),""),"")</f>
        <v>0</v>
      </c>
      <c r="L28" s="11"/>
      <c r="M28" s="18"/>
      <c r="N28" s="11"/>
      <c r="O28" s="166"/>
      <c r="P28" s="11"/>
      <c r="Q28" s="8"/>
      <c r="R28" s="182"/>
      <c r="S28" s="8"/>
      <c r="T28" s="8"/>
      <c r="U28" s="8"/>
      <c r="V28" s="182"/>
      <c r="W28" s="8"/>
      <c r="X28" s="62"/>
      <c r="Y28" s="182"/>
      <c r="Z28" s="65"/>
      <c r="AA28" s="8"/>
      <c r="AB28" s="11"/>
      <c r="AC28" s="182"/>
      <c r="AD28" s="8"/>
      <c r="AE28" s="17"/>
      <c r="AF28" s="234">
        <v>0</v>
      </c>
      <c r="AG28" s="162" t="str">
        <f>IF(AJ24&lt;&gt;"",IF(AJ26&lt;&gt;"",IF(AJ24=AJ26,"",IF(AJ24&gt;AJ26,AK24,AK26)),""),"")</f>
        <v/>
      </c>
      <c r="AH28" s="65"/>
      <c r="AI28" s="8"/>
      <c r="AJ28" s="11"/>
      <c r="AK28" s="166"/>
      <c r="AL28" s="11"/>
      <c r="AP28" s="13" t="str">
        <f>IF(AR28&lt;&gt;"",1+COUNTIF(AP8:AP27,"1")+COUNTIF(AP8:AP27,"2")+COUNTIF(AP8:AP27,"3")+COUNTIF(AP8:AP27,"4")+COUNTIF(AP8:AP27,"5")+COUNTIF(AP8:AP27,"6")+COUNTIF(AP8:AP27,"7")+COUNTIF(AP8:AP27,"8")+COUNTIF(AP8:AP27,"9")+COUNTIF(AP8:AP27,"10")+COUNTIF(AP8:AP27,"11")+COUNTIF(AP8:AP27,"12")+COUNTIF(AP8:AP27,"13")+COUNTIF(AP8:AP27,"14")+COUNTIF(AP8:AP27,"15")+COUNTIF(AP8:AP27,"16")+COUNTIF(AP8:AP27,"17")+COUNTIF(AP8:AP27,"18")+COUNTIF(AP8:AP27,"19")+COUNTIF(AP8:AP27,"20"),"")</f>
        <v/>
      </c>
      <c r="AQ28" s="14" t="str">
        <f t="shared" si="1"/>
        <v/>
      </c>
      <c r="AR28" s="21" t="str">
        <f>IF(AR12&lt;&gt;"",IF(C8=AR12,G10,IF(C10=AR12,G10,IF(C16=AR12,G18,IF(C18=AR12,G18,IF(C38=AR12,G40,IF(C40=AR12,G40,IF(C46=AR12,G48,IF(C48=AR12,G48,IF(C24=AR12,G26,IF(C26=AR12,G26,IF(C32=AR12,G34,IF(C34=AR12,G34,IF(C54=AR12,G56,IF(C56=AR12,G56,IF(C62=AR12,G64,IF(C64=AR12,G64,IF(AK8=AR12,AI10,IF(AK10=AR12,AI10,IF(AK16=AR12,AI18,IF(AK18=AR12,AI18,IF(AK38=AR12,AI40,IF(AK40=AR12,AI40,IF(AK46=AR12,AI48,IF(AK48=AR12,AI48,IF(AK24=AR12,AI26,IF(AK26=AR12,AI26,IF(AK32=AR12,AI34,IF(AK34=AR12,AI34,IF(AK54=AR12,AI56,IF(AK56=AR12,AI56,IF(AK62=AR12,AI64,IF(AK64=AR12,AI64)))))))))))))))))))))))))))))))),"")</f>
        <v/>
      </c>
      <c r="AS28" s="15" t="str">
        <f>IFERROR(IF(AR28="","",VLOOKUP(AR28,LISTAS!$F$5:$G$1004,2,0)),"0")</f>
        <v/>
      </c>
      <c r="AT28" s="15" t="str">
        <f t="shared" si="0"/>
        <v/>
      </c>
      <c r="AU28" s="15" t="str">
        <f t="shared" si="2"/>
        <v/>
      </c>
    </row>
    <row r="29" spans="2:47" ht="18" customHeight="1" thickBot="1" x14ac:dyDescent="0.3">
      <c r="B29" s="16"/>
      <c r="C29" s="166"/>
      <c r="D29" s="11"/>
      <c r="E29" s="11"/>
      <c r="F29" s="17"/>
      <c r="G29" s="165" t="str">
        <f>IFERROR(IF(G28="","",VLOOKUP(G28,LISTAS!$F$5:$G$1004,2,0)),"0")</f>
        <v/>
      </c>
      <c r="H29" s="235"/>
      <c r="I29" s="57"/>
      <c r="J29" s="51"/>
      <c r="K29" s="176"/>
      <c r="L29" s="11"/>
      <c r="M29" s="18"/>
      <c r="N29" s="11"/>
      <c r="O29" s="166"/>
      <c r="P29" s="11"/>
      <c r="Q29" s="8"/>
      <c r="R29" s="182"/>
      <c r="S29" s="8"/>
      <c r="T29" s="8"/>
      <c r="U29" s="8"/>
      <c r="V29" s="182"/>
      <c r="W29" s="8"/>
      <c r="X29" s="62"/>
      <c r="Y29" s="182"/>
      <c r="Z29" s="65"/>
      <c r="AA29" s="8"/>
      <c r="AB29" s="11"/>
      <c r="AC29" s="182"/>
      <c r="AD29" s="8"/>
      <c r="AE29" s="122"/>
      <c r="AF29" s="235"/>
      <c r="AG29" s="165" t="str">
        <f>IFERROR(IF(AG28="","",VLOOKUP(AG28,LISTAS!$F$5:$G$1004,2,0)),"0")</f>
        <v/>
      </c>
      <c r="AH29" s="65"/>
      <c r="AI29" s="8"/>
      <c r="AJ29" s="11"/>
      <c r="AK29" s="166"/>
      <c r="AL29" s="11"/>
      <c r="AP29" s="13" t="str">
        <f>IF(AR29&lt;&gt;"",1+COUNTIF(AP8:AP28,"1")+COUNTIF(AP8:AP28,"2")+COUNTIF(AP8:AP28,"3")+COUNTIF(AP8:AP28,"4")+COUNTIF(AP8:AP28,"5")+COUNTIF(AP8:AP28,"6")+COUNTIF(AP8:AP28,"7")+COUNTIF(AP8:AP28,"8")+COUNTIF(AP8:AP28,"9")+COUNTIF(AP8:AP28,"10")+COUNTIF(AP8:AP28,"11")+COUNTIF(AP8:AP28,"12")+COUNTIF(AP8:AP28,"13")+COUNTIF(AP8:AP28,"14")+COUNTIF(AP8:AP28,"15")+COUNTIF(AP8:AP28,"16")+COUNTIF(AP8:AP28,"17")+COUNTIF(AP8:AP28,"18")+COUNTIF(AP8:AP28,"19")+COUNTIF(AP8:AP28,"20")+COUNTIF(AP8:AP28,"21"),"")</f>
        <v/>
      </c>
      <c r="AQ29" s="14" t="str">
        <f t="shared" si="1"/>
        <v/>
      </c>
      <c r="AR29" s="21" t="str">
        <f>IF(AR13&lt;&gt;"",IF(C8=AR13,G10,IF(C10=AR13,G10,IF(C16=AR13,G18,IF(C18=AR13,G18,IF(C38=AR13,G40,IF(C40=AR13,G40,IF(C46=AR13,G48,IF(C48=AR13,G48,IF(C24=AR13,G26,IF(C26=AR13,G26,IF(C32=AR13,G34,IF(C34=AR13,G34,IF(C54=AR13,G56,IF(C56=AR13,G56,IF(C62=AR13,G64,IF(C64=AR13,G64,IF(AK8=AR13,AI10,IF(AK10=AR13,AI10,IF(AK16=AR13,AI18,IF(AK18=AR13,AI18,IF(AK38=AR13,AI40,IF(AK40=AR13,AI40,IF(AK46=AR13,AI48,IF(AK48=AR13,AI48,IF(AK24=AR13,AI26,IF(AK26=AR13,AI26,IF(AK32=AR13,AI34,IF(AK34=AR13,AI34,IF(AK54=AR13,AI56,IF(AK56=AR13,AI56,IF(AK62=AR13,AI64,IF(AK64=AR13,AI64)))))))))))))))))))))))))))))))),"")</f>
        <v/>
      </c>
      <c r="AS29" s="15" t="str">
        <f>IFERROR(IF(AR29="","",VLOOKUP(AR29,LISTAS!$F$5:$G$1004,2,0)),"0")</f>
        <v/>
      </c>
      <c r="AT29" s="15" t="str">
        <f t="shared" si="0"/>
        <v/>
      </c>
      <c r="AU29" s="15" t="str">
        <f t="shared" si="2"/>
        <v/>
      </c>
    </row>
    <row r="30" spans="2:47" ht="18" customHeight="1" x14ac:dyDescent="0.25">
      <c r="B30" s="16"/>
      <c r="C30" s="166"/>
      <c r="D30" s="11"/>
      <c r="E30" s="18"/>
      <c r="F30" s="19"/>
      <c r="G30" s="162" t="str">
        <f>IF(D32&lt;&gt;"",IF(D34&lt;&gt;"",IF(D32=D34,"",IF(D32&gt;D34,C32,C34)),""),"")</f>
        <v>LAURA RAMOS GRIZOLLI</v>
      </c>
      <c r="H30" s="234">
        <v>2</v>
      </c>
      <c r="I30" s="57">
        <f>IF(H30&lt;&gt;"",H30,"")</f>
        <v>2</v>
      </c>
      <c r="J30" s="51" t="str">
        <f>IF(H30&lt;&gt;"",IF(G30="","",G30),"")</f>
        <v>LAURA RAMOS GRIZOLLI</v>
      </c>
      <c r="K30" s="176" t="str">
        <f>VLOOKUP(K28,I28:J30,2,0)</f>
        <v/>
      </c>
      <c r="L30" s="11"/>
      <c r="M30" s="18"/>
      <c r="N30" s="11"/>
      <c r="O30" s="166"/>
      <c r="P30" s="11"/>
      <c r="Q30" s="8"/>
      <c r="R30" s="182"/>
      <c r="S30" s="8"/>
      <c r="T30" s="8"/>
      <c r="U30" s="8"/>
      <c r="V30" s="182"/>
      <c r="W30" s="8"/>
      <c r="X30" s="62"/>
      <c r="Y30" s="182"/>
      <c r="Z30" s="65"/>
      <c r="AA30" s="8"/>
      <c r="AB30" s="11"/>
      <c r="AC30" s="182"/>
      <c r="AD30" s="8"/>
      <c r="AE30" s="64"/>
      <c r="AF30" s="234">
        <v>2</v>
      </c>
      <c r="AG30" s="162" t="str">
        <f>IF(AJ32&lt;&gt;"",IF(AJ34&lt;&gt;"",IF(AJ32=AJ34,"",IF(AJ32&gt;AJ34,AK32,AK34)),""),"")</f>
        <v>MANUELA CORDEIRO DA SILVA LIRA</v>
      </c>
      <c r="AH30" s="66"/>
      <c r="AI30" s="8"/>
      <c r="AJ30" s="11"/>
      <c r="AK30" s="166"/>
      <c r="AL30" s="11"/>
      <c r="AP30" s="13" t="str">
        <f>IF(AR30&lt;&gt;"",1+COUNTIF(AP8:AP29,"1")+COUNTIF(AP8:AP29,"2")+COUNTIF(AP8:AP29,"3")+COUNTIF(AP8:AP29,"4")+COUNTIF(AP8:AP29,"5")+COUNTIF(AP8:AP29,"6")+COUNTIF(AP8:AP29,"7")+COUNTIF(AP8:AP29,"8")+COUNTIF(AP8:AP29,"9")+COUNTIF(AP8:AP29,"10")+COUNTIF(AP8:AP29,"11")+COUNTIF(AP8:AP29,"12")+COUNTIF(AP8:AP29,"13")+COUNTIF(AP8:AP29,"14")+COUNTIF(AP8:AP29,"15")+COUNTIF(AP8:AP29,"16")+COUNTIF(AP8:AP29,"17")+COUNTIF(AP8:AP29,"18")+COUNTIF(AP8:AP29,"19")+COUNTIF(AP8:AP29,"20")+COUNTIF(AP8:AP29,"21")+COUNTIF(AP8:AP29,"22"),"")</f>
        <v/>
      </c>
      <c r="AQ30" s="14" t="str">
        <f t="shared" si="1"/>
        <v/>
      </c>
      <c r="AR30" s="21" t="str">
        <f>IF(AR14&lt;&gt;"",IF(C8=AR14,G10,IF(C10=AR14,G10,IF(C16=AR14,G18,IF(C18=AR14,G18,IF(C38=AR14,G40,IF(C40=AR14,G40,IF(C46=AR14,G48,IF(C48=AR14,G48,IF(C24=AR14,G26,IF(C26=AR14,G26,IF(C32=AR14,G34,IF(C34=AR14,G34,IF(C54=AR14,G56,IF(C56=AR14,G56,IF(C62=AR14,G64,IF(C64=AR14,G64,IF(AK8=AR14,AI10,IF(AK10=AR14,AI10,IF(AK16=AR14,AI18,IF(AK18=AR14,AI18,IF(AK38=AR14,AI40,IF(AK40=AR14,AI40,IF(AK46=AR14,AI48,IF(AK48=AR14,AI48,IF(AK24=AR14,AI26,IF(AK26=AR14,AI26,IF(AK32=AR14,AI34,IF(AK34=AR14,AI34,IF(AK54=AR14,AI56,IF(AK56=AR14,AI56,IF(AK62=AR14,AI64,IF(AK64=AR14,AI64)))))))))))))))))))))))))))))))),"")</f>
        <v/>
      </c>
      <c r="AS30" s="15" t="str">
        <f>IFERROR(IF(AR30="","",VLOOKUP(AR30,LISTAS!$F$5:$G$1004,2,0)),"0")</f>
        <v/>
      </c>
      <c r="AT30" s="15" t="str">
        <f t="shared" si="0"/>
        <v/>
      </c>
      <c r="AU30" s="15" t="str">
        <f t="shared" si="2"/>
        <v/>
      </c>
    </row>
    <row r="31" spans="2:47" ht="18" customHeight="1" thickBot="1" x14ac:dyDescent="0.3">
      <c r="B31" s="16"/>
      <c r="C31" s="166"/>
      <c r="D31" s="11"/>
      <c r="E31" s="18"/>
      <c r="F31" s="11"/>
      <c r="G31" s="165" t="str">
        <f>IFERROR(IF(G30="","",VLOOKUP(G30,LISTAS!$F$5:$G$1004,2,0)),"0")</f>
        <v>ESCOLA VILLARE</v>
      </c>
      <c r="H31" s="235"/>
      <c r="I31" s="51"/>
      <c r="J31" s="51"/>
      <c r="K31" s="176"/>
      <c r="L31" s="11"/>
      <c r="M31" s="18"/>
      <c r="N31" s="11"/>
      <c r="O31" s="166"/>
      <c r="P31" s="11"/>
      <c r="Q31" s="8"/>
      <c r="R31" s="182"/>
      <c r="S31" s="8"/>
      <c r="T31" s="8"/>
      <c r="U31" s="8"/>
      <c r="V31" s="182"/>
      <c r="W31" s="8"/>
      <c r="X31" s="62"/>
      <c r="Y31" s="182"/>
      <c r="Z31" s="65"/>
      <c r="AA31" s="8"/>
      <c r="AB31" s="11"/>
      <c r="AC31" s="182"/>
      <c r="AD31" s="8"/>
      <c r="AE31" s="8"/>
      <c r="AF31" s="235"/>
      <c r="AG31" s="165" t="str">
        <f>IFERROR(IF(AG30="","",VLOOKUP(AG30,LISTAS!$F$5:$G$1004,2,0)),"0")</f>
        <v>COLÉGIO ENGENHEIRO SALVADOR ARENA</v>
      </c>
      <c r="AH31" s="8"/>
      <c r="AI31" s="69"/>
      <c r="AJ31" s="11"/>
      <c r="AK31" s="166"/>
      <c r="AL31" s="11"/>
      <c r="AP31" s="13" t="str">
        <f>IF(AR31&lt;&gt;"",1+COUNTIF(AP8:AP30,"1")+COUNTIF(AP8:AP30,"2")+COUNTIF(AP8:AP30,"3")+COUNTIF(AP8:AP30,"4")+COUNTIF(AP8:AP30,"5")+COUNTIF(AP8:AP30,"6")+COUNTIF(AP8:AP30,"7")+COUNTIF(AP8:AP30,"8")+COUNTIF(AP8:AP30,"9")+COUNTIF(AP8:AP30,"10")+COUNTIF(AP8:AP30,"11")+COUNTIF(AP8:AP30,"12")+COUNTIF(AP8:AP30,"13")+COUNTIF(AP8:AP30,"14")+COUNTIF(AP8:AP30,"15")+COUNTIF(AP8:AP30,"16")+COUNTIF(AP8:AP30,"17")+COUNTIF(AP8:AP30,"18")+COUNTIF(AP8:AP30,"19")+COUNTIF(AP8:AP30,"20")+COUNTIF(AP8:AP30,"21")+COUNTIF(AP8:AP30,"22")+COUNTIF(AP8:AP30,"23"),"")</f>
        <v/>
      </c>
      <c r="AQ31" s="14" t="str">
        <f t="shared" si="1"/>
        <v/>
      </c>
      <c r="AR31" s="21" t="str">
        <f>IF(AR15&lt;&gt;"",IF(C8=AR15,G10,IF(C10=AR15,G10,IF(C16=AR15,G18,IF(C18=AR15,G18,IF(C38=AR15,G40,IF(C40=AR15,G40,IF(C46=AR15,G48,IF(C48=AR15,G48,IF(C24=AR15,G26,IF(C26=AR15,G26,IF(C32=AR15,G34,IF(C34=AR15,G34,IF(C54=AR15,G56,IF(C56=AR15,G56,IF(C62=AR15,G64,IF(C64=AR15,G64,IF(AK8=AR15,AI10,IF(AK10=AR15,AI10,IF(AK16=AR15,AI18,IF(AK18=AR15,AI18,IF(AK38=AR15,AI40,IF(AK40=AR15,AI40,IF(AK46=AR15,AI48,IF(AK48=AR15,AI48,IF(AK24=AR15,AI26,IF(AK26=AR15,AI26,IF(AK32=AR15,AI34,IF(AK34=AR15,AI34,IF(AK54=AR15,AI56,IF(AK56=AR15,AI56,IF(AK62=AR15,AI64,IF(AK64=AR15,AI64)))))))))))))))))))))))))))))))),"")</f>
        <v/>
      </c>
      <c r="AS31" s="15" t="str">
        <f>IFERROR(IF(AR31="","",VLOOKUP(AR31,LISTAS!$F$5:$G$1004,2,0)),"0")</f>
        <v/>
      </c>
      <c r="AT31" s="15" t="str">
        <f t="shared" si="0"/>
        <v/>
      </c>
      <c r="AU31" s="15" t="str">
        <f t="shared" si="2"/>
        <v/>
      </c>
    </row>
    <row r="32" spans="2:47" ht="18" customHeight="1" x14ac:dyDescent="0.25">
      <c r="B32" s="16">
        <v>25</v>
      </c>
      <c r="C32" s="162" t="str">
        <f>IF('11F GRP'!G5&gt;=3,'11F GRP'!J333,IF('11F GRP'!G5=2,"",IF('11F GRP'!G5=1,"","")))</f>
        <v/>
      </c>
      <c r="D32" s="234">
        <v>0</v>
      </c>
      <c r="E32" s="56">
        <f>IF(D32&lt;&gt;"",D32,"")</f>
        <v>0</v>
      </c>
      <c r="F32" s="51" t="str">
        <f>IF(D32&lt;&gt;"",IF(C32="","",C32),"")</f>
        <v/>
      </c>
      <c r="G32" s="176">
        <f>IF(E32&lt;&gt;"",IF(E34&lt;&gt;"",SMALL(E32:E34,1),""),"")</f>
        <v>0</v>
      </c>
      <c r="H32" s="11"/>
      <c r="I32" s="11"/>
      <c r="J32" s="11"/>
      <c r="K32" s="166"/>
      <c r="L32" s="11"/>
      <c r="M32" s="18"/>
      <c r="N32" s="11"/>
      <c r="O32" s="166"/>
      <c r="P32" s="11"/>
      <c r="Q32" s="8"/>
      <c r="R32" s="182"/>
      <c r="S32" s="8"/>
      <c r="T32" s="8"/>
      <c r="U32" s="8"/>
      <c r="V32" s="182"/>
      <c r="W32" s="8"/>
      <c r="X32" s="62"/>
      <c r="Y32" s="182"/>
      <c r="Z32" s="65"/>
      <c r="AA32" s="8"/>
      <c r="AB32" s="11"/>
      <c r="AC32" s="182"/>
      <c r="AD32" s="8"/>
      <c r="AE32" s="8"/>
      <c r="AF32" s="8"/>
      <c r="AG32" s="181">
        <f>IF(AJ32&lt;&gt;"",AJ32,"")</f>
        <v>0</v>
      </c>
      <c r="AH32" s="78" t="str">
        <f>IF(AJ32&lt;&gt;"",IF(AK32="","",AK32),"")</f>
        <v/>
      </c>
      <c r="AI32" s="53">
        <f>IF(AG32&lt;&gt;"",IF(AG34&lt;&gt;"",SMALL(AG32:AG34,1),""),"")</f>
        <v>0</v>
      </c>
      <c r="AJ32" s="234">
        <v>0</v>
      </c>
      <c r="AK32" s="162" t="str">
        <f>IF('11F GRP'!G5&gt;=3,'11F GRP'!J359,IF('11F GRP'!G5=2,"",IF('11F GRP'!G5=1,"","")))</f>
        <v/>
      </c>
      <c r="AL32" s="11">
        <v>27</v>
      </c>
      <c r="AP32" s="13" t="str">
        <f>IF(AR32&lt;&gt;"",1+COUNTIF(AP8:AP31,"1")+COUNTIF(AP8:AP31,"2")+COUNTIF(AP8:AP31,"3")+COUNTIF(AP8:AP31,"4")+COUNTIF(AP8:AP31,"5")+COUNTIF(AP8:AP31,"6")+COUNTIF(AP8:AP31,"7")+COUNTIF(AP8:AP31,"8")+COUNTIF(AP8:AP31,"9")+COUNTIF(AP8:AP31,"10")+COUNTIF(AP8:AP31,"11")+COUNTIF(AP8:AP31,"12")+COUNTIF(AP8:AP31,"13")+COUNTIF(AP8:AP31,"14")+COUNTIF(AP8:AP31,"15")+COUNTIF(AP8:AP31,"16")+COUNTIF(AP8:AP31,"17")+COUNTIF(AP8:AP31,"18")+COUNTIF(AP8:AP31,"19")+COUNTIF(AP8:AP31,"20")+COUNTIF(AP8:AP31,"21")+COUNTIF(AP8:AP31,"22")+COUNTIF(AP8:AP31,"23")+COUNTIF(AP8:AP31,"24"),"")</f>
        <v/>
      </c>
      <c r="AQ32" s="14" t="str">
        <f t="shared" si="1"/>
        <v/>
      </c>
      <c r="AR32" s="21" t="str">
        <f>IF(AR16&lt;&gt;"",IF(C8=AR16,G10,IF(C10=AR16,G10,IF(C16=AR16,G18,IF(C18=AR16,G18,IF(C38=AR16,G40,IF(C40=AR16,G40,IF(C46=AR16,G48,IF(C48=AR16,G48,IF(C24=AR16,G26,IF(C26=AR16,G26,IF(C32=AR16,G34,IF(C34=AR16,G34,IF(C54=AR16,G56,IF(C56=AR16,G56,IF(C62=AR16,G64,IF(C64=AR16,G64,IF(AK8=AR16,AI10,IF(AK10=AR16,AI10,IF(AK16=AR16,AI18,IF(AK18=AR16,AI18,IF(AK38=AR16,AI40,IF(AK40=AR16,AI40,IF(AK46=AR16,AI48,IF(AK48=AR16,AI48,IF(AK24=AR16,AI26,IF(AK26=AR16,AI26,IF(AK32=AR16,AI34,IF(AK34=AR16,AI34,IF(AK54=AR16,AI56,IF(AK56=AR16,AI56,IF(AK62=AR16,AI64,IF(AK64=AR16,AI64)))))))))))))))))))))))))))))))),"")</f>
        <v/>
      </c>
      <c r="AS32" s="15" t="str">
        <f>IFERROR(IF(AR32="","",VLOOKUP(AR32,LISTAS!$F$5:$G$1004,2,0)),"0")</f>
        <v/>
      </c>
      <c r="AT32" s="15" t="str">
        <f t="shared" si="0"/>
        <v/>
      </c>
      <c r="AU32" s="15" t="str">
        <f t="shared" si="2"/>
        <v/>
      </c>
    </row>
    <row r="33" spans="2:47" ht="18" customHeight="1" thickBot="1" x14ac:dyDescent="0.3">
      <c r="B33" s="16"/>
      <c r="C33" s="165" t="str">
        <f>IFERROR(IF(C32="","",VLOOKUP(C32,LISTAS!$F$5:$G$1004,2,0)),"0")</f>
        <v/>
      </c>
      <c r="D33" s="235"/>
      <c r="E33" s="57"/>
      <c r="F33" s="51"/>
      <c r="G33" s="176"/>
      <c r="H33" s="11"/>
      <c r="I33" s="11"/>
      <c r="J33" s="11"/>
      <c r="K33" s="166"/>
      <c r="L33" s="11"/>
      <c r="M33" s="18"/>
      <c r="N33" s="11"/>
      <c r="O33" s="166"/>
      <c r="P33" s="11"/>
      <c r="Q33" s="8"/>
      <c r="R33" s="182"/>
      <c r="S33" s="8"/>
      <c r="T33" s="8"/>
      <c r="U33" s="8"/>
      <c r="V33" s="182"/>
      <c r="W33" s="8"/>
      <c r="X33" s="62"/>
      <c r="Y33" s="182"/>
      <c r="Z33" s="65"/>
      <c r="AA33" s="8"/>
      <c r="AB33" s="11"/>
      <c r="AC33" s="182"/>
      <c r="AD33" s="8"/>
      <c r="AE33" s="8"/>
      <c r="AF33" s="8"/>
      <c r="AG33" s="181"/>
      <c r="AH33" s="78"/>
      <c r="AI33" s="124"/>
      <c r="AJ33" s="235"/>
      <c r="AK33" s="165" t="str">
        <f>IFERROR(IF(AK32="","",VLOOKUP(AK32,LISTAS!$F$5:$G$1004,2,0)),"0")</f>
        <v/>
      </c>
      <c r="AL33" s="11"/>
      <c r="AP33" s="13" t="str">
        <f>IF(AR33&lt;&gt;"",1+COUNTIF(AP8:AP32,"1")+COUNTIF(AP8:AP32,"2")+COUNTIF(AP8:AP32,"3")+COUNTIF(AP8:AP32,"4")+COUNTIF(AP8:AP32,"5")+COUNTIF(AP8:AP32,"6")+COUNTIF(AP8:AP32,"7")+COUNTIF(AP8:AP32,"8")+COUNTIF(AP8:AP32,"9")+COUNTIF(AP8:AP32,"10")+COUNTIF(AP8:AP32,"11")+COUNTIF(AP8:AP32,"12")+COUNTIF(AP8:AP32,"13")+COUNTIF(AP8:AP32,"14")+COUNTIF(AP8:AP32,"15")+COUNTIF(AP8:AP32,"16")+COUNTIF(AP8:AP32,"17")+COUNTIF(AP8:AP32,"18")+COUNTIF(AP8:AP32,"19")+COUNTIF(AP8:AP32,"20")+COUNTIF(AP8:AP32,"21")+COUNTIF(AP8:AP32,"22")+COUNTIF(AP8:AP32,"23")+COUNTIF(AP8:AP32,"24")+COUNTIF(AP8:AP32,"25"),"")</f>
        <v/>
      </c>
      <c r="AQ33" s="14" t="str">
        <f t="shared" si="1"/>
        <v/>
      </c>
      <c r="AR33" s="21" t="str">
        <f>IF(AR17&lt;&gt;"",IF(C8=AR17,G10,IF(C10=AR17,G10,IF(C16=AR17,G18,IF(C18=AR17,G18,IF(C38=AR17,G40,IF(C40=AR17,G40,IF(C46=AR17,G48,IF(C48=AR17,G48,IF(C24=AR17,G26,IF(C26=AR17,G26,IF(C32=AR17,G34,IF(C34=AR17,G34,IF(C54=AR17,G56,IF(C56=AR17,G56,IF(C62=AR17,G64,IF(C64=AR17,G64,IF(AK8=AR17,AI10,IF(AK10=AR17,AI10,IF(AK16=AR17,AI18,IF(AK18=AR17,AI18,IF(AK38=AR17,AI40,IF(AK40=AR17,AI40,IF(AK46=AR17,AI48,IF(AK48=AR17,AI48,IF(AK24=AR17,AI26,IF(AK26=AR17,AI26,IF(AK32=AR17,AI34,IF(AK34=AR17,AI34,IF(AK54=AR17,AI56,IF(AK56=AR17,AI56,IF(AK62=AR17,AI64,IF(AK64=AR17,AI64)))))))))))))))))))))))))))))))),"")</f>
        <v/>
      </c>
      <c r="AS33" s="15" t="str">
        <f>IFERROR(IF(AR33="","",VLOOKUP(AR33,LISTAS!$F$5:$G$1004,2,0)),"0")</f>
        <v/>
      </c>
      <c r="AT33" s="15" t="str">
        <f t="shared" si="0"/>
        <v/>
      </c>
      <c r="AU33" s="15" t="str">
        <f t="shared" si="2"/>
        <v/>
      </c>
    </row>
    <row r="34" spans="2:47" ht="18" customHeight="1" thickBot="1" x14ac:dyDescent="0.3">
      <c r="B34" s="16">
        <v>8</v>
      </c>
      <c r="C34" s="162" t="str">
        <f>IF('11F GRP'!G5&gt;=3,'11F GRP'!J112,IF('11F GRP'!G5=2,"",IF('11F GRP'!G5=1,"","")))</f>
        <v>LAURA RAMOS GRIZOLLI</v>
      </c>
      <c r="D34" s="234">
        <v>2</v>
      </c>
      <c r="E34" s="57">
        <f>IF(D34&lt;&gt;"",D34,"")</f>
        <v>2</v>
      </c>
      <c r="F34" s="51" t="str">
        <f>IF(D34&lt;&gt;"",IF(C34="","",C34),"")</f>
        <v>LAURA RAMOS GRIZOLLI</v>
      </c>
      <c r="G34" s="176" t="str">
        <f>VLOOKUP(G32,E32:F34,2,0)</f>
        <v/>
      </c>
      <c r="H34" s="11"/>
      <c r="I34" s="11"/>
      <c r="J34" s="11"/>
      <c r="K34" s="166"/>
      <c r="L34" s="11"/>
      <c r="M34" s="18"/>
      <c r="N34" s="11"/>
      <c r="O34" s="166"/>
      <c r="P34" s="11"/>
      <c r="Q34" s="8"/>
      <c r="R34" s="236" t="s">
        <v>37</v>
      </c>
      <c r="S34" s="236"/>
      <c r="T34" s="236"/>
      <c r="U34" s="236"/>
      <c r="V34" s="236"/>
      <c r="W34" s="8"/>
      <c r="X34" s="62"/>
      <c r="Y34" s="182"/>
      <c r="Z34" s="65"/>
      <c r="AA34" s="8"/>
      <c r="AB34" s="11"/>
      <c r="AC34" s="182"/>
      <c r="AD34" s="8"/>
      <c r="AE34" s="8"/>
      <c r="AF34" s="8"/>
      <c r="AG34" s="181">
        <f>IF(AJ34&lt;&gt;"",AJ34,"")</f>
        <v>2</v>
      </c>
      <c r="AH34" s="78" t="str">
        <f>IF(AJ34&lt;&gt;"",IF(AK34="","",AK34),"")</f>
        <v>MANUELA CORDEIRO DA SILVA LIRA</v>
      </c>
      <c r="AI34" s="125" t="str">
        <f>VLOOKUP(AI32,AG32:AH34,2,0)</f>
        <v/>
      </c>
      <c r="AJ34" s="234">
        <v>2</v>
      </c>
      <c r="AK34" s="162" t="str">
        <f>IF('11F GRP'!G5&gt;=3,'11F GRP'!J86,IF('11F GRP'!G5=2,"",IF('11F GRP'!G5=1,"","")))</f>
        <v>MANUELA CORDEIRO DA SILVA LIRA</v>
      </c>
      <c r="AL34" s="11">
        <v>6</v>
      </c>
      <c r="AP34" s="13" t="str">
        <f>IF(AR34&lt;&gt;"",1+COUNTIF(AP8:AP33,"1")+COUNTIF(AP8:AP33,"2")+COUNTIF(AP8:AP33,"3")+COUNTIF(AP8:AP33,"4")+COUNTIF(AP8:AP33,"5")+COUNTIF(AP8:AP33,"6")+COUNTIF(AP8:AP33,"7")+COUNTIF(AP8:AP33,"8")+COUNTIF(AP8:AP33,"9")+COUNTIF(AP8:AP33,"10")+COUNTIF(AP8:AP33,"11")+COUNTIF(AP8:AP33,"12")+COUNTIF(AP8:AP33,"13")+COUNTIF(AP8:AP33,"14")+COUNTIF(AP8:AP33,"15")+COUNTIF(AP8:AP33,"16")+COUNTIF(AP8:AP33,"17")+COUNTIF(AP8:AP33,"18")+COUNTIF(AP8:AP33,"19")+COUNTIF(AP8:AP33,"20")+COUNTIF(AP8:AP33,"21")+COUNTIF(AP8:AP33,"22")+COUNTIF(AP8:AP33,"23")+COUNTIF(AP8:AP33,"24")+COUNTIF(AP8:AP33,"25")+COUNTIF(AP8:AP33,"26"),"")</f>
        <v/>
      </c>
      <c r="AQ34" s="14" t="str">
        <f t="shared" si="1"/>
        <v/>
      </c>
      <c r="AR34" s="21" t="str">
        <f>IF(AR18&lt;&gt;"",IF(C8=AR18,G10,IF(C10=AR18,G10,IF(C16=AR18,G18,IF(C18=AR18,G18,IF(C38=AR18,G40,IF(C40=AR18,G40,IF(C46=AR18,G48,IF(C48=AR18,G48,IF(C24=AR18,G26,IF(C26=AR18,G26,IF(C32=AR18,G34,IF(C34=AR18,G34,IF(C54=AR18,G56,IF(C56=AR18,G56,IF(C62=AR18,G64,IF(C64=AR18,G64,IF(AK8=AR18,AI10,IF(AK10=AR18,AI10,IF(AK16=AR18,AI18,IF(AK18=AR18,AI18,IF(AK38=AR18,AI40,IF(AK40=AR18,AI40,IF(AK46=AR18,AI48,IF(AK48=AR18,AI48,IF(AK24=AR18,AI26,IF(AK26=AR18,AI26,IF(AK32=AR18,AI34,IF(AK34=AR18,AI34,IF(AK54=AR18,AI56,IF(AK56=AR18,AI56,IF(AK62=AR18,AI64,IF(AK64=AR18,AI64)))))))))))))))))))))))))))))))),"")</f>
        <v/>
      </c>
      <c r="AS34" s="15" t="str">
        <f>IFERROR(IF(AR34="","",VLOOKUP(AR34,LISTAS!$F$5:$G$1004,2,0)),"0")</f>
        <v/>
      </c>
      <c r="AT34" s="15" t="str">
        <f t="shared" si="0"/>
        <v/>
      </c>
      <c r="AU34" s="15" t="str">
        <f t="shared" si="2"/>
        <v/>
      </c>
    </row>
    <row r="35" spans="2:47" ht="18" customHeight="1" thickBot="1" x14ac:dyDescent="0.3">
      <c r="B35" s="16"/>
      <c r="C35" s="165" t="str">
        <f>IFERROR(IF(C34="","",VLOOKUP(C34,LISTAS!$F$5:$G$1004,2,0)),"0")</f>
        <v>ESCOLA VILLARE</v>
      </c>
      <c r="D35" s="235"/>
      <c r="E35" s="51"/>
      <c r="F35" s="51"/>
      <c r="G35" s="176"/>
      <c r="H35" s="11"/>
      <c r="I35" s="11"/>
      <c r="J35" s="11"/>
      <c r="K35" s="166"/>
      <c r="L35" s="11"/>
      <c r="M35" s="18"/>
      <c r="N35" s="11"/>
      <c r="O35" s="162" t="str">
        <f>IF(L20&lt;&gt;"",IF(L22&lt;&gt;"",IF(L20=L22,"",IF(L20&gt;L22,K20,K22)),""),"")</f>
        <v>JÚLIA DE OLIVEIRA COMETTI</v>
      </c>
      <c r="P35" s="234">
        <v>0</v>
      </c>
      <c r="Q35" s="8"/>
      <c r="R35" s="167"/>
      <c r="S35" s="71"/>
      <c r="T35" s="71"/>
      <c r="U35" s="71"/>
      <c r="V35" s="167"/>
      <c r="W35" s="8"/>
      <c r="X35" s="234">
        <v>0</v>
      </c>
      <c r="Y35" s="162" t="str">
        <f>IF(AB20&lt;&gt;"",IF(AB22&lt;&gt;"",IF(AB20=AB22,"",IF(AB20&gt;AB22,AC20,AC22)),""),"")</f>
        <v>MANUELA CORDEIRO DA SILVA LIRA</v>
      </c>
      <c r="Z35" s="65"/>
      <c r="AA35" s="8"/>
      <c r="AB35" s="11"/>
      <c r="AC35" s="182"/>
      <c r="AD35" s="8"/>
      <c r="AE35" s="8"/>
      <c r="AF35" s="8"/>
      <c r="AG35" s="181"/>
      <c r="AH35" s="78"/>
      <c r="AI35" s="51"/>
      <c r="AJ35" s="235"/>
      <c r="AK35" s="165" t="str">
        <f>IFERROR(IF(AK34="","",VLOOKUP(AK34,LISTAS!$F$5:$G$1004,2,0)),"0")</f>
        <v>COLÉGIO ENGENHEIRO SALVADOR ARENA</v>
      </c>
      <c r="AL35" s="11"/>
      <c r="AP35" s="13" t="str">
        <f>IF(AR35&lt;&gt;"",1+COUNTIF(AP8:AP34,"1")+COUNTIF(AP8:AP34,"2")+COUNTIF(AP8:AP34,"3")+COUNTIF(AP8:AP34,"4")+COUNTIF(AP8:AP34,"5")+COUNTIF(AP8:AP34,"6")+COUNTIF(AP8:AP34,"7")+COUNTIF(AP8:AP34,"8")+COUNTIF(AP8:AP34,"9")+COUNTIF(AP8:AP34,"10")+COUNTIF(AP8:AP34,"11")+COUNTIF(AP8:AP34,"12")+COUNTIF(AP8:AP34,"13")+COUNTIF(AP8:AP34,"14")+COUNTIF(AP8:AP34,"15")+COUNTIF(AP8:AP34,"16")+COUNTIF(AP8:AP34,"17")+COUNTIF(AP8:AP34,"18")+COUNTIF(AP8:AP34,"19")+COUNTIF(AP8:AP34,"20")+COUNTIF(AP8:AP34,"21")+COUNTIF(AP8:AP34,"22")+COUNTIF(AP8:AP34,"23")+COUNTIF(AP8:AP34,"24")+COUNTIF(AP8:AP34,"25")+COUNTIF(AP8:AP34,"26")+COUNTIF(AP8:AP34,"27"),"")</f>
        <v/>
      </c>
      <c r="AQ35" s="14" t="str">
        <f t="shared" si="1"/>
        <v/>
      </c>
      <c r="AR35" s="21" t="str">
        <f>IF(AR19&lt;&gt;"",IF(C8=AR19,G10,IF(C10=AR19,G10,IF(C16=AR19,G18,IF(C18=AR19,G18,IF(C38=AR19,G40,IF(C40=AR19,G40,IF(C46=AR19,G48,IF(C48=AR19,G48,IF(C24=AR19,G26,IF(C26=AR19,G26,IF(C32=AR19,G34,IF(C34=AR19,G34,IF(C54=AR19,G56,IF(C56=AR19,G56,IF(C62=AR19,G64,IF(C64=AR19,G64,IF(AK8=AR19,AI10,IF(AK10=AR19,AI10,IF(AK16=AR19,AI18,IF(AK18=AR19,AI18,IF(AK38=AR19,AI40,IF(AK40=AR19,AI40,IF(AK46=AR19,AI48,IF(AK48=AR19,AI48,IF(AK24=AR19,AI26,IF(AK26=AR19,AI26,IF(AK32=AR19,AI34,IF(AK34=AR19,AI34,IF(AK54=AR19,AI56,IF(AK56=AR19,AI56,IF(AK62=AR19,AI64,IF(AK64=AR19,AI64)))))))))))))))))))))))))))))))),"")</f>
        <v/>
      </c>
      <c r="AS35" s="15" t="str">
        <f>IFERROR(IF(AR35="","",VLOOKUP(AR35,LISTAS!$F$5:$G$1004,2,0)),"0")</f>
        <v/>
      </c>
      <c r="AT35" s="15" t="str">
        <f t="shared" si="0"/>
        <v/>
      </c>
      <c r="AU35" s="15" t="str">
        <f t="shared" si="2"/>
        <v/>
      </c>
    </row>
    <row r="36" spans="2:47" ht="18" customHeight="1" thickBot="1" x14ac:dyDescent="0.3">
      <c r="B36" s="16"/>
      <c r="C36" s="166"/>
      <c r="D36" s="11"/>
      <c r="E36" s="11"/>
      <c r="F36" s="11"/>
      <c r="G36" s="166"/>
      <c r="H36" s="11"/>
      <c r="I36" s="11"/>
      <c r="J36" s="11"/>
      <c r="K36" s="166"/>
      <c r="L36" s="11"/>
      <c r="M36" s="18"/>
      <c r="N36" s="11"/>
      <c r="O36" s="165" t="str">
        <f>IFERROR(IF(O35="","",VLOOKUP(O35,LISTAS!$F$5:$G$1004,2,0)),"0")</f>
        <v>COLEGIO PETROPOLIS</v>
      </c>
      <c r="P36" s="235"/>
      <c r="Q36" s="8"/>
      <c r="R36" s="162" t="str">
        <f>IF(P35&lt;&gt;"",IF(P37&lt;&gt;"",IF(P35=P37,"",IF(P35&gt;P37,O35,O37)),""),"")</f>
        <v>BEATRIZ DELPOIO DE ARAÚJO</v>
      </c>
      <c r="S36" s="234">
        <v>0</v>
      </c>
      <c r="T36" s="237" t="s">
        <v>38</v>
      </c>
      <c r="U36" s="234">
        <v>1</v>
      </c>
      <c r="V36" s="162" t="str">
        <f>IF(X35&lt;&gt;"",IF(X37&lt;&gt;"",IF(X35=X37,"",IF(X35&gt;X37,Y35,Y37)),""),"")</f>
        <v>HELENA VERAS CASTRO</v>
      </c>
      <c r="W36" s="112"/>
      <c r="X36" s="235"/>
      <c r="Y36" s="165" t="str">
        <f>IFERROR(IF(Y35="","",VLOOKUP(Y35,LISTAS!$F$5:$G$1004,2,0)),"0")</f>
        <v>COLÉGIO ENGENHEIRO SALVADOR ARENA</v>
      </c>
      <c r="Z36" s="112"/>
      <c r="AA36" s="8"/>
      <c r="AB36" s="11"/>
      <c r="AC36" s="182"/>
      <c r="AD36" s="8"/>
      <c r="AE36" s="8"/>
      <c r="AF36" s="8"/>
      <c r="AG36" s="182"/>
      <c r="AH36" s="8"/>
      <c r="AI36" s="8"/>
      <c r="AJ36" s="11"/>
      <c r="AK36" s="166"/>
      <c r="AL36" s="11"/>
      <c r="AP36" s="13" t="str">
        <f>IF(AR36&lt;&gt;"",1+COUNTIF(AP8:AP35,"1")+COUNTIF(AP8:AP35,"2")+COUNTIF(AP8:AP35,"3")+COUNTIF(AP8:AP35,"4")+COUNTIF(AP8:AP35,"5")+COUNTIF(AP8:AP35,"6")+COUNTIF(AP8:AP35,"7")+COUNTIF(AP8:AP35,"8")+COUNTIF(AP8:AP35,"9")+COUNTIF(AP8:AP35,"10")+COUNTIF(AP8:AP35,"11")+COUNTIF(AP8:AP35,"12")+COUNTIF(AP8:AP35,"13")+COUNTIF(AP8:AP35,"14")+COUNTIF(AP8:AP35,"15")+COUNTIF(AP8:AP35,"16")+COUNTIF(AP8:AP35,"17")+COUNTIF(AP8:AP35,"18")+COUNTIF(AP8:AP35,"19")+COUNTIF(AP8:AP35,"20")+COUNTIF(AP8:AP35,"21")+COUNTIF(AP8:AP35,"22")+COUNTIF(AP8:AP35,"23")+COUNTIF(AP8:AP35,"24")+COUNTIF(AP8:AP35,"25")+COUNTIF(AP8:AP35,"26")+COUNTIF(AP8:AP35,"27")+COUNTIF(AP8:AP35,"28"),"")</f>
        <v/>
      </c>
      <c r="AQ36" s="14" t="str">
        <f t="shared" si="1"/>
        <v/>
      </c>
      <c r="AR36" s="21" t="str">
        <f>IF(AR20&lt;&gt;"",IF(C8=AR20,G10,IF(C10=AR20,G10,IF(C16=AR20,G18,IF(C18=AR20,G18,IF(C38=AR20,G40,IF(C40=AR20,G40,IF(C46=AR20,G48,IF(C48=AR20,G48,IF(C24=AR20,G26,IF(C26=AR20,G26,IF(C32=AR20,G34,IF(C34=AR20,G34,IF(C54=AR20,G56,IF(C56=AR20,G56,IF(C62=AR20,G64,IF(C64=AR20,G64,IF(AK8=AR20,AI10,IF(AK10=AR20,AI10,IF(AK16=AR20,AI18,IF(AK18=AR20,AI18,IF(AK38=AR20,AI40,IF(AK40=AR20,AI40,IF(AK46=AR20,AI48,IF(AK48=AR20,AI48,IF(AK24=AR20,AI26,IF(AK26=AR20,AI26,IF(AK32=AR20,AI34,IF(AK34=AR20,AI34,IF(AK54=AR20,AI56,IF(AK56=AR20,AI56,IF(AK62=AR20,AI64,IF(AK64=AR20,AI64)))))))))))))))))))))))))))))))),"")</f>
        <v/>
      </c>
      <c r="AS36" s="15" t="str">
        <f>IFERROR(IF(AR36="","",VLOOKUP(AR36,LISTAS!$F$5:$G$1004,2,0)),"0")</f>
        <v/>
      </c>
      <c r="AT36" s="15" t="str">
        <f t="shared" si="0"/>
        <v/>
      </c>
      <c r="AU36" s="15" t="str">
        <f t="shared" si="2"/>
        <v/>
      </c>
    </row>
    <row r="37" spans="2:47" ht="18" customHeight="1" thickBot="1" x14ac:dyDescent="0.3">
      <c r="B37" s="16"/>
      <c r="C37" s="166"/>
      <c r="D37" s="11"/>
      <c r="E37" s="11"/>
      <c r="F37" s="11"/>
      <c r="G37" s="166"/>
      <c r="H37" s="11"/>
      <c r="I37" s="11"/>
      <c r="J37" s="11"/>
      <c r="K37" s="166"/>
      <c r="L37" s="11"/>
      <c r="M37" s="18"/>
      <c r="N37" s="19"/>
      <c r="O37" s="162" t="str">
        <f>IF(L50&lt;&gt;"",IF(L52&lt;&gt;"",IF(L50=L52,"",IF(L50&gt;L52,K50,K52)),""),"")</f>
        <v>BEATRIZ DELPOIO DE ARAÚJO</v>
      </c>
      <c r="P37" s="234">
        <v>1</v>
      </c>
      <c r="Q37" s="72"/>
      <c r="R37" s="165" t="str">
        <f>IFERROR(IF(R36="","",VLOOKUP(R36,LISTAS!$F$5:$G$1004,2,0)),"0")</f>
        <v>LICEU JARDIM</v>
      </c>
      <c r="S37" s="235"/>
      <c r="T37" s="237"/>
      <c r="U37" s="235"/>
      <c r="V37" s="165" t="str">
        <f>IFERROR(IF(V36="","",VLOOKUP(V36,LISTAS!$F$5:$G$1004,2,0)),"0")</f>
        <v>COLÉGIO BANDEIRANTES</v>
      </c>
      <c r="W37" s="66"/>
      <c r="X37" s="234">
        <v>1</v>
      </c>
      <c r="Y37" s="162" t="str">
        <f>IF(AB50&lt;&gt;"",IF(AB52&lt;&gt;"",IF(AB50=AB52,"",IF(AB50&gt;AB52,AC50,AC52)),""),"")</f>
        <v>HELENA VERAS CASTRO</v>
      </c>
      <c r="Z37" s="66"/>
      <c r="AA37" s="8"/>
      <c r="AB37" s="11"/>
      <c r="AC37" s="182"/>
      <c r="AD37" s="8"/>
      <c r="AE37" s="8"/>
      <c r="AF37" s="8"/>
      <c r="AG37" s="182"/>
      <c r="AH37" s="8"/>
      <c r="AI37" s="8"/>
      <c r="AJ37" s="11"/>
      <c r="AK37" s="166"/>
      <c r="AL37" s="11"/>
      <c r="AP37" s="13" t="str">
        <f>IF(AR37&lt;&gt;"",1+COUNTIF(AP8:AP36,"1")+COUNTIF(AP8:AP36,"2")+COUNTIF(AP8:AP36,"3")+COUNTIF(AP8:AP36,"4")+COUNTIF(AP8:AP36,"5")+COUNTIF(AP8:AP36,"6")+COUNTIF(AP8:AP36,"7")+COUNTIF(AP8:AP36,"8")+COUNTIF(AP8:AP36,"9")+COUNTIF(AP8:AP36,"10")+COUNTIF(AP8:AP36,"11")+COUNTIF(AP8:AP36,"12")+COUNTIF(AP8:AP36,"13")+COUNTIF(AP8:AP36,"14")+COUNTIF(AP8:AP36,"15")+COUNTIF(AP8:AP36,"16")+COUNTIF(AP8:AP36,"17")+COUNTIF(AP8:AP36,"18")+COUNTIF(AP8:AP36,"19")+COUNTIF(AP8:AP36,"20")+COUNTIF(AP8:AP36,"21")+COUNTIF(AP8:AP36,"22")+COUNTIF(AP8:AP36,"23")+COUNTIF(AP8:AP36,"24")+COUNTIF(AP8:AP36,"25")+COUNTIF(AP8:AP36,"26")+COUNTIF(AP8:AP36,"27")+COUNTIF(AP8:AP36,"28")+COUNTIF(AP8:AP36,"29"),"")</f>
        <v/>
      </c>
      <c r="AQ37" s="14" t="str">
        <f t="shared" si="1"/>
        <v/>
      </c>
      <c r="AR37" s="21" t="str">
        <f>IF(AR21&lt;&gt;"",IF(C8=AR21,G10,IF(C10=AR21,G10,IF(C16=AR21,G18,IF(C18=AR21,G18,IF(C38=AR21,G40,IF(C40=AR21,G40,IF(C46=AR21,G48,IF(C48=AR21,G48,IF(C24=AR21,G26,IF(C26=AR21,G26,IF(C32=AR21,G34,IF(C34=AR21,G34,IF(C54=AR21,G56,IF(C56=AR21,G56,IF(C62=AR21,G64,IF(C64=AR21,G64,IF(AK8=AR21,AI10,IF(AK10=AR21,AI10,IF(AK16=AR21,AI18,IF(AK18=AR21,AI18,IF(AK38=AR21,AI40,IF(AK40=AR21,AI40,IF(AK46=AR21,AI48,IF(AK48=AR21,AI48,IF(AK24=AR21,AI26,IF(AK26=AR21,AI26,IF(AK32=AR21,AI34,IF(AK34=AR21,AI34,IF(AK54=AR21,AI56,IF(AK56=AR21,AI56,IF(AK62=AR21,AI64,IF(AK64=AR21,AI64)))))))))))))))))))))))))))))))),"")</f>
        <v/>
      </c>
      <c r="AS37" s="15" t="str">
        <f>IFERROR(IF(AR37="","",VLOOKUP(AR37,LISTAS!$F$5:$G$1004,2,0)),"0")</f>
        <v/>
      </c>
      <c r="AT37" s="15" t="str">
        <f t="shared" si="0"/>
        <v/>
      </c>
      <c r="AU37" s="15" t="str">
        <f t="shared" si="2"/>
        <v/>
      </c>
    </row>
    <row r="38" spans="2:47" ht="18" customHeight="1" thickBot="1" x14ac:dyDescent="0.3">
      <c r="B38" s="16">
        <v>5</v>
      </c>
      <c r="C38" s="162" t="str">
        <f>IF('11F GRP'!G5&gt;=3,'11F GRP'!J73,IF('11F GRP'!G5=2,"",IF('11F GRP'!G5=1,'11F GRP'!J12,"")))</f>
        <v>LARISSA MARQUES FURTADO</v>
      </c>
      <c r="D38" s="234">
        <v>2</v>
      </c>
      <c r="E38" s="51">
        <f>IF(D38&lt;&gt;"",D38,"")</f>
        <v>2</v>
      </c>
      <c r="F38" s="51" t="str">
        <f>IF(D38&lt;&gt;"",IF(C38="","",C38),"")</f>
        <v>LARISSA MARQUES FURTADO</v>
      </c>
      <c r="G38" s="176">
        <f>IF(E38&lt;&gt;"",IF(E40&lt;&gt;"",SMALL(E38:E40,1),""),"")</f>
        <v>0</v>
      </c>
      <c r="H38" s="11"/>
      <c r="I38" s="11"/>
      <c r="J38" s="11"/>
      <c r="K38" s="166"/>
      <c r="L38" s="11"/>
      <c r="M38" s="18"/>
      <c r="N38" s="8"/>
      <c r="O38" s="165" t="str">
        <f>IFERROR(IF(O37="","",VLOOKUP(O37,LISTAS!$F$5:$G$1004,2,0)),"0")</f>
        <v>LICEU JARDIM</v>
      </c>
      <c r="P38" s="235"/>
      <c r="Q38" s="60"/>
      <c r="R38" s="182"/>
      <c r="S38" s="8"/>
      <c r="T38" s="8"/>
      <c r="U38" s="8"/>
      <c r="V38" s="182"/>
      <c r="W38" s="8"/>
      <c r="X38" s="235"/>
      <c r="Y38" s="165" t="str">
        <f>IFERROR(IF(Y37="","",VLOOKUP(Y37,LISTAS!$F$5:$G$1004,2,0)),"0")</f>
        <v>COLÉGIO BANDEIRANTES</v>
      </c>
      <c r="Z38" s="65"/>
      <c r="AA38" s="8"/>
      <c r="AB38" s="11"/>
      <c r="AC38" s="182"/>
      <c r="AD38" s="8"/>
      <c r="AE38" s="8"/>
      <c r="AF38" s="8"/>
      <c r="AG38" s="181">
        <f>IF(AJ38&lt;&gt;"",AJ38,"")</f>
        <v>2</v>
      </c>
      <c r="AH38" s="78" t="str">
        <f>IF(AJ38&lt;&gt;"",IF(AK38="","",AK38),"")</f>
        <v>HELENA VERAS CASTRO</v>
      </c>
      <c r="AI38" s="51">
        <f>IF(AG38&lt;&gt;"",IF(AG40&lt;&gt;"",SMALL(AG38:AG40,1),""),"")</f>
        <v>0</v>
      </c>
      <c r="AJ38" s="234">
        <v>2</v>
      </c>
      <c r="AK38" s="162" t="str">
        <f>IF('11F GRP'!G5&gt;=3,'11F GRP'!J99,IF('11F GRP'!G5=2,"",IF('11F GRP'!G5=1,"","")))</f>
        <v>HELENA VERAS CASTRO</v>
      </c>
      <c r="AL38" s="11">
        <v>7</v>
      </c>
      <c r="AP38" s="13" t="str">
        <f>IF(AR38&lt;&gt;"",1+COUNTIF(AP8:AP37,"1")+COUNTIF(AP8:AP37,"2")+COUNTIF(AP8:AP37,"3")+COUNTIF(AP8:AP37,"4")+COUNTIF(AP8:AP37,"5")+COUNTIF(AP8:AP37,"6")+COUNTIF(AP8:AP37,"7")+COUNTIF(AP8:AP37,"8")+COUNTIF(AP8:AP37,"9")+COUNTIF(AP8:AP37,"10")+COUNTIF(AP8:AP37,"11")+COUNTIF(AP8:AP37,"12")+COUNTIF(AP8:AP37,"13")+COUNTIF(AP8:AP37,"14")+COUNTIF(AP8:AP37,"15")+COUNTIF(AP8:AP37,"16")+COUNTIF(AP8:AP37,"17")+COUNTIF(AP8:AP37,"18")+COUNTIF(AP8:AP37,"19")+COUNTIF(AP8:AP37,"20")+COUNTIF(AP8:AP37,"21")+COUNTIF(AP8:AP37,"22")+COUNTIF(AP8:AP37,"23")+COUNTIF(AP8:AP37,"24")+COUNTIF(AP8:AP37,"25")+COUNTIF(AP8:AP37,"26")+COUNTIF(AP8:AP37,"27")+COUNTIF(AP8:AP37,"28")+COUNTIF(AP8:AP37,"29")+COUNTIF(AP8:AP37,"30"),"")</f>
        <v/>
      </c>
      <c r="AQ38" s="14" t="str">
        <f t="shared" si="1"/>
        <v/>
      </c>
      <c r="AR38" s="21" t="str">
        <f>IF(AR22&lt;&gt;"",IF(C8=AR22,G10,IF(C10=AR22,G10,IF(C16=AR22,G18,IF(C18=AR22,G18,IF(C38=AR22,G40,IF(C40=AR22,G40,IF(C46=AR22,G48,IF(C48=AR22,G48,IF(C24=AR22,G26,IF(C26=AR22,G26,IF(C32=AR22,G34,IF(C34=AR22,G34,IF(C54=AR22,G56,IF(C56=AR22,G56,IF(C62=AR22,G64,IF(C64=AR22,G64,IF(AK8=AR22,AI10,IF(AK10=AR22,AI10,IF(AK16=AR22,AI18,IF(AK18=AR22,AI18,IF(AK38=AR22,AI40,IF(AK40=AR22,AI40,IF(AK46=AR22,AI48,IF(AK48=AR22,AI48,IF(AK24=AR22,AI26,IF(AK26=AR22,AI26,IF(AK32=AR22,AI34,IF(AK34=AR22,AI34,IF(AK54=AR22,AI56,IF(AK56=AR22,AI56,IF(AK62=AR22,AI64,IF(AK64=AR22,AI64)))))))))))))))))))))))))))))))),"")</f>
        <v/>
      </c>
      <c r="AS38" s="15" t="str">
        <f>IFERROR(IF(AR38="","",VLOOKUP(AR38,LISTAS!$F$5:$G$1004,2,0)),"0")</f>
        <v/>
      </c>
      <c r="AT38" s="15" t="str">
        <f t="shared" si="0"/>
        <v/>
      </c>
      <c r="AU38" s="15" t="str">
        <f t="shared" si="2"/>
        <v/>
      </c>
    </row>
    <row r="39" spans="2:47" ht="18" customHeight="1" thickBot="1" x14ac:dyDescent="0.3">
      <c r="B39" s="16"/>
      <c r="C39" s="165" t="str">
        <f>IFERROR(IF(C38="","",VLOOKUP(C38,LISTAS!$F$5:$G$1004,2,0)),"0")</f>
        <v>IEBURIX -SBC</v>
      </c>
      <c r="D39" s="235"/>
      <c r="E39" s="51"/>
      <c r="F39" s="51"/>
      <c r="G39" s="176"/>
      <c r="H39" s="11"/>
      <c r="I39" s="11"/>
      <c r="J39" s="11"/>
      <c r="K39" s="166"/>
      <c r="L39" s="11"/>
      <c r="M39" s="54"/>
      <c r="N39" s="78"/>
      <c r="O39" s="181"/>
      <c r="P39" s="78"/>
      <c r="Q39" s="78"/>
      <c r="R39" s="182"/>
      <c r="S39" s="8"/>
      <c r="T39" s="8"/>
      <c r="U39" s="8"/>
      <c r="V39" s="182"/>
      <c r="W39" s="8"/>
      <c r="X39" s="62"/>
      <c r="Y39" s="182"/>
      <c r="Z39" s="65"/>
      <c r="AA39" s="8"/>
      <c r="AB39" s="11"/>
      <c r="AC39" s="182"/>
      <c r="AD39" s="8"/>
      <c r="AE39" s="8"/>
      <c r="AF39" s="8"/>
      <c r="AG39" s="181"/>
      <c r="AH39" s="78"/>
      <c r="AI39" s="51"/>
      <c r="AJ39" s="235"/>
      <c r="AK39" s="165" t="str">
        <f>IFERROR(IF(AK38="","",VLOOKUP(AK38,LISTAS!$F$5:$G$1004,2,0)),"0")</f>
        <v>COLÉGIO BANDEIRANTES</v>
      </c>
      <c r="AL39" s="11"/>
      <c r="AP39" s="13" t="str">
        <f>IF(AR39&lt;&gt;"",1+COUNTIF(AP8:AP38,"1")+COUNTIF(AP8:AP38,"2")+COUNTIF(AP8:AP38,"3")+COUNTIF(AP8:AP38,"4")+COUNTIF(AP8:AP38,"5")+COUNTIF(AP8:AP38,"6")+COUNTIF(AP8:AP38,"7")+COUNTIF(AP8:AP38,"8")+COUNTIF(AP8:AP38,"9")+COUNTIF(AP8:AP38,"10")+COUNTIF(AP8:AP38,"11")+COUNTIF(AP8:AP38,"12")+COUNTIF(AP8:AP38,"13")+COUNTIF(AP8:AP38,"14")+COUNTIF(AP8:AP38,"15")+COUNTIF(AP8:AP38,"16")+COUNTIF(AP8:AP38,"17")+COUNTIF(AP8:AP38,"18")+COUNTIF(AP8:AP38,"19")+COUNTIF(AP8:AP38,"20")+COUNTIF(AP8:AP38,"21")+COUNTIF(AP8:AP38,"22")+COUNTIF(AP8:AP38,"23")+COUNTIF(AP8:AP38,"24")+COUNTIF(AP8:AP38,"25")+COUNTIF(AP8:AP38,"26")+COUNTIF(AP8:AP38,"27")+COUNTIF(AP8:AP38,"28")+COUNTIF(AP8:AP38,"29")+COUNTIF(AP8:AP38,"30")+COUNTIF(AP8:AP38,"31"),"")</f>
        <v/>
      </c>
      <c r="AQ39" s="14" t="str">
        <f t="shared" si="1"/>
        <v/>
      </c>
      <c r="AR39" s="21" t="str">
        <f>IF(AR23&lt;&gt;"",IF(C8=AR23,G10,IF(C10=AR23,G10,IF(C16=AR23,G18,IF(C18=AR23,G18,IF(C38=AR23,G40,IF(C40=AR23,G40,IF(C46=AR23,G48,IF(C48=AR23,G48,IF(C24=AR23,G26,IF(C26=AR23,G26,IF(C32=AR23,G34,IF(C34=AR23,G34,IF(C54=AR23,G56,IF(C56=AR23,G56,IF(C62=AR23,G64,IF(C64=AR23,G64,IF(AK8=AR23,AI10,IF(AK10=AR23,AI10,IF(AK16=AR23,AI18,IF(AK18=AR23,AI18,IF(AK38=AR23,AI40,IF(AK40=AR23,AI40,IF(AK46=AR23,AI48,IF(AK48=AR23,AI48,IF(AK24=AR23,AI26,IF(AK26=AR23,AI26,IF(AK32=AR23,AI34,IF(AK34=AR23,AI34,IF(AK54=AR23,AI56,IF(AK56=AR23,AI56,IF(AK62=AR23,AI64,IF(AK64=AR23,AI64)))))))))))))))))))))))))))))))),"")</f>
        <v/>
      </c>
      <c r="AS39" s="15" t="str">
        <f>IFERROR(IF(AR39="","",VLOOKUP(AR39,LISTAS!$F$5:$G$1004,2,0)),"0")</f>
        <v/>
      </c>
      <c r="AT39" s="15" t="str">
        <f>IF(AP39="","",IF(AP39=1,400,IF(AP39=2,340,IF(AP39=3,300,IF(AP39=4,280,IF(AP39=5,270,IF(AP39=6,260,IF(AP39=7,250,IF(AP39=8,240,IF(AP39=9,200,IF(AP39=10,200,IF(AP39=11,200,IF(AP39=12,200,IF(AP39=13,200,IF(AP39=14,200,IF(AP39=15,200,IF(AP39=16,200,IF(AP39&gt;16,"",""))))))))))))))))))</f>
        <v/>
      </c>
      <c r="AU39" s="15" t="str">
        <f>IF(AP39="","",IF($AS$5="NÃO","",IF(AP39=1,400,IF(AP39=2,340,IF(AP39=3,300,IF(AP39=4,280,IF(AP39=5,270,IF(AP39=6,260,IF(AP39=7,250,IF(AP39=8,240,IF(AP39=9,200,IF(AP39=10,200,IF(AP39=11,200,IF(AP39=12,200,IF(AP39=13,200,IF(AP39=14,200,IF(AP39=15,200,IF(AP39=16,200,IF(AP39&gt;16,"","")))))))))))))))))))</f>
        <v/>
      </c>
    </row>
    <row r="40" spans="2:47" ht="18" customHeight="1" x14ac:dyDescent="0.25">
      <c r="B40" s="16">
        <v>28</v>
      </c>
      <c r="C40" s="162" t="str">
        <f>IF('11F GRP'!G5&gt;=3,'11F GRP'!J372,IF('11F GRP'!G5=2,"",IF('11F GRP'!G5=1,"","")))</f>
        <v/>
      </c>
      <c r="D40" s="234">
        <v>0</v>
      </c>
      <c r="E40" s="52">
        <f>IF(D40&lt;&gt;"",D40,"")</f>
        <v>0</v>
      </c>
      <c r="F40" s="51" t="str">
        <f>IF(D40&lt;&gt;"",IF(C40="","",C40),"")</f>
        <v/>
      </c>
      <c r="G40" s="176" t="str">
        <f>VLOOKUP(G38,E38:F40,2,0)</f>
        <v/>
      </c>
      <c r="H40" s="11"/>
      <c r="I40" s="11"/>
      <c r="J40" s="11"/>
      <c r="K40" s="166"/>
      <c r="L40" s="11"/>
      <c r="M40" s="54"/>
      <c r="N40" s="51">
        <f>IF(P35&lt;&gt;"",P35,"")</f>
        <v>0</v>
      </c>
      <c r="O40" s="176" t="str">
        <f>IF(P35&lt;&gt;"",O35,"")</f>
        <v>JÚLIA DE OLIVEIRA COMETTI</v>
      </c>
      <c r="P40" s="51">
        <f>IF(N40&lt;&gt;"",IF(N42&lt;&gt;"",LARGE(N40:N42,1),""),"")</f>
        <v>1</v>
      </c>
      <c r="Q40" s="78"/>
      <c r="R40" s="182"/>
      <c r="S40" s="8"/>
      <c r="T40" s="8"/>
      <c r="U40" s="8"/>
      <c r="V40" s="182"/>
      <c r="W40" s="8"/>
      <c r="X40" s="62"/>
      <c r="Y40" s="182"/>
      <c r="Z40" s="65"/>
      <c r="AA40" s="8"/>
      <c r="AB40" s="11"/>
      <c r="AC40" s="182"/>
      <c r="AD40" s="8"/>
      <c r="AE40" s="8"/>
      <c r="AF40" s="8"/>
      <c r="AG40" s="181">
        <f>IF(AJ40&lt;&gt;"",AJ40,"")</f>
        <v>0</v>
      </c>
      <c r="AH40" s="78" t="str">
        <f>IF(AJ40&lt;&gt;"",IF(AK40="","",AK40),"")</f>
        <v/>
      </c>
      <c r="AI40" s="55" t="str">
        <f>VLOOKUP(AI38,AG38:AH40,2,0)</f>
        <v/>
      </c>
      <c r="AJ40" s="234">
        <v>0</v>
      </c>
      <c r="AK40" s="162" t="str">
        <f>IF('11F GRP'!G5&gt;=3,'11F GRP'!J346,IF('11F GRP'!G5=2,"",IF('11F GRP'!G5=1,"","")))</f>
        <v/>
      </c>
      <c r="AL40" s="11">
        <v>26</v>
      </c>
    </row>
    <row r="41" spans="2:47" ht="18" customHeight="1" thickBot="1" x14ac:dyDescent="0.3">
      <c r="B41" s="16"/>
      <c r="C41" s="165" t="str">
        <f>IFERROR(IF(C40="","",VLOOKUP(C40,LISTAS!$F$5:$G$1004,2,0)),"0")</f>
        <v/>
      </c>
      <c r="D41" s="235"/>
      <c r="E41" s="128"/>
      <c r="F41" s="51"/>
      <c r="G41" s="176"/>
      <c r="H41" s="11"/>
      <c r="I41" s="11"/>
      <c r="J41" s="11"/>
      <c r="K41" s="166"/>
      <c r="L41" s="11"/>
      <c r="M41" s="54"/>
      <c r="N41" s="51"/>
      <c r="O41" s="176"/>
      <c r="P41" s="51"/>
      <c r="Q41" s="78"/>
      <c r="R41" s="182"/>
      <c r="S41" s="8"/>
      <c r="T41" s="8"/>
      <c r="U41" s="8"/>
      <c r="V41" s="182"/>
      <c r="W41" s="8"/>
      <c r="X41" s="62"/>
      <c r="Y41" s="182"/>
      <c r="Z41" s="65"/>
      <c r="AA41" s="8"/>
      <c r="AB41" s="11"/>
      <c r="AC41" s="182"/>
      <c r="AD41" s="8"/>
      <c r="AE41" s="8"/>
      <c r="AF41" s="8"/>
      <c r="AG41" s="181"/>
      <c r="AH41" s="78"/>
      <c r="AI41" s="123"/>
      <c r="AJ41" s="235"/>
      <c r="AK41" s="165" t="str">
        <f>IFERROR(IF(AK40="","",VLOOKUP(AK40,LISTAS!$F$5:$G$1004,2,0)),"0")</f>
        <v/>
      </c>
      <c r="AL41" s="11"/>
    </row>
    <row r="42" spans="2:47" ht="30" x14ac:dyDescent="0.25">
      <c r="B42" s="16"/>
      <c r="C42" s="166"/>
      <c r="D42" s="11"/>
      <c r="E42" s="11"/>
      <c r="F42" s="17"/>
      <c r="G42" s="162" t="str">
        <f>IF(D38&lt;&gt;"",IF(D40&lt;&gt;"",IF(D38=D40,"",IF(D38&gt;D40,C38,C40)),""),"")</f>
        <v>LARISSA MARQUES FURTADO</v>
      </c>
      <c r="H42" s="234">
        <v>2</v>
      </c>
      <c r="I42" s="51">
        <f>IF(H42&lt;&gt;"",H42,"")</f>
        <v>2</v>
      </c>
      <c r="J42" s="51" t="str">
        <f>IF(H42&lt;&gt;"",IF(G42="","",G42),"")</f>
        <v>LARISSA MARQUES FURTADO</v>
      </c>
      <c r="K42" s="176">
        <f>IF(I42&lt;&gt;"",IF(I44&lt;&gt;"",SMALL(I42:J44,1),""),"")</f>
        <v>0</v>
      </c>
      <c r="L42" s="11"/>
      <c r="M42" s="54"/>
      <c r="N42" s="51">
        <f>IF(P37&lt;&gt;"",P37,"")</f>
        <v>1</v>
      </c>
      <c r="O42" s="176" t="str">
        <f>IF(P37&lt;&gt;"",O37,"")</f>
        <v>BEATRIZ DELPOIO DE ARAÚJO</v>
      </c>
      <c r="P42" s="51" t="str">
        <f>VLOOKUP(P40,N40:O42,2,0)</f>
        <v>BEATRIZ DELPOIO DE ARAÚJO</v>
      </c>
      <c r="Q42" s="78"/>
      <c r="R42" s="182"/>
      <c r="S42" s="8"/>
      <c r="T42" s="8"/>
      <c r="U42" s="8"/>
      <c r="V42" s="182"/>
      <c r="W42" s="8"/>
      <c r="X42" s="62"/>
      <c r="Y42" s="182"/>
      <c r="Z42" s="65"/>
      <c r="AA42" s="8"/>
      <c r="AB42" s="11"/>
      <c r="AC42" s="182"/>
      <c r="AD42" s="8"/>
      <c r="AE42" s="67"/>
      <c r="AF42" s="234">
        <v>2</v>
      </c>
      <c r="AG42" s="162" t="str">
        <f>IF(AJ38&lt;&gt;"",IF(AJ40&lt;&gt;"",IF(AJ38=AJ40,"",IF(AJ38&gt;AJ40,AK38,AK40)),""),"")</f>
        <v>HELENA VERAS CASTRO</v>
      </c>
      <c r="AH42" s="65"/>
      <c r="AI42" s="8"/>
      <c r="AJ42" s="11"/>
      <c r="AK42" s="166"/>
      <c r="AL42" s="11"/>
    </row>
    <row r="43" spans="2:47" ht="30.75" thickBot="1" x14ac:dyDescent="0.3">
      <c r="B43" s="16"/>
      <c r="C43" s="166"/>
      <c r="D43" s="11"/>
      <c r="E43" s="11"/>
      <c r="F43" s="17"/>
      <c r="G43" s="165" t="str">
        <f>IFERROR(IF(G42="","",VLOOKUP(G42,LISTAS!$F$5:$G$1004,2,0)),"0")</f>
        <v>IEBURIX -SBC</v>
      </c>
      <c r="H43" s="235"/>
      <c r="I43" s="51"/>
      <c r="J43" s="51"/>
      <c r="K43" s="176"/>
      <c r="L43" s="11"/>
      <c r="M43" s="54"/>
      <c r="N43" s="51"/>
      <c r="O43" s="176"/>
      <c r="P43" s="51"/>
      <c r="Q43" s="78"/>
      <c r="R43" s="182"/>
      <c r="S43" s="8"/>
      <c r="T43" s="8"/>
      <c r="U43" s="8"/>
      <c r="V43" s="182"/>
      <c r="W43" s="8"/>
      <c r="X43" s="62"/>
      <c r="Y43" s="182"/>
      <c r="Z43" s="65"/>
      <c r="AA43" s="8"/>
      <c r="AB43" s="11"/>
      <c r="AC43" s="182"/>
      <c r="AD43" s="8"/>
      <c r="AE43" s="67"/>
      <c r="AF43" s="235"/>
      <c r="AG43" s="165" t="str">
        <f>IFERROR(IF(AG42="","",VLOOKUP(AG42,LISTAS!$F$5:$G$1004,2,0)),"0")</f>
        <v>COLÉGIO BANDEIRANTES</v>
      </c>
      <c r="AH43" s="65"/>
      <c r="AI43" s="8"/>
      <c r="AJ43" s="11"/>
      <c r="AK43" s="166"/>
      <c r="AL43" s="11"/>
    </row>
    <row r="44" spans="2:47" ht="18" customHeight="1" x14ac:dyDescent="0.25">
      <c r="B44" s="16"/>
      <c r="C44" s="166"/>
      <c r="D44" s="11"/>
      <c r="E44" s="18"/>
      <c r="F44" s="19"/>
      <c r="G44" s="162" t="str">
        <f>IF(D46&lt;&gt;"",IF(D48&lt;&gt;"",IF(D46=D48,"",IF(D46&gt;D48,C46,C48)),""),"")</f>
        <v/>
      </c>
      <c r="H44" s="234">
        <v>0</v>
      </c>
      <c r="I44" s="52">
        <f>IF(H44&lt;&gt;"",H44,"")</f>
        <v>0</v>
      </c>
      <c r="J44" s="51" t="str">
        <f>IF(H44&lt;&gt;"",IF(G44="","",G44),"")</f>
        <v/>
      </c>
      <c r="K44" s="176" t="str">
        <f>VLOOKUP(K42,I42:J44,2,0)</f>
        <v/>
      </c>
      <c r="L44" s="11"/>
      <c r="M44" s="54"/>
      <c r="N44" s="51">
        <f>IF(P35&lt;&gt;"",P35,"")</f>
        <v>0</v>
      </c>
      <c r="O44" s="176" t="str">
        <f>IF(P35&lt;&gt;"",O35,"")</f>
        <v>JÚLIA DE OLIVEIRA COMETTI</v>
      </c>
      <c r="P44" s="51">
        <f>IF(N44&lt;&gt;"",IF(N46&lt;&gt;"",SMALL(N44:N46,1),""),"")</f>
        <v>0</v>
      </c>
      <c r="Q44" s="78"/>
      <c r="R44" s="182"/>
      <c r="S44" s="8"/>
      <c r="T44" s="8"/>
      <c r="U44" s="8"/>
      <c r="V44" s="182"/>
      <c r="W44" s="8"/>
      <c r="X44" s="62"/>
      <c r="Y44" s="182"/>
      <c r="Z44" s="65"/>
      <c r="AA44" s="8"/>
      <c r="AB44" s="11"/>
      <c r="AC44" s="182"/>
      <c r="AD44" s="65"/>
      <c r="AE44" s="68"/>
      <c r="AF44" s="234">
        <v>0</v>
      </c>
      <c r="AG44" s="162" t="str">
        <f>IF(AJ46&lt;&gt;"",IF(AJ48&lt;&gt;"",IF(AJ46=AJ48,"",IF(AJ46&gt;AJ48,AK46,AK48)),""),"")</f>
        <v/>
      </c>
      <c r="AH44" s="66"/>
      <c r="AI44" s="8"/>
      <c r="AJ44" s="11"/>
      <c r="AK44" s="166"/>
      <c r="AL44" s="11"/>
    </row>
    <row r="45" spans="2:47" ht="18" customHeight="1" thickBot="1" x14ac:dyDescent="0.3">
      <c r="B45" s="16"/>
      <c r="C45" s="166"/>
      <c r="D45" s="11"/>
      <c r="E45" s="18"/>
      <c r="F45" s="11"/>
      <c r="G45" s="165" t="str">
        <f>IFERROR(IF(G44="","",VLOOKUP(G44,LISTAS!$F$5:$G$1004,2,0)),"0")</f>
        <v/>
      </c>
      <c r="H45" s="235"/>
      <c r="I45" s="54"/>
      <c r="J45" s="51"/>
      <c r="K45" s="176"/>
      <c r="L45" s="11"/>
      <c r="M45" s="54"/>
      <c r="N45" s="51"/>
      <c r="O45" s="176"/>
      <c r="P45" s="51"/>
      <c r="Q45" s="78"/>
      <c r="R45" s="182"/>
      <c r="S45" s="8"/>
      <c r="T45" s="8"/>
      <c r="U45" s="8"/>
      <c r="V45" s="182"/>
      <c r="W45" s="8"/>
      <c r="X45" s="62"/>
      <c r="Y45" s="182"/>
      <c r="Z45" s="8"/>
      <c r="AA45" s="69"/>
      <c r="AB45" s="11"/>
      <c r="AC45" s="182"/>
      <c r="AD45" s="65"/>
      <c r="AE45" s="8"/>
      <c r="AF45" s="235"/>
      <c r="AG45" s="165" t="str">
        <f>IFERROR(IF(AG44="","",VLOOKUP(AG44,LISTAS!$F$5:$G$1004,2,0)),"0")</f>
        <v/>
      </c>
      <c r="AH45" s="8"/>
      <c r="AI45" s="69"/>
      <c r="AJ45" s="11"/>
      <c r="AK45" s="166"/>
      <c r="AL45" s="11"/>
    </row>
    <row r="46" spans="2:47" ht="18" customHeight="1" x14ac:dyDescent="0.25">
      <c r="B46" s="16">
        <v>12</v>
      </c>
      <c r="C46" s="162" t="str">
        <f>IF('11F GRP'!G5&gt;=3,'11F GRP'!J164,IF('11F GRP'!G5=2,"",IF('11F GRP'!G5=1,"","")))</f>
        <v/>
      </c>
      <c r="D46" s="234">
        <v>0</v>
      </c>
      <c r="E46" s="56">
        <f>IF(D46&lt;&gt;"",D46,"")</f>
        <v>0</v>
      </c>
      <c r="F46" s="51" t="str">
        <f>IF(D46&lt;&gt;"",IF(C46="","",C46),"")</f>
        <v/>
      </c>
      <c r="G46" s="176">
        <f>IF(E46&lt;&gt;"",IF(E48&lt;&gt;"",SMALL(E46:E48,1),""),"")</f>
        <v>0</v>
      </c>
      <c r="H46" s="51"/>
      <c r="I46" s="54"/>
      <c r="J46" s="51"/>
      <c r="K46" s="176"/>
      <c r="L46" s="11"/>
      <c r="M46" s="54"/>
      <c r="N46" s="51">
        <f>IF(P37&lt;&gt;"",P37,"")</f>
        <v>1</v>
      </c>
      <c r="O46" s="176" t="str">
        <f>IF(P37&lt;&gt;"",O37,"")</f>
        <v>BEATRIZ DELPOIO DE ARAÚJO</v>
      </c>
      <c r="P46" s="51" t="str">
        <f>VLOOKUP(P44,N44:O46,2,0)</f>
        <v>JÚLIA DE OLIVEIRA COMETTI</v>
      </c>
      <c r="Q46" s="78"/>
      <c r="R46" s="182"/>
      <c r="S46" s="8"/>
      <c r="T46" s="8"/>
      <c r="U46" s="8"/>
      <c r="V46" s="182"/>
      <c r="W46" s="8"/>
      <c r="X46" s="62"/>
      <c r="Y46" s="182"/>
      <c r="Z46" s="8"/>
      <c r="AA46" s="69"/>
      <c r="AB46" s="11"/>
      <c r="AC46" s="182"/>
      <c r="AD46" s="65"/>
      <c r="AE46" s="8"/>
      <c r="AF46" s="8"/>
      <c r="AG46" s="181">
        <f>IF(AJ46&lt;&gt;"",AJ46,"")</f>
        <v>0</v>
      </c>
      <c r="AH46" s="78" t="str">
        <f>IF(AJ46&lt;&gt;"",IF(AK46="","",AK46),"")</f>
        <v/>
      </c>
      <c r="AI46" s="53">
        <f>IF(AG46&lt;&gt;"",IF(AG48&lt;&gt;"",SMALL(AG46:AG48,1),""),"")</f>
        <v>0</v>
      </c>
      <c r="AJ46" s="234">
        <v>0</v>
      </c>
      <c r="AK46" s="162" t="str">
        <f>IF('11F GRP'!G5&gt;=3,'11F GRP'!J138,IF('11F GRP'!G5=2,"",IF('11F GRP'!G5=1,"","")))</f>
        <v/>
      </c>
      <c r="AL46" s="11">
        <v>10</v>
      </c>
    </row>
    <row r="47" spans="2:47" ht="18" customHeight="1" thickBot="1" x14ac:dyDescent="0.3">
      <c r="B47" s="16"/>
      <c r="C47" s="165" t="str">
        <f>IFERROR(IF(C46="","",VLOOKUP(C46,LISTAS!$F$5:$G$1004,2,0)),"0")</f>
        <v/>
      </c>
      <c r="D47" s="235"/>
      <c r="E47" s="57"/>
      <c r="F47" s="51"/>
      <c r="G47" s="176"/>
      <c r="H47" s="51"/>
      <c r="I47" s="54"/>
      <c r="J47" s="11"/>
      <c r="K47" s="166"/>
      <c r="L47" s="11"/>
      <c r="M47" s="54"/>
      <c r="N47" s="51"/>
      <c r="O47" s="176"/>
      <c r="P47" s="51"/>
      <c r="Q47" s="78"/>
      <c r="R47" s="182"/>
      <c r="S47" s="8"/>
      <c r="T47" s="8"/>
      <c r="U47" s="8"/>
      <c r="V47" s="182"/>
      <c r="W47" s="8"/>
      <c r="X47" s="62"/>
      <c r="Y47" s="182"/>
      <c r="Z47" s="8"/>
      <c r="AA47" s="69"/>
      <c r="AB47" s="11"/>
      <c r="AC47" s="182"/>
      <c r="AD47" s="65"/>
      <c r="AE47" s="8"/>
      <c r="AF47" s="8"/>
      <c r="AG47" s="181"/>
      <c r="AH47" s="78"/>
      <c r="AI47" s="124"/>
      <c r="AJ47" s="235"/>
      <c r="AK47" s="165" t="str">
        <f>IFERROR(IF(AK46="","",VLOOKUP(AK46,LISTAS!$F$5:$G$1004,2,0)),"0")</f>
        <v/>
      </c>
      <c r="AL47" s="11"/>
    </row>
    <row r="48" spans="2:47" ht="18" customHeight="1" x14ac:dyDescent="0.25">
      <c r="B48" s="16">
        <v>21</v>
      </c>
      <c r="C48" s="162" t="str">
        <f>IF('11F GRP'!G5&gt;=3,'11F GRP'!J281,IF('11F GRP'!G5=2,"",IF('11F GRP'!G5=1,"","")))</f>
        <v/>
      </c>
      <c r="D48" s="234">
        <v>0</v>
      </c>
      <c r="E48" s="57">
        <f>IF(D48&lt;&gt;"",D48,"")</f>
        <v>0</v>
      </c>
      <c r="F48" s="51" t="str">
        <f>IF(D48&lt;&gt;"",IF(C48="","",C48),"")</f>
        <v/>
      </c>
      <c r="G48" s="176" t="str">
        <f>VLOOKUP(G46,E46:F48,2,0)</f>
        <v/>
      </c>
      <c r="H48" s="51"/>
      <c r="I48" s="54"/>
      <c r="J48" s="11"/>
      <c r="K48" s="166"/>
      <c r="L48" s="11"/>
      <c r="M48" s="54"/>
      <c r="N48" s="51"/>
      <c r="O48" s="176"/>
      <c r="P48" s="51"/>
      <c r="Q48" s="78"/>
      <c r="R48" s="182"/>
      <c r="S48" s="8"/>
      <c r="T48" s="8"/>
      <c r="U48" s="8"/>
      <c r="V48" s="182"/>
      <c r="W48" s="8"/>
      <c r="X48" s="62"/>
      <c r="Y48" s="182"/>
      <c r="Z48" s="8"/>
      <c r="AA48" s="69"/>
      <c r="AB48" s="11"/>
      <c r="AC48" s="182"/>
      <c r="AD48" s="65"/>
      <c r="AE48" s="8"/>
      <c r="AF48" s="8"/>
      <c r="AG48" s="181">
        <f>IF(AJ48&lt;&gt;"",AJ48,"")</f>
        <v>0</v>
      </c>
      <c r="AH48" s="78" t="str">
        <f>IF(AJ48&lt;&gt;"",IF(AK48="","",AK48),"")</f>
        <v/>
      </c>
      <c r="AI48" s="125" t="str">
        <f>VLOOKUP(AI46,AG46:AH48,2,0)</f>
        <v/>
      </c>
      <c r="AJ48" s="234">
        <v>0</v>
      </c>
      <c r="AK48" s="162" t="str">
        <f>IF('11F GRP'!G5&gt;=3,'11F GRP'!J307,IF('11F GRP'!G5=2,"",IF('11F GRP'!G5=1,"","")))</f>
        <v/>
      </c>
      <c r="AL48" s="11">
        <v>23</v>
      </c>
    </row>
    <row r="49" spans="2:41" ht="18" customHeight="1" thickBot="1" x14ac:dyDescent="0.3">
      <c r="B49" s="16"/>
      <c r="C49" s="165" t="str">
        <f>IFERROR(IF(C48="","",VLOOKUP(C48,LISTAS!$F$5:$G$1004,2,0)),"0")</f>
        <v/>
      </c>
      <c r="D49" s="235"/>
      <c r="E49" s="51"/>
      <c r="F49" s="51"/>
      <c r="G49" s="176"/>
      <c r="H49" s="51"/>
      <c r="I49" s="54"/>
      <c r="J49" s="11"/>
      <c r="K49" s="166"/>
      <c r="L49" s="11"/>
      <c r="M49" s="54"/>
      <c r="N49" s="51"/>
      <c r="O49" s="176"/>
      <c r="P49" s="51"/>
      <c r="Q49" s="78"/>
      <c r="R49" s="182"/>
      <c r="S49" s="8"/>
      <c r="T49" s="8"/>
      <c r="U49" s="8"/>
      <c r="V49" s="182"/>
      <c r="W49" s="8"/>
      <c r="X49" s="62"/>
      <c r="Y49" s="182"/>
      <c r="Z49" s="8"/>
      <c r="AA49" s="69"/>
      <c r="AB49" s="11"/>
      <c r="AC49" s="182"/>
      <c r="AD49" s="65"/>
      <c r="AE49" s="8"/>
      <c r="AF49" s="8"/>
      <c r="AG49" s="181"/>
      <c r="AH49" s="78"/>
      <c r="AI49" s="51"/>
      <c r="AJ49" s="235"/>
      <c r="AK49" s="165" t="str">
        <f>IFERROR(IF(AK48="","",VLOOKUP(AK48,LISTAS!$F$5:$G$1004,2,0)),"0")</f>
        <v/>
      </c>
      <c r="AL49" s="11"/>
    </row>
    <row r="50" spans="2:41" ht="18" customHeight="1" x14ac:dyDescent="0.25">
      <c r="B50" s="16"/>
      <c r="C50" s="166"/>
      <c r="D50" s="11"/>
      <c r="E50" s="11"/>
      <c r="F50" s="11"/>
      <c r="G50" s="166"/>
      <c r="H50" s="11"/>
      <c r="I50" s="18"/>
      <c r="J50" s="11"/>
      <c r="K50" s="162" t="str">
        <f>IF(H42&lt;&gt;"",IF(H44&lt;&gt;"",IF(H42=H44,"",IF(H42&gt;H44,G42,G44)),""),"")</f>
        <v>LARISSA MARQUES FURTADO</v>
      </c>
      <c r="L50" s="234">
        <v>0</v>
      </c>
      <c r="M50" s="56">
        <f>IF(L50&lt;&gt;"",L50,"")</f>
        <v>0</v>
      </c>
      <c r="N50" s="51" t="str">
        <f>IF(L50&lt;&gt;"",IF(K50="","",K50),"")</f>
        <v>LARISSA MARQUES FURTADO</v>
      </c>
      <c r="O50" s="176">
        <f>IF(M50&lt;&gt;"",IF(M52&lt;&gt;"",SMALL(M50:N52,1),""),"")</f>
        <v>0</v>
      </c>
      <c r="P50" s="51"/>
      <c r="Q50" s="78"/>
      <c r="R50" s="182"/>
      <c r="S50" s="8"/>
      <c r="T50" s="8"/>
      <c r="U50" s="8"/>
      <c r="V50" s="182"/>
      <c r="W50" s="8"/>
      <c r="X50" s="62"/>
      <c r="Y50" s="182"/>
      <c r="Z50" s="8"/>
      <c r="AA50" s="70"/>
      <c r="AB50" s="234">
        <v>1</v>
      </c>
      <c r="AC50" s="162" t="str">
        <f>IF(AF42&lt;&gt;"",IF(AF44&lt;&gt;"",IF(AF42=AF44,"",IF(AF42&gt;AF44,AG42,AG44)),""),"")</f>
        <v>HELENA VERAS CASTRO</v>
      </c>
      <c r="AD50" s="112"/>
      <c r="AE50" s="8"/>
      <c r="AF50" s="8"/>
      <c r="AG50" s="182"/>
      <c r="AH50" s="8"/>
      <c r="AI50" s="8"/>
      <c r="AJ50" s="11"/>
      <c r="AK50" s="166"/>
      <c r="AL50" s="11"/>
    </row>
    <row r="51" spans="2:41" ht="18" customHeight="1" thickBot="1" x14ac:dyDescent="0.3">
      <c r="B51" s="16"/>
      <c r="C51" s="166"/>
      <c r="D51" s="11"/>
      <c r="E51" s="11"/>
      <c r="F51" s="11"/>
      <c r="G51" s="166"/>
      <c r="H51" s="11"/>
      <c r="I51" s="18"/>
      <c r="J51" s="11"/>
      <c r="K51" s="165" t="str">
        <f>IFERROR(IF(K50="","",VLOOKUP(K50,LISTAS!$F$5:$G$1004,2,0)),"0")</f>
        <v>IEBURIX -SBC</v>
      </c>
      <c r="L51" s="235"/>
      <c r="M51" s="57"/>
      <c r="N51" s="51"/>
      <c r="O51" s="176"/>
      <c r="P51" s="51"/>
      <c r="Q51" s="78"/>
      <c r="R51" s="182"/>
      <c r="S51" s="8"/>
      <c r="T51" s="8"/>
      <c r="U51" s="8"/>
      <c r="V51" s="182"/>
      <c r="W51" s="8"/>
      <c r="X51" s="62"/>
      <c r="Y51" s="182"/>
      <c r="Z51" s="8"/>
      <c r="AA51" s="8"/>
      <c r="AB51" s="235"/>
      <c r="AC51" s="165" t="str">
        <f>IFERROR(IF(AC50="","",VLOOKUP(AC50,LISTAS!$F$5:$G$1004,2,0)),"0")</f>
        <v>COLÉGIO BANDEIRANTES</v>
      </c>
      <c r="AD51" s="8"/>
      <c r="AE51" s="69"/>
      <c r="AF51" s="8"/>
      <c r="AG51" s="182"/>
      <c r="AH51" s="8"/>
      <c r="AI51" s="8"/>
      <c r="AJ51" s="11"/>
      <c r="AK51" s="166"/>
      <c r="AL51" s="11"/>
    </row>
    <row r="52" spans="2:41" ht="18" customHeight="1" x14ac:dyDescent="0.25">
      <c r="B52" s="16"/>
      <c r="C52" s="166"/>
      <c r="D52" s="11"/>
      <c r="E52" s="11"/>
      <c r="F52" s="11"/>
      <c r="G52" s="166"/>
      <c r="H52" s="11"/>
      <c r="I52" s="18"/>
      <c r="J52" s="19"/>
      <c r="K52" s="162" t="str">
        <f>IF(H58&lt;&gt;"",IF(H60&lt;&gt;"",IF(H58=H60,"",IF(H58&gt;H60,G58,G60)),""),"")</f>
        <v>BEATRIZ DELPOIO DE ARAÚJO</v>
      </c>
      <c r="L52" s="234">
        <v>1</v>
      </c>
      <c r="M52" s="57">
        <f>IF(L52&lt;&gt;"",L52,"")</f>
        <v>1</v>
      </c>
      <c r="N52" s="51" t="str">
        <f>IF(L52&lt;&gt;"",IF(K52="","",K52),"")</f>
        <v>BEATRIZ DELPOIO DE ARAÚJO</v>
      </c>
      <c r="O52" s="176" t="str">
        <f>VLOOKUP(O50,M50:N52,2,0)</f>
        <v>LARISSA MARQUES FURTADO</v>
      </c>
      <c r="P52" s="51"/>
      <c r="Q52" s="78"/>
      <c r="R52" s="182"/>
      <c r="S52" s="8"/>
      <c r="T52" s="8"/>
      <c r="U52" s="8"/>
      <c r="V52" s="182"/>
      <c r="W52" s="8"/>
      <c r="X52" s="62"/>
      <c r="Y52" s="182"/>
      <c r="Z52" s="8"/>
      <c r="AA52" s="8"/>
      <c r="AB52" s="234">
        <v>0</v>
      </c>
      <c r="AC52" s="162" t="str">
        <f>IF(AF58&lt;&gt;"",IF(AF60&lt;&gt;"",IF(AF58=AF60,"",IF(AF58&gt;AF60,AG58,AG60)),""),"")</f>
        <v>CECÍLIA MARIA DE SOUZA BASTOS</v>
      </c>
      <c r="AD52" s="8"/>
      <c r="AE52" s="69"/>
      <c r="AF52" s="8"/>
      <c r="AG52" s="182"/>
      <c r="AH52" s="8"/>
      <c r="AI52" s="8"/>
      <c r="AJ52" s="11"/>
      <c r="AK52" s="166"/>
      <c r="AL52" s="11"/>
    </row>
    <row r="53" spans="2:41" ht="18" customHeight="1" thickBot="1" x14ac:dyDescent="0.3">
      <c r="B53" s="16"/>
      <c r="C53" s="166"/>
      <c r="D53" s="11"/>
      <c r="E53" s="11"/>
      <c r="F53" s="11"/>
      <c r="G53" s="166"/>
      <c r="H53" s="11"/>
      <c r="I53" s="18"/>
      <c r="J53" s="11"/>
      <c r="K53" s="165" t="str">
        <f>IFERROR(IF(K52="","",VLOOKUP(K52,LISTAS!$F$5:$G$1004,2,0)),"0")</f>
        <v>LICEU JARDIM</v>
      </c>
      <c r="L53" s="235"/>
      <c r="M53" s="51"/>
      <c r="N53" s="51"/>
      <c r="O53" s="176"/>
      <c r="P53" s="51"/>
      <c r="Q53" s="78"/>
      <c r="R53" s="182"/>
      <c r="S53" s="8"/>
      <c r="T53" s="8"/>
      <c r="U53" s="8"/>
      <c r="V53" s="182"/>
      <c r="W53" s="8"/>
      <c r="X53" s="62"/>
      <c r="Y53" s="182"/>
      <c r="Z53" s="8"/>
      <c r="AA53" s="8"/>
      <c r="AB53" s="235"/>
      <c r="AC53" s="165" t="str">
        <f>IFERROR(IF(AC52="","",VLOOKUP(AC52,LISTAS!$F$5:$G$1004,2,0)),"0")</f>
        <v>COLÉGIO ARBOS - UNIDADE SANTO ANDRÉ</v>
      </c>
      <c r="AD53" s="8"/>
      <c r="AE53" s="69"/>
      <c r="AF53" s="8"/>
      <c r="AG53" s="182"/>
      <c r="AH53" s="8"/>
      <c r="AI53" s="8"/>
      <c r="AJ53" s="11"/>
      <c r="AK53" s="166"/>
      <c r="AL53" s="11"/>
    </row>
    <row r="54" spans="2:41" ht="18" customHeight="1" x14ac:dyDescent="0.25">
      <c r="B54" s="16">
        <v>20</v>
      </c>
      <c r="C54" s="162" t="str">
        <f>IF('11F GRP'!G5&gt;=3,'11F GRP'!J268,IF('11F GRP'!G5=2,"",IF('11F GRP'!G5=1,"","")))</f>
        <v/>
      </c>
      <c r="D54" s="234">
        <v>0</v>
      </c>
      <c r="E54" s="51">
        <f>IF(D54&lt;&gt;"",D54,"")</f>
        <v>0</v>
      </c>
      <c r="F54" s="51" t="str">
        <f>IF(D54&lt;&gt;"",IF(C54="","",C54),"")</f>
        <v/>
      </c>
      <c r="G54" s="176">
        <f>IF(E54&lt;&gt;"",IF(E56&lt;&gt;"",SMALL(E54:E56,1),""),"")</f>
        <v>0</v>
      </c>
      <c r="H54" s="51"/>
      <c r="I54" s="54"/>
      <c r="J54" s="51"/>
      <c r="K54" s="176"/>
      <c r="L54" s="51"/>
      <c r="M54" s="51"/>
      <c r="N54" s="11"/>
      <c r="O54" s="166"/>
      <c r="P54" s="11"/>
      <c r="Q54" s="8"/>
      <c r="R54" s="182"/>
      <c r="S54" s="8"/>
      <c r="T54" s="8"/>
      <c r="U54" s="8"/>
      <c r="V54" s="182"/>
      <c r="W54" s="8"/>
      <c r="X54" s="62"/>
      <c r="Y54" s="182"/>
      <c r="Z54" s="8"/>
      <c r="AA54" s="8"/>
      <c r="AB54" s="11"/>
      <c r="AC54" s="182"/>
      <c r="AD54" s="8"/>
      <c r="AE54" s="69"/>
      <c r="AF54" s="8"/>
      <c r="AG54" s="181">
        <f>IF(AJ54&lt;&gt;"",AJ54,"")</f>
        <v>0</v>
      </c>
      <c r="AH54" s="78" t="str">
        <f>IF(AJ54&lt;&gt;"",IF(AK54="","",AK54),"")</f>
        <v/>
      </c>
      <c r="AI54" s="51">
        <f>IF(AG54&lt;&gt;"",IF(AG56&lt;&gt;"",SMALL(AG54:AG56,1),""),"")</f>
        <v>0</v>
      </c>
      <c r="AJ54" s="234">
        <v>0</v>
      </c>
      <c r="AK54" s="162" t="str">
        <f>IF('11F GRP'!G5&gt;=3,'11F GRP'!J203,IF('11F GRP'!G5=2,"",IF('11F GRP'!G5=1,"","")))</f>
        <v/>
      </c>
      <c r="AL54" s="11">
        <v>15</v>
      </c>
    </row>
    <row r="55" spans="2:41" ht="18" customHeight="1" thickBot="1" x14ac:dyDescent="0.3">
      <c r="B55" s="16"/>
      <c r="C55" s="165" t="str">
        <f>IFERROR(IF(C54="","",VLOOKUP(C54,LISTAS!$F$5:$G$1004,2,0)),"0")</f>
        <v/>
      </c>
      <c r="D55" s="235"/>
      <c r="E55" s="51"/>
      <c r="F55" s="51"/>
      <c r="G55" s="176"/>
      <c r="H55" s="51"/>
      <c r="I55" s="54"/>
      <c r="J55" s="51"/>
      <c r="K55" s="176"/>
      <c r="L55" s="51"/>
      <c r="M55" s="51"/>
      <c r="N55" s="11"/>
      <c r="O55" s="166"/>
      <c r="P55" s="11"/>
      <c r="Q55" s="8"/>
      <c r="R55" s="182"/>
      <c r="S55" s="8"/>
      <c r="T55" s="8"/>
      <c r="U55" s="8"/>
      <c r="V55" s="182"/>
      <c r="W55" s="8"/>
      <c r="X55" s="62"/>
      <c r="Y55" s="182"/>
      <c r="Z55" s="8"/>
      <c r="AA55" s="8"/>
      <c r="AB55" s="11"/>
      <c r="AC55" s="182"/>
      <c r="AD55" s="8"/>
      <c r="AE55" s="69"/>
      <c r="AF55" s="8"/>
      <c r="AG55" s="181"/>
      <c r="AH55" s="78"/>
      <c r="AI55" s="51"/>
      <c r="AJ55" s="235"/>
      <c r="AK55" s="165" t="str">
        <f>IFERROR(IF(AK54="","",VLOOKUP(AK54,LISTAS!$F$5:$G$1004,2,0)),"0")</f>
        <v/>
      </c>
      <c r="AL55" s="11"/>
    </row>
    <row r="56" spans="2:41" ht="18" customHeight="1" x14ac:dyDescent="0.25">
      <c r="B56" s="16">
        <v>13</v>
      </c>
      <c r="C56" s="162" t="str">
        <f>IF('11F GRP'!G5&gt;=3,'11F GRP'!J177,IF('11F GRP'!G5=2,"",IF('11F GRP'!G5=1,"","")))</f>
        <v/>
      </c>
      <c r="D56" s="234">
        <v>0</v>
      </c>
      <c r="E56" s="52">
        <f>IF(D56&lt;&gt;"",D56,"")</f>
        <v>0</v>
      </c>
      <c r="F56" s="51" t="str">
        <f>IF(D56&lt;&gt;"",IF(C56="","",C56),"")</f>
        <v/>
      </c>
      <c r="G56" s="176" t="str">
        <f>VLOOKUP(G54,E54:F56,2,0)</f>
        <v/>
      </c>
      <c r="H56" s="51"/>
      <c r="I56" s="54"/>
      <c r="J56" s="51"/>
      <c r="K56" s="176"/>
      <c r="L56" s="51"/>
      <c r="M56" s="51"/>
      <c r="N56" s="11"/>
      <c r="O56" s="166"/>
      <c r="P56" s="11"/>
      <c r="Q56" s="8"/>
      <c r="R56" s="182"/>
      <c r="S56" s="8"/>
      <c r="T56" s="8"/>
      <c r="U56" s="8"/>
      <c r="V56" s="182"/>
      <c r="W56" s="8"/>
      <c r="X56" s="62"/>
      <c r="Y56" s="182"/>
      <c r="Z56" s="8"/>
      <c r="AA56" s="8"/>
      <c r="AB56" s="11"/>
      <c r="AC56" s="182"/>
      <c r="AD56" s="8"/>
      <c r="AE56" s="69"/>
      <c r="AF56" s="8"/>
      <c r="AG56" s="181">
        <f>IF(AJ56&lt;&gt;"",AJ56,"")</f>
        <v>0</v>
      </c>
      <c r="AH56" s="78" t="str">
        <f>IF(AJ56&lt;&gt;"",IF(AK56="","",AK56),"")</f>
        <v/>
      </c>
      <c r="AI56" s="55" t="str">
        <f>VLOOKUP(AI54,AG54:AH56,2,0)</f>
        <v/>
      </c>
      <c r="AJ56" s="234">
        <v>0</v>
      </c>
      <c r="AK56" s="162" t="str">
        <f>IF('11F GRP'!G5&gt;=3,'11F GRP'!J242,IF('11F GRP'!G5=2,"",IF('11F GRP'!G5=1,"","")))</f>
        <v/>
      </c>
      <c r="AL56" s="11">
        <v>18</v>
      </c>
      <c r="AN56" s="23"/>
      <c r="AO56" s="23"/>
    </row>
    <row r="57" spans="2:41" ht="18" customHeight="1" thickBot="1" x14ac:dyDescent="0.3">
      <c r="B57" s="16"/>
      <c r="C57" s="165" t="str">
        <f>IFERROR(IF(C56="","",VLOOKUP(C56,LISTAS!$F$5:$G$1004,2,0)),"0")</f>
        <v/>
      </c>
      <c r="D57" s="235"/>
      <c r="E57" s="128"/>
      <c r="F57" s="51"/>
      <c r="G57" s="176"/>
      <c r="H57" s="51"/>
      <c r="I57" s="54"/>
      <c r="J57" s="51"/>
      <c r="K57" s="176"/>
      <c r="L57" s="51"/>
      <c r="M57" s="51"/>
      <c r="N57" s="11"/>
      <c r="O57" s="166"/>
      <c r="P57" s="11"/>
      <c r="Q57" s="8"/>
      <c r="R57" s="182"/>
      <c r="S57" s="8"/>
      <c r="T57" s="8"/>
      <c r="U57" s="8"/>
      <c r="V57" s="182"/>
      <c r="W57" s="8"/>
      <c r="X57" s="62"/>
      <c r="Y57" s="182"/>
      <c r="Z57" s="8"/>
      <c r="AA57" s="8"/>
      <c r="AB57" s="11"/>
      <c r="AC57" s="182"/>
      <c r="AD57" s="8"/>
      <c r="AE57" s="69"/>
      <c r="AF57" s="8"/>
      <c r="AG57" s="181"/>
      <c r="AH57" s="126"/>
      <c r="AI57" s="51"/>
      <c r="AJ57" s="235"/>
      <c r="AK57" s="165" t="str">
        <f>IFERROR(IF(AK56="","",VLOOKUP(AK56,LISTAS!$F$5:$G$1004,2,0)),"0")</f>
        <v/>
      </c>
      <c r="AL57" s="11"/>
      <c r="AM57" s="23"/>
      <c r="AN57" s="23"/>
      <c r="AO57" s="23"/>
    </row>
    <row r="58" spans="2:41" ht="18" customHeight="1" x14ac:dyDescent="0.25">
      <c r="B58" s="16"/>
      <c r="C58" s="166"/>
      <c r="D58" s="11"/>
      <c r="E58" s="11"/>
      <c r="F58" s="17"/>
      <c r="G58" s="162" t="str">
        <f>IF(D54&lt;&gt;"",IF(D56&lt;&gt;"",IF(D54=D56,"",IF(D54&gt;D56,C54,C56)),""),"")</f>
        <v/>
      </c>
      <c r="H58" s="234">
        <v>0</v>
      </c>
      <c r="I58" s="56">
        <f>IF(H58&lt;&gt;"",H58,"")</f>
        <v>0</v>
      </c>
      <c r="J58" s="51" t="str">
        <f>IF(H58&lt;&gt;"",IF(G58="","",G58),"")</f>
        <v/>
      </c>
      <c r="K58" s="176">
        <f>IF(I58&lt;&gt;"",IF(I60&lt;&gt;"",SMALL(I58:J60,1),""),"")</f>
        <v>0</v>
      </c>
      <c r="L58" s="51"/>
      <c r="M58" s="51"/>
      <c r="N58" s="11"/>
      <c r="O58" s="166"/>
      <c r="P58" s="11"/>
      <c r="Q58" s="8"/>
      <c r="R58" s="182"/>
      <c r="S58" s="8"/>
      <c r="T58" s="8"/>
      <c r="U58" s="8"/>
      <c r="V58" s="182"/>
      <c r="W58" s="8"/>
      <c r="X58" s="62"/>
      <c r="Y58" s="182"/>
      <c r="Z58" s="8"/>
      <c r="AA58" s="8"/>
      <c r="AB58" s="11"/>
      <c r="AC58" s="182"/>
      <c r="AD58" s="8"/>
      <c r="AE58" s="69"/>
      <c r="AF58" s="234">
        <v>0</v>
      </c>
      <c r="AG58" s="162" t="str">
        <f>IF(AJ54&lt;&gt;"",IF(AJ56&lt;&gt;"",IF(AJ54=AJ56,"",IF(AJ54&gt;AJ56,AK54,AK56)),""),"")</f>
        <v/>
      </c>
      <c r="AH58" s="65"/>
      <c r="AI58" s="8"/>
      <c r="AJ58" s="11"/>
      <c r="AK58" s="166"/>
      <c r="AL58" s="11"/>
      <c r="AM58" s="23"/>
    </row>
    <row r="59" spans="2:41" ht="18" customHeight="1" thickBot="1" x14ac:dyDescent="0.3">
      <c r="B59" s="16"/>
      <c r="C59" s="166"/>
      <c r="D59" s="11"/>
      <c r="E59" s="11"/>
      <c r="F59" s="17"/>
      <c r="G59" s="165" t="str">
        <f>IFERROR(IF(G58="","",VLOOKUP(G58,LISTAS!$F$5:$G$1004,2,0)),"0")</f>
        <v/>
      </c>
      <c r="H59" s="235"/>
      <c r="I59" s="57"/>
      <c r="J59" s="51"/>
      <c r="K59" s="176"/>
      <c r="L59" s="51"/>
      <c r="M59" s="51"/>
      <c r="N59" s="11"/>
      <c r="O59" s="166"/>
      <c r="P59" s="11"/>
      <c r="Q59" s="8"/>
      <c r="R59" s="182"/>
      <c r="S59" s="8"/>
      <c r="T59" s="8"/>
      <c r="U59" s="8"/>
      <c r="V59" s="182"/>
      <c r="W59" s="8"/>
      <c r="X59" s="62"/>
      <c r="Y59" s="182"/>
      <c r="Z59" s="8"/>
      <c r="AA59" s="8"/>
      <c r="AB59" s="11"/>
      <c r="AC59" s="182"/>
      <c r="AD59" s="8"/>
      <c r="AE59" s="70"/>
      <c r="AF59" s="235"/>
      <c r="AG59" s="165" t="str">
        <f>IFERROR(IF(AG58="","",VLOOKUP(AG58,LISTAS!$F$5:$G$1004,2,0)),"0")</f>
        <v/>
      </c>
      <c r="AH59" s="65"/>
      <c r="AI59" s="8"/>
      <c r="AJ59" s="11"/>
      <c r="AK59" s="166"/>
      <c r="AL59" s="11"/>
    </row>
    <row r="60" spans="2:41" ht="18" customHeight="1" x14ac:dyDescent="0.25">
      <c r="B60" s="16"/>
      <c r="C60" s="166"/>
      <c r="D60" s="11"/>
      <c r="E60" s="18"/>
      <c r="F60" s="19"/>
      <c r="G60" s="162" t="str">
        <f>IF(D62&lt;&gt;"",IF(D64&lt;&gt;"",IF(D62=D64,"",IF(D62&gt;D64,C62,C64)),""),"")</f>
        <v>BEATRIZ DELPOIO DE ARAÚJO</v>
      </c>
      <c r="H60" s="234">
        <v>2</v>
      </c>
      <c r="I60" s="57">
        <f>IF(H60&lt;&gt;"",H60,"")</f>
        <v>2</v>
      </c>
      <c r="J60" s="51" t="str">
        <f>IF(H60&lt;&gt;"",IF(G60="","",G60),"")</f>
        <v>BEATRIZ DELPOIO DE ARAÚJO</v>
      </c>
      <c r="K60" s="176" t="str">
        <f>VLOOKUP(K58,I58:J60,2,0)</f>
        <v/>
      </c>
      <c r="L60" s="51"/>
      <c r="M60" s="51"/>
      <c r="N60" s="11"/>
      <c r="O60" s="166"/>
      <c r="P60" s="11"/>
      <c r="Q60" s="8"/>
      <c r="R60" s="182"/>
      <c r="S60" s="8"/>
      <c r="T60" s="8"/>
      <c r="U60" s="8"/>
      <c r="V60" s="182"/>
      <c r="W60" s="8"/>
      <c r="X60" s="62"/>
      <c r="Y60" s="182"/>
      <c r="Z60" s="8"/>
      <c r="AA60" s="8"/>
      <c r="AB60" s="11"/>
      <c r="AC60" s="182"/>
      <c r="AD60" s="8"/>
      <c r="AE60" s="64"/>
      <c r="AF60" s="234">
        <v>2</v>
      </c>
      <c r="AG60" s="162" t="str">
        <f>IF(AJ62&lt;&gt;"",IF(AJ64&lt;&gt;"",IF(AJ62=AJ64,"",IF(AJ62&gt;AJ64,AK62,AK64)),""),"")</f>
        <v>CECÍLIA MARIA DE SOUZA BASTOS</v>
      </c>
      <c r="AH60" s="66"/>
      <c r="AI60" s="8"/>
      <c r="AJ60" s="11"/>
      <c r="AK60" s="166"/>
      <c r="AL60" s="11"/>
    </row>
    <row r="61" spans="2:41" ht="18" customHeight="1" thickBot="1" x14ac:dyDescent="0.3">
      <c r="B61" s="16"/>
      <c r="C61" s="166"/>
      <c r="D61" s="11"/>
      <c r="E61" s="18"/>
      <c r="F61" s="11"/>
      <c r="G61" s="165" t="str">
        <f>IFERROR(IF(G60="","",VLOOKUP(G60,LISTAS!$F$5:$G$1004,2,0)),"0")</f>
        <v>LICEU JARDIM</v>
      </c>
      <c r="H61" s="235"/>
      <c r="I61" s="51"/>
      <c r="J61" s="51"/>
      <c r="K61" s="176"/>
      <c r="L61" s="51"/>
      <c r="M61" s="51"/>
      <c r="N61" s="11"/>
      <c r="O61" s="166"/>
      <c r="P61" s="11"/>
      <c r="Q61" s="8"/>
      <c r="R61" s="182"/>
      <c r="S61" s="8"/>
      <c r="T61" s="8"/>
      <c r="U61" s="8"/>
      <c r="V61" s="182"/>
      <c r="W61" s="8"/>
      <c r="X61" s="62"/>
      <c r="Y61" s="182"/>
      <c r="Z61" s="8"/>
      <c r="AA61" s="8"/>
      <c r="AB61" s="11"/>
      <c r="AC61" s="182"/>
      <c r="AD61" s="8"/>
      <c r="AE61" s="8"/>
      <c r="AF61" s="235"/>
      <c r="AG61" s="165" t="str">
        <f>IFERROR(IF(AG60="","",VLOOKUP(AG60,LISTAS!$F$5:$G$1004,2,0)),"0")</f>
        <v>COLÉGIO ARBOS - UNIDADE SANTO ANDRÉ</v>
      </c>
      <c r="AH61" s="8"/>
      <c r="AI61" s="69"/>
      <c r="AJ61" s="11"/>
      <c r="AK61" s="166"/>
      <c r="AL61" s="11"/>
    </row>
    <row r="62" spans="2:41" ht="18" customHeight="1" x14ac:dyDescent="0.25">
      <c r="B62" s="16">
        <v>29</v>
      </c>
      <c r="C62" s="162" t="str">
        <f>IF('11F GRP'!G5&gt;=3,'11F GRP'!J385,IF('11F GRP'!G5=2,"",IF('11F GRP'!G5=1,"","")))</f>
        <v/>
      </c>
      <c r="D62" s="234">
        <v>0</v>
      </c>
      <c r="E62" s="56">
        <f>IF(D62&lt;&gt;"",D62,"")</f>
        <v>0</v>
      </c>
      <c r="F62" s="51" t="str">
        <f>IF(D62&lt;&gt;"",IF(C62="","",C62),"")</f>
        <v/>
      </c>
      <c r="G62" s="176">
        <f>IF(E62&lt;&gt;"",IF(E64&lt;&gt;"",SMALL(E62:E64,1),""),"")</f>
        <v>0</v>
      </c>
      <c r="H62" s="51"/>
      <c r="I62" s="51"/>
      <c r="J62" s="51"/>
      <c r="K62" s="176"/>
      <c r="L62" s="51"/>
      <c r="M62" s="51"/>
      <c r="N62" s="11"/>
      <c r="O62" s="166"/>
      <c r="P62" s="11"/>
      <c r="Q62" s="8"/>
      <c r="R62" s="182"/>
      <c r="S62" s="8"/>
      <c r="T62" s="8"/>
      <c r="U62" s="8"/>
      <c r="V62" s="182"/>
      <c r="W62" s="8"/>
      <c r="X62" s="62"/>
      <c r="Y62" s="182"/>
      <c r="Z62" s="8"/>
      <c r="AA62" s="8"/>
      <c r="AB62" s="11"/>
      <c r="AC62" s="182"/>
      <c r="AD62" s="8"/>
      <c r="AE62" s="8"/>
      <c r="AF62" s="8"/>
      <c r="AG62" s="181">
        <f>IF(AJ62&lt;&gt;"",AJ62,"")</f>
        <v>0</v>
      </c>
      <c r="AH62" s="78" t="str">
        <f>IF(AJ62&lt;&gt;"",IF(AK62="","",AK62),"")</f>
        <v/>
      </c>
      <c r="AI62" s="53">
        <f>IF(AG62&lt;&gt;"",IF(AG64&lt;&gt;"",SMALL(AG62:AG64,1),""),"")</f>
        <v>0</v>
      </c>
      <c r="AJ62" s="234">
        <v>0</v>
      </c>
      <c r="AK62" s="185" t="str">
        <f>IF('11F GRP'!G5&gt;=3,'11F GRP'!J411,IF('11F GRP'!G5=2,"",IF('11F GRP'!G5=1,"","")))</f>
        <v/>
      </c>
      <c r="AL62" s="11">
        <v>31</v>
      </c>
    </row>
    <row r="63" spans="2:41" ht="18" customHeight="1" thickBot="1" x14ac:dyDescent="0.3">
      <c r="B63" s="16"/>
      <c r="C63" s="165" t="str">
        <f>IFERROR(IF(C62="","",VLOOKUP(C62,LISTAS!$F$5:$G$1004,2,0)),"0")</f>
        <v/>
      </c>
      <c r="D63" s="235"/>
      <c r="E63" s="57"/>
      <c r="F63" s="51"/>
      <c r="G63" s="176"/>
      <c r="H63" s="51"/>
      <c r="I63" s="51"/>
      <c r="J63" s="51"/>
      <c r="K63" s="166"/>
      <c r="L63" s="11"/>
      <c r="M63" s="11"/>
      <c r="N63" s="11"/>
      <c r="O63" s="166"/>
      <c r="P63" s="11"/>
      <c r="Q63" s="8"/>
      <c r="R63" s="182"/>
      <c r="S63" s="8"/>
      <c r="T63" s="8"/>
      <c r="U63" s="8"/>
      <c r="V63" s="182"/>
      <c r="W63" s="8"/>
      <c r="X63" s="62"/>
      <c r="Y63" s="182"/>
      <c r="Z63" s="8"/>
      <c r="AA63" s="8"/>
      <c r="AB63" s="11"/>
      <c r="AC63" s="182"/>
      <c r="AD63" s="8"/>
      <c r="AE63" s="8"/>
      <c r="AF63" s="8"/>
      <c r="AG63" s="181"/>
      <c r="AH63" s="78"/>
      <c r="AI63" s="77"/>
      <c r="AJ63" s="235"/>
      <c r="AK63" s="165" t="str">
        <f>IFERROR(IF(AK62="","",VLOOKUP(AK62,LISTAS!$F$5:$G$1004,2,0)),"0")</f>
        <v/>
      </c>
      <c r="AL63" s="11"/>
    </row>
    <row r="64" spans="2:41" ht="18" customHeight="1" x14ac:dyDescent="0.25">
      <c r="B64" s="16">
        <v>4</v>
      </c>
      <c r="C64" s="162" t="str">
        <f>IF('11F GRP'!G5&gt;=3,'11F GRP'!J60,IF('11F GRP'!G5=2,IF('11F GRP'!H8=3,"",'11F GRP'!J31),IF('11F GRP'!G5=1,'11F GRP'!J11,"")))</f>
        <v>BEATRIZ DELPOIO DE ARAÚJO</v>
      </c>
      <c r="D64" s="234">
        <v>2</v>
      </c>
      <c r="E64" s="57">
        <f>IF(D64&lt;&gt;"",D64,"")</f>
        <v>2</v>
      </c>
      <c r="F64" s="51" t="str">
        <f>IF(D64&lt;&gt;"",IF(C64="","",C64),"")</f>
        <v>BEATRIZ DELPOIO DE ARAÚJO</v>
      </c>
      <c r="G64" s="176" t="str">
        <f>VLOOKUP(G62,E62:F64,2,0)</f>
        <v/>
      </c>
      <c r="H64" s="51"/>
      <c r="I64" s="51"/>
      <c r="J64" s="51"/>
      <c r="K64" s="166"/>
      <c r="L64" s="11"/>
      <c r="M64" s="11"/>
      <c r="N64" s="11"/>
      <c r="O64" s="166"/>
      <c r="P64" s="11"/>
      <c r="Q64" s="8"/>
      <c r="R64" s="182"/>
      <c r="S64" s="8"/>
      <c r="T64" s="8"/>
      <c r="U64" s="8"/>
      <c r="V64" s="182"/>
      <c r="W64" s="8"/>
      <c r="X64" s="62"/>
      <c r="Y64" s="182"/>
      <c r="Z64" s="8"/>
      <c r="AA64" s="8"/>
      <c r="AB64" s="11"/>
      <c r="AC64" s="182"/>
      <c r="AD64" s="8"/>
      <c r="AE64" s="8"/>
      <c r="AF64" s="8"/>
      <c r="AG64" s="181">
        <f>IF(AJ64&lt;&gt;"",AJ64,"")</f>
        <v>2</v>
      </c>
      <c r="AH64" s="78" t="str">
        <f>IF(AJ64&lt;&gt;"",IF(AK64="","",AK64),"")</f>
        <v>CECÍLIA MARIA DE SOUZA BASTOS</v>
      </c>
      <c r="AI64" s="76" t="str">
        <f>VLOOKUP(AI62,AG62:AH64,2,0)</f>
        <v/>
      </c>
      <c r="AJ64" s="234">
        <v>2</v>
      </c>
      <c r="AK64" s="162" t="str">
        <f>IF('11F GRP'!G5&gt;=3,'11F GRP'!J30,IF('11F GRP'!G5=2,IF('11F GRP'!H8=3,'11F GRP'!J30,'11F GRP'!J30),IF('11F GRP'!G5=1,'11F GRP'!J9,"")))</f>
        <v>CECÍLIA MARIA DE SOUZA BASTOS</v>
      </c>
      <c r="AL64" s="11">
        <v>2</v>
      </c>
    </row>
    <row r="65" spans="2:47" ht="18" customHeight="1" thickBot="1" x14ac:dyDescent="0.3">
      <c r="B65" s="16"/>
      <c r="C65" s="165" t="str">
        <f>IFERROR(IF(C64="","",VLOOKUP(C64,LISTAS!$F$5:$G$1004,2,0)),"0")</f>
        <v>LICEU JARDIM</v>
      </c>
      <c r="D65" s="235"/>
      <c r="E65" s="51"/>
      <c r="F65" s="51"/>
      <c r="G65" s="176"/>
      <c r="H65" s="51"/>
      <c r="I65" s="51"/>
      <c r="J65" s="51"/>
      <c r="K65" s="166"/>
      <c r="L65" s="11"/>
      <c r="M65" s="11"/>
      <c r="N65" s="11"/>
      <c r="O65" s="166"/>
      <c r="P65" s="11"/>
      <c r="Q65" s="8"/>
      <c r="R65" s="182"/>
      <c r="S65" s="8"/>
      <c r="T65" s="8"/>
      <c r="U65" s="8"/>
      <c r="V65" s="182"/>
      <c r="W65" s="8"/>
      <c r="X65" s="62"/>
      <c r="Y65" s="182"/>
      <c r="Z65" s="8"/>
      <c r="AA65" s="8"/>
      <c r="AB65" s="11"/>
      <c r="AC65" s="182"/>
      <c r="AD65" s="8"/>
      <c r="AE65" s="8"/>
      <c r="AF65" s="8"/>
      <c r="AG65" s="181"/>
      <c r="AH65" s="78"/>
      <c r="AI65" s="51"/>
      <c r="AJ65" s="235"/>
      <c r="AK65" s="165" t="str">
        <f>IFERROR(IF(AK64="","",VLOOKUP(AK64,LISTAS!$F$5:$G$1004,2,0)),"0")</f>
        <v>COLÉGIO ARBOS - UNIDADE SANTO ANDRÉ</v>
      </c>
      <c r="AL65" s="11"/>
    </row>
    <row r="66" spans="2:47" ht="18" customHeight="1" x14ac:dyDescent="0.25">
      <c r="B66" s="16"/>
      <c r="C66" s="167"/>
      <c r="D66" s="71"/>
      <c r="E66" s="127"/>
      <c r="F66" s="127"/>
      <c r="G66" s="177"/>
      <c r="H66" s="127"/>
      <c r="I66" s="127"/>
      <c r="J66" s="127"/>
      <c r="K66" s="167"/>
      <c r="L66" s="71"/>
      <c r="M66" s="71"/>
      <c r="N66" s="71"/>
      <c r="O66" s="167"/>
      <c r="P66" s="71"/>
      <c r="Q66" s="8"/>
      <c r="R66" s="182"/>
      <c r="S66" s="8"/>
      <c r="T66" s="8"/>
      <c r="U66" s="8"/>
      <c r="V66" s="182"/>
      <c r="W66" s="8"/>
      <c r="X66" s="62"/>
      <c r="Y66" s="182"/>
      <c r="Z66" s="8"/>
      <c r="AA66" s="8"/>
      <c r="AB66" s="11"/>
      <c r="AC66" s="182"/>
      <c r="AD66" s="8"/>
      <c r="AE66" s="8"/>
      <c r="AF66" s="8"/>
      <c r="AG66" s="181"/>
      <c r="AH66" s="78"/>
      <c r="AI66" s="78"/>
      <c r="AJ66" s="71"/>
      <c r="AK66" s="167"/>
      <c r="AL66" s="11"/>
    </row>
    <row r="67" spans="2:47" ht="18" customHeight="1" x14ac:dyDescent="0.25">
      <c r="B67" s="11"/>
      <c r="C67" s="167"/>
      <c r="D67" s="71"/>
      <c r="E67" s="71"/>
      <c r="F67" s="71"/>
      <c r="G67" s="167"/>
      <c r="H67" s="71"/>
      <c r="I67" s="71"/>
      <c r="J67" s="71"/>
      <c r="K67" s="167"/>
      <c r="L67" s="71"/>
      <c r="M67" s="71"/>
      <c r="N67" s="71"/>
      <c r="O67" s="167"/>
      <c r="P67" s="71"/>
      <c r="Q67" s="8"/>
      <c r="R67" s="182"/>
      <c r="S67" s="8"/>
      <c r="T67" s="8"/>
      <c r="U67" s="8"/>
      <c r="V67" s="182"/>
      <c r="W67" s="8"/>
      <c r="X67" s="62"/>
      <c r="Y67" s="182"/>
      <c r="Z67" s="8"/>
      <c r="AA67" s="8"/>
      <c r="AB67" s="11"/>
      <c r="AC67" s="182"/>
      <c r="AD67" s="8"/>
      <c r="AE67" s="8"/>
      <c r="AF67" s="8"/>
      <c r="AG67" s="182"/>
      <c r="AH67" s="8"/>
      <c r="AI67" s="8"/>
      <c r="AJ67" s="71"/>
      <c r="AK67" s="167"/>
      <c r="AL67" s="11"/>
    </row>
    <row r="68" spans="2:47" ht="18" customHeight="1" x14ac:dyDescent="0.25">
      <c r="B68" s="22"/>
      <c r="C68" s="168"/>
      <c r="D68" s="22"/>
      <c r="E68" s="22"/>
      <c r="F68" s="22"/>
      <c r="G68" s="168"/>
      <c r="H68" s="22"/>
      <c r="I68" s="22"/>
      <c r="J68" s="22"/>
      <c r="K68" s="168"/>
      <c r="L68" s="22"/>
      <c r="M68" s="22"/>
      <c r="N68" s="22"/>
      <c r="O68" s="168"/>
      <c r="P68" s="22"/>
      <c r="W68" s="22"/>
      <c r="X68" s="22"/>
      <c r="Y68" s="168"/>
      <c r="Z68" s="22"/>
      <c r="AA68" s="22"/>
      <c r="AB68" s="22"/>
      <c r="AC68" s="168"/>
      <c r="AD68" s="22"/>
      <c r="AE68" s="22"/>
      <c r="AF68" s="22"/>
      <c r="AG68" s="168"/>
      <c r="AH68" s="22"/>
      <c r="AI68" s="22"/>
      <c r="AJ68" s="22"/>
      <c r="AK68" s="168"/>
    </row>
    <row r="69" spans="2:47" ht="18" customHeight="1" x14ac:dyDescent="0.25">
      <c r="B69" s="22"/>
      <c r="C69" s="168"/>
      <c r="D69" s="22"/>
      <c r="E69" s="22"/>
      <c r="F69" s="22"/>
      <c r="G69" s="168"/>
      <c r="H69" s="22"/>
      <c r="I69" s="22"/>
      <c r="J69" s="22"/>
      <c r="K69" s="168"/>
      <c r="L69" s="22"/>
      <c r="M69" s="22"/>
      <c r="N69" s="22"/>
      <c r="O69" s="168"/>
      <c r="P69" s="22"/>
      <c r="W69" s="22"/>
      <c r="X69" s="22"/>
      <c r="Y69" s="168"/>
      <c r="Z69" s="22"/>
      <c r="AA69" s="22"/>
      <c r="AB69" s="22"/>
      <c r="AC69" s="168"/>
      <c r="AD69" s="22"/>
      <c r="AE69" s="22"/>
      <c r="AF69" s="22"/>
      <c r="AG69" s="168"/>
      <c r="AH69" s="22"/>
      <c r="AI69" s="22"/>
      <c r="AJ69" s="22"/>
      <c r="AK69" s="168"/>
    </row>
    <row r="70" spans="2:47" ht="30" customHeight="1" x14ac:dyDescent="0.25">
      <c r="B70" s="249" t="s">
        <v>20</v>
      </c>
      <c r="C70" s="250"/>
      <c r="D70" s="250"/>
      <c r="E70" s="250"/>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0"/>
      <c r="AI70" s="250"/>
      <c r="AJ70" s="250"/>
      <c r="AK70" s="250"/>
      <c r="AL70" s="250"/>
      <c r="AP70" s="240" t="s">
        <v>4</v>
      </c>
      <c r="AQ70" s="240"/>
      <c r="AR70" s="240"/>
      <c r="AS70" s="240"/>
      <c r="AT70" s="240"/>
      <c r="AU70" s="240"/>
    </row>
    <row r="71" spans="2:47" ht="18" customHeight="1" thickBot="1" x14ac:dyDescent="0.3">
      <c r="B71" s="73"/>
      <c r="C71" s="164"/>
      <c r="D71" s="61"/>
      <c r="E71" s="61"/>
      <c r="F71" s="61"/>
      <c r="G71" s="175"/>
      <c r="H71" s="61"/>
      <c r="I71" s="61"/>
      <c r="J71" s="61"/>
      <c r="K71" s="179"/>
      <c r="L71" s="61"/>
      <c r="M71" s="61"/>
      <c r="N71" s="61"/>
      <c r="O71" s="179"/>
      <c r="P71" s="61"/>
      <c r="Q71" s="61"/>
      <c r="R71" s="179"/>
      <c r="S71" s="61"/>
      <c r="T71" s="61"/>
      <c r="U71" s="61"/>
      <c r="V71" s="179"/>
      <c r="W71" s="61"/>
      <c r="X71" s="74"/>
      <c r="Y71" s="179"/>
      <c r="Z71" s="61"/>
      <c r="AA71" s="61"/>
      <c r="AB71" s="75"/>
      <c r="AC71" s="179"/>
      <c r="AD71" s="61"/>
      <c r="AE71" s="61"/>
      <c r="AF71" s="61"/>
      <c r="AG71" s="179"/>
      <c r="AH71" s="61"/>
      <c r="AI71" s="61"/>
      <c r="AJ71" s="61"/>
      <c r="AK71" s="179"/>
      <c r="AL71" s="61"/>
      <c r="AP71" s="228" t="s">
        <v>3</v>
      </c>
      <c r="AQ71" s="230"/>
      <c r="AR71" s="9" t="s">
        <v>15</v>
      </c>
      <c r="AS71" s="9" t="s">
        <v>0</v>
      </c>
      <c r="AT71" s="9" t="s">
        <v>16</v>
      </c>
      <c r="AU71" s="9" t="s">
        <v>17</v>
      </c>
    </row>
    <row r="72" spans="2:47" ht="18" customHeight="1" x14ac:dyDescent="0.25">
      <c r="B72" s="10">
        <v>1</v>
      </c>
      <c r="C72" s="169" t="str">
        <f>IF('11F GRP'!G5&gt;=3,'11F GRP'!J9,IF('11F GRP'!G5=2,IF('11F GRP'!H8=3,'11F GRP'!J9,'11F GRP'!J10),IF('11F GRP'!G5=1,"","")))</f>
        <v>NINA MEI HORII TODA</v>
      </c>
      <c r="D72" s="234">
        <v>2</v>
      </c>
      <c r="E72" s="51">
        <f>IF(D72&lt;&gt;"",D72,"")</f>
        <v>2</v>
      </c>
      <c r="F72" s="51" t="str">
        <f>IF(D72&lt;&gt;"",IF(C72="","",C72),"")</f>
        <v>NINA MEI HORII TODA</v>
      </c>
      <c r="G72" s="176">
        <f>IF(E72&lt;&gt;"",IF(E74&lt;&gt;"",SMALL(E72:E74,1),""),"")</f>
        <v>0</v>
      </c>
      <c r="H72" s="11"/>
      <c r="I72" s="11"/>
      <c r="J72" s="11"/>
      <c r="K72" s="166"/>
      <c r="L72" s="11"/>
      <c r="M72" s="12"/>
      <c r="N72" s="12"/>
      <c r="O72" s="180"/>
      <c r="P72" s="12"/>
      <c r="Q72" s="8"/>
      <c r="R72" s="182"/>
      <c r="S72" s="8"/>
      <c r="T72" s="8"/>
      <c r="U72" s="8"/>
      <c r="V72" s="182"/>
      <c r="W72" s="8"/>
      <c r="X72" s="62"/>
      <c r="Y72" s="182"/>
      <c r="Z72" s="8"/>
      <c r="AA72" s="8"/>
      <c r="AB72" s="11"/>
      <c r="AC72" s="182"/>
      <c r="AD72" s="8"/>
      <c r="AE72" s="8"/>
      <c r="AF72" s="8"/>
      <c r="AG72" s="181">
        <f>IF(AJ72&lt;&gt;"",AJ72,"")</f>
        <v>2</v>
      </c>
      <c r="AH72" s="78" t="str">
        <f>IF(AJ72&lt;&gt;"",IF(AK72="","",AK72),"")</f>
        <v>ESTER GUIMARÃES</v>
      </c>
      <c r="AI72" s="51">
        <f>IF(AG72&lt;&gt;"",IF(AG74&lt;&gt;"",SMALL(AG72:AG74,1),""),"")</f>
        <v>0</v>
      </c>
      <c r="AJ72" s="234">
        <v>2</v>
      </c>
      <c r="AK72" s="169" t="str">
        <f>IF('11F GRP'!G5&gt;=3,'11F GRP'!J48,IF('11F GRP'!G5=2,IF('11F GRP'!H8=3,"",'11F GRP'!J11),IF('11F GRP'!G5=1,"","")))</f>
        <v>ESTER GUIMARÃES</v>
      </c>
      <c r="AL72" s="63">
        <v>3</v>
      </c>
      <c r="AP72" s="13">
        <f>IF(AR72&lt;&gt;"",1,"")</f>
        <v>1</v>
      </c>
      <c r="AQ72" s="14" t="str">
        <f>IF(AP72&lt;&gt;"","LUGAR","")</f>
        <v>LUGAR</v>
      </c>
      <c r="AR72" s="15" t="str">
        <f>IF(S100&lt;&gt;"",IF(U100&lt;&gt;"",IF(S100=U100,"",IF(S100&gt;U100,R100,V100)),""),"")</f>
        <v>JULIA GOMES</v>
      </c>
      <c r="AS72" s="15" t="str">
        <f>IFERROR(IF(AR72="","",VLOOKUP(AR72,LISTAS!$F$5:$G$1004,2,0)),"0")</f>
        <v>COLÉGIO SÃO JOSÉ</v>
      </c>
      <c r="AT72" s="15">
        <f>IF(AP72="","",IF(AP72=1,180,IF(AP72=2,170,IF(AP72=3,150,IF(AP72=4,140,IF(AP72=5,135,IF(AP72=6,130,IF(AP72=7,120,IF(AP72=8,110,IF(AP72=9,105,IF(AP72=10,105,IF(AP72=11,105,IF(AP72=12,105,IF(AP72=13,105,IF(AP72=14,105,IF(AP72=15,105,IF(AP72=16,105,IF(AP72&gt;16,"",""))))))))))))))))))</f>
        <v>180</v>
      </c>
      <c r="AU72" s="15">
        <f>IF(AP72="","",IF($AS$5="NÃO","",IF(AP72=1,180,IF(AP72=2,170,IF(AP72=3,150,IF(AP72=4,140,IF(AP72=5,135,IF(AP72=6,130,IF(AP72=7,120,IF(AP72=8,110,IF(AP72=9,105,IF(AP72=10,105,IF(AP72=11,105,IF(AP72=12,105,IF(AP72=13,105,IF(AP72=14,105,IF(AP72=15,105,IF(AP72=16,105,IF(AP72&gt;16,"","")))))))))))))))))))</f>
        <v>180</v>
      </c>
    </row>
    <row r="73" spans="2:47" ht="18" customHeight="1" thickBot="1" x14ac:dyDescent="0.3">
      <c r="B73" s="10"/>
      <c r="C73" s="170" t="str">
        <f>IFERROR(IF(C72="","",VLOOKUP(C72,LISTAS!$F$5:$G$1004,2,0)),"0")</f>
        <v>ABACO IPIRANGA</v>
      </c>
      <c r="D73" s="235"/>
      <c r="E73" s="51"/>
      <c r="F73" s="51"/>
      <c r="G73" s="176"/>
      <c r="H73" s="11"/>
      <c r="I73" s="11"/>
      <c r="J73" s="11"/>
      <c r="K73" s="166"/>
      <c r="L73" s="11"/>
      <c r="M73" s="12"/>
      <c r="N73" s="12"/>
      <c r="O73" s="180"/>
      <c r="P73" s="12"/>
      <c r="Q73" s="8"/>
      <c r="R73" s="182"/>
      <c r="S73" s="8"/>
      <c r="T73" s="8"/>
      <c r="U73" s="8"/>
      <c r="V73" s="182"/>
      <c r="W73" s="8"/>
      <c r="X73" s="62"/>
      <c r="Y73" s="182"/>
      <c r="Z73" s="8"/>
      <c r="AA73" s="8"/>
      <c r="AB73" s="11"/>
      <c r="AC73" s="182"/>
      <c r="AD73" s="8"/>
      <c r="AE73" s="8"/>
      <c r="AF73" s="8"/>
      <c r="AG73" s="181"/>
      <c r="AH73" s="78"/>
      <c r="AI73" s="51"/>
      <c r="AJ73" s="235"/>
      <c r="AK73" s="170" t="str">
        <f>IFERROR(IF(AK72="","",VLOOKUP(AK72,LISTAS!$F$5:$G$1004,2,0)),"0")</f>
        <v>COLÉGIO MARCONI - GRU</v>
      </c>
      <c r="AL73" s="63"/>
      <c r="AP73" s="13">
        <f>IF(AR73&lt;&gt;"",1+COUNTIF(AP72,"1"),"")</f>
        <v>2</v>
      </c>
      <c r="AQ73" s="14" t="str">
        <f t="shared" ref="AQ73:AQ103" si="3">IF(AP73&lt;&gt;"","LUGAR","")</f>
        <v>LUGAR</v>
      </c>
      <c r="AR73" s="15" t="str">
        <f>IF(S100&lt;&gt;"",IF(U100&lt;&gt;"",IF(S100=U100,"",IF(S100&lt;U100,R100,V100)),""),"")</f>
        <v>ESTER GUIMARÃES</v>
      </c>
      <c r="AS73" s="15" t="str">
        <f>IFERROR(IF(AR73="","",VLOOKUP(AR73,LISTAS!$F$5:$G$1004,2,0)),"0")</f>
        <v>COLÉGIO MARCONI - GRU</v>
      </c>
      <c r="AT73" s="15">
        <f t="shared" ref="AT73:AT102" si="4">IF(AP73="","",IF(AP73=1,180,IF(AP73=2,170,IF(AP73=3,150,IF(AP73=4,140,IF(AP73=5,135,IF(AP73=6,130,IF(AP73=7,120,IF(AP73=8,110,IF(AP73=9,105,IF(AP73=10,105,IF(AP73=11,105,IF(AP73=12,105,IF(AP73=13,105,IF(AP73=14,105,IF(AP73=15,105,IF(AP73=16,105,IF(AP73&gt;16,"",""))))))))))))))))))</f>
        <v>170</v>
      </c>
      <c r="AU73" s="15">
        <f t="shared" ref="AU73:AU102" si="5">IF(AP73="","",IF($AS$5="NÃO","",IF(AP73=1,180,IF(AP73=2,170,IF(AP73=3,150,IF(AP73=4,140,IF(AP73=5,135,IF(AP73=6,130,IF(AP73=7,120,IF(AP73=8,110,IF(AP73=9,105,IF(AP73=10,105,IF(AP73=11,105,IF(AP73=12,105,IF(AP73=13,105,IF(AP73=14,105,IF(AP73=15,105,IF(AP73=16,105,IF(AP73&gt;16,"","")))))))))))))))))))</f>
        <v>170</v>
      </c>
    </row>
    <row r="74" spans="2:47" ht="18" customHeight="1" x14ac:dyDescent="0.25">
      <c r="B74" s="16">
        <v>32</v>
      </c>
      <c r="C74" s="169" t="str">
        <f>IF('11F GRP'!G5&gt;=3,'11F GRP'!J425,IF('11F GRP'!G5=2,"",IF('11F GRP'!G5=1,"","")))</f>
        <v/>
      </c>
      <c r="D74" s="234">
        <v>0</v>
      </c>
      <c r="E74" s="52">
        <f>IF(D74&lt;&gt;"",D74,"")</f>
        <v>0</v>
      </c>
      <c r="F74" s="51" t="str">
        <f>IF(D74&lt;&gt;"",IF(C74="","",C74),"")</f>
        <v/>
      </c>
      <c r="G74" s="176" t="str">
        <f>VLOOKUP(G72,E72:F74,2,0)</f>
        <v/>
      </c>
      <c r="H74" s="11"/>
      <c r="I74" s="11"/>
      <c r="J74" s="11"/>
      <c r="K74" s="166"/>
      <c r="L74" s="11"/>
      <c r="M74" s="12"/>
      <c r="N74" s="12"/>
      <c r="O74" s="180"/>
      <c r="P74" s="12"/>
      <c r="Q74" s="8"/>
      <c r="R74" s="182"/>
      <c r="S74" s="8"/>
      <c r="T74" s="8"/>
      <c r="U74" s="8"/>
      <c r="V74" s="182"/>
      <c r="W74" s="8"/>
      <c r="X74" s="62"/>
      <c r="Y74" s="182"/>
      <c r="Z74" s="8"/>
      <c r="AA74" s="8"/>
      <c r="AB74" s="11"/>
      <c r="AC74" s="182"/>
      <c r="AD74" s="8"/>
      <c r="AE74" s="8"/>
      <c r="AF74" s="8"/>
      <c r="AG74" s="181">
        <f>IF(AJ74&lt;&gt;"",AJ74,"")</f>
        <v>0</v>
      </c>
      <c r="AH74" s="78" t="str">
        <f>IF(AJ74&lt;&gt;"",IF(AK74="","",AK74),"")</f>
        <v/>
      </c>
      <c r="AI74" s="55" t="str">
        <f>VLOOKUP(AI72,AG72:AH74,2,0)</f>
        <v/>
      </c>
      <c r="AJ74" s="234">
        <v>0</v>
      </c>
      <c r="AK74" s="169" t="str">
        <f>IF('11F GRP'!G5&gt;=3,'11F GRP'!J399,IF('11F GRP'!G5=2,"",IF('11F GRP'!G5=1,"","")))</f>
        <v/>
      </c>
      <c r="AL74" s="11">
        <v>30</v>
      </c>
      <c r="AP74" s="13">
        <f>IF(AR74&lt;&gt;"",1+COUNTIF(AP72:AP73,"1")+COUNTIF(AP72:AP73,"2"),"")</f>
        <v>3</v>
      </c>
      <c r="AQ74" s="14" t="str">
        <f t="shared" si="3"/>
        <v>LUGAR</v>
      </c>
      <c r="AR74" s="21" t="str">
        <f>IF(AR72&lt;&gt;"",IF(O99=AR72,O101,IF(O101=AR72,O99,IF(Y99=AR72,Y101,IF(Y101=AR72,Y99)))),"")</f>
        <v>NINA MEI HORII TODA</v>
      </c>
      <c r="AS74" s="15" t="str">
        <f>IFERROR(IF(AR74="","",VLOOKUP(AR74,LISTAS!$F$5:$G$1004,2,0)),"0")</f>
        <v>ABACO IPIRANGA</v>
      </c>
      <c r="AT74" s="15">
        <f t="shared" si="4"/>
        <v>150</v>
      </c>
      <c r="AU74" s="15">
        <f t="shared" si="5"/>
        <v>150</v>
      </c>
    </row>
    <row r="75" spans="2:47" ht="18" customHeight="1" thickBot="1" x14ac:dyDescent="0.3">
      <c r="B75" s="16"/>
      <c r="C75" s="170" t="str">
        <f>IFERROR(IF(C74="","",VLOOKUP(C74,LISTAS!$F$5:$G$1004,2,0)),"0")</f>
        <v/>
      </c>
      <c r="D75" s="235"/>
      <c r="E75" s="128"/>
      <c r="F75" s="51"/>
      <c r="G75" s="176"/>
      <c r="H75" s="11"/>
      <c r="I75" s="11"/>
      <c r="J75" s="11"/>
      <c r="K75" s="166"/>
      <c r="L75" s="11"/>
      <c r="M75" s="12"/>
      <c r="N75" s="12"/>
      <c r="O75" s="180"/>
      <c r="P75" s="12"/>
      <c r="Q75" s="8"/>
      <c r="R75" s="182"/>
      <c r="S75" s="8"/>
      <c r="T75" s="8"/>
      <c r="U75" s="8"/>
      <c r="V75" s="182"/>
      <c r="W75" s="8"/>
      <c r="X75" s="62"/>
      <c r="Y75" s="182"/>
      <c r="Z75" s="8"/>
      <c r="AA75" s="8"/>
      <c r="AB75" s="11"/>
      <c r="AC75" s="182"/>
      <c r="AD75" s="8"/>
      <c r="AE75" s="8"/>
      <c r="AF75" s="8"/>
      <c r="AG75" s="181"/>
      <c r="AH75" s="78"/>
      <c r="AI75" s="123"/>
      <c r="AJ75" s="235"/>
      <c r="AK75" s="170" t="str">
        <f>IFERROR(IF(AK74="","",VLOOKUP(AK74,LISTAS!$F$5:$G$1004,2,0)),"0")</f>
        <v/>
      </c>
      <c r="AL75" s="11"/>
      <c r="AP75" s="13">
        <f>IF(AR75&lt;&gt;"",1+COUNTIF(AP72:AP74,"1")+COUNTIF(AP72:AP74,"2")+COUNTIF(AP72:AP74,"3"),"")</f>
        <v>4</v>
      </c>
      <c r="AQ75" s="14" t="str">
        <f t="shared" si="3"/>
        <v>LUGAR</v>
      </c>
      <c r="AR75" s="21" t="str">
        <f>IF(AR73&lt;&gt;"",IF(O99=AR73,O101,IF(O101=AR73,O99,IF(Y99=AR73,Y101,IF(Y101=AR73,Y99)))),"")</f>
        <v>HELOISA SILVA DOS SANTOS</v>
      </c>
      <c r="AS75" s="15" t="str">
        <f>IFERROR(IF(AR75="","",VLOOKUP(AR75,LISTAS!$F$5:$G$1004,2,0)),"0")</f>
        <v>COLÉGIO ENGENHEIRO SALVADOR ARENA</v>
      </c>
      <c r="AT75" s="15">
        <f t="shared" si="4"/>
        <v>140</v>
      </c>
      <c r="AU75" s="15">
        <f t="shared" si="5"/>
        <v>140</v>
      </c>
    </row>
    <row r="76" spans="2:47" ht="18" customHeight="1" x14ac:dyDescent="0.25">
      <c r="B76" s="16"/>
      <c r="C76" s="166"/>
      <c r="D76" s="11"/>
      <c r="E76" s="11"/>
      <c r="F76" s="17"/>
      <c r="G76" s="169" t="str">
        <f>IF(D72&lt;&gt;"",IF(D74&lt;&gt;"",IF(D72=D74,"",IF(D72&gt;D74,C72,C74)),""),"")</f>
        <v>NINA MEI HORII TODA</v>
      </c>
      <c r="H76" s="234">
        <v>2</v>
      </c>
      <c r="I76" s="51">
        <f>IF(H76&lt;&gt;"",H76,"")</f>
        <v>2</v>
      </c>
      <c r="J76" s="51" t="str">
        <f>IF(H76&lt;&gt;"",IF(G76="","",G76),"")</f>
        <v>NINA MEI HORII TODA</v>
      </c>
      <c r="K76" s="176">
        <f>IF(I76&lt;&gt;"",IF(I78&lt;&gt;"",SMALL(I76:J78,1),""),"")</f>
        <v>0</v>
      </c>
      <c r="L76" s="11"/>
      <c r="M76" s="11"/>
      <c r="N76" s="11"/>
      <c r="O76" s="166"/>
      <c r="P76" s="11"/>
      <c r="Q76" s="8"/>
      <c r="R76" s="182"/>
      <c r="S76" s="8"/>
      <c r="T76" s="8"/>
      <c r="U76" s="8"/>
      <c r="V76" s="182"/>
      <c r="W76" s="8"/>
      <c r="X76" s="62"/>
      <c r="Y76" s="182"/>
      <c r="Z76" s="8"/>
      <c r="AA76" s="8"/>
      <c r="AB76" s="11"/>
      <c r="AC76" s="182"/>
      <c r="AD76" s="8"/>
      <c r="AE76" s="67"/>
      <c r="AF76" s="234">
        <v>2</v>
      </c>
      <c r="AG76" s="169" t="str">
        <f>IF(AJ72&lt;&gt;"",IF(AJ74&lt;&gt;"",IF(AJ72=AJ74,"",IF(AJ72&gt;AJ74,AK72,AK74)),""),"")</f>
        <v>ESTER GUIMARÃES</v>
      </c>
      <c r="AH76" s="65"/>
      <c r="AI76" s="8"/>
      <c r="AJ76" s="11"/>
      <c r="AK76" s="166"/>
      <c r="AL76" s="11"/>
      <c r="AP76" s="13">
        <f>IF(AR76&lt;&gt;"",1+COUNTIF(AP72:AP75,"1")+COUNTIF(AP72:AP75,"2")+COUNTIF(AP72:AP75,"3")+COUNTIF(AP72:AP75,"4"),"")</f>
        <v>5</v>
      </c>
      <c r="AQ76" s="14" t="str">
        <f t="shared" si="3"/>
        <v>LUGAR</v>
      </c>
      <c r="AR76" s="21" t="str">
        <f>IF(AR72&lt;&gt;"",IF(K84=AR72,K86,IF(K86=AR72,K84,IF(K114=AR72,K116,IF(K116=AR72,K114,IF(AC84=AR72,AC86,IF(AC86=AR72,AC84,IF(AC114=AR72,AC116,IF(AC116=AR72,AC114)))))))),"")</f>
        <v>MICAELLA QUEIROZ DOS SANTOS ALMEIDA</v>
      </c>
      <c r="AS76" s="15" t="str">
        <f>IFERROR(IF(AR76="","",VLOOKUP(AR76,LISTAS!$F$5:$G$1004,2,0)),"0")</f>
        <v>COLÉGIO ARBOS - UNIDADE SANTO ANDRÉ</v>
      </c>
      <c r="AT76" s="15">
        <f t="shared" si="4"/>
        <v>135</v>
      </c>
      <c r="AU76" s="15">
        <f t="shared" si="5"/>
        <v>135</v>
      </c>
    </row>
    <row r="77" spans="2:47" ht="18" customHeight="1" thickBot="1" x14ac:dyDescent="0.3">
      <c r="B77" s="16"/>
      <c r="C77" s="166"/>
      <c r="D77" s="11"/>
      <c r="E77" s="11"/>
      <c r="F77" s="17"/>
      <c r="G77" s="170" t="str">
        <f>IFERROR(IF(G76="","",VLOOKUP(G76,LISTAS!$F$5:$G$1004,2,0)),"0")</f>
        <v>ABACO IPIRANGA</v>
      </c>
      <c r="H77" s="235"/>
      <c r="I77" s="51"/>
      <c r="J77" s="51"/>
      <c r="K77" s="176"/>
      <c r="L77" s="11"/>
      <c r="M77" s="11"/>
      <c r="N77" s="11"/>
      <c r="O77" s="166"/>
      <c r="P77" s="11"/>
      <c r="Q77" s="8"/>
      <c r="R77" s="182"/>
      <c r="S77" s="8"/>
      <c r="T77" s="8"/>
      <c r="U77" s="8"/>
      <c r="V77" s="182"/>
      <c r="W77" s="8"/>
      <c r="X77" s="62"/>
      <c r="Y77" s="182"/>
      <c r="Z77" s="8"/>
      <c r="AA77" s="8"/>
      <c r="AB77" s="11"/>
      <c r="AC77" s="182"/>
      <c r="AD77" s="8"/>
      <c r="AE77" s="67"/>
      <c r="AF77" s="235"/>
      <c r="AG77" s="170" t="str">
        <f>IFERROR(IF(AG76="","",VLOOKUP(AG76,LISTAS!$F$5:$G$1004,2,0)),"0")</f>
        <v>COLÉGIO MARCONI - GRU</v>
      </c>
      <c r="AH77" s="65"/>
      <c r="AI77" s="8"/>
      <c r="AJ77" s="11"/>
      <c r="AK77" s="166"/>
      <c r="AL77" s="11"/>
      <c r="AP77" s="13">
        <f>IF(AR77&lt;&gt;"",1+COUNTIF(AP72:AP76,"1")+COUNTIF(AP72:AP76,"2")+COUNTIF(AP72:AP76,"3")+COUNTIF(AP72:AP76,"4")+COUNTIF(AP72:AP76,"5"),"")</f>
        <v>6</v>
      </c>
      <c r="AQ77" s="14" t="str">
        <f t="shared" si="3"/>
        <v>LUGAR</v>
      </c>
      <c r="AR77" s="21" t="str">
        <f>IF(AR73&lt;&gt;"",IF(K84=AR73,K86,IF(K86=AR73,K84,IF(K114=AR73,K116,IF(K116=AR73,K114,IF(AC84=AR73,AC86,IF(AC86=AR73,AC84,IF(AC114=AR73,AC116,IF(AC116=AR73,AC114)))))))),"")</f>
        <v>DENISE CASAGRANDE DE MEDEIROS</v>
      </c>
      <c r="AS77" s="15" t="str">
        <f>IFERROR(IF(AR77="","",VLOOKUP(AR77,LISTAS!$F$5:$G$1004,2,0)),"0")</f>
        <v>LICEU JARDIM</v>
      </c>
      <c r="AT77" s="15">
        <f t="shared" si="4"/>
        <v>130</v>
      </c>
      <c r="AU77" s="15">
        <f t="shared" si="5"/>
        <v>130</v>
      </c>
    </row>
    <row r="78" spans="2:47" x14ac:dyDescent="0.25">
      <c r="B78" s="16"/>
      <c r="C78" s="166"/>
      <c r="D78" s="11"/>
      <c r="E78" s="18"/>
      <c r="F78" s="19"/>
      <c r="G78" s="169" t="str">
        <f>IF(D80&lt;&gt;"",IF(D82&lt;&gt;"",IF(D80=D82,"",IF(D80&gt;D82,C80,C82)),""),"")</f>
        <v/>
      </c>
      <c r="H78" s="234">
        <v>0</v>
      </c>
      <c r="I78" s="52">
        <f>IF(H78&lt;&gt;"",H78,"")</f>
        <v>0</v>
      </c>
      <c r="J78" s="51" t="str">
        <f>IF(H78&lt;&gt;"",IF(G78="","",G78),"")</f>
        <v/>
      </c>
      <c r="K78" s="176" t="str">
        <f>VLOOKUP(K76,I76:J78,2,0)</f>
        <v/>
      </c>
      <c r="L78" s="11"/>
      <c r="M78" s="11"/>
      <c r="N78" s="11"/>
      <c r="O78" s="166"/>
      <c r="P78" s="11"/>
      <c r="Q78" s="8"/>
      <c r="R78" s="182"/>
      <c r="S78" s="8"/>
      <c r="T78" s="8"/>
      <c r="U78" s="8"/>
      <c r="V78" s="182"/>
      <c r="W78" s="8"/>
      <c r="X78" s="62"/>
      <c r="Y78" s="182"/>
      <c r="Z78" s="8"/>
      <c r="AA78" s="8"/>
      <c r="AB78" s="11"/>
      <c r="AC78" s="182"/>
      <c r="AD78" s="65"/>
      <c r="AE78" s="68"/>
      <c r="AF78" s="234">
        <v>0</v>
      </c>
      <c r="AG78" s="169" t="str">
        <f>IF(AJ80&lt;&gt;"",IF(AJ82&lt;&gt;"",IF(AJ80=AJ82,"",IF(AJ80&gt;AJ82,AK80,AK82)),""),"")</f>
        <v/>
      </c>
      <c r="AH78" s="66"/>
      <c r="AI78" s="8"/>
      <c r="AJ78" s="11"/>
      <c r="AK78" s="166"/>
      <c r="AL78" s="11"/>
      <c r="AP78" s="13">
        <f>IF(AR78&lt;&gt;"",1+COUNTIF(AP72:AP77,"1")+COUNTIF(AP72:AP77,"2")+COUNTIF(AP72:AP77,"3")+COUNTIF(AP72:AP77,"4")+COUNTIF(AP72:AP77,"5")+COUNTIF(AP72:AP77,"6"),"")</f>
        <v>7</v>
      </c>
      <c r="AQ78" s="14" t="str">
        <f t="shared" si="3"/>
        <v>LUGAR</v>
      </c>
      <c r="AR78" s="21" t="str">
        <f>IF(AR74&lt;&gt;"",IF(K84=AR74,K86,IF(K86=AR74,K84,IF(K114=AR74,K116,IF(K116=AR74,K114,IF(AC84=AR74,AC86,IF(AC86=AR74,AC84,IF(AC114=AR74,AC116,IF(AC116=AR74,AC114)))))))),"")</f>
        <v>SOFIA BRITO NASCIMENTO</v>
      </c>
      <c r="AS78" s="15" t="str">
        <f>IFERROR(IF(AR78="","",VLOOKUP(AR78,LISTAS!$F$5:$G$1004,2,0)),"0")</f>
        <v>COLÉGIO ENGENHEIRO SALVADOR ARENA</v>
      </c>
      <c r="AT78" s="15">
        <f t="shared" si="4"/>
        <v>120</v>
      </c>
      <c r="AU78" s="15">
        <f t="shared" si="5"/>
        <v>120</v>
      </c>
    </row>
    <row r="79" spans="2:47" ht="17.25" thickBot="1" x14ac:dyDescent="0.3">
      <c r="B79" s="16"/>
      <c r="C79" s="166"/>
      <c r="D79" s="11"/>
      <c r="E79" s="18"/>
      <c r="F79" s="11"/>
      <c r="G79" s="170" t="str">
        <f>IFERROR(IF(G78="","",VLOOKUP(G78,LISTAS!$F$5:$G$1004,2,0)),"0")</f>
        <v/>
      </c>
      <c r="H79" s="235"/>
      <c r="I79" s="54"/>
      <c r="J79" s="51"/>
      <c r="K79" s="176"/>
      <c r="L79" s="11"/>
      <c r="M79" s="11"/>
      <c r="N79" s="11"/>
      <c r="O79" s="166"/>
      <c r="P79" s="11"/>
      <c r="Q79" s="8"/>
      <c r="R79" s="182"/>
      <c r="S79" s="8"/>
      <c r="T79" s="8"/>
      <c r="U79" s="8"/>
      <c r="V79" s="182"/>
      <c r="W79" s="8"/>
      <c r="X79" s="62"/>
      <c r="Y79" s="182"/>
      <c r="Z79" s="8"/>
      <c r="AA79" s="8"/>
      <c r="AB79" s="11"/>
      <c r="AC79" s="182"/>
      <c r="AD79" s="65"/>
      <c r="AE79" s="8"/>
      <c r="AF79" s="235"/>
      <c r="AG79" s="170" t="str">
        <f>IFERROR(IF(AG78="","",VLOOKUP(AG78,LISTAS!$F$5:$G$1004,2,0)),"0")</f>
        <v/>
      </c>
      <c r="AH79" s="8"/>
      <c r="AI79" s="69"/>
      <c r="AJ79" s="11"/>
      <c r="AK79" s="166"/>
      <c r="AL79" s="11"/>
      <c r="AP79" s="13">
        <f>IF(AR79&lt;&gt;"",1+COUNTIF(AP72:AP78,"1")+COUNTIF(AP72:AP78,"2")+COUNTIF(AP72:AP78,"3")+COUNTIF(AP72:AP78,"4")+COUNTIF(AP72:AP78,"5")+COUNTIF(AP72:AP78,"6")+COUNTIF(AP72:AP78,"7"),"")</f>
        <v>8</v>
      </c>
      <c r="AQ79" s="14" t="str">
        <f t="shared" si="3"/>
        <v>LUGAR</v>
      </c>
      <c r="AR79" s="21" t="str">
        <f>IF(AR75&lt;&gt;"",IF(K84=AR75,K86,IF(K86=AR75,K84,IF(K114=AR75,K116,IF(K116=AR75,K114,IF(AC84=AR75,AC86,IF(AC86=AR75,AC84,IF(AC114=AR75,AC116,IF(AC116=AR75,AC114)))))))),"")</f>
        <v>ALICE SANTI LIMONETE</v>
      </c>
      <c r="AS79" s="15" t="str">
        <f>IFERROR(IF(AR79="","",VLOOKUP(AR79,LISTAS!$F$5:$G$1004,2,0)),"0")</f>
        <v>ESCOLA VILLARE</v>
      </c>
      <c r="AT79" s="15">
        <f t="shared" si="4"/>
        <v>110</v>
      </c>
      <c r="AU79" s="15">
        <f t="shared" si="5"/>
        <v>110</v>
      </c>
    </row>
    <row r="80" spans="2:47" ht="18" customHeight="1" x14ac:dyDescent="0.25">
      <c r="B80" s="16">
        <v>17</v>
      </c>
      <c r="C80" s="169" t="str">
        <f>IF('11F GRP'!G5&gt;=3,'11F GRP'!J230,IF('11F GRP'!G5=2,"",IF('11F GRP'!G5=1,"","")))</f>
        <v/>
      </c>
      <c r="D80" s="234">
        <v>0</v>
      </c>
      <c r="E80" s="56">
        <f>IF(D80&lt;&gt;"",D80,"")</f>
        <v>0</v>
      </c>
      <c r="F80" s="51" t="str">
        <f>IF(D80&lt;&gt;"",IF(C80="","",C80),"")</f>
        <v/>
      </c>
      <c r="G80" s="176">
        <f>IF(E80&lt;&gt;"",IF(E82&lt;&gt;"",SMALL(E80:E82,1),""),"")</f>
        <v>0</v>
      </c>
      <c r="H80" s="11"/>
      <c r="I80" s="18"/>
      <c r="J80" s="11"/>
      <c r="K80" s="166"/>
      <c r="L80" s="11"/>
      <c r="M80" s="11"/>
      <c r="N80" s="11"/>
      <c r="O80" s="166"/>
      <c r="P80" s="11"/>
      <c r="Q80" s="8"/>
      <c r="R80" s="182"/>
      <c r="S80" s="8"/>
      <c r="T80" s="8"/>
      <c r="U80" s="8"/>
      <c r="V80" s="182"/>
      <c r="W80" s="8"/>
      <c r="X80" s="62"/>
      <c r="Y80" s="182"/>
      <c r="Z80" s="8"/>
      <c r="AA80" s="8"/>
      <c r="AB80" s="11"/>
      <c r="AC80" s="182"/>
      <c r="AD80" s="65"/>
      <c r="AE80" s="8"/>
      <c r="AF80" s="8"/>
      <c r="AG80" s="181">
        <f>IF(AJ80&lt;&gt;"",AJ80,"")</f>
        <v>0</v>
      </c>
      <c r="AH80" s="78" t="str">
        <f>IF(AJ80&lt;&gt;"",IF(AK80="","",AK80),"")</f>
        <v/>
      </c>
      <c r="AI80" s="53">
        <f>IF(AG80&lt;&gt;"",IF(AG82&lt;&gt;"",SMALL(AG80:AG82,1),""),"")</f>
        <v>0</v>
      </c>
      <c r="AJ80" s="234">
        <v>0</v>
      </c>
      <c r="AK80" s="169" t="str">
        <f>IF('11F GRP'!G5&gt;=3,'11F GRP'!J191,IF('11F GRP'!G5=2,"",IF('11F GRP'!G5=1,"","")))</f>
        <v/>
      </c>
      <c r="AL80" s="11">
        <v>14</v>
      </c>
      <c r="AP80" s="13" t="str">
        <f>IF(AR80&lt;&gt;"",1+COUNTIF(AP72:AP79,"1")+COUNTIF(AP72:AP79,"2")+COUNTIF(AP72:AP79,"3")+COUNTIF(AP72:AP79,"4")+COUNTIF(AP72:AP79,"5")+COUNTIF(AP72:AP79,"6")+COUNTIF(AP72:AP79,"7")+COUNTIF(AP72:AP79,"8"),"")</f>
        <v/>
      </c>
      <c r="AQ80" s="14" t="str">
        <f t="shared" si="3"/>
        <v/>
      </c>
      <c r="AR80" s="21" t="str">
        <f>IF(AR72&lt;&gt;"",IF(G76=AR72,G78,IF(G78=AR72,G76,IF(G92=AR72,G94,IF(G94=AR72,G92,IF(AG76=AR72,AG78,IF(AG78=AR72,AG76,IF(AG92=AR72,AG94,IF(AG94=AR72,AG92,IF(G106=AR72,G108,IF(G108=AR72,G106,IF(G122=AR72,G124,IF(G124=AR72,G122,IF(AG106=AR72,AG108,IF(AG108=AR72,AG106,IF(AG122=AR72,AG124,IF(AG124=AR72,AG122)))))))))))))))),"")</f>
        <v/>
      </c>
      <c r="AS80" s="15" t="str">
        <f>IFERROR(IF(AR80="","",VLOOKUP(AR80,LISTAS!$F$5:$G$1004,2,0)),"0")</f>
        <v/>
      </c>
      <c r="AT80" s="15" t="str">
        <f t="shared" si="4"/>
        <v/>
      </c>
      <c r="AU80" s="15" t="str">
        <f t="shared" si="5"/>
        <v/>
      </c>
    </row>
    <row r="81" spans="2:47" ht="18" customHeight="1" thickBot="1" x14ac:dyDescent="0.3">
      <c r="B81" s="16"/>
      <c r="C81" s="170" t="str">
        <f>IFERROR(IF(C80="","",VLOOKUP(C80,LISTAS!$F$5:$G$1004,2,0)),"0")</f>
        <v/>
      </c>
      <c r="D81" s="235"/>
      <c r="E81" s="57"/>
      <c r="F81" s="51"/>
      <c r="G81" s="176"/>
      <c r="H81" s="11"/>
      <c r="I81" s="18"/>
      <c r="J81" s="11"/>
      <c r="K81" s="166"/>
      <c r="L81" s="11"/>
      <c r="M81" s="11"/>
      <c r="N81" s="11"/>
      <c r="O81" s="166"/>
      <c r="P81" s="11"/>
      <c r="Q81" s="8"/>
      <c r="R81" s="182"/>
      <c r="S81" s="8"/>
      <c r="T81" s="8"/>
      <c r="U81" s="8"/>
      <c r="V81" s="182"/>
      <c r="W81" s="8"/>
      <c r="X81" s="62"/>
      <c r="Y81" s="182"/>
      <c r="Z81" s="8"/>
      <c r="AA81" s="8"/>
      <c r="AB81" s="11"/>
      <c r="AC81" s="182"/>
      <c r="AD81" s="65"/>
      <c r="AE81" s="8"/>
      <c r="AF81" s="8"/>
      <c r="AG81" s="181"/>
      <c r="AH81" s="78"/>
      <c r="AI81" s="124"/>
      <c r="AJ81" s="235"/>
      <c r="AK81" s="170" t="str">
        <f>IFERROR(IF(AK80="","",VLOOKUP(AK80,LISTAS!$F$5:$G$1004,2,0)),"0")</f>
        <v/>
      </c>
      <c r="AL81" s="11"/>
      <c r="AP81" s="13" t="str">
        <f>IF(AR81&lt;&gt;"",1+COUNTIF(AP72:AP80,"1")+COUNTIF(AP72:AP80,"2")+COUNTIF(AP72:AP80,"3")+COUNTIF(AP72:AP80,"4")+COUNTIF(AP72:AP80,"5")+COUNTIF(AP72:AP80,"6")+COUNTIF(AP72:AP80,"7")+COUNTIF(AP72:AP80,"8")+COUNTIF(AP72:AP80,"9"),"")</f>
        <v/>
      </c>
      <c r="AQ81" s="14" t="str">
        <f t="shared" si="3"/>
        <v/>
      </c>
      <c r="AR81" s="21" t="str">
        <f>IF(AR73&lt;&gt;"",IF(G76=AR73,G78,IF(G78=AR73,G76,IF(G92=AR73,G94,IF(G94=AR73,G92,IF(AG76=AR73,AG78,IF(AG78=AR73,AG76,IF(AG92=AR73,AG94,IF(AG94=AR73,AG92,IF(G106=AR73,G108,IF(G108=AR73,G106,IF(G122=AR73,G124,IF(G124=AR73,G122,IF(AG106=AR73,AG108,IF(AG108=AR73,AG106,IF(AG122=AR73,AG124,IF(AG124=AR73,AG122)))))))))))))))),"")</f>
        <v/>
      </c>
      <c r="AS81" s="15" t="str">
        <f>IFERROR(IF(AR81="","",VLOOKUP(AR81,LISTAS!$F$5:$G$1004,2,0)),"0")</f>
        <v/>
      </c>
      <c r="AT81" s="15" t="str">
        <f t="shared" si="4"/>
        <v/>
      </c>
      <c r="AU81" s="15" t="str">
        <f t="shared" si="5"/>
        <v/>
      </c>
    </row>
    <row r="82" spans="2:47" ht="18" customHeight="1" x14ac:dyDescent="0.25">
      <c r="B82" s="16">
        <v>16</v>
      </c>
      <c r="C82" s="169" t="str">
        <f>IF('11F GRP'!G5&gt;=3,'11F GRP'!J217,IF('11F GRP'!G5=2,"",IF('11F GRP'!G5=1,"","")))</f>
        <v/>
      </c>
      <c r="D82" s="234">
        <v>0</v>
      </c>
      <c r="E82" s="57">
        <f>IF(D82&lt;&gt;"",D82,"")</f>
        <v>0</v>
      </c>
      <c r="F82" s="51" t="str">
        <f>IF(D82&lt;&gt;"",IF(C82="","",C82),"")</f>
        <v/>
      </c>
      <c r="G82" s="176" t="str">
        <f>VLOOKUP(G80,E80:F82,2,0)</f>
        <v/>
      </c>
      <c r="H82" s="11"/>
      <c r="I82" s="18"/>
      <c r="J82" s="11"/>
      <c r="K82" s="166"/>
      <c r="L82" s="11"/>
      <c r="M82" s="11"/>
      <c r="N82" s="11"/>
      <c r="O82" s="166"/>
      <c r="P82" s="11"/>
      <c r="Q82" s="8"/>
      <c r="R82" s="182"/>
      <c r="S82" s="8"/>
      <c r="T82" s="8"/>
      <c r="U82" s="8"/>
      <c r="V82" s="182"/>
      <c r="W82" s="8"/>
      <c r="X82" s="62"/>
      <c r="Y82" s="182"/>
      <c r="Z82" s="8"/>
      <c r="AA82" s="8"/>
      <c r="AB82" s="11"/>
      <c r="AC82" s="182"/>
      <c r="AD82" s="65"/>
      <c r="AE82" s="8"/>
      <c r="AF82" s="8"/>
      <c r="AG82" s="181">
        <f>IF(AJ82&lt;&gt;"",AJ82,"")</f>
        <v>0</v>
      </c>
      <c r="AH82" s="78" t="str">
        <f>IF(AJ82&lt;&gt;"",IF(AK82="","",AK82),"")</f>
        <v/>
      </c>
      <c r="AI82" s="76" t="str">
        <f>VLOOKUP(AI80,AG80:AH82,2,0)</f>
        <v/>
      </c>
      <c r="AJ82" s="234">
        <v>0</v>
      </c>
      <c r="AK82" s="169" t="str">
        <f>IF('11F GRP'!G5&gt;=3,'11F GRP'!J256,IF('11F GRP'!G5=2,"",IF('11F GRP'!G5=1,"","")))</f>
        <v/>
      </c>
      <c r="AL82" s="11">
        <v>19</v>
      </c>
      <c r="AP82" s="13" t="str">
        <f>IF(AR82&lt;&gt;"",1+COUNTIF(AP72:AP81,"1")+COUNTIF(AP72:AP81,"2")+COUNTIF(AP72:AP81,"3")+COUNTIF(AP72:AP81,"4")+COUNTIF(AP72:AP81,"5")+COUNTIF(AP72:AP81,"6")+COUNTIF(AP72:AP81,"7")+COUNTIF(AP72:AP81,"8")+COUNTIF(AP72:AP81,"9")+COUNTIF(AP72:AP81,"10"),"")</f>
        <v/>
      </c>
      <c r="AQ82" s="14" t="str">
        <f t="shared" si="3"/>
        <v/>
      </c>
      <c r="AR82" s="21" t="str">
        <f>IF(AR74&lt;&gt;"",IF(G76=AR74,G78,IF(G78=AR74,G76,IF(G92=AR74,G94,IF(G94=AR74,G92,IF(AG76=AR74,AG78,IF(AG78=AR74,AG76,IF(AG92=AR74,AG94,IF(AG94=AR74,AG92,IF(G106=AR74,G108,IF(G108=AR74,G106,IF(G122=AR74,G124,IF(G124=AR74,G122,IF(AG106=AR74,AG108,IF(AG108=AR74,AG106,IF(AG122=AR74,AG124,IF(AG124=AR74,AG122)))))))))))))))),"")</f>
        <v/>
      </c>
      <c r="AS82" s="15" t="str">
        <f>IFERROR(IF(AR82="","",VLOOKUP(AR82,LISTAS!$F$5:$G$1004,2,0)),"0")</f>
        <v/>
      </c>
      <c r="AT82" s="15" t="str">
        <f t="shared" si="4"/>
        <v/>
      </c>
      <c r="AU82" s="15" t="str">
        <f t="shared" si="5"/>
        <v/>
      </c>
    </row>
    <row r="83" spans="2:47" ht="18" customHeight="1" thickBot="1" x14ac:dyDescent="0.3">
      <c r="B83" s="16"/>
      <c r="C83" s="170" t="str">
        <f>IFERROR(IF(C82="","",VLOOKUP(C82,LISTAS!$F$5:$G$1004,2,0)),"0")</f>
        <v/>
      </c>
      <c r="D83" s="235"/>
      <c r="E83" s="51"/>
      <c r="F83" s="51"/>
      <c r="G83" s="176"/>
      <c r="H83" s="11"/>
      <c r="I83" s="18"/>
      <c r="J83" s="11"/>
      <c r="K83" s="166"/>
      <c r="L83" s="11"/>
      <c r="M83" s="11"/>
      <c r="N83" s="11"/>
      <c r="O83" s="166"/>
      <c r="P83" s="11"/>
      <c r="Q83" s="8"/>
      <c r="R83" s="182"/>
      <c r="S83" s="8"/>
      <c r="T83" s="8"/>
      <c r="U83" s="8"/>
      <c r="V83" s="182"/>
      <c r="W83" s="8"/>
      <c r="X83" s="62"/>
      <c r="Y83" s="182"/>
      <c r="Z83" s="8"/>
      <c r="AA83" s="8"/>
      <c r="AB83" s="11"/>
      <c r="AC83" s="182"/>
      <c r="AD83" s="65"/>
      <c r="AE83" s="8"/>
      <c r="AF83" s="8"/>
      <c r="AG83" s="181"/>
      <c r="AH83" s="78"/>
      <c r="AI83" s="51"/>
      <c r="AJ83" s="235"/>
      <c r="AK83" s="170" t="str">
        <f>IFERROR(IF(AK82="","",VLOOKUP(AK82,LISTAS!$F$5:$G$1004,2,0)),"0")</f>
        <v/>
      </c>
      <c r="AL83" s="11"/>
      <c r="AP83" s="13" t="str">
        <f>IF(AR83&lt;&gt;"",1+COUNTIF(AP72:AP82,"1")+COUNTIF(AP72:AP82,"2")+COUNTIF(AP72:AP82,"3")+COUNTIF(AP72:AP82,"4")+COUNTIF(AP72:AP82,"5")+COUNTIF(AP72:AP82,"6")+COUNTIF(AP72:AP82,"7")+COUNTIF(AP72:AP82,"8")+COUNTIF(AP72:AP82,"9")+COUNTIF(AP72:AP82,"10")+COUNTIF(AP72:AP82,"11"),"")</f>
        <v/>
      </c>
      <c r="AQ83" s="14" t="str">
        <f t="shared" si="3"/>
        <v/>
      </c>
      <c r="AR83" s="21" t="str">
        <f>IF(AR75&lt;&gt;"",IF(G76=AR75,G78,IF(G78=AR75,G76,IF(G92=AR75,G94,IF(G94=AR75,G92,IF(AG76=AR75,AG78,IF(AG78=AR75,AG76,IF(AG92=AR75,AG94,IF(AG94=AR75,AG92,IF(G106=AR75,G108,IF(G108=AR75,G106,IF(G122=AR75,G124,IF(G124=AR75,G122,IF(AG106=AR75,AG108,IF(AG108=AR75,AG106,IF(AG122=AR75,AG124,IF(AG124=AR75,AG122)))))))))))))))),"")</f>
        <v/>
      </c>
      <c r="AS83" s="15" t="str">
        <f>IFERROR(IF(AR83="","",VLOOKUP(AR83,LISTAS!$F$5:$G$1004,2,0)),"0")</f>
        <v/>
      </c>
      <c r="AT83" s="15" t="str">
        <f t="shared" si="4"/>
        <v/>
      </c>
      <c r="AU83" s="15" t="str">
        <f t="shared" si="5"/>
        <v/>
      </c>
    </row>
    <row r="84" spans="2:47" ht="18" customHeight="1" x14ac:dyDescent="0.25">
      <c r="B84" s="16"/>
      <c r="C84" s="166"/>
      <c r="D84" s="11"/>
      <c r="E84" s="11"/>
      <c r="F84" s="11"/>
      <c r="G84" s="166"/>
      <c r="H84" s="11"/>
      <c r="I84" s="18"/>
      <c r="J84" s="11"/>
      <c r="K84" s="169" t="str">
        <f>IF(H76&lt;&gt;"",IF(H78&lt;&gt;"",IF(H76=H78,"",IF(H76&gt;H78,G76,G78)),""),"")</f>
        <v>NINA MEI HORII TODA</v>
      </c>
      <c r="L84" s="234">
        <v>1</v>
      </c>
      <c r="M84" s="51">
        <f>IF(L84&lt;&gt;"",L84,"")</f>
        <v>1</v>
      </c>
      <c r="N84" s="51" t="str">
        <f>IF(L84&lt;&gt;"",IF(K84="","",K84),"")</f>
        <v>NINA MEI HORII TODA</v>
      </c>
      <c r="O84" s="176">
        <f>IF(M84&lt;&gt;"",IF(M86&lt;&gt;"",SMALL(M84:N86,1),""),"")</f>
        <v>0</v>
      </c>
      <c r="P84" s="11"/>
      <c r="Q84" s="8"/>
      <c r="R84" s="202"/>
      <c r="S84" s="202"/>
      <c r="T84" s="202" t="s">
        <v>86</v>
      </c>
      <c r="U84" s="202"/>
      <c r="V84" s="202"/>
      <c r="W84" s="8"/>
      <c r="X84" s="62"/>
      <c r="Y84" s="182"/>
      <c r="Z84" s="8"/>
      <c r="AA84" s="8"/>
      <c r="AB84" s="234">
        <v>1</v>
      </c>
      <c r="AC84" s="169" t="str">
        <f>IF(AF76&lt;&gt;"",IF(AF78&lt;&gt;"",IF(AF76=AF78,"",IF(AF76&gt;AF78,AG76,AG78)),""),"")</f>
        <v>ESTER GUIMARÃES</v>
      </c>
      <c r="AD84" s="112"/>
      <c r="AE84" s="8"/>
      <c r="AF84" s="8"/>
      <c r="AG84" s="182"/>
      <c r="AH84" s="8"/>
      <c r="AI84" s="8"/>
      <c r="AJ84" s="11"/>
      <c r="AK84" s="166"/>
      <c r="AL84" s="11"/>
      <c r="AP84" s="13" t="str">
        <f>IF(AR84&lt;&gt;"",1+COUNTIF(AP72:AP83,"1")+COUNTIF(AP72:AP83,"2")+COUNTIF(AP72:AP83,"3")+COUNTIF(AP72:AP83,"4")+COUNTIF(AP72:AP83,"5")+COUNTIF(AP72:AP83,"6")+COUNTIF(AP72:AP83,"7")+COUNTIF(AP72:AP83,"8")+COUNTIF(AP72:AP83,"9")+COUNTIF(AP72:AP83,"10")+COUNTIF(AP72:AP83,"11")+COUNTIF(AP72:AP83,"12"),"")</f>
        <v/>
      </c>
      <c r="AQ84" s="14" t="str">
        <f t="shared" si="3"/>
        <v/>
      </c>
      <c r="AR84" s="21" t="str">
        <f>IF(AR76&lt;&gt;"",IF(G76=AR76,G78,IF(G78=AR76,G76,IF(G92=AR76,G94,IF(G94=AR76,G92,IF(AG76=AR76,AG78,IF(AG78=AR76,AG76,IF(AG92=AR76,AG94,IF(AG94=AR76,AG92,IF(G106=AR76,G108,IF(G108=AR76,G106,IF(G122=AR76,G124,IF(G124=AR76,G122,IF(AG106=AR76,AG108,IF(AG108=AR76,AG106,IF(AG122=AR76,AG124,IF(AG124=AR76,AG122)))))))))))))))),"")</f>
        <v/>
      </c>
      <c r="AS84" s="15" t="str">
        <f>IFERROR(IF(AR84="","",VLOOKUP(AR84,LISTAS!$F$5:$G$1004,2,0)),"0")</f>
        <v/>
      </c>
      <c r="AT84" s="15" t="str">
        <f t="shared" si="4"/>
        <v/>
      </c>
      <c r="AU84" s="15" t="str">
        <f t="shared" si="5"/>
        <v/>
      </c>
    </row>
    <row r="85" spans="2:47" ht="18" customHeight="1" thickBot="1" x14ac:dyDescent="0.3">
      <c r="B85" s="16"/>
      <c r="C85" s="166"/>
      <c r="D85" s="11"/>
      <c r="E85" s="11"/>
      <c r="F85" s="11"/>
      <c r="G85" s="166"/>
      <c r="H85" s="11"/>
      <c r="I85" s="18"/>
      <c r="J85" s="11"/>
      <c r="K85" s="170" t="str">
        <f>IFERROR(IF(K84="","",VLOOKUP(K84,LISTAS!$F$5:$G$1004,2,0)),"0")</f>
        <v>ABACO IPIRANGA</v>
      </c>
      <c r="L85" s="235"/>
      <c r="M85" s="51"/>
      <c r="N85" s="51"/>
      <c r="O85" s="176"/>
      <c r="P85" s="11"/>
      <c r="Q85" s="8"/>
      <c r="R85" s="202"/>
      <c r="S85" s="202"/>
      <c r="T85" s="202" t="s">
        <v>12</v>
      </c>
      <c r="U85" s="202"/>
      <c r="V85" s="202"/>
      <c r="W85" s="8"/>
      <c r="X85" s="62"/>
      <c r="Y85" s="182"/>
      <c r="Z85" s="8"/>
      <c r="AA85" s="8"/>
      <c r="AB85" s="235"/>
      <c r="AC85" s="170" t="str">
        <f>IFERROR(IF(AC84="","",VLOOKUP(AC84,LISTAS!$F$5:$G$1004,2,0)),"0")</f>
        <v>COLÉGIO MARCONI - GRU</v>
      </c>
      <c r="AD85" s="8"/>
      <c r="AE85" s="69"/>
      <c r="AF85" s="8"/>
      <c r="AG85" s="182"/>
      <c r="AH85" s="8"/>
      <c r="AI85" s="8"/>
      <c r="AJ85" s="11"/>
      <c r="AK85" s="166"/>
      <c r="AL85" s="11"/>
      <c r="AP85" s="13" t="str">
        <f>IF(AR85&lt;&gt;"",1+COUNTIF(AP72:AP84,"1")+COUNTIF(AP72:AP84,"2")+COUNTIF(AP72:AP84,"3")+COUNTIF(AP72:AP84,"4")+COUNTIF(AP72:AP84,"5")+COUNTIF(AP72:AP84,"6")+COUNTIF(AP72:AP84,"7")+COUNTIF(AP72:AP84,"8")+COUNTIF(AP72:AP84,"9")+COUNTIF(AP72:AP84,"10")+COUNTIF(AP72:AP84,"11")+COUNTIF(AP72:AP84,"12")+COUNTIF(AP72:AP84,"13"),"")</f>
        <v/>
      </c>
      <c r="AQ85" s="14" t="str">
        <f t="shared" si="3"/>
        <v/>
      </c>
      <c r="AR85" s="21" t="str">
        <f>IF(AR77&lt;&gt;"",IF(G76=AR77,G78,IF(G78=AR77,G76,IF(G92=AR77,G94,IF(G94=AR77,G92,IF(AG76=AR77,AG78,IF(AG78=AR77,AG76,IF(AG92=AR77,AG94,IF(AG94=AR77,AG92,IF(G106=AR77,G108,IF(G108=AR77,G106,IF(G122=AR77,G124,IF(G124=AR77,G122,IF(AG106=AR77,AG108,IF(AG108=AR77,AG106,IF(AG122=AR77,AG124,IF(AG124=AR77,AG122)))))))))))))))),"")</f>
        <v/>
      </c>
      <c r="AS85" s="15" t="str">
        <f>IFERROR(IF(AR85="","",VLOOKUP(AR85,LISTAS!$F$5:$G$1004,2,0)),"0")</f>
        <v/>
      </c>
      <c r="AT85" s="15" t="str">
        <f t="shared" si="4"/>
        <v/>
      </c>
      <c r="AU85" s="15" t="str">
        <f t="shared" si="5"/>
        <v/>
      </c>
    </row>
    <row r="86" spans="2:47" ht="18" customHeight="1" x14ac:dyDescent="0.25">
      <c r="B86" s="16"/>
      <c r="C86" s="166"/>
      <c r="D86" s="11"/>
      <c r="E86" s="11"/>
      <c r="F86" s="11"/>
      <c r="G86" s="166"/>
      <c r="H86" s="11"/>
      <c r="I86" s="18"/>
      <c r="J86" s="19"/>
      <c r="K86" s="169" t="str">
        <f>IF(H92&lt;&gt;"",IF(H94&lt;&gt;"",IF(H92=H94,"",IF(H92&gt;H94,G92,G94)),""),"")</f>
        <v>SOFIA BRITO NASCIMENTO</v>
      </c>
      <c r="L86" s="234">
        <v>0</v>
      </c>
      <c r="M86" s="52">
        <f>IF(L86&lt;&gt;"",L86,"")</f>
        <v>0</v>
      </c>
      <c r="N86" s="51" t="str">
        <f>IF(L86&lt;&gt;"",IF(K86="","",K86),"")</f>
        <v>SOFIA BRITO NASCIMENTO</v>
      </c>
      <c r="O86" s="176" t="str">
        <f>VLOOKUP(O84,M84:N86,2,0)</f>
        <v>SOFIA BRITO NASCIMENTO</v>
      </c>
      <c r="P86" s="11"/>
      <c r="Q86" s="8"/>
      <c r="R86" s="182"/>
      <c r="S86" s="8"/>
      <c r="T86" s="8"/>
      <c r="U86" s="8"/>
      <c r="V86" s="182"/>
      <c r="W86" s="8"/>
      <c r="X86" s="62"/>
      <c r="Y86" s="182"/>
      <c r="Z86" s="65"/>
      <c r="AA86" s="68"/>
      <c r="AB86" s="234">
        <v>0</v>
      </c>
      <c r="AC86" s="169" t="str">
        <f>IF(AF92&lt;&gt;"",IF(AF94&lt;&gt;"",IF(AF92=AF94,"",IF(AF92&gt;AF94,AG92,AG94)),""),"")</f>
        <v>DENISE CASAGRANDE DE MEDEIROS</v>
      </c>
      <c r="AD86" s="8"/>
      <c r="AE86" s="69"/>
      <c r="AF86" s="8"/>
      <c r="AG86" s="182"/>
      <c r="AH86" s="8"/>
      <c r="AI86" s="8"/>
      <c r="AJ86" s="11"/>
      <c r="AK86" s="166"/>
      <c r="AL86" s="11"/>
      <c r="AP86" s="13" t="str">
        <f>IF(AR86&lt;&gt;"",1+COUNTIF(AP72:AP85,"1")+COUNTIF(AP72:AP85,"2")+COUNTIF(AP72:AP85,"3")+COUNTIF(AP72:AP85,"4")+COUNTIF(AP72:AP85,"5")+COUNTIF(AP72:AP85,"6")+COUNTIF(AP72:AP85,"7")+COUNTIF(AP72:AP85,"8")+COUNTIF(AP72:AP85,"9")+COUNTIF(AP72:AP85,"10")+COUNTIF(AP72:AP85,"11")+COUNTIF(AP72:AP85,"12")+COUNTIF(AP72:AP85,"13")+COUNTIF(AP72:AP85,"14"),"")</f>
        <v/>
      </c>
      <c r="AQ86" s="14" t="str">
        <f t="shared" si="3"/>
        <v/>
      </c>
      <c r="AR86" s="21" t="str">
        <f>IF(AR78&lt;&gt;"",IF(G76=AR78,G78,IF(G78=AR78,G76,IF(G92=AR78,G94,IF(G94=AR78,G92,IF(AG76=AR78,AG78,IF(AG78=AR78,AG76,IF(AG92=AR78,AG94,IF(AG94=AR78,AG92,IF(G106=AR78,G108,IF(G108=AR78,G106,IF(G122=AR78,G124,IF(G124=AR78,G122,IF(AG106=AR78,AG108,IF(AG108=AR78,AG106,IF(AG122=AR78,AG124,IF(AG124=AR78,AG122)))))))))))))))),"")</f>
        <v/>
      </c>
      <c r="AS86" s="15" t="str">
        <f>IFERROR(IF(AR86="","",VLOOKUP(AR86,LISTAS!$F$5:$G$1004,2,0)),"0")</f>
        <v/>
      </c>
      <c r="AT86" s="15" t="str">
        <f t="shared" si="4"/>
        <v/>
      </c>
      <c r="AU86" s="15" t="str">
        <f t="shared" si="5"/>
        <v/>
      </c>
    </row>
    <row r="87" spans="2:47" ht="18" customHeight="1" thickBot="1" x14ac:dyDescent="0.3">
      <c r="B87" s="16"/>
      <c r="C87" s="166"/>
      <c r="D87" s="11"/>
      <c r="E87" s="11"/>
      <c r="F87" s="11"/>
      <c r="G87" s="166"/>
      <c r="H87" s="11"/>
      <c r="I87" s="18"/>
      <c r="J87" s="11"/>
      <c r="K87" s="170" t="str">
        <f>IFERROR(IF(K86="","",VLOOKUP(K86,LISTAS!$F$5:$G$1004,2,0)),"0")</f>
        <v>COLÉGIO ENGENHEIRO SALVADOR ARENA</v>
      </c>
      <c r="L87" s="235"/>
      <c r="M87" s="54"/>
      <c r="N87" s="51"/>
      <c r="O87" s="176"/>
      <c r="P87" s="11"/>
      <c r="Q87" s="8"/>
      <c r="R87" s="182"/>
      <c r="S87" s="8"/>
      <c r="T87" s="8"/>
      <c r="U87" s="8"/>
      <c r="V87" s="182"/>
      <c r="W87" s="8"/>
      <c r="X87" s="62"/>
      <c r="Y87" s="182"/>
      <c r="Z87" s="65"/>
      <c r="AA87" s="8"/>
      <c r="AB87" s="235"/>
      <c r="AC87" s="170" t="str">
        <f>IFERROR(IF(AC86="","",VLOOKUP(AC86,LISTAS!$F$5:$G$1004,2,0)),"0")</f>
        <v>LICEU JARDIM</v>
      </c>
      <c r="AD87" s="8"/>
      <c r="AE87" s="69"/>
      <c r="AF87" s="8"/>
      <c r="AG87" s="182"/>
      <c r="AH87" s="8"/>
      <c r="AI87" s="8"/>
      <c r="AJ87" s="11"/>
      <c r="AK87" s="166"/>
      <c r="AL87" s="11"/>
      <c r="AP87" s="13" t="str">
        <f>IF(AR87&lt;&gt;"",1+COUNTIF(AP72:AP86,"1")+COUNTIF(AP72:AP86,"2")+COUNTIF(AP72:AP86,"3")+COUNTIF(AP72:AP86,"4")+COUNTIF(AP72:AP86,"5")+COUNTIF(AP72:AP86,"6")+COUNTIF(AP72:AP86,"7")+COUNTIF(AP72:AP86,"8")+COUNTIF(AP72:AP86,"9")+COUNTIF(AP72:AP86,"10")+COUNTIF(AP72:AP86,"11")+COUNTIF(AP72:AP86,"12")+COUNTIF(AP72:AP86,"13")+COUNTIF(AP72:AP86,"14")+COUNTIF(AP72:AP86,"15"),"")</f>
        <v/>
      </c>
      <c r="AQ87" s="14" t="str">
        <f t="shared" si="3"/>
        <v/>
      </c>
      <c r="AR87" s="21" t="str">
        <f>IF(AR79&lt;&gt;"",IF(G76=AR79,G78,IF(G78=AR79,G76,IF(G92=AR79,G94,IF(G94=AR79,G92,IF(AG76=AR79,AG78,IF(AG78=AR79,AG76,IF(AG92=AR79,AG94,IF(AG94=AR79,AG92,IF(G106=AR79,G108,IF(G108=AR79,G106,IF(G122=AR79,G124,IF(G124=AR79,G122,IF(AG106=AR79,AG108,IF(AG108=AR79,AG106,IF(AG122=AR79,AG124,IF(AG124=AR79,AG122)))))))))))))))),"")</f>
        <v/>
      </c>
      <c r="AS87" s="15" t="str">
        <f>IFERROR(IF(AR87="","",VLOOKUP(AR87,LISTAS!$F$5:$G$1004,2,0)),"0")</f>
        <v/>
      </c>
      <c r="AT87" s="15" t="str">
        <f t="shared" si="4"/>
        <v/>
      </c>
      <c r="AU87" s="15" t="str">
        <f t="shared" si="5"/>
        <v/>
      </c>
    </row>
    <row r="88" spans="2:47" ht="18" customHeight="1" x14ac:dyDescent="0.25">
      <c r="B88" s="16">
        <v>9</v>
      </c>
      <c r="C88" s="169" t="str">
        <f>IF('11F GRP'!G5&gt;=3,'11F GRP'!J126,IF('11F GRP'!G5=2,"",IF('11F GRP'!G5=1,"","")))</f>
        <v/>
      </c>
      <c r="D88" s="234">
        <v>0</v>
      </c>
      <c r="E88" s="51">
        <f>IF(D88&lt;&gt;"",D88,"")</f>
        <v>0</v>
      </c>
      <c r="F88" s="51" t="str">
        <f>IF(D88&lt;&gt;"",IF(C88="","",C88),"")</f>
        <v/>
      </c>
      <c r="G88" s="176">
        <f>IF(E88&lt;&gt;"",IF(E90&lt;&gt;"",SMALL(E88:E90,1),""),"")</f>
        <v>0</v>
      </c>
      <c r="H88" s="51"/>
      <c r="I88" s="18"/>
      <c r="J88" s="11"/>
      <c r="K88" s="166"/>
      <c r="L88" s="11"/>
      <c r="M88" s="54"/>
      <c r="N88" s="51"/>
      <c r="O88" s="176"/>
      <c r="P88" s="11"/>
      <c r="Q88" s="8"/>
      <c r="R88" s="182"/>
      <c r="S88" s="8"/>
      <c r="T88" s="8"/>
      <c r="U88" s="8"/>
      <c r="V88" s="182"/>
      <c r="W88" s="8"/>
      <c r="X88" s="62"/>
      <c r="Y88" s="182"/>
      <c r="Z88" s="65"/>
      <c r="AA88" s="8"/>
      <c r="AB88" s="11"/>
      <c r="AC88" s="182"/>
      <c r="AD88" s="8"/>
      <c r="AE88" s="69"/>
      <c r="AF88" s="78"/>
      <c r="AG88" s="181">
        <f>IF(AJ88&lt;&gt;"",AJ88,"")</f>
        <v>0</v>
      </c>
      <c r="AH88" s="78" t="str">
        <f>IF(AJ88&lt;&gt;"",IF(AK88="","",AK88),"")</f>
        <v/>
      </c>
      <c r="AI88" s="51">
        <f>IF(AG88&lt;&gt;"",IF(AG90&lt;&gt;"",SMALL(AG88:AG90,1),""),"")</f>
        <v>0</v>
      </c>
      <c r="AJ88" s="234">
        <v>0</v>
      </c>
      <c r="AK88" s="169" t="str">
        <f>IF('11F GRP'!G5&gt;=3,'11F GRP'!J295,IF('11F GRP'!G5=2,"",IF('11F GRP'!G5=1,"","")))</f>
        <v/>
      </c>
      <c r="AL88" s="11">
        <v>22</v>
      </c>
      <c r="AP88" s="13" t="str">
        <f>IF(AR88&lt;&gt;"",1+COUNTIF(AP72:AP87,"1")+COUNTIF(AP72:AP87,"2")+COUNTIF(AP72:AP87,"3")+COUNTIF(AP72:AP87,"4")+COUNTIF(AP72:AP87,"5")+COUNTIF(AP72:AP87,"6")+COUNTIF(AP72:AP87,"7")+COUNTIF(AP72:AP87,"8")+COUNTIF(AP72:AP87,"9")+COUNTIF(AP72:AP87,"10")+COUNTIF(AP72:AP87,"11")+COUNTIF(AP72:AP87,"12")+COUNTIF(AP72:AP87,"13")+COUNTIF(AP72:AP87,"14")+COUNTIF(AP72:AP87,"15")+COUNTIF(AP72:AP87,"16"),"")</f>
        <v/>
      </c>
      <c r="AQ88" s="14" t="str">
        <f t="shared" si="3"/>
        <v/>
      </c>
      <c r="AR88" s="21" t="str">
        <f>IF(AR72&lt;&gt;"",IF(C72=AR72,G74,IF(C74=AR72,G74,IF(C80=AR72,G82,IF(C82=AR72,G82,IF(C102=AR72,G104,IF(C104=AR72,G104,IF(C110=AR72,G112,IF(C112=AR72,G112,IF(C88=AR72,G90,IF(C90=AR72,G90,IF(C96=AR72,G98,IF(C98=AR72,G98,IF(C118=AR72,G120,IF(C120=AR72,G120,IF(C126=AR72,G128,IF(C128=AR72,G128,IF(AK72=AR72,AI74,IF(AK74=AR72,AI74,IF(AK80=AR72,AI82,IF(AK82=AR72,AI82,IF(AK102=AR72,AI104,IF(AK104=AR72,AI104,IF(AK110=AR72,AI112,IF(AK112=AR72,AI112,IF(AK88=AR72,AI90,IF(AK90=AR72,AI90,IF(AK96=AR72,AI98,IF(AK98=AR72,AI98,IF(AK118=AR72,AI120,IF(AK120=AR72,AI120,IF(AK126=AR72,AI128,IF(AK128=AR72,AI128)))))))))))))))))))))))))))))))),"")</f>
        <v/>
      </c>
      <c r="AS88" s="15" t="str">
        <f>IFERROR(IF(AR88="","",VLOOKUP(AR88,LISTAS!$F$5:$G$1004,2,0)),"0")</f>
        <v/>
      </c>
      <c r="AT88" s="15" t="str">
        <f t="shared" si="4"/>
        <v/>
      </c>
      <c r="AU88" s="15" t="str">
        <f t="shared" si="5"/>
        <v/>
      </c>
    </row>
    <row r="89" spans="2:47" ht="18" customHeight="1" thickBot="1" x14ac:dyDescent="0.3">
      <c r="B89" s="16"/>
      <c r="C89" s="170" t="str">
        <f>IFERROR(IF(C88="","",VLOOKUP(C88,LISTAS!$F$5:$G$1004,2,0)),"0")</f>
        <v/>
      </c>
      <c r="D89" s="235"/>
      <c r="E89" s="51"/>
      <c r="F89" s="51"/>
      <c r="G89" s="176"/>
      <c r="H89" s="51"/>
      <c r="I89" s="18"/>
      <c r="J89" s="11"/>
      <c r="K89" s="166"/>
      <c r="L89" s="11"/>
      <c r="M89" s="18"/>
      <c r="N89" s="11"/>
      <c r="O89" s="166"/>
      <c r="P89" s="11"/>
      <c r="Q89" s="8"/>
      <c r="R89" s="182"/>
      <c r="S89" s="8"/>
      <c r="T89" s="8"/>
      <c r="U89" s="8"/>
      <c r="V89" s="182"/>
      <c r="W89" s="8"/>
      <c r="X89" s="62"/>
      <c r="Y89" s="182"/>
      <c r="Z89" s="65"/>
      <c r="AA89" s="8"/>
      <c r="AB89" s="11"/>
      <c r="AC89" s="182"/>
      <c r="AD89" s="8"/>
      <c r="AE89" s="69"/>
      <c r="AF89" s="78"/>
      <c r="AG89" s="181"/>
      <c r="AH89" s="78"/>
      <c r="AI89" s="51"/>
      <c r="AJ89" s="235"/>
      <c r="AK89" s="170" t="str">
        <f>IFERROR(IF(AK88="","",VLOOKUP(AK88,LISTAS!$F$5:$G$1004,2,0)),"0")</f>
        <v/>
      </c>
      <c r="AL89" s="11"/>
      <c r="AP89" s="13" t="str">
        <f>IF(AR89&lt;&gt;"",1+COUNTIF(AP72:AP88,"1")+COUNTIF(AP72:AP88,"2")+COUNTIF(AP72:AP88,"3")+COUNTIF(AP72:AP88,"4")+COUNTIF(AP72:AP88,"5")+COUNTIF(AP72:AP88,"6")+COUNTIF(AP72:AP88,"7")+COUNTIF(AP72:AP88,"8")+COUNTIF(AP72:AP88,"9")+COUNTIF(AP72:AP88,"10")+COUNTIF(AP72:AP88,"11")+COUNTIF(AP72:AP88,"12")+COUNTIF(AP72:AP88,"13")+COUNTIF(AP72:AP88,"14")+COUNTIF(AP72:AP88,"15")+COUNTIF(AP72:AP88,"16")+COUNTIF(AP72:AP88,"17"),"")</f>
        <v/>
      </c>
      <c r="AQ89" s="14" t="str">
        <f t="shared" si="3"/>
        <v/>
      </c>
      <c r="AR89" s="21" t="str">
        <f>IF(AR73&lt;&gt;"",IF(C72=AR73,G74,IF(C74=AR73,G74,IF(C80=AR73,G82,IF(C82=AR73,G82,IF(C102=AR73,G104,IF(C104=AR73,G104,IF(C110=AR73,G112,IF(C112=AR73,G112,IF(C88=AR73,G90,IF(C90=AR73,G90,IF(C96=AR73,G98,IF(C98=AR73,G98,IF(C118=AR73,G120,IF(C120=AR73,G120,IF(C126=AR73,G128,IF(C128=AR73,G128,IF(AK72=AR73,AI74,IF(AK74=AR73,AI74,IF(AK80=AR73,AI82,IF(AK82=AR73,AI82,IF(AK102=AR73,AI104,IF(AK104=AR73,AI104,IF(AK110=AR73,AI112,IF(AK112=AR73,AI112,IF(AK88=AR73,AI90,IF(AK90=AR73,AI90,IF(AK96=AR73,AI98,IF(AK98=AR73,AI98,IF(AK118=AR73,AI120,IF(AK120=AR73,AI120,IF(AK126=AR73,AI128,IF(AK128=AR73,AI128)))))))))))))))))))))))))))))))),"")</f>
        <v/>
      </c>
      <c r="AS89" s="15" t="str">
        <f>IFERROR(IF(AR89="","",VLOOKUP(AR89,LISTAS!$F$5:$G$1004,2,0)),"0")</f>
        <v/>
      </c>
      <c r="AT89" s="15" t="str">
        <f t="shared" si="4"/>
        <v/>
      </c>
      <c r="AU89" s="15" t="str">
        <f t="shared" si="5"/>
        <v/>
      </c>
    </row>
    <row r="90" spans="2:47" ht="18" customHeight="1" x14ac:dyDescent="0.25">
      <c r="B90" s="16">
        <v>24</v>
      </c>
      <c r="C90" s="169" t="str">
        <f>IF('11F GRP'!G5&gt;=3,'11F GRP'!J321,IF('11F GRP'!G5=2,"",IF('11F GRP'!G5=1,"","")))</f>
        <v/>
      </c>
      <c r="D90" s="234">
        <v>0</v>
      </c>
      <c r="E90" s="52">
        <f>IF(D90&lt;&gt;"",D90,"")</f>
        <v>0</v>
      </c>
      <c r="F90" s="51" t="str">
        <f>IF(D90&lt;&gt;"",IF(C90="","",C90),"")</f>
        <v/>
      </c>
      <c r="G90" s="176" t="str">
        <f>VLOOKUP(G88,E88:F90,2,0)</f>
        <v/>
      </c>
      <c r="H90" s="51"/>
      <c r="I90" s="18"/>
      <c r="J90" s="11"/>
      <c r="K90" s="166"/>
      <c r="L90" s="11"/>
      <c r="M90" s="18"/>
      <c r="N90" s="11"/>
      <c r="O90" s="166"/>
      <c r="P90" s="11"/>
      <c r="Q90" s="8"/>
      <c r="R90" s="182"/>
      <c r="S90" s="8"/>
      <c r="T90" s="8"/>
      <c r="U90" s="8"/>
      <c r="V90" s="182"/>
      <c r="W90" s="8"/>
      <c r="X90" s="62"/>
      <c r="Y90" s="182"/>
      <c r="Z90" s="65"/>
      <c r="AA90" s="8"/>
      <c r="AB90" s="11"/>
      <c r="AC90" s="182"/>
      <c r="AD90" s="8"/>
      <c r="AE90" s="69"/>
      <c r="AF90" s="78"/>
      <c r="AG90" s="181">
        <f>IF(AJ90&lt;&gt;"",AJ90,"")</f>
        <v>0</v>
      </c>
      <c r="AH90" s="78" t="str">
        <f>IF(AJ90&lt;&gt;"",IF(AK90="","",AK90),"")</f>
        <v/>
      </c>
      <c r="AI90" s="55" t="str">
        <f>VLOOKUP(AI88,AG88:AH90,2,0)</f>
        <v/>
      </c>
      <c r="AJ90" s="234">
        <v>0</v>
      </c>
      <c r="AK90" s="169" t="str">
        <f>IF('11F GRP'!G5&gt;=3,'11F GRP'!J152,IF('11F GRP'!G5=2,"",IF('11F GRP'!G5=1,"","")))</f>
        <v/>
      </c>
      <c r="AL90" s="11">
        <v>11</v>
      </c>
      <c r="AP90" s="13" t="str">
        <f>IF(AR90&lt;&gt;"",1+COUNTIF(AP72:AP89,"1")+COUNTIF(AP72:AP89,"2")+COUNTIF(AP72:AP89,"3")+COUNTIF(AP72:AP89,"4")+COUNTIF(AP72:AP89,"5")+COUNTIF(AP72:AP89,"6")+COUNTIF(AP72:AP89,"7")+COUNTIF(AP72:AP89,"8")+COUNTIF(AP72:AP89,"9")+COUNTIF(AP72:AP89,"10")+COUNTIF(AP72:AP89,"11")+COUNTIF(AP72:AP89,"12")+COUNTIF(AP72:AP89,"13")+COUNTIF(AP72:AP89,"14")+COUNTIF(AP72:AP89,"15")+COUNTIF(AP72:AP89,"16")+COUNTIF(AP72:AP89,"17")+COUNTIF(AP72:AP89,"18"),"")</f>
        <v/>
      </c>
      <c r="AQ90" s="14" t="str">
        <f t="shared" si="3"/>
        <v/>
      </c>
      <c r="AR90" s="21" t="str">
        <f>IF(AR74&lt;&gt;"",IF(C72=AR74,G74,IF(C74=AR74,G74,IF(C80=AR74,G82,IF(C82=AR74,G82,IF(C102=AR74,G104,IF(C104=AR74,G104,IF(C110=AR74,G112,IF(C112=AR74,G112,IF(C88=AR74,G90,IF(C90=AR74,G90,IF(C96=AR74,G98,IF(C98=AR74,G98,IF(C118=AR74,G120,IF(C120=AR74,G120,IF(C126=AR74,G128,IF(C128=AR74,G128,IF(AK72=AR74,AI74,IF(AK74=AR74,AI74,IF(AK80=AR74,AI82,IF(AK82=AR74,AI82,IF(AK102=AR74,AI104,IF(AK104=AR74,AI104,IF(AK110=AR74,AI112,IF(AK112=AR74,AI112,IF(AK88=AR74,AI90,IF(AK90=AR74,AI90,IF(AK96=AR74,AI98,IF(AK98=AR74,AI98,IF(AK118=AR74,AI120,IF(AK120=AR74,AI120,IF(AK126=AR74,AI128,IF(AK128=AR74,AI128)))))))))))))))))))))))))))))))),"")</f>
        <v/>
      </c>
      <c r="AS90" s="15" t="str">
        <f>IFERROR(IF(AR90="","",VLOOKUP(AR90,LISTAS!$F$5:$G$1004,2,0)),"0")</f>
        <v/>
      </c>
      <c r="AT90" s="15" t="str">
        <f t="shared" si="4"/>
        <v/>
      </c>
      <c r="AU90" s="15" t="str">
        <f t="shared" si="5"/>
        <v/>
      </c>
    </row>
    <row r="91" spans="2:47" ht="18" customHeight="1" thickBot="1" x14ac:dyDescent="0.3">
      <c r="B91" s="16"/>
      <c r="C91" s="170" t="str">
        <f>IFERROR(IF(C90="","",VLOOKUP(C90,LISTAS!$F$5:$G$1004,2,0)),"0")</f>
        <v/>
      </c>
      <c r="D91" s="235"/>
      <c r="E91" s="128"/>
      <c r="F91" s="51"/>
      <c r="G91" s="176"/>
      <c r="H91" s="51"/>
      <c r="I91" s="18"/>
      <c r="J91" s="11"/>
      <c r="K91" s="166"/>
      <c r="L91" s="11"/>
      <c r="M91" s="18"/>
      <c r="N91" s="11"/>
      <c r="O91" s="166"/>
      <c r="P91" s="11"/>
      <c r="Q91" s="8"/>
      <c r="R91" s="182"/>
      <c r="S91" s="8"/>
      <c r="T91" s="8"/>
      <c r="U91" s="8"/>
      <c r="V91" s="182"/>
      <c r="W91" s="8"/>
      <c r="X91" s="62"/>
      <c r="Y91" s="182"/>
      <c r="Z91" s="65"/>
      <c r="AA91" s="8"/>
      <c r="AB91" s="11"/>
      <c r="AC91" s="182"/>
      <c r="AD91" s="8"/>
      <c r="AE91" s="69"/>
      <c r="AF91" s="78"/>
      <c r="AG91" s="181"/>
      <c r="AH91" s="78"/>
      <c r="AI91" s="123"/>
      <c r="AJ91" s="235"/>
      <c r="AK91" s="170" t="str">
        <f>IFERROR(IF(AK90="","",VLOOKUP(AK90,LISTAS!$F$5:$G$1004,2,0)),"0")</f>
        <v/>
      </c>
      <c r="AL91" s="11"/>
      <c r="AP91" s="13" t="str">
        <f>IF(AR91&lt;&gt;"",1+COUNTIF(AP72:AP90,"1")+COUNTIF(AP72:AP90,"2")+COUNTIF(AP72:AP90,"3")+COUNTIF(AP72:AP90,"4")+COUNTIF(AP72:AP90,"5")+COUNTIF(AP72:AP90,"6")+COUNTIF(AP72:AP90,"7")+COUNTIF(AP72:AP90,"8")+COUNTIF(AP72:AP90,"9")+COUNTIF(AP72:AP90,"10")+COUNTIF(AP72:AP90,"11")+COUNTIF(AP72:AP90,"12")+COUNTIF(AP72:AP90,"13")+COUNTIF(AP72:AP90,"14")+COUNTIF(AP72:AP90,"15")+COUNTIF(AP72:AP90,"16")+COUNTIF(AP72:AP90,"17")+COUNTIF(AP72:AP90,"18")+COUNTIF(AP72:AP90,"19"),"")</f>
        <v/>
      </c>
      <c r="AQ91" s="14" t="str">
        <f t="shared" si="3"/>
        <v/>
      </c>
      <c r="AR91" s="21" t="str">
        <f>IF(AR75&lt;&gt;"",IF(C72=AR75,G74,IF(C74=AR75,G74,IF(C80=AR75,G82,IF(C82=AR75,G82,IF(C102=AR75,G104,IF(C104=AR75,G104,IF(C110=AR75,G112,IF(C112=AR75,G112,IF(C88=AR75,G90,IF(C90=AR75,G90,IF(C96=AR75,G98,IF(C98=AR75,G98,IF(C118=AR75,G120,IF(C120=AR75,G120,IF(C126=AR75,G128,IF(C128=AR75,G128,IF(AK72=AR75,AI74,IF(AK74=AR75,AI74,IF(AK80=AR75,AI82,IF(AK82=AR75,AI82,IF(AK102=AR75,AI104,IF(AK104=AR75,AI104,IF(AK110=AR75,AI112,IF(AK112=AR75,AI112,IF(AK88=AR75,AI90,IF(AK90=AR75,AI90,IF(AK96=AR75,AI98,IF(AK98=AR75,AI98,IF(AK118=AR75,AI120,IF(AK120=AR75,AI120,IF(AK126=AR75,AI128,IF(AK128=AR75,AI128)))))))))))))))))))))))))))))))),"")</f>
        <v/>
      </c>
      <c r="AS91" s="15" t="str">
        <f>IFERROR(IF(AR91="","",VLOOKUP(AR91,LISTAS!$F$5:$G$1004,2,0)),"0")</f>
        <v/>
      </c>
      <c r="AT91" s="15" t="str">
        <f t="shared" si="4"/>
        <v/>
      </c>
      <c r="AU91" s="15" t="str">
        <f t="shared" si="5"/>
        <v/>
      </c>
    </row>
    <row r="92" spans="2:47" ht="18" customHeight="1" x14ac:dyDescent="0.25">
      <c r="B92" s="16"/>
      <c r="C92" s="166"/>
      <c r="D92" s="11"/>
      <c r="E92" s="11"/>
      <c r="F92" s="17"/>
      <c r="G92" s="169" t="str">
        <f>IF(D88&lt;&gt;"",IF(D90&lt;&gt;"",IF(D88=D90,"",IF(D88&gt;D90,C88,C90)),""),"")</f>
        <v/>
      </c>
      <c r="H92" s="234">
        <v>0</v>
      </c>
      <c r="I92" s="56">
        <f>IF(H92&lt;&gt;"",H92,"")</f>
        <v>0</v>
      </c>
      <c r="J92" s="51" t="str">
        <f>IF(H92&lt;&gt;"",IF(G92="","",G92),"")</f>
        <v/>
      </c>
      <c r="K92" s="176">
        <f>IF(I92&lt;&gt;"",IF(I94&lt;&gt;"",SMALL(I92:J94,1),""),"")</f>
        <v>0</v>
      </c>
      <c r="L92" s="51"/>
      <c r="M92" s="18"/>
      <c r="N92" s="11"/>
      <c r="O92" s="166"/>
      <c r="P92" s="11"/>
      <c r="Q92" s="8"/>
      <c r="R92" s="182"/>
      <c r="S92" s="8"/>
      <c r="T92" s="8"/>
      <c r="U92" s="8"/>
      <c r="V92" s="182"/>
      <c r="W92" s="8"/>
      <c r="X92" s="62"/>
      <c r="Y92" s="182"/>
      <c r="Z92" s="65"/>
      <c r="AA92" s="8"/>
      <c r="AB92" s="11"/>
      <c r="AC92" s="182"/>
      <c r="AD92" s="8"/>
      <c r="AE92" s="17"/>
      <c r="AF92" s="234">
        <v>0</v>
      </c>
      <c r="AG92" s="169" t="str">
        <f>IF(AJ88&lt;&gt;"",IF(AJ90&lt;&gt;"",IF(AJ88=AJ90,"",IF(AJ88&gt;AJ90,AK88,AK90)),""),"")</f>
        <v/>
      </c>
      <c r="AH92" s="65"/>
      <c r="AI92" s="8"/>
      <c r="AJ92" s="11"/>
      <c r="AK92" s="166"/>
      <c r="AL92" s="11"/>
      <c r="AN92" s="23"/>
      <c r="AO92" s="23"/>
      <c r="AP92" s="13" t="str">
        <f>IF(AR92&lt;&gt;"",1+COUNTIF(AP72:AP91,"1")+COUNTIF(AP72:AP91,"2")+COUNTIF(AP72:AP91,"3")+COUNTIF(AP72:AP91,"4")+COUNTIF(AP72:AP91,"5")+COUNTIF(AP72:AP91,"6")+COUNTIF(AP72:AP91,"7")+COUNTIF(AP72:AP91,"8")+COUNTIF(AP72:AP91,"9")+COUNTIF(AP72:AP91,"10")+COUNTIF(AP72:AP91,"11")+COUNTIF(AP72:AP91,"12")+COUNTIF(AP72:AP91,"13")+COUNTIF(AP72:AP91,"14")+COUNTIF(AP72:AP91,"15")+COUNTIF(AP72:AP91,"16")+COUNTIF(AP72:AP91,"17")+COUNTIF(AP72:AP91,"18")+COUNTIF(AP72:AP91,"19")+COUNTIF(AP72:AP91,"20"),"")</f>
        <v/>
      </c>
      <c r="AQ92" s="14" t="str">
        <f t="shared" si="3"/>
        <v/>
      </c>
      <c r="AR92" s="21" t="str">
        <f>IF(AR76&lt;&gt;"",IF(C72=AR76,G74,IF(C74=AR76,G74,IF(C80=AR76,G82,IF(C82=AR76,G82,IF(C102=AR76,G104,IF(C104=AR76,G104,IF(C110=AR76,G112,IF(C112=AR76,G112,IF(C88=AR76,G90,IF(C90=AR76,G90,IF(C96=AR76,G98,IF(C98=AR76,G98,IF(C118=AR76,G120,IF(C120=AR76,G120,IF(C126=AR76,G128,IF(C128=AR76,G128,IF(AK72=AR76,AI74,IF(AK74=AR76,AI74,IF(AK80=AR76,AI82,IF(AK82=AR76,AI82,IF(AK102=AR76,AI104,IF(AK104=AR76,AI104,IF(AK110=AR76,AI112,IF(AK112=AR76,AI112,IF(AK88=AR76,AI90,IF(AK90=AR76,AI90,IF(AK96=AR76,AI98,IF(AK98=AR76,AI98,IF(AK118=AR76,AI120,IF(AK120=AR76,AI120,IF(AK126=AR76,AI128,IF(AK128=AR76,AI128)))))))))))))))))))))))))))))))),"")</f>
        <v/>
      </c>
      <c r="AS92" s="15" t="str">
        <f>IFERROR(IF(AR92="","",VLOOKUP(AR92,LISTAS!$F$5:$G$1004,2,0)),"0")</f>
        <v/>
      </c>
      <c r="AT92" s="15" t="str">
        <f t="shared" si="4"/>
        <v/>
      </c>
      <c r="AU92" s="15" t="str">
        <f t="shared" si="5"/>
        <v/>
      </c>
    </row>
    <row r="93" spans="2:47" ht="18" customHeight="1" thickBot="1" x14ac:dyDescent="0.3">
      <c r="B93" s="16"/>
      <c r="C93" s="166"/>
      <c r="D93" s="11"/>
      <c r="E93" s="11"/>
      <c r="F93" s="17"/>
      <c r="G93" s="170" t="str">
        <f>IFERROR(IF(G92="","",VLOOKUP(G92,LISTAS!$F$5:$G$1004,2,0)),"0")</f>
        <v/>
      </c>
      <c r="H93" s="235"/>
      <c r="I93" s="57"/>
      <c r="J93" s="51"/>
      <c r="K93" s="176"/>
      <c r="L93" s="51"/>
      <c r="M93" s="18"/>
      <c r="N93" s="11"/>
      <c r="O93" s="166"/>
      <c r="P93" s="11"/>
      <c r="Q93" s="8"/>
      <c r="R93" s="182"/>
      <c r="S93" s="8"/>
      <c r="T93" s="8"/>
      <c r="U93" s="8"/>
      <c r="V93" s="182"/>
      <c r="W93" s="8"/>
      <c r="X93" s="62"/>
      <c r="Y93" s="182"/>
      <c r="Z93" s="65"/>
      <c r="AA93" s="8"/>
      <c r="AB93" s="11"/>
      <c r="AC93" s="182"/>
      <c r="AD93" s="8"/>
      <c r="AE93" s="122"/>
      <c r="AF93" s="235"/>
      <c r="AG93" s="170" t="str">
        <f>IFERROR(IF(AG92="","",VLOOKUP(AG92,LISTAS!$F$5:$G$1004,2,0)),"0")</f>
        <v/>
      </c>
      <c r="AH93" s="65"/>
      <c r="AI93" s="8"/>
      <c r="AJ93" s="11"/>
      <c r="AK93" s="166"/>
      <c r="AL93" s="11"/>
      <c r="AM93" s="23"/>
      <c r="AN93" s="23"/>
      <c r="AO93" s="23"/>
      <c r="AP93" s="13" t="str">
        <f>IF(AR93&lt;&gt;"",1+COUNTIF(AP72:AP92,"1")+COUNTIF(AP72:AP92,"2")+COUNTIF(AP72:AP92,"3")+COUNTIF(AP72:AP92,"4")+COUNTIF(AP72:AP92,"5")+COUNTIF(AP72:AP92,"6")+COUNTIF(AP72:AP92,"7")+COUNTIF(AP72:AP92,"8")+COUNTIF(AP72:AP92,"9")+COUNTIF(AP72:AP92,"10")+COUNTIF(AP72:AP92,"11")+COUNTIF(AP72:AP92,"12")+COUNTIF(AP72:AP92,"13")+COUNTIF(AP72:AP92,"14")+COUNTIF(AP72:AP92,"15")+COUNTIF(AP72:AP92,"16")+COUNTIF(AP72:AP92,"17")+COUNTIF(AP72:AP92,"18")+COUNTIF(AP72:AP92,"19")+COUNTIF(AP72:AP92,"20")+COUNTIF(AP72:AP92,"21"),"")</f>
        <v/>
      </c>
      <c r="AQ93" s="14" t="str">
        <f t="shared" si="3"/>
        <v/>
      </c>
      <c r="AR93" s="21" t="str">
        <f>IF(AR77&lt;&gt;"",IF(C72=AR77,G74,IF(C74=AR77,G74,IF(C80=AR77,G82,IF(C82=AR77,G82,IF(C102=AR77,G104,IF(C104=AR77,G104,IF(C110=AR77,G112,IF(C112=AR77,G112,IF(C88=AR77,G90,IF(C90=AR77,G90,IF(C96=AR77,G98,IF(C98=AR77,G98,IF(C118=AR77,G120,IF(C120=AR77,G120,IF(C126=AR77,G128,IF(C128=AR77,G128,IF(AK72=AR77,AI74,IF(AK74=AR77,AI74,IF(AK80=AR77,AI82,IF(AK82=AR77,AI82,IF(AK102=AR77,AI104,IF(AK104=AR77,AI104,IF(AK110=AR77,AI112,IF(AK112=AR77,AI112,IF(AK88=AR77,AI90,IF(AK90=AR77,AI90,IF(AK96=AR77,AI98,IF(AK98=AR77,AI98,IF(AK118=AR77,AI120,IF(AK120=AR77,AI120,IF(AK126=AR77,AI128,IF(AK128=AR77,AI128)))))))))))))))))))))))))))))))),"")</f>
        <v/>
      </c>
      <c r="AS93" s="15" t="str">
        <f>IFERROR(IF(AR93="","",VLOOKUP(AR93,LISTAS!$F$5:$G$1004,2,0)),"0")</f>
        <v/>
      </c>
      <c r="AT93" s="15" t="str">
        <f t="shared" si="4"/>
        <v/>
      </c>
      <c r="AU93" s="15" t="str">
        <f t="shared" si="5"/>
        <v/>
      </c>
    </row>
    <row r="94" spans="2:47" ht="18" customHeight="1" x14ac:dyDescent="0.25">
      <c r="B94" s="16"/>
      <c r="C94" s="166"/>
      <c r="D94" s="11"/>
      <c r="E94" s="18"/>
      <c r="F94" s="19"/>
      <c r="G94" s="169" t="str">
        <f>IF(D96&lt;&gt;"",IF(D98&lt;&gt;"",IF(D96=D98,"",IF(D96&gt;D98,C96,C98)),""),"")</f>
        <v>SOFIA BRITO NASCIMENTO</v>
      </c>
      <c r="H94" s="234">
        <v>2</v>
      </c>
      <c r="I94" s="57">
        <f>IF(H94&lt;&gt;"",H94,"")</f>
        <v>2</v>
      </c>
      <c r="J94" s="51" t="str">
        <f>IF(H94&lt;&gt;"",IF(G94="","",G94),"")</f>
        <v>SOFIA BRITO NASCIMENTO</v>
      </c>
      <c r="K94" s="176" t="str">
        <f>VLOOKUP(K92,I92:J94,2,0)</f>
        <v/>
      </c>
      <c r="L94" s="51"/>
      <c r="M94" s="18"/>
      <c r="N94" s="11"/>
      <c r="O94" s="166"/>
      <c r="P94" s="11"/>
      <c r="Q94" s="8"/>
      <c r="R94" s="182"/>
      <c r="S94" s="8"/>
      <c r="T94" s="8"/>
      <c r="U94" s="8"/>
      <c r="V94" s="182"/>
      <c r="W94" s="8"/>
      <c r="X94" s="62"/>
      <c r="Y94" s="182"/>
      <c r="Z94" s="65"/>
      <c r="AA94" s="8"/>
      <c r="AB94" s="11"/>
      <c r="AC94" s="182"/>
      <c r="AD94" s="8"/>
      <c r="AE94" s="64"/>
      <c r="AF94" s="234">
        <v>2</v>
      </c>
      <c r="AG94" s="169" t="str">
        <f>IF(AJ96&lt;&gt;"",IF(AJ98&lt;&gt;"",IF(AJ96=AJ98,"",IF(AJ96&gt;AJ98,AK96,AK98)),""),"")</f>
        <v>DENISE CASAGRANDE DE MEDEIROS</v>
      </c>
      <c r="AH94" s="66"/>
      <c r="AI94" s="8"/>
      <c r="AJ94" s="11"/>
      <c r="AK94" s="166"/>
      <c r="AL94" s="11"/>
      <c r="AM94" s="23"/>
      <c r="AP94" s="13" t="str">
        <f>IF(AR94&lt;&gt;"",1+COUNTIF(AP72:AP93,"1")+COUNTIF(AP72:AP93,"2")+COUNTIF(AP72:AP93,"3")+COUNTIF(AP72:AP93,"4")+COUNTIF(AP72:AP93,"5")+COUNTIF(AP72:AP93,"6")+COUNTIF(AP72:AP93,"7")+COUNTIF(AP72:AP93,"8")+COUNTIF(AP72:AP93,"9")+COUNTIF(AP72:AP93,"10")+COUNTIF(AP72:AP93,"11")+COUNTIF(AP72:AP93,"12")+COUNTIF(AP72:AP93,"13")+COUNTIF(AP72:AP93,"14")+COUNTIF(AP72:AP93,"15")+COUNTIF(AP72:AP93,"16")+COUNTIF(AP72:AP93,"17")+COUNTIF(AP72:AP93,"18")+COUNTIF(AP72:AP93,"19")+COUNTIF(AP72:AP93,"20")+COUNTIF(AP72:AP93,"21")+COUNTIF(AP72:AP93,"22"),"")</f>
        <v/>
      </c>
      <c r="AQ94" s="14" t="str">
        <f t="shared" si="3"/>
        <v/>
      </c>
      <c r="AR94" s="21" t="str">
        <f>IF(AR78&lt;&gt;"",IF(C72=AR78,G74,IF(C74=AR78,G74,IF(C80=AR78,G82,IF(C82=AR78,G82,IF(C102=AR78,G104,IF(C104=AR78,G104,IF(C110=AR78,G112,IF(C112=AR78,G112,IF(C88=AR78,G90,IF(C90=AR78,G90,IF(C96=AR78,G98,IF(C98=AR78,G98,IF(C118=AR78,G120,IF(C120=AR78,G120,IF(C126=AR78,G128,IF(C128=AR78,G128,IF(AK72=AR78,AI74,IF(AK74=AR78,AI74,IF(AK80=AR78,AI82,IF(AK82=AR78,AI82,IF(AK102=AR78,AI104,IF(AK104=AR78,AI104,IF(AK110=AR78,AI112,IF(AK112=AR78,AI112,IF(AK88=AR78,AI90,IF(AK90=AR78,AI90,IF(AK96=AR78,AI98,IF(AK98=AR78,AI98,IF(AK118=AR78,AI120,IF(AK120=AR78,AI120,IF(AK126=AR78,AI128,IF(AK128=AR78,AI128)))))))))))))))))))))))))))))))),"")</f>
        <v/>
      </c>
      <c r="AS94" s="15" t="str">
        <f>IFERROR(IF(AR94="","",VLOOKUP(AR94,LISTAS!$F$5:$G$1004,2,0)),"0")</f>
        <v/>
      </c>
      <c r="AT94" s="15" t="str">
        <f t="shared" si="4"/>
        <v/>
      </c>
      <c r="AU94" s="15" t="str">
        <f t="shared" si="5"/>
        <v/>
      </c>
    </row>
    <row r="95" spans="2:47" ht="18" customHeight="1" thickBot="1" x14ac:dyDescent="0.3">
      <c r="B95" s="16"/>
      <c r="C95" s="166"/>
      <c r="D95" s="11"/>
      <c r="E95" s="18"/>
      <c r="F95" s="11"/>
      <c r="G95" s="170" t="str">
        <f>IFERROR(IF(G94="","",VLOOKUP(G94,LISTAS!$F$5:$G$1004,2,0)),"0")</f>
        <v>COLÉGIO ENGENHEIRO SALVADOR ARENA</v>
      </c>
      <c r="H95" s="235"/>
      <c r="I95" s="51"/>
      <c r="J95" s="51"/>
      <c r="K95" s="176"/>
      <c r="L95" s="51"/>
      <c r="M95" s="18"/>
      <c r="N95" s="11"/>
      <c r="O95" s="166"/>
      <c r="P95" s="11"/>
      <c r="Q95" s="8"/>
      <c r="R95" s="182"/>
      <c r="S95" s="8"/>
      <c r="T95" s="8"/>
      <c r="U95" s="8"/>
      <c r="V95" s="182"/>
      <c r="W95" s="8"/>
      <c r="X95" s="62"/>
      <c r="Y95" s="182"/>
      <c r="Z95" s="65"/>
      <c r="AA95" s="8"/>
      <c r="AB95" s="11"/>
      <c r="AC95" s="182"/>
      <c r="AD95" s="8"/>
      <c r="AE95" s="8"/>
      <c r="AF95" s="235"/>
      <c r="AG95" s="170" t="str">
        <f>IFERROR(IF(AG94="","",VLOOKUP(AG94,LISTAS!$F$5:$G$1004,2,0)),"0")</f>
        <v>LICEU JARDIM</v>
      </c>
      <c r="AH95" s="8"/>
      <c r="AI95" s="69"/>
      <c r="AJ95" s="11"/>
      <c r="AK95" s="166"/>
      <c r="AL95" s="11"/>
      <c r="AP95" s="13" t="str">
        <f>IF(AR95&lt;&gt;"",1+COUNTIF(AP72:AP94,"1")+COUNTIF(AP72:AP94,"2")+COUNTIF(AP72:AP94,"3")+COUNTIF(AP72:AP94,"4")+COUNTIF(AP72:AP94,"5")+COUNTIF(AP72:AP94,"6")+COUNTIF(AP72:AP94,"7")+COUNTIF(AP72:AP94,"8")+COUNTIF(AP72:AP94,"9")+COUNTIF(AP72:AP94,"10")+COUNTIF(AP72:AP94,"11")+COUNTIF(AP72:AP94,"12")+COUNTIF(AP72:AP94,"13")+COUNTIF(AP72:AP94,"14")+COUNTIF(AP72:AP94,"15")+COUNTIF(AP72:AP94,"16")+COUNTIF(AP72:AP94,"17")+COUNTIF(AP72:AP94,"18")+COUNTIF(AP72:AP94,"19")+COUNTIF(AP72:AP94,"20")+COUNTIF(AP72:AP94,"21")+COUNTIF(AP72:AP94,"22")+COUNTIF(AP72:AP94,"23"),"")</f>
        <v/>
      </c>
      <c r="AQ95" s="14" t="str">
        <f t="shared" si="3"/>
        <v/>
      </c>
      <c r="AR95" s="21" t="str">
        <f>IF(AR79&lt;&gt;"",IF(C72=AR79,G74,IF(C74=AR79,G74,IF(C80=AR79,G82,IF(C82=AR79,G82,IF(C102=AR79,G104,IF(C104=AR79,G104,IF(C110=AR79,G112,IF(C112=AR79,G112,IF(C88=AR79,G90,IF(C90=AR79,G90,IF(C96=AR79,G98,IF(C98=AR79,G98,IF(C118=AR79,G120,IF(C120=AR79,G120,IF(C126=AR79,G128,IF(C128=AR79,G128,IF(AK72=AR79,AI74,IF(AK74=AR79,AI74,IF(AK80=AR79,AI82,IF(AK82=AR79,AI82,IF(AK102=AR79,AI104,IF(AK104=AR79,AI104,IF(AK110=AR79,AI112,IF(AK112=AR79,AI112,IF(AK88=AR79,AI90,IF(AK90=AR79,AI90,IF(AK96=AR79,AI98,IF(AK98=AR79,AI98,IF(AK118=AR79,AI120,IF(AK120=AR79,AI120,IF(AK126=AR79,AI128,IF(AK128=AR79,AI128)))))))))))))))))))))))))))))))),"")</f>
        <v/>
      </c>
      <c r="AS95" s="15" t="str">
        <f>IFERROR(IF(AR95="","",VLOOKUP(AR95,LISTAS!$F$5:$G$1004,2,0)),"0")</f>
        <v/>
      </c>
      <c r="AT95" s="15" t="str">
        <f t="shared" si="4"/>
        <v/>
      </c>
      <c r="AU95" s="15" t="str">
        <f t="shared" si="5"/>
        <v/>
      </c>
    </row>
    <row r="96" spans="2:47" ht="18" customHeight="1" x14ac:dyDescent="0.25">
      <c r="B96" s="16">
        <v>25</v>
      </c>
      <c r="C96" s="169" t="str">
        <f>IF('11F GRP'!G5&gt;=3,'11F GRP'!J334,IF('11F GRP'!G5=2,"",IF('11F GRP'!G5=1,"","")))</f>
        <v/>
      </c>
      <c r="D96" s="234">
        <v>0</v>
      </c>
      <c r="E96" s="56">
        <f>IF(D96&lt;&gt;"",D96,"")</f>
        <v>0</v>
      </c>
      <c r="F96" s="51" t="str">
        <f>IF(D96&lt;&gt;"",IF(C96="","",C96),"")</f>
        <v/>
      </c>
      <c r="G96" s="176">
        <f>IF(E96&lt;&gt;"",IF(E98&lt;&gt;"",SMALL(E96:E98,1),""),"")</f>
        <v>0</v>
      </c>
      <c r="H96" s="51"/>
      <c r="I96" s="51"/>
      <c r="J96" s="51"/>
      <c r="K96" s="176"/>
      <c r="L96" s="51"/>
      <c r="M96" s="18"/>
      <c r="N96" s="11"/>
      <c r="O96" s="166"/>
      <c r="P96" s="11"/>
      <c r="Q96" s="8"/>
      <c r="R96" s="182"/>
      <c r="S96" s="8"/>
      <c r="T96" s="8"/>
      <c r="U96" s="8"/>
      <c r="V96" s="182"/>
      <c r="W96" s="8"/>
      <c r="X96" s="62"/>
      <c r="Y96" s="182"/>
      <c r="Z96" s="65"/>
      <c r="AA96" s="8"/>
      <c r="AB96" s="11"/>
      <c r="AC96" s="182"/>
      <c r="AD96" s="8"/>
      <c r="AE96" s="8"/>
      <c r="AF96" s="78"/>
      <c r="AG96" s="181">
        <f>IF(AJ96&lt;&gt;"",AJ96,"")</f>
        <v>0</v>
      </c>
      <c r="AH96" s="78" t="str">
        <f>IF(AJ96&lt;&gt;"",IF(AK96="","",AK96),"")</f>
        <v/>
      </c>
      <c r="AI96" s="53">
        <f>IF(AG96&lt;&gt;"",IF(AG98&lt;&gt;"",SMALL(AG96:AG98,1),""),"")</f>
        <v>0</v>
      </c>
      <c r="AJ96" s="234">
        <v>0</v>
      </c>
      <c r="AK96" s="169" t="str">
        <f>IF('11F GRP'!G5&gt;=3,'11F GRP'!J360,IF('11F GRP'!G5=2,"",IF('11F GRP'!G5=1,"","")))</f>
        <v/>
      </c>
      <c r="AL96" s="11">
        <v>27</v>
      </c>
      <c r="AP96" s="13" t="str">
        <f>IF(AR96&lt;&gt;"",1+COUNTIF(AP72:AP95,"1")+COUNTIF(AP72:AP95,"2")+COUNTIF(AP72:AP95,"3")+COUNTIF(AP72:AP95,"4")+COUNTIF(AP72:AP95,"5")+COUNTIF(AP72:AP95,"6")+COUNTIF(AP72:AP95,"7")+COUNTIF(AP72:AP95,"8")+COUNTIF(AP72:AP95,"9")+COUNTIF(AP72:AP95,"10")+COUNTIF(AP72:AP95,"11")+COUNTIF(AP72:AP95,"12")+COUNTIF(AP72:AP95,"13")+COUNTIF(AP72:AP95,"14")+COUNTIF(AP72:AP95,"15")+COUNTIF(AP72:AP95,"16")+COUNTIF(AP72:AP95,"17")+COUNTIF(AP72:AP95,"18")+COUNTIF(AP72:AP95,"19")+COUNTIF(AP72:AP95,"20")+COUNTIF(AP72:AP95,"21")+COUNTIF(AP72:AP95,"22")+COUNTIF(AP72:AP95,"23")+COUNTIF(AP72:AP95,"24"),"")</f>
        <v/>
      </c>
      <c r="AQ96" s="14" t="str">
        <f t="shared" si="3"/>
        <v/>
      </c>
      <c r="AR96" s="21" t="str">
        <f>IF(AR80&lt;&gt;"",IF(C72=AR80,G74,IF(C74=AR80,G74,IF(C80=AR80,G82,IF(C82=AR80,G82,IF(C102=AR80,G104,IF(C104=AR80,G104,IF(C110=AR80,G112,IF(C112=AR80,G112,IF(C88=AR80,G90,IF(C90=AR80,G90,IF(C96=AR80,G98,IF(C98=AR80,G98,IF(C118=AR80,G120,IF(C120=AR80,G120,IF(C126=AR80,G128,IF(C128=AR80,G128,IF(AK72=AR80,AI74,IF(AK74=AR80,AI74,IF(AK80=AR80,AI82,IF(AK82=AR80,AI82,IF(AK102=AR80,AI104,IF(AK104=AR80,AI104,IF(AK110=AR80,AI112,IF(AK112=AR80,AI112,IF(AK88=AR80,AI90,IF(AK90=AR80,AI90,IF(AK96=AR80,AI98,IF(AK98=AR80,AI98,IF(AK118=AR80,AI120,IF(AK120=AR80,AI120,IF(AK126=AR80,AI128,IF(AK128=AR80,AI128)))))))))))))))))))))))))))))))),"")</f>
        <v/>
      </c>
      <c r="AS96" s="15" t="str">
        <f>IFERROR(IF(AR96="","",VLOOKUP(AR96,LISTAS!$F$5:$G$1004,2,0)),"0")</f>
        <v/>
      </c>
      <c r="AT96" s="15" t="str">
        <f t="shared" si="4"/>
        <v/>
      </c>
      <c r="AU96" s="15" t="str">
        <f t="shared" si="5"/>
        <v/>
      </c>
    </row>
    <row r="97" spans="2:47" ht="18" customHeight="1" thickBot="1" x14ac:dyDescent="0.3">
      <c r="B97" s="16"/>
      <c r="C97" s="170" t="str">
        <f>IFERROR(IF(C96="","",VLOOKUP(C96,LISTAS!$F$5:$G$1004,2,0)),"0")</f>
        <v/>
      </c>
      <c r="D97" s="235"/>
      <c r="E97" s="57"/>
      <c r="F97" s="51"/>
      <c r="G97" s="176"/>
      <c r="H97" s="51"/>
      <c r="I97" s="11"/>
      <c r="J97" s="11"/>
      <c r="K97" s="166"/>
      <c r="L97" s="11"/>
      <c r="M97" s="18"/>
      <c r="N97" s="11"/>
      <c r="O97" s="166"/>
      <c r="P97" s="11"/>
      <c r="Q97" s="8"/>
      <c r="R97" s="182"/>
      <c r="S97" s="8"/>
      <c r="T97" s="8"/>
      <c r="U97" s="8"/>
      <c r="V97" s="182"/>
      <c r="W97" s="8"/>
      <c r="X97" s="62"/>
      <c r="Y97" s="182"/>
      <c r="Z97" s="65"/>
      <c r="AA97" s="8"/>
      <c r="AB97" s="11"/>
      <c r="AC97" s="182"/>
      <c r="AD97" s="8"/>
      <c r="AE97" s="8"/>
      <c r="AF97" s="78"/>
      <c r="AG97" s="181"/>
      <c r="AH97" s="78"/>
      <c r="AI97" s="124"/>
      <c r="AJ97" s="235"/>
      <c r="AK97" s="170" t="str">
        <f>IFERROR(IF(AK96="","",VLOOKUP(AK96,LISTAS!$F$5:$G$1004,2,0)),"0")</f>
        <v/>
      </c>
      <c r="AL97" s="11"/>
      <c r="AP97" s="13" t="str">
        <f>IF(AR97&lt;&gt;"",1+COUNTIF(AP72:AP96,"1")+COUNTIF(AP72:AP96,"2")+COUNTIF(AP72:AP96,"3")+COUNTIF(AP72:AP96,"4")+COUNTIF(AP72:AP96,"5")+COUNTIF(AP72:AP96,"6")+COUNTIF(AP72:AP96,"7")+COUNTIF(AP72:AP96,"8")+COUNTIF(AP72:AP96,"9")+COUNTIF(AP72:AP96,"10")+COUNTIF(AP72:AP96,"11")+COUNTIF(AP72:AP96,"12")+COUNTIF(AP72:AP96,"13")+COUNTIF(AP72:AP96,"14")+COUNTIF(AP72:AP96,"15")+COUNTIF(AP72:AP96,"16")+COUNTIF(AP72:AP96,"17")+COUNTIF(AP72:AP96,"18")+COUNTIF(AP72:AP96,"19")+COUNTIF(AP72:AP96,"20")+COUNTIF(AP72:AP96,"21")+COUNTIF(AP72:AP96,"22")+COUNTIF(AP72:AP96,"23")+COUNTIF(AP72:AP96,"24")+COUNTIF(AP72:AP96,"25"),"")</f>
        <v/>
      </c>
      <c r="AQ97" s="14" t="str">
        <f t="shared" si="3"/>
        <v/>
      </c>
      <c r="AR97" s="21" t="str">
        <f>IF(AR81&lt;&gt;"",IF(C72=AR81,G74,IF(C74=AR81,G74,IF(C80=AR81,G82,IF(C82=AR81,G82,IF(C102=AR81,G104,IF(C104=AR81,G104,IF(C110=AR81,G112,IF(C112=AR81,G112,IF(C88=AR81,G90,IF(C90=AR81,G90,IF(C96=AR81,G98,IF(C98=AR81,G98,IF(C118=AR81,G120,IF(C120=AR81,G120,IF(C126=AR81,G128,IF(C128=AR81,G128,IF(AK72=AR81,AI74,IF(AK74=AR81,AI74,IF(AK80=AR81,AI82,IF(AK82=AR81,AI82,IF(AK102=AR81,AI104,IF(AK104=AR81,AI104,IF(AK110=AR81,AI112,IF(AK112=AR81,AI112,IF(AK88=AR81,AI90,IF(AK90=AR81,AI90,IF(AK96=AR81,AI98,IF(AK98=AR81,AI98,IF(AK118=AR81,AI120,IF(AK120=AR81,AI120,IF(AK126=AR81,AI128,IF(AK128=AR81,AI128)))))))))))))))))))))))))))))))),"")</f>
        <v/>
      </c>
      <c r="AS97" s="15" t="str">
        <f>IFERROR(IF(AR97="","",VLOOKUP(AR97,LISTAS!$F$5:$G$1004,2,0)),"0")</f>
        <v/>
      </c>
      <c r="AT97" s="15" t="str">
        <f t="shared" si="4"/>
        <v/>
      </c>
      <c r="AU97" s="15" t="str">
        <f t="shared" si="5"/>
        <v/>
      </c>
    </row>
    <row r="98" spans="2:47" ht="18" customHeight="1" thickBot="1" x14ac:dyDescent="0.3">
      <c r="B98" s="16">
        <v>8</v>
      </c>
      <c r="C98" s="169" t="str">
        <f>IF('11F GRP'!G5&gt;=3,'11F GRP'!J113,IF('11F GRP'!G5=2,"",IF('11F GRP'!G5=1,"","")))</f>
        <v>SOFIA BRITO NASCIMENTO</v>
      </c>
      <c r="D98" s="234">
        <v>2</v>
      </c>
      <c r="E98" s="57">
        <f>IF(D98&lt;&gt;"",D98,"")</f>
        <v>2</v>
      </c>
      <c r="F98" s="51" t="str">
        <f>IF(D98&lt;&gt;"",IF(C98="","",C98),"")</f>
        <v>SOFIA BRITO NASCIMENTO</v>
      </c>
      <c r="G98" s="176" t="str">
        <f>VLOOKUP(G96,E96:F98,2,0)</f>
        <v/>
      </c>
      <c r="H98" s="51"/>
      <c r="I98" s="11"/>
      <c r="J98" s="11"/>
      <c r="K98" s="166"/>
      <c r="L98" s="11"/>
      <c r="M98" s="18"/>
      <c r="N98" s="11"/>
      <c r="O98" s="166"/>
      <c r="P98" s="11"/>
      <c r="Q98" s="8"/>
      <c r="R98" s="236" t="s">
        <v>37</v>
      </c>
      <c r="S98" s="236"/>
      <c r="T98" s="236"/>
      <c r="U98" s="236"/>
      <c r="V98" s="236"/>
      <c r="W98" s="8"/>
      <c r="X98" s="62"/>
      <c r="Y98" s="182"/>
      <c r="Z98" s="65"/>
      <c r="AA98" s="8"/>
      <c r="AB98" s="11"/>
      <c r="AC98" s="182"/>
      <c r="AD98" s="8"/>
      <c r="AE98" s="8"/>
      <c r="AF98" s="78"/>
      <c r="AG98" s="181">
        <f>IF(AJ98&lt;&gt;"",AJ98,"")</f>
        <v>2</v>
      </c>
      <c r="AH98" s="78" t="str">
        <f>IF(AJ98&lt;&gt;"",IF(AK98="","",AK98),"")</f>
        <v>DENISE CASAGRANDE DE MEDEIROS</v>
      </c>
      <c r="AI98" s="125" t="str">
        <f>VLOOKUP(AI96,AG96:AH98,2,0)</f>
        <v/>
      </c>
      <c r="AJ98" s="234">
        <v>2</v>
      </c>
      <c r="AK98" s="169" t="str">
        <f>IF('11F GRP'!G5&gt;=3,'11F GRP'!J87,IF('11F GRP'!G5=2,"",IF('11F GRP'!G5=1,"","")))</f>
        <v>DENISE CASAGRANDE DE MEDEIROS</v>
      </c>
      <c r="AL98" s="11">
        <v>6</v>
      </c>
      <c r="AN98" s="23"/>
      <c r="AO98" s="23"/>
      <c r="AP98" s="13" t="str">
        <f>IF(AR98&lt;&gt;"",1+COUNTIF(AP72:AP97,"1")+COUNTIF(AP72:AP97,"2")+COUNTIF(AP72:AP97,"3")+COUNTIF(AP72:AP97,"4")+COUNTIF(AP72:AP97,"5")+COUNTIF(AP72:AP97,"6")+COUNTIF(AP72:AP97,"7")+COUNTIF(AP72:AP97,"8")+COUNTIF(AP72:AP97,"9")+COUNTIF(AP72:AP97,"10")+COUNTIF(AP72:AP97,"11")+COUNTIF(AP72:AP97,"12")+COUNTIF(AP72:AP97,"13")+COUNTIF(AP72:AP97,"14")+COUNTIF(AP72:AP97,"15")+COUNTIF(AP72:AP97,"16")+COUNTIF(AP72:AP97,"17")+COUNTIF(AP72:AP97,"18")+COUNTIF(AP72:AP97,"19")+COUNTIF(AP72:AP97,"20")+COUNTIF(AP72:AP97,"21")+COUNTIF(AP72:AP97,"22")+COUNTIF(AP72:AP97,"23")+COUNTIF(AP72:AP97,"24")+COUNTIF(AP72:AP97,"25")+COUNTIF(AP72:AP97,"26"),"")</f>
        <v/>
      </c>
      <c r="AQ98" s="14" t="str">
        <f t="shared" si="3"/>
        <v/>
      </c>
      <c r="AR98" s="21" t="str">
        <f>IF(AR82&lt;&gt;"",IF(C72=AR82,G74,IF(C74=AR82,G74,IF(C80=AR82,G82,IF(C82=AR82,G82,IF(C102=AR82,G104,IF(C104=AR82,G104,IF(C110=AR82,G112,IF(C112=AR82,G112,IF(C88=AR82,G90,IF(C90=AR82,G90,IF(C96=AR82,G98,IF(C98=AR82,G98,IF(C118=AR82,G120,IF(C120=AR82,G120,IF(C126=AR82,G128,IF(C128=AR82,G128,IF(AK72=AR82,AI74,IF(AK74=AR82,AI74,IF(AK80=AR82,AI82,IF(AK82=AR82,AI82,IF(AK102=AR82,AI104,IF(AK104=AR82,AI104,IF(AK110=AR82,AI112,IF(AK112=AR82,AI112,IF(AK88=AR82,AI90,IF(AK90=AR82,AI90,IF(AK96=AR82,AI98,IF(AK98=AR82,AI98,IF(AK118=AR82,AI120,IF(AK120=AR82,AI120,IF(AK126=AR82,AI128,IF(AK128=AR82,AI128)))))))))))))))))))))))))))))))),"")</f>
        <v/>
      </c>
      <c r="AS98" s="15" t="str">
        <f>IFERROR(IF(AR98="","",VLOOKUP(AR98,LISTAS!$F$5:$G$1004,2,0)),"0")</f>
        <v/>
      </c>
      <c r="AT98" s="15" t="str">
        <f t="shared" si="4"/>
        <v/>
      </c>
      <c r="AU98" s="15" t="str">
        <f t="shared" si="5"/>
        <v/>
      </c>
    </row>
    <row r="99" spans="2:47" ht="18" customHeight="1" thickBot="1" x14ac:dyDescent="0.3">
      <c r="B99" s="16"/>
      <c r="C99" s="170" t="str">
        <f>IFERROR(IF(C98="","",VLOOKUP(C98,LISTAS!$F$5:$G$1004,2,0)),"0")</f>
        <v>COLÉGIO ENGENHEIRO SALVADOR ARENA</v>
      </c>
      <c r="D99" s="235"/>
      <c r="E99" s="51"/>
      <c r="F99" s="51"/>
      <c r="G99" s="176"/>
      <c r="H99" s="51"/>
      <c r="I99" s="11"/>
      <c r="J99" s="11"/>
      <c r="K99" s="166"/>
      <c r="L99" s="11"/>
      <c r="M99" s="18"/>
      <c r="N99" s="11"/>
      <c r="O99" s="169" t="str">
        <f>IF(L84&lt;&gt;"",IF(L86&lt;&gt;"",IF(L84=L86,"",IF(L84&gt;L86,K84,K86)),""),"")</f>
        <v>NINA MEI HORII TODA</v>
      </c>
      <c r="P99" s="234">
        <v>0</v>
      </c>
      <c r="Q99" s="8"/>
      <c r="R99" s="167"/>
      <c r="S99" s="71"/>
      <c r="T99" s="71"/>
      <c r="U99" s="71"/>
      <c r="V99" s="167"/>
      <c r="W99" s="8"/>
      <c r="X99" s="234">
        <v>1</v>
      </c>
      <c r="Y99" s="169" t="str">
        <f>IF(AB84&lt;&gt;"",IF(AB86&lt;&gt;"",IF(AB84=AB86,"",IF(AB84&gt;AB86,AC84,AC86)),""),"")</f>
        <v>ESTER GUIMARÃES</v>
      </c>
      <c r="Z99" s="65"/>
      <c r="AA99" s="8"/>
      <c r="AB99" s="11"/>
      <c r="AC99" s="182"/>
      <c r="AD99" s="8"/>
      <c r="AE99" s="8"/>
      <c r="AF99" s="78"/>
      <c r="AG99" s="181"/>
      <c r="AH99" s="78"/>
      <c r="AI99" s="51"/>
      <c r="AJ99" s="235"/>
      <c r="AK99" s="170" t="str">
        <f>IFERROR(IF(AK98="","",VLOOKUP(AK98,LISTAS!$F$5:$G$1004,2,0)),"0")</f>
        <v>LICEU JARDIM</v>
      </c>
      <c r="AL99" s="11"/>
      <c r="AM99" s="23"/>
      <c r="AP99" s="13" t="str">
        <f>IF(AR99&lt;&gt;"",1+COUNTIF(AP72:AP98,"1")+COUNTIF(AP72:AP98,"2")+COUNTIF(AP72:AP98,"3")+COUNTIF(AP72:AP98,"4")+COUNTIF(AP72:AP98,"5")+COUNTIF(AP72:AP98,"6")+COUNTIF(AP72:AP98,"7")+COUNTIF(AP72:AP98,"8")+COUNTIF(AP72:AP98,"9")+COUNTIF(AP72:AP98,"10")+COUNTIF(AP72:AP98,"11")+COUNTIF(AP72:AP98,"12")+COUNTIF(AP72:AP98,"13")+COUNTIF(AP72:AP98,"14")+COUNTIF(AP72:AP98,"15")+COUNTIF(AP72:AP98,"16")+COUNTIF(AP72:AP98,"17")+COUNTIF(AP72:AP98,"18")+COUNTIF(AP72:AP98,"19")+COUNTIF(AP72:AP98,"20")+COUNTIF(AP72:AP98,"21")+COUNTIF(AP72:AP98,"22")+COUNTIF(AP72:AP98,"23")+COUNTIF(AP72:AP98,"24")+COUNTIF(AP72:AP98,"25")+COUNTIF(AP72:AP98,"26")+COUNTIF(AP72:AP98,"27"),"")</f>
        <v/>
      </c>
      <c r="AQ99" s="14" t="str">
        <f t="shared" si="3"/>
        <v/>
      </c>
      <c r="AR99" s="21" t="str">
        <f>IF(AR83&lt;&gt;"",IF(C72=AR83,G74,IF(C74=AR83,G74,IF(C80=AR83,G82,IF(C82=AR83,G82,IF(C102=AR83,G104,IF(C104=AR83,G104,IF(C110=AR83,G112,IF(C112=AR83,G112,IF(C88=AR83,G90,IF(C90=AR83,G90,IF(C96=AR83,G98,IF(C98=AR83,G98,IF(C118=AR83,G120,IF(C120=AR83,G120,IF(C126=AR83,G128,IF(C128=AR83,G128,IF(AK72=AR83,AI74,IF(AK74=AR83,AI74,IF(AK80=AR83,AI82,IF(AK82=AR83,AI82,IF(AK102=AR83,AI104,IF(AK104=AR83,AI104,IF(AK110=AR83,AI112,IF(AK112=AR83,AI112,IF(AK88=AR83,AI90,IF(AK90=AR83,AI90,IF(AK96=AR83,AI98,IF(AK98=AR83,AI98,IF(AK118=AR83,AI120,IF(AK120=AR83,AI120,IF(AK126=AR83,AI128,IF(AK128=AR83,AI128)))))))))))))))))))))))))))))))),"")</f>
        <v/>
      </c>
      <c r="AS99" s="15" t="str">
        <f>IFERROR(IF(AR99="","",VLOOKUP(AR99,LISTAS!$F$5:$G$1004,2,0)),"0")</f>
        <v/>
      </c>
      <c r="AT99" s="15" t="str">
        <f t="shared" si="4"/>
        <v/>
      </c>
      <c r="AU99" s="15" t="str">
        <f t="shared" si="5"/>
        <v/>
      </c>
    </row>
    <row r="100" spans="2:47" ht="18" customHeight="1" thickBot="1" x14ac:dyDescent="0.3">
      <c r="B100" s="16"/>
      <c r="C100" s="166"/>
      <c r="D100" s="11"/>
      <c r="E100" s="51"/>
      <c r="F100" s="51"/>
      <c r="G100" s="176"/>
      <c r="H100" s="51"/>
      <c r="I100" s="11"/>
      <c r="J100" s="11"/>
      <c r="K100" s="166"/>
      <c r="L100" s="11"/>
      <c r="M100" s="18"/>
      <c r="N100" s="11"/>
      <c r="O100" s="170" t="str">
        <f>IFERROR(IF(O99="","",VLOOKUP(O99,LISTAS!$F$5:$G$1004,2,0)),"0")</f>
        <v>ABACO IPIRANGA</v>
      </c>
      <c r="P100" s="235"/>
      <c r="Q100" s="8"/>
      <c r="R100" s="169" t="str">
        <f>IF(P99&lt;&gt;"",IF(P101&lt;&gt;"",IF(P99=P101,"",IF(P99&gt;P101,O99,O101)),""),"")</f>
        <v>JULIA GOMES</v>
      </c>
      <c r="S100" s="234">
        <v>1</v>
      </c>
      <c r="T100" s="237" t="s">
        <v>38</v>
      </c>
      <c r="U100" s="234">
        <v>0</v>
      </c>
      <c r="V100" s="169" t="str">
        <f>IF(X99&lt;&gt;"",IF(X101&lt;&gt;"",IF(X99=X101,"",IF(X99&gt;X101,Y99,Y101)),""),"")</f>
        <v>ESTER GUIMARÃES</v>
      </c>
      <c r="W100" s="112"/>
      <c r="X100" s="235"/>
      <c r="Y100" s="170" t="str">
        <f>IFERROR(IF(Y99="","",VLOOKUP(Y99,LISTAS!$F$5:$G$1004,2,0)),"0")</f>
        <v>COLÉGIO MARCONI - GRU</v>
      </c>
      <c r="Z100" s="112"/>
      <c r="AA100" s="8"/>
      <c r="AB100" s="11"/>
      <c r="AC100" s="182"/>
      <c r="AD100" s="8"/>
      <c r="AE100" s="8"/>
      <c r="AF100" s="78"/>
      <c r="AG100" s="181"/>
      <c r="AH100" s="78"/>
      <c r="AI100" s="78"/>
      <c r="AJ100" s="11"/>
      <c r="AK100" s="166"/>
      <c r="AL100" s="11"/>
      <c r="AP100" s="13" t="str">
        <f>IF(AR100&lt;&gt;"",1+COUNTIF(AP72:AP99,"1")+COUNTIF(AP72:AP99,"2")+COUNTIF(AP72:AP99,"3")+COUNTIF(AP72:AP99,"4")+COUNTIF(AP72:AP99,"5")+COUNTIF(AP72:AP99,"6")+COUNTIF(AP72:AP99,"7")+COUNTIF(AP72:AP99,"8")+COUNTIF(AP72:AP99,"9")+COUNTIF(AP72:AP99,"10")+COUNTIF(AP72:AP99,"11")+COUNTIF(AP72:AP99,"12")+COUNTIF(AP72:AP99,"13")+COUNTIF(AP72:AP99,"14")+COUNTIF(AP72:AP99,"15")+COUNTIF(AP72:AP99,"16")+COUNTIF(AP72:AP99,"17")+COUNTIF(AP72:AP99,"18")+COUNTIF(AP72:AP99,"19")+COUNTIF(AP72:AP99,"20")+COUNTIF(AP72:AP99,"21")+COUNTIF(AP72:AP99,"22")+COUNTIF(AP72:AP99,"23")+COUNTIF(AP72:AP99,"24")+COUNTIF(AP72:AP99,"25")+COUNTIF(AP72:AP99,"26")+COUNTIF(AP72:AP99,"27")+COUNTIF(AP72:AP99,"28"),"")</f>
        <v/>
      </c>
      <c r="AQ100" s="14" t="str">
        <f t="shared" si="3"/>
        <v/>
      </c>
      <c r="AR100" s="21" t="str">
        <f>IF(AR84&lt;&gt;"",IF(C72=AR84,G74,IF(C74=AR84,G74,IF(C80=AR84,G82,IF(C82=AR84,G82,IF(C102=AR84,G104,IF(C104=AR84,G104,IF(C110=AR84,G112,IF(C112=AR84,G112,IF(C88=AR84,G90,IF(C90=AR84,G90,IF(C96=AR84,G98,IF(C98=AR84,G98,IF(C118=AR84,G120,IF(C120=AR84,G120,IF(C126=AR84,G128,IF(C128=AR84,G128,IF(AK72=AR84,AI74,IF(AK74=AR84,AI74,IF(AK80=AR84,AI82,IF(AK82=AR84,AI82,IF(AK102=AR84,AI104,IF(AK104=AR84,AI104,IF(AK110=AR84,AI112,IF(AK112=AR84,AI112,IF(AK88=AR84,AI90,IF(AK90=AR84,AI90,IF(AK96=AR84,AI98,IF(AK98=AR84,AI98,IF(AK118=AR84,AI120,IF(AK120=AR84,AI120,IF(AK126=AR84,AI128,IF(AK128=AR84,AI128)))))))))))))))))))))))))))))))),"")</f>
        <v/>
      </c>
      <c r="AS100" s="15" t="str">
        <f>IFERROR(IF(AR100="","",VLOOKUP(AR100,LISTAS!$F$5:$G$1004,2,0)),"0")</f>
        <v/>
      </c>
      <c r="AT100" s="15" t="str">
        <f t="shared" si="4"/>
        <v/>
      </c>
      <c r="AU100" s="15" t="str">
        <f t="shared" si="5"/>
        <v/>
      </c>
    </row>
    <row r="101" spans="2:47" ht="18" customHeight="1" thickBot="1" x14ac:dyDescent="0.3">
      <c r="B101" s="16"/>
      <c r="C101" s="166"/>
      <c r="D101" s="11"/>
      <c r="E101" s="11"/>
      <c r="F101" s="11"/>
      <c r="G101" s="166"/>
      <c r="H101" s="11"/>
      <c r="I101" s="11"/>
      <c r="J101" s="11"/>
      <c r="K101" s="166"/>
      <c r="L101" s="11"/>
      <c r="M101" s="18"/>
      <c r="N101" s="19"/>
      <c r="O101" s="169" t="str">
        <f>IF(L114&lt;&gt;"",IF(L116&lt;&gt;"",IF(L114=L116,"",IF(L114&gt;L116,K114,K116)),""),"")</f>
        <v>JULIA GOMES</v>
      </c>
      <c r="P101" s="234">
        <v>1</v>
      </c>
      <c r="Q101" s="72"/>
      <c r="R101" s="170" t="str">
        <f>IFERROR(IF(R100="","",VLOOKUP(R100,LISTAS!$F$5:$G$1004,2,0)),"0")</f>
        <v>COLÉGIO SÃO JOSÉ</v>
      </c>
      <c r="S101" s="235"/>
      <c r="T101" s="237"/>
      <c r="U101" s="235"/>
      <c r="V101" s="170" t="str">
        <f>IFERROR(IF(V100="","",VLOOKUP(V100,LISTAS!$F$5:$G$1004,2,0)),"0")</f>
        <v>COLÉGIO MARCONI - GRU</v>
      </c>
      <c r="W101" s="66"/>
      <c r="X101" s="234">
        <v>0</v>
      </c>
      <c r="Y101" s="169" t="str">
        <f>IF(AB114&lt;&gt;"",IF(AB116&lt;&gt;"",IF(AB114=AB116,"",IF(AB114&gt;AB116,AC114,AC116)),""),"")</f>
        <v>HELOISA SILVA DOS SANTOS</v>
      </c>
      <c r="Z101" s="66"/>
      <c r="AA101" s="8"/>
      <c r="AB101" s="11"/>
      <c r="AC101" s="182"/>
      <c r="AD101" s="8"/>
      <c r="AE101" s="8"/>
      <c r="AF101" s="78"/>
      <c r="AG101" s="181"/>
      <c r="AH101" s="78"/>
      <c r="AI101" s="78"/>
      <c r="AJ101" s="11"/>
      <c r="AK101" s="166"/>
      <c r="AL101" s="11"/>
      <c r="AP101" s="13" t="str">
        <f>IF(AR101&lt;&gt;"",1+COUNTIF(AP72:AP100,"1")+COUNTIF(AP72:AP100,"2")+COUNTIF(AP72:AP100,"3")+COUNTIF(AP72:AP100,"4")+COUNTIF(AP72:AP100,"5")+COUNTIF(AP72:AP100,"6")+COUNTIF(AP72:AP100,"7")+COUNTIF(AP72:AP100,"8")+COUNTIF(AP72:AP100,"9")+COUNTIF(AP72:AP100,"10")+COUNTIF(AP72:AP100,"11")+COUNTIF(AP72:AP100,"12")+COUNTIF(AP72:AP100,"13")+COUNTIF(AP72:AP100,"14")+COUNTIF(AP72:AP100,"15")+COUNTIF(AP72:AP100,"16")+COUNTIF(AP72:AP100,"17")+COUNTIF(AP72:AP100,"18")+COUNTIF(AP72:AP100,"19")+COUNTIF(AP72:AP100,"20")+COUNTIF(AP72:AP100,"21")+COUNTIF(AP72:AP100,"22")+COUNTIF(AP72:AP100,"23")+COUNTIF(AP72:AP100,"24")+COUNTIF(AP72:AP100,"25")+COUNTIF(AP72:AP100,"26")+COUNTIF(AP72:AP100,"27")+COUNTIF(AP72:AP100,"28")+COUNTIF(AP72:AP100,"29"),"")</f>
        <v/>
      </c>
      <c r="AQ101" s="14" t="str">
        <f t="shared" si="3"/>
        <v/>
      </c>
      <c r="AR101" s="21" t="str">
        <f>IF(AR85&lt;&gt;"",IF(C72=AR85,G74,IF(C74=AR85,G74,IF(C80=AR85,G82,IF(C82=AR85,G82,IF(C102=AR85,G104,IF(C104=AR85,G104,IF(C110=AR85,G112,IF(C112=AR85,G112,IF(C88=AR85,G90,IF(C90=AR85,G90,IF(C96=AR85,G98,IF(C98=AR85,G98,IF(C118=AR85,G120,IF(C120=AR85,G120,IF(C126=AR85,G128,IF(C128=AR85,G128,IF(AK72=AR85,AI74,IF(AK74=AR85,AI74,IF(AK80=AR85,AI82,IF(AK82=AR85,AI82,IF(AK102=AR85,AI104,IF(AK104=AR85,AI104,IF(AK110=AR85,AI112,IF(AK112=AR85,AI112,IF(AK88=AR85,AI90,IF(AK90=AR85,AI90,IF(AK96=AR85,AI98,IF(AK98=AR85,AI98,IF(AK118=AR85,AI120,IF(AK120=AR85,AI120,IF(AK126=AR85,AI128,IF(AK128=AR85,AI128)))))))))))))))))))))))))))))))),"")</f>
        <v/>
      </c>
      <c r="AS101" s="15" t="str">
        <f>IFERROR(IF(AR101="","",VLOOKUP(AR101,LISTAS!$F$5:$G$1004,2,0)),"0")</f>
        <v/>
      </c>
      <c r="AT101" s="15" t="str">
        <f t="shared" si="4"/>
        <v/>
      </c>
      <c r="AU101" s="15" t="str">
        <f t="shared" si="5"/>
        <v/>
      </c>
    </row>
    <row r="102" spans="2:47" ht="18" customHeight="1" thickBot="1" x14ac:dyDescent="0.3">
      <c r="B102" s="16">
        <v>5</v>
      </c>
      <c r="C102" s="169" t="str">
        <f>IF('11F GRP'!G5&gt;=3,'11F GRP'!J74,IF('11F GRP'!G5=2,"",IF('11F GRP'!G5=1,"","")))</f>
        <v>MICAELLA QUEIROZ DOS SANTOS ALMEIDA</v>
      </c>
      <c r="D102" s="234">
        <v>2</v>
      </c>
      <c r="E102" s="51">
        <f>IF(D102&lt;&gt;"",D102,"")</f>
        <v>2</v>
      </c>
      <c r="F102" s="51" t="str">
        <f>IF(D102&lt;&gt;"",IF(C102="","",C102),"")</f>
        <v>MICAELLA QUEIROZ DOS SANTOS ALMEIDA</v>
      </c>
      <c r="G102" s="176">
        <f>IF(E102&lt;&gt;"",IF(E104&lt;&gt;"",SMALL(E102:E104,1),""),"")</f>
        <v>0</v>
      </c>
      <c r="H102" s="11"/>
      <c r="I102" s="11"/>
      <c r="J102" s="11"/>
      <c r="K102" s="166"/>
      <c r="L102" s="11"/>
      <c r="M102" s="18"/>
      <c r="N102" s="8"/>
      <c r="O102" s="170" t="str">
        <f>IFERROR(IF(O101="","",VLOOKUP(O101,LISTAS!$F$5:$G$1004,2,0)),"0")</f>
        <v>COLÉGIO SÃO JOSÉ</v>
      </c>
      <c r="P102" s="235"/>
      <c r="Q102" s="60"/>
      <c r="R102" s="182"/>
      <c r="S102" s="8"/>
      <c r="T102" s="8"/>
      <c r="U102" s="8"/>
      <c r="V102" s="182"/>
      <c r="W102" s="8"/>
      <c r="X102" s="235"/>
      <c r="Y102" s="170" t="str">
        <f>IFERROR(IF(Y101="","",VLOOKUP(Y101,LISTAS!$F$5:$G$1004,2,0)),"0")</f>
        <v>COLÉGIO ENGENHEIRO SALVADOR ARENA</v>
      </c>
      <c r="Z102" s="65"/>
      <c r="AA102" s="8"/>
      <c r="AB102" s="11"/>
      <c r="AC102" s="182"/>
      <c r="AD102" s="8"/>
      <c r="AE102" s="8"/>
      <c r="AF102" s="78"/>
      <c r="AG102" s="181">
        <f>IF(AJ102&lt;&gt;"",AJ102,"")</f>
        <v>2</v>
      </c>
      <c r="AH102" s="78" t="str">
        <f>IF(AJ102&lt;&gt;"",IF(AK102="","",AK102),"")</f>
        <v>ALICE SANTI LIMONETE</v>
      </c>
      <c r="AI102" s="51">
        <f>IF(AG102&lt;&gt;"",IF(AG104&lt;&gt;"",SMALL(AG102:AG104,1),""),"")</f>
        <v>0</v>
      </c>
      <c r="AJ102" s="234">
        <v>2</v>
      </c>
      <c r="AK102" s="169" t="str">
        <f>IF('11F GRP'!G5&gt;=3,'11F GRP'!J100,IF('11F GRP'!G5=2,"",IF('11F GRP'!G5=1,"","")))</f>
        <v>ALICE SANTI LIMONETE</v>
      </c>
      <c r="AL102" s="11">
        <v>7</v>
      </c>
      <c r="AP102" s="13" t="str">
        <f>IF(AR102&lt;&gt;"",1+COUNTIF(AP72:AP101,"1")+COUNTIF(AP72:AP101,"2")+COUNTIF(AP72:AP101,"3")+COUNTIF(AP72:AP101,"4")+COUNTIF(AP72:AP101,"5")+COUNTIF(AP72:AP101,"6")+COUNTIF(AP72:AP101,"7")+COUNTIF(AP72:AP101,"8")+COUNTIF(AP72:AP101,"9")+COUNTIF(AP72:AP101,"10")+COUNTIF(AP72:AP101,"11")+COUNTIF(AP72:AP101,"12")+COUNTIF(AP72:AP101,"13")+COUNTIF(AP72:AP101,"14")+COUNTIF(AP72:AP101,"15")+COUNTIF(AP72:AP101,"16")+COUNTIF(AP72:AP101,"17")+COUNTIF(AP72:AP101,"18")+COUNTIF(AP72:AP101,"19")+COUNTIF(AP72:AP101,"20")+COUNTIF(AP72:AP101,"21")+COUNTIF(AP72:AP101,"22")+COUNTIF(AP72:AP101,"23")+COUNTIF(AP72:AP101,"24")+COUNTIF(AP72:AP101,"25")+COUNTIF(AP72:AP101,"26")+COUNTIF(AP72:AP101,"27")+COUNTIF(AP72:AP101,"28")+COUNTIF(AP72:AP101,"29")+COUNTIF(AP72:AP101,"30"),"")</f>
        <v/>
      </c>
      <c r="AQ102" s="14" t="str">
        <f t="shared" si="3"/>
        <v/>
      </c>
      <c r="AR102" s="21" t="str">
        <f>IF(AR86&lt;&gt;"",IF(C72=AR86,G74,IF(C74=AR86,G74,IF(C80=AR86,G82,IF(C82=AR86,G82,IF(C102=AR86,G104,IF(C104=AR86,G104,IF(C110=AR86,G112,IF(C112=AR86,G112,IF(C88=AR86,G90,IF(C90=AR86,G90,IF(C96=AR86,G98,IF(C98=AR86,G98,IF(C118=AR86,G120,IF(C120=AR86,G120,IF(C126=AR86,G128,IF(C128=AR86,G128,IF(AK72=AR86,AI74,IF(AK74=AR86,AI74,IF(AK80=AR86,AI82,IF(AK82=AR86,AI82,IF(AK102=AR86,AI104,IF(AK104=AR86,AI104,IF(AK110=AR86,AI112,IF(AK112=AR86,AI112,IF(AK88=AR86,AI90,IF(AK90=AR86,AI90,IF(AK96=AR86,AI98,IF(AK98=AR86,AI98,IF(AK118=AR86,AI120,IF(AK120=AR86,AI120,IF(AK126=AR86,AI128,IF(AK128=AR86,AI128)))))))))))))))))))))))))))))))),"")</f>
        <v/>
      </c>
      <c r="AS102" s="15" t="str">
        <f>IFERROR(IF(AR102="","",VLOOKUP(AR102,LISTAS!$F$5:$G$1004,2,0)),"0")</f>
        <v/>
      </c>
      <c r="AT102" s="15" t="str">
        <f t="shared" si="4"/>
        <v/>
      </c>
      <c r="AU102" s="15" t="str">
        <f t="shared" si="5"/>
        <v/>
      </c>
    </row>
    <row r="103" spans="2:47" ht="18" customHeight="1" thickBot="1" x14ac:dyDescent="0.3">
      <c r="B103" s="16"/>
      <c r="C103" s="170" t="str">
        <f>IFERROR(IF(C102="","",VLOOKUP(C102,LISTAS!$F$5:$G$1004,2,0)),"0")</f>
        <v>COLÉGIO ARBOS - UNIDADE SANTO ANDRÉ</v>
      </c>
      <c r="D103" s="235"/>
      <c r="E103" s="51"/>
      <c r="F103" s="51"/>
      <c r="G103" s="176"/>
      <c r="H103" s="11"/>
      <c r="I103" s="11"/>
      <c r="J103" s="11"/>
      <c r="K103" s="166"/>
      <c r="L103" s="11"/>
      <c r="M103" s="18"/>
      <c r="N103" s="8"/>
      <c r="O103" s="182"/>
      <c r="P103" s="8"/>
      <c r="Q103" s="60"/>
      <c r="R103" s="182"/>
      <c r="S103" s="8"/>
      <c r="T103" s="8"/>
      <c r="U103" s="8"/>
      <c r="V103" s="182"/>
      <c r="W103" s="8"/>
      <c r="X103" s="62"/>
      <c r="Y103" s="182"/>
      <c r="Z103" s="65"/>
      <c r="AA103" s="8"/>
      <c r="AB103" s="11"/>
      <c r="AC103" s="182"/>
      <c r="AD103" s="8"/>
      <c r="AE103" s="8"/>
      <c r="AF103" s="78"/>
      <c r="AG103" s="181"/>
      <c r="AH103" s="78"/>
      <c r="AI103" s="51"/>
      <c r="AJ103" s="235"/>
      <c r="AK103" s="170" t="str">
        <f>IFERROR(IF(AK102="","",VLOOKUP(AK102,LISTAS!$F$5:$G$1004,2,0)),"0")</f>
        <v>ESCOLA VILLARE</v>
      </c>
      <c r="AL103" s="11"/>
      <c r="AP103" s="13" t="str">
        <f>IF(AR103&lt;&gt;"",1+COUNTIF(AP72:AP102,"1")+COUNTIF(AP72:AP102,"2")+COUNTIF(AP72:AP102,"3")+COUNTIF(AP72:AP102,"4")+COUNTIF(AP72:AP102,"5")+COUNTIF(AP72:AP102,"6")+COUNTIF(AP72:AP102,"7")+COUNTIF(AP72:AP102,"8")+COUNTIF(AP72:AP102,"9")+COUNTIF(AP72:AP102,"10")+COUNTIF(AP72:AP102,"11")+COUNTIF(AP72:AP102,"12")+COUNTIF(AP72:AP102,"13")+COUNTIF(AP72:AP102,"14")+COUNTIF(AP72:AP102,"15")+COUNTIF(AP72:AP102,"16")+COUNTIF(AP72:AP102,"17")+COUNTIF(AP72:AP102,"18")+COUNTIF(AP72:AP102,"19")+COUNTIF(AP72:AP102,"20")+COUNTIF(AP72:AP102,"21")+COUNTIF(AP72:AP102,"22")+COUNTIF(AP72:AP102,"23")+COUNTIF(AP72:AP102,"24")+COUNTIF(AP72:AP102,"25")+COUNTIF(AP72:AP102,"26")+COUNTIF(AP72:AP102,"27")+COUNTIF(AP72:AP102,"28")+COUNTIF(AP72:AP102,"29")+COUNTIF(AP72:AP102,"30")+COUNTIF(AP72:AP102,"31"),"")</f>
        <v/>
      </c>
      <c r="AQ103" s="14" t="str">
        <f t="shared" si="3"/>
        <v/>
      </c>
      <c r="AR103" s="21" t="str">
        <f>IF(AR87&lt;&gt;"",IF(C72=AR87,G74,IF(C74=AR87,G74,IF(C80=AR87,G82,IF(C82=AR87,G82,IF(C102=AR87,G104,IF(C104=AR87,G104,IF(C110=AR87,G112,IF(C112=AR87,G112,IF(C88=AR87,G90,IF(C90=AR87,G90,IF(C96=AR87,G98,IF(C98=AR87,G98,IF(C118=AR87,G120,IF(C120=AR87,G120,IF(C126=AR87,G128,IF(C128=AR87,G128,IF(AK72=AR87,AI74,IF(AK74=AR87,AI74,IF(AK80=AR87,AI82,IF(AK82=AR87,AI82,IF(AK102=AR87,AI104,IF(AK104=AR87,AI104,IF(AK110=AR87,AI112,IF(AK112=AR87,AI112,IF(AK88=AR87,AI90,IF(AK90=AR87,AI90,IF(AK96=AR87,AI98,IF(AK98=AR87,AI98,IF(AK118=AR87,AI120,IF(AK120=AR87,AI120,IF(AK126=AR87,AI128,IF(AK128=AR87,AI128)))))))))))))))))))))))))))))))),"")</f>
        <v/>
      </c>
      <c r="AS103" s="15" t="str">
        <f>IFERROR(IF(AR103="","",VLOOKUP(AR103,LISTAS!$F$5:$G$1004,2,0)),"0")</f>
        <v/>
      </c>
      <c r="AT103" s="15" t="str">
        <f>IF(AP103="","",IF(AP103=1,180,IF(AP103=2,170,IF(AP103=3,150,IF(AP103=4,140,IF(AP103=5,135,IF(AP103=6,130,IF(AP103=7,120,IF(AP103=8,110,IF(AP103=9,105,IF(AP103=10,105,IF(AP103=11,105,IF(AP103=12,105,IF(AP103=13,105,IF(AP103=14,105,IF(AP103=15,105,IF(AP103=16,105,IF(AP103&gt;16,"",""))))))))))))))))))</f>
        <v/>
      </c>
      <c r="AU103" s="15" t="str">
        <f>IF(AP103="","",IF($AS$5="NÃO","",IF(AP103=1,180,IF(AP103=2,170,IF(AP103=3,150,IF(AP103=4,140,IF(AP103=5,135,IF(AP103=6,130,IF(AP103=7,120,IF(AP103=8,110,IF(AP103=9,105,IF(AP103=10,105,IF(AP103=11,105,IF(AP103=12,105,IF(AP103=13,105,IF(AP103=14,105,IF(AP103=15,105,IF(AP103=16,105,IF(AP103&gt;16,"","")))))))))))))))))))</f>
        <v/>
      </c>
    </row>
    <row r="104" spans="2:47" ht="18" customHeight="1" x14ac:dyDescent="0.25">
      <c r="B104" s="16">
        <v>28</v>
      </c>
      <c r="C104" s="169" t="str">
        <f>IF('11F GRP'!G5&gt;=3,'11F GRP'!J373,IF('11F GRP'!G5=2,"",IF('11F GRP'!G5=1,"","")))</f>
        <v/>
      </c>
      <c r="D104" s="234">
        <v>0</v>
      </c>
      <c r="E104" s="52">
        <f>IF(D104&lt;&gt;"",D104,"")</f>
        <v>0</v>
      </c>
      <c r="F104" s="51" t="str">
        <f>IF(D104&lt;&gt;"",IF(C104="","",C104),"")</f>
        <v/>
      </c>
      <c r="G104" s="176" t="str">
        <f>VLOOKUP(G102,E102:F104,2,0)</f>
        <v/>
      </c>
      <c r="H104" s="11"/>
      <c r="I104" s="51"/>
      <c r="J104" s="51"/>
      <c r="K104" s="176"/>
      <c r="L104" s="51"/>
      <c r="M104" s="54"/>
      <c r="N104" s="51">
        <f>IF(P99&lt;&gt;"",P99,"")</f>
        <v>0</v>
      </c>
      <c r="O104" s="176" t="str">
        <f>IF(P99&lt;&gt;"",O99,"")</f>
        <v>NINA MEI HORII TODA</v>
      </c>
      <c r="P104" s="51">
        <f>IF(N104&lt;&gt;"",IF(N106&lt;&gt;"",LARGE(N104:N106,1),""),"")</f>
        <v>1</v>
      </c>
      <c r="Q104" s="78"/>
      <c r="R104" s="181"/>
      <c r="S104" s="8"/>
      <c r="T104" s="8"/>
      <c r="U104" s="8"/>
      <c r="V104" s="182"/>
      <c r="W104" s="8"/>
      <c r="X104" s="62"/>
      <c r="Y104" s="182"/>
      <c r="Z104" s="65"/>
      <c r="AA104" s="8"/>
      <c r="AB104" s="11"/>
      <c r="AC104" s="182"/>
      <c r="AD104" s="8"/>
      <c r="AE104" s="8"/>
      <c r="AF104" s="78"/>
      <c r="AG104" s="181">
        <f>IF(AJ104&lt;&gt;"",AJ104,"")</f>
        <v>0</v>
      </c>
      <c r="AH104" s="78" t="str">
        <f>IF(AJ104&lt;&gt;"",IF(AK104="","",AK104),"")</f>
        <v/>
      </c>
      <c r="AI104" s="55" t="str">
        <f>VLOOKUP(AI102,AG102:AH104,2,0)</f>
        <v/>
      </c>
      <c r="AJ104" s="234">
        <v>0</v>
      </c>
      <c r="AK104" s="169" t="str">
        <f>IF('11F GRP'!G5&gt;=3,'11F GRP'!J347,IF('11F GRP'!G5=2,"",IF('11F GRP'!G5=1,"","")))</f>
        <v/>
      </c>
      <c r="AL104" s="11">
        <v>26</v>
      </c>
    </row>
    <row r="105" spans="2:47" ht="18" customHeight="1" thickBot="1" x14ac:dyDescent="0.3">
      <c r="B105" s="16"/>
      <c r="C105" s="170" t="str">
        <f>IFERROR(IF(C104="","",VLOOKUP(C104,LISTAS!$F$5:$G$1004,2,0)),"0")</f>
        <v/>
      </c>
      <c r="D105" s="235"/>
      <c r="E105" s="121"/>
      <c r="F105" s="11"/>
      <c r="G105" s="166"/>
      <c r="H105" s="11"/>
      <c r="I105" s="51"/>
      <c r="J105" s="51"/>
      <c r="K105" s="176"/>
      <c r="L105" s="51"/>
      <c r="M105" s="54"/>
      <c r="N105" s="51"/>
      <c r="O105" s="176"/>
      <c r="P105" s="51"/>
      <c r="Q105" s="78"/>
      <c r="R105" s="181"/>
      <c r="S105" s="8"/>
      <c r="T105" s="8"/>
      <c r="U105" s="8"/>
      <c r="V105" s="182"/>
      <c r="W105" s="8"/>
      <c r="X105" s="62"/>
      <c r="Y105" s="182"/>
      <c r="Z105" s="65"/>
      <c r="AA105" s="8"/>
      <c r="AB105" s="11"/>
      <c r="AC105" s="182"/>
      <c r="AD105" s="8"/>
      <c r="AE105" s="8"/>
      <c r="AF105" s="78"/>
      <c r="AG105" s="181"/>
      <c r="AH105" s="78"/>
      <c r="AI105" s="123"/>
      <c r="AJ105" s="235"/>
      <c r="AK105" s="170" t="str">
        <f>IFERROR(IF(AK104="","",VLOOKUP(AK104,LISTAS!$F$5:$G$1004,2,0)),"0")</f>
        <v/>
      </c>
      <c r="AL105" s="11"/>
    </row>
    <row r="106" spans="2:47" ht="18" customHeight="1" x14ac:dyDescent="0.25">
      <c r="B106" s="16"/>
      <c r="C106" s="166"/>
      <c r="D106" s="11"/>
      <c r="E106" s="11"/>
      <c r="F106" s="17"/>
      <c r="G106" s="169" t="str">
        <f>IF(D102&lt;&gt;"",IF(D104&lt;&gt;"",IF(D102=D104,"",IF(D102&gt;D104,C102,C104)),""),"")</f>
        <v>MICAELLA QUEIROZ DOS SANTOS ALMEIDA</v>
      </c>
      <c r="H106" s="234">
        <v>2</v>
      </c>
      <c r="I106" s="51">
        <f>IF(H106&lt;&gt;"",H106,"")</f>
        <v>2</v>
      </c>
      <c r="J106" s="51" t="str">
        <f>IF(H106&lt;&gt;"",IF(G106="","",G106),"")</f>
        <v>MICAELLA QUEIROZ DOS SANTOS ALMEIDA</v>
      </c>
      <c r="K106" s="176">
        <f>IF(I106&lt;&gt;"",IF(I108&lt;&gt;"",SMALL(I106:J108,1),""),"")</f>
        <v>0</v>
      </c>
      <c r="L106" s="51"/>
      <c r="M106" s="54"/>
      <c r="N106" s="51">
        <f>IF(P101&lt;&gt;"",P101,"")</f>
        <v>1</v>
      </c>
      <c r="O106" s="176" t="str">
        <f>IF(P101&lt;&gt;"",O101,"")</f>
        <v>JULIA GOMES</v>
      </c>
      <c r="P106" s="51" t="str">
        <f>VLOOKUP(P104,N104:O106,2,0)</f>
        <v>JULIA GOMES</v>
      </c>
      <c r="Q106" s="78"/>
      <c r="R106" s="181"/>
      <c r="S106" s="8"/>
      <c r="T106" s="8"/>
      <c r="U106" s="8"/>
      <c r="V106" s="182"/>
      <c r="W106" s="8"/>
      <c r="X106" s="62"/>
      <c r="Y106" s="182"/>
      <c r="Z106" s="65"/>
      <c r="AA106" s="8"/>
      <c r="AB106" s="11"/>
      <c r="AC106" s="182"/>
      <c r="AD106" s="8"/>
      <c r="AE106" s="67"/>
      <c r="AF106" s="234">
        <v>2</v>
      </c>
      <c r="AG106" s="169" t="str">
        <f>IF(AJ102&lt;&gt;"",IF(AJ104&lt;&gt;"",IF(AJ102=AJ104,"",IF(AJ102&gt;AJ104,AK102,AK104)),""),"")</f>
        <v>ALICE SANTI LIMONETE</v>
      </c>
      <c r="AH106" s="65"/>
      <c r="AI106" s="8"/>
      <c r="AJ106" s="11"/>
      <c r="AK106" s="166"/>
      <c r="AL106" s="11"/>
    </row>
    <row r="107" spans="2:47" ht="18" customHeight="1" thickBot="1" x14ac:dyDescent="0.3">
      <c r="B107" s="16"/>
      <c r="C107" s="166"/>
      <c r="D107" s="11"/>
      <c r="E107" s="11"/>
      <c r="F107" s="17"/>
      <c r="G107" s="170" t="str">
        <f>IFERROR(IF(G106="","",VLOOKUP(G106,LISTAS!$F$5:$G$1004,2,0)),"0")</f>
        <v>COLÉGIO ARBOS - UNIDADE SANTO ANDRÉ</v>
      </c>
      <c r="H107" s="235"/>
      <c r="I107" s="51"/>
      <c r="J107" s="51"/>
      <c r="K107" s="176"/>
      <c r="L107" s="51"/>
      <c r="M107" s="54"/>
      <c r="N107" s="51"/>
      <c r="O107" s="176"/>
      <c r="P107" s="51"/>
      <c r="Q107" s="78"/>
      <c r="R107" s="181"/>
      <c r="S107" s="8"/>
      <c r="T107" s="8"/>
      <c r="U107" s="8"/>
      <c r="V107" s="182"/>
      <c r="W107" s="8"/>
      <c r="X107" s="62"/>
      <c r="Y107" s="182"/>
      <c r="Z107" s="65"/>
      <c r="AA107" s="8"/>
      <c r="AB107" s="11"/>
      <c r="AC107" s="182"/>
      <c r="AD107" s="8"/>
      <c r="AE107" s="67"/>
      <c r="AF107" s="235"/>
      <c r="AG107" s="170" t="str">
        <f>IFERROR(IF(AG106="","",VLOOKUP(AG106,LISTAS!$F$5:$G$1004,2,0)),"0")</f>
        <v>ESCOLA VILLARE</v>
      </c>
      <c r="AH107" s="65"/>
      <c r="AI107" s="8"/>
      <c r="AJ107" s="11"/>
      <c r="AK107" s="166"/>
      <c r="AL107" s="11"/>
    </row>
    <row r="108" spans="2:47" ht="18" customHeight="1" x14ac:dyDescent="0.25">
      <c r="B108" s="16"/>
      <c r="C108" s="166"/>
      <c r="D108" s="11"/>
      <c r="E108" s="18"/>
      <c r="F108" s="19"/>
      <c r="G108" s="169" t="str">
        <f>IF(D110&lt;&gt;"",IF(D112&lt;&gt;"",IF(D110=D112,"",IF(D110&gt;D112,C110,C112)),""),"")</f>
        <v/>
      </c>
      <c r="H108" s="234">
        <v>0</v>
      </c>
      <c r="I108" s="52">
        <f>IF(H108&lt;&gt;"",H108,"")</f>
        <v>0</v>
      </c>
      <c r="J108" s="51" t="str">
        <f>IF(H108&lt;&gt;"",IF(G108="","",G108),"")</f>
        <v/>
      </c>
      <c r="K108" s="176" t="str">
        <f>VLOOKUP(K106,I106:J108,2,0)</f>
        <v/>
      </c>
      <c r="L108" s="51"/>
      <c r="M108" s="54"/>
      <c r="N108" s="51">
        <f>IF(P99&lt;&gt;"",P99,"")</f>
        <v>0</v>
      </c>
      <c r="O108" s="176" t="str">
        <f>IF(P99&lt;&gt;"",O99,"")</f>
        <v>NINA MEI HORII TODA</v>
      </c>
      <c r="P108" s="51">
        <f>IF(N108&lt;&gt;"",IF(N110&lt;&gt;"",SMALL(N108:N110,1),""),"")</f>
        <v>0</v>
      </c>
      <c r="Q108" s="78"/>
      <c r="R108" s="181"/>
      <c r="S108" s="8"/>
      <c r="T108" s="8"/>
      <c r="U108" s="8"/>
      <c r="V108" s="182"/>
      <c r="W108" s="8"/>
      <c r="X108" s="62"/>
      <c r="Y108" s="182"/>
      <c r="Z108" s="65"/>
      <c r="AA108" s="8"/>
      <c r="AB108" s="11"/>
      <c r="AC108" s="182"/>
      <c r="AD108" s="65"/>
      <c r="AE108" s="68"/>
      <c r="AF108" s="234">
        <v>0</v>
      </c>
      <c r="AG108" s="169" t="str">
        <f>IF(AJ110&lt;&gt;"",IF(AJ112&lt;&gt;"",IF(AJ110=AJ112,"",IF(AJ110&gt;AJ112,AK110,AK112)),""),"")</f>
        <v/>
      </c>
      <c r="AH108" s="66"/>
      <c r="AI108" s="8"/>
      <c r="AJ108" s="11"/>
      <c r="AK108" s="166"/>
      <c r="AL108" s="11"/>
    </row>
    <row r="109" spans="2:47" ht="18" customHeight="1" thickBot="1" x14ac:dyDescent="0.3">
      <c r="B109" s="16"/>
      <c r="C109" s="166"/>
      <c r="D109" s="11"/>
      <c r="E109" s="18"/>
      <c r="F109" s="11"/>
      <c r="G109" s="170" t="str">
        <f>IFERROR(IF(G108="","",VLOOKUP(G108,LISTAS!$F$5:$G$1004,2,0)),"0")</f>
        <v/>
      </c>
      <c r="H109" s="235"/>
      <c r="I109" s="54"/>
      <c r="J109" s="51"/>
      <c r="K109" s="176"/>
      <c r="L109" s="51"/>
      <c r="M109" s="54"/>
      <c r="N109" s="51"/>
      <c r="O109" s="176"/>
      <c r="P109" s="51"/>
      <c r="Q109" s="78"/>
      <c r="R109" s="181"/>
      <c r="S109" s="8"/>
      <c r="T109" s="8"/>
      <c r="U109" s="8"/>
      <c r="V109" s="182"/>
      <c r="W109" s="8"/>
      <c r="X109" s="62"/>
      <c r="Y109" s="182"/>
      <c r="Z109" s="8"/>
      <c r="AA109" s="69"/>
      <c r="AB109" s="11"/>
      <c r="AC109" s="182"/>
      <c r="AD109" s="65"/>
      <c r="AE109" s="8"/>
      <c r="AF109" s="235"/>
      <c r="AG109" s="170" t="str">
        <f>IFERROR(IF(AG108="","",VLOOKUP(AG108,LISTAS!$F$5:$G$1004,2,0)),"0")</f>
        <v/>
      </c>
      <c r="AH109" s="8"/>
      <c r="AI109" s="69"/>
      <c r="AJ109" s="11"/>
      <c r="AK109" s="166"/>
      <c r="AL109" s="11"/>
    </row>
    <row r="110" spans="2:47" ht="18" customHeight="1" x14ac:dyDescent="0.25">
      <c r="B110" s="16">
        <v>12</v>
      </c>
      <c r="C110" s="169" t="str">
        <f>IF('11F GRP'!G5&gt;=3,'11F GRP'!J165,IF('11F GRP'!G5=2,"",IF('11F GRP'!G5=1,"","")))</f>
        <v/>
      </c>
      <c r="D110" s="234">
        <v>0</v>
      </c>
      <c r="E110" s="56">
        <f>IF(D110&lt;&gt;"",D110,"")</f>
        <v>0</v>
      </c>
      <c r="F110" s="51" t="str">
        <f>IF(D110&lt;&gt;"",IF(C110="","",C110),"")</f>
        <v/>
      </c>
      <c r="G110" s="176">
        <f>IF(E110&lt;&gt;"",IF(E112&lt;&gt;"",SMALL(E110:E112,1),""),"")</f>
        <v>0</v>
      </c>
      <c r="H110" s="11"/>
      <c r="I110" s="54"/>
      <c r="J110" s="51"/>
      <c r="K110" s="176"/>
      <c r="L110" s="51"/>
      <c r="M110" s="54"/>
      <c r="N110" s="51">
        <f>IF(P101&lt;&gt;"",P101,"")</f>
        <v>1</v>
      </c>
      <c r="O110" s="176" t="str">
        <f>IF(P101&lt;&gt;"",O101,"")</f>
        <v>JULIA GOMES</v>
      </c>
      <c r="P110" s="51" t="str">
        <f>VLOOKUP(P108,N108:O110,2,0)</f>
        <v>NINA MEI HORII TODA</v>
      </c>
      <c r="Q110" s="78"/>
      <c r="R110" s="181"/>
      <c r="S110" s="8"/>
      <c r="T110" s="8"/>
      <c r="U110" s="8"/>
      <c r="V110" s="182"/>
      <c r="W110" s="8"/>
      <c r="X110" s="62"/>
      <c r="Y110" s="182"/>
      <c r="Z110" s="8"/>
      <c r="AA110" s="69"/>
      <c r="AB110" s="11"/>
      <c r="AC110" s="182"/>
      <c r="AD110" s="65"/>
      <c r="AE110" s="8"/>
      <c r="AF110" s="78"/>
      <c r="AG110" s="181">
        <f>IF(AJ110&lt;&gt;"",AJ110,"")</f>
        <v>0</v>
      </c>
      <c r="AH110" s="78" t="str">
        <f>IF(AJ110&lt;&gt;"",IF(AK110="","",AK110),"")</f>
        <v/>
      </c>
      <c r="AI110" s="53">
        <f>IF(AG110&lt;&gt;"",IF(AG112&lt;&gt;"",SMALL(AG110:AG112,1),""),"")</f>
        <v>0</v>
      </c>
      <c r="AJ110" s="234">
        <v>0</v>
      </c>
      <c r="AK110" s="169" t="str">
        <f>IF('11F GRP'!G5&gt;=3,'11F GRP'!J139,IF('11F GRP'!G5=2,"",IF('11F GRP'!G5=1,"","")))</f>
        <v/>
      </c>
      <c r="AL110" s="11">
        <v>10</v>
      </c>
    </row>
    <row r="111" spans="2:47" ht="18" customHeight="1" thickBot="1" x14ac:dyDescent="0.3">
      <c r="B111" s="16"/>
      <c r="C111" s="170" t="str">
        <f>IFERROR(IF(C110="","",VLOOKUP(C110,LISTAS!$F$5:$G$1004,2,0)),"0")</f>
        <v/>
      </c>
      <c r="D111" s="235"/>
      <c r="E111" s="57"/>
      <c r="F111" s="51"/>
      <c r="G111" s="176"/>
      <c r="H111" s="11"/>
      <c r="I111" s="54"/>
      <c r="J111" s="51"/>
      <c r="K111" s="176"/>
      <c r="L111" s="51"/>
      <c r="M111" s="54"/>
      <c r="N111" s="51"/>
      <c r="O111" s="176"/>
      <c r="P111" s="51"/>
      <c r="Q111" s="78"/>
      <c r="R111" s="181"/>
      <c r="S111" s="8"/>
      <c r="T111" s="8"/>
      <c r="U111" s="8"/>
      <c r="V111" s="182"/>
      <c r="W111" s="8"/>
      <c r="X111" s="62"/>
      <c r="Y111" s="182"/>
      <c r="Z111" s="8"/>
      <c r="AA111" s="69"/>
      <c r="AB111" s="11"/>
      <c r="AC111" s="182"/>
      <c r="AD111" s="65"/>
      <c r="AE111" s="8"/>
      <c r="AF111" s="78"/>
      <c r="AG111" s="181"/>
      <c r="AH111" s="78"/>
      <c r="AI111" s="124"/>
      <c r="AJ111" s="235"/>
      <c r="AK111" s="170" t="str">
        <f>IFERROR(IF(AK110="","",VLOOKUP(AK110,LISTAS!$F$5:$G$1004,2,0)),"0")</f>
        <v/>
      </c>
      <c r="AL111" s="11"/>
    </row>
    <row r="112" spans="2:47" ht="18" customHeight="1" x14ac:dyDescent="0.25">
      <c r="B112" s="16">
        <v>21</v>
      </c>
      <c r="C112" s="169" t="str">
        <f>IF('11F GRP'!G5&gt;=3,'11F GRP'!J282,IF('11F GRP'!G5=2,"",IF('11F GRP'!G5=1,"","")))</f>
        <v/>
      </c>
      <c r="D112" s="234">
        <v>0</v>
      </c>
      <c r="E112" s="57">
        <f>IF(D112&lt;&gt;"",D112,"")</f>
        <v>0</v>
      </c>
      <c r="F112" s="51" t="str">
        <f>IF(D112&lt;&gt;"",IF(C112="","",C112),"")</f>
        <v/>
      </c>
      <c r="G112" s="176" t="str">
        <f>VLOOKUP(G110,E110:F112,2,0)</f>
        <v/>
      </c>
      <c r="H112" s="11"/>
      <c r="I112" s="18"/>
      <c r="J112" s="11"/>
      <c r="K112" s="166"/>
      <c r="L112" s="11"/>
      <c r="M112" s="18"/>
      <c r="N112" s="11"/>
      <c r="O112" s="166"/>
      <c r="P112" s="11"/>
      <c r="Q112" s="8"/>
      <c r="R112" s="182"/>
      <c r="S112" s="8"/>
      <c r="T112" s="8"/>
      <c r="U112" s="8"/>
      <c r="V112" s="182"/>
      <c r="W112" s="8"/>
      <c r="X112" s="62"/>
      <c r="Y112" s="182"/>
      <c r="Z112" s="8"/>
      <c r="AA112" s="69"/>
      <c r="AB112" s="11"/>
      <c r="AC112" s="182"/>
      <c r="AD112" s="65"/>
      <c r="AE112" s="8"/>
      <c r="AF112" s="78"/>
      <c r="AG112" s="181">
        <f>IF(AJ112&lt;&gt;"",AJ112,"")</f>
        <v>0</v>
      </c>
      <c r="AH112" s="78" t="str">
        <f>IF(AJ112&lt;&gt;"",IF(AK112="","",AK112),"")</f>
        <v/>
      </c>
      <c r="AI112" s="125" t="str">
        <f>VLOOKUP(AI110,AG110:AH112,2,0)</f>
        <v/>
      </c>
      <c r="AJ112" s="234">
        <v>0</v>
      </c>
      <c r="AK112" s="169" t="str">
        <f>IF('11F GRP'!G5&gt;=3,'11F GRP'!J308,IF('11F GRP'!G5=2,"",IF('11F GRP'!G5=1,"","")))</f>
        <v/>
      </c>
      <c r="AL112" s="11">
        <v>23</v>
      </c>
    </row>
    <row r="113" spans="2:38" ht="18" customHeight="1" thickBot="1" x14ac:dyDescent="0.3">
      <c r="B113" s="16"/>
      <c r="C113" s="170" t="str">
        <f>IFERROR(IF(C112="","",VLOOKUP(C112,LISTAS!$F$5:$G$1004,2,0)),"0")</f>
        <v/>
      </c>
      <c r="D113" s="235"/>
      <c r="E113" s="51"/>
      <c r="F113" s="51"/>
      <c r="G113" s="176"/>
      <c r="H113" s="11"/>
      <c r="I113" s="18"/>
      <c r="J113" s="11"/>
      <c r="K113" s="166"/>
      <c r="L113" s="11"/>
      <c r="M113" s="18"/>
      <c r="N113" s="11"/>
      <c r="O113" s="166"/>
      <c r="P113" s="11"/>
      <c r="Q113" s="8"/>
      <c r="R113" s="182"/>
      <c r="S113" s="8"/>
      <c r="T113" s="8"/>
      <c r="U113" s="8"/>
      <c r="V113" s="182"/>
      <c r="W113" s="8"/>
      <c r="X113" s="62"/>
      <c r="Y113" s="182"/>
      <c r="Z113" s="8"/>
      <c r="AA113" s="69"/>
      <c r="AB113" s="11"/>
      <c r="AC113" s="182"/>
      <c r="AD113" s="65"/>
      <c r="AE113" s="8"/>
      <c r="AF113" s="78"/>
      <c r="AG113" s="181"/>
      <c r="AH113" s="78"/>
      <c r="AI113" s="51"/>
      <c r="AJ113" s="235"/>
      <c r="AK113" s="170" t="str">
        <f>IFERROR(IF(AK112="","",VLOOKUP(AK112,LISTAS!$F$5:$G$1004,2,0)),"0")</f>
        <v/>
      </c>
      <c r="AL113" s="11"/>
    </row>
    <row r="114" spans="2:38" ht="18" customHeight="1" x14ac:dyDescent="0.25">
      <c r="B114" s="16"/>
      <c r="C114" s="166"/>
      <c r="D114" s="11"/>
      <c r="E114" s="11"/>
      <c r="F114" s="11"/>
      <c r="G114" s="166"/>
      <c r="H114" s="11"/>
      <c r="I114" s="18"/>
      <c r="J114" s="11"/>
      <c r="K114" s="169" t="str">
        <f>IF(H106&lt;&gt;"",IF(H108&lt;&gt;"",IF(H106=H108,"",IF(H106&gt;H108,G106,G108)),""),"")</f>
        <v>MICAELLA QUEIROZ DOS SANTOS ALMEIDA</v>
      </c>
      <c r="L114" s="234">
        <v>0</v>
      </c>
      <c r="M114" s="56">
        <f>IF(L114&lt;&gt;"",L114,"")</f>
        <v>0</v>
      </c>
      <c r="N114" s="51" t="str">
        <f>IF(L114&lt;&gt;"",IF(K114="","",K114),"")</f>
        <v>MICAELLA QUEIROZ DOS SANTOS ALMEIDA</v>
      </c>
      <c r="O114" s="176">
        <f>IF(M114&lt;&gt;"",IF(M116&lt;&gt;"",SMALL(M114:N116,1),""),"")</f>
        <v>0</v>
      </c>
      <c r="P114" s="11"/>
      <c r="Q114" s="8"/>
      <c r="R114" s="182"/>
      <c r="S114" s="8"/>
      <c r="T114" s="8"/>
      <c r="U114" s="8"/>
      <c r="V114" s="182"/>
      <c r="W114" s="8"/>
      <c r="X114" s="62"/>
      <c r="Y114" s="182"/>
      <c r="Z114" s="8"/>
      <c r="AA114" s="70"/>
      <c r="AB114" s="234">
        <v>0</v>
      </c>
      <c r="AC114" s="169" t="str">
        <f>IF(AF106&lt;&gt;"",IF(AF108&lt;&gt;"",IF(AF106=AF108,"",IF(AF106&gt;AF108,AG106,AG108)),""),"")</f>
        <v>ALICE SANTI LIMONETE</v>
      </c>
      <c r="AD114" s="112"/>
      <c r="AE114" s="8"/>
      <c r="AF114" s="78"/>
      <c r="AG114" s="181"/>
      <c r="AH114" s="78"/>
      <c r="AI114" s="78"/>
      <c r="AJ114" s="11"/>
      <c r="AK114" s="166"/>
      <c r="AL114" s="11"/>
    </row>
    <row r="115" spans="2:38" ht="18" customHeight="1" thickBot="1" x14ac:dyDescent="0.3">
      <c r="B115" s="16"/>
      <c r="C115" s="166"/>
      <c r="D115" s="11"/>
      <c r="E115" s="11"/>
      <c r="F115" s="11"/>
      <c r="G115" s="166"/>
      <c r="H115" s="11"/>
      <c r="I115" s="18"/>
      <c r="J115" s="11"/>
      <c r="K115" s="170" t="str">
        <f>IFERROR(IF(K114="","",VLOOKUP(K114,LISTAS!$F$5:$G$1004,2,0)),"0")</f>
        <v>COLÉGIO ARBOS - UNIDADE SANTO ANDRÉ</v>
      </c>
      <c r="L115" s="235"/>
      <c r="M115" s="57"/>
      <c r="N115" s="51"/>
      <c r="O115" s="176"/>
      <c r="P115" s="11"/>
      <c r="Q115" s="8"/>
      <c r="R115" s="182"/>
      <c r="S115" s="8"/>
      <c r="T115" s="8"/>
      <c r="U115" s="8"/>
      <c r="V115" s="182"/>
      <c r="W115" s="8"/>
      <c r="X115" s="62"/>
      <c r="Y115" s="182"/>
      <c r="Z115" s="8"/>
      <c r="AA115" s="8"/>
      <c r="AB115" s="235"/>
      <c r="AC115" s="170" t="str">
        <f>IFERROR(IF(AC114="","",VLOOKUP(AC114,LISTAS!$F$5:$G$1004,2,0)),"0")</f>
        <v>ESCOLA VILLARE</v>
      </c>
      <c r="AD115" s="8"/>
      <c r="AE115" s="69"/>
      <c r="AF115" s="78"/>
      <c r="AG115" s="181"/>
      <c r="AH115" s="78"/>
      <c r="AI115" s="78"/>
      <c r="AJ115" s="11"/>
      <c r="AK115" s="166"/>
      <c r="AL115" s="11"/>
    </row>
    <row r="116" spans="2:38" ht="18" customHeight="1" x14ac:dyDescent="0.25">
      <c r="B116" s="16"/>
      <c r="C116" s="166"/>
      <c r="D116" s="11"/>
      <c r="E116" s="11"/>
      <c r="F116" s="11"/>
      <c r="G116" s="166"/>
      <c r="H116" s="11"/>
      <c r="I116" s="18"/>
      <c r="J116" s="19"/>
      <c r="K116" s="169" t="str">
        <f>IF(H122&lt;&gt;"",IF(H124&lt;&gt;"",IF(H122=H124,"",IF(H122&gt;H124,G122,G124)),""),"")</f>
        <v>JULIA GOMES</v>
      </c>
      <c r="L116" s="234">
        <v>1</v>
      </c>
      <c r="M116" s="57">
        <f>IF(L116&lt;&gt;"",L116,"")</f>
        <v>1</v>
      </c>
      <c r="N116" s="51" t="str">
        <f>IF(L116&lt;&gt;"",IF(K116="","",K116),"")</f>
        <v>JULIA GOMES</v>
      </c>
      <c r="O116" s="176" t="str">
        <f>VLOOKUP(O114,M114:N116,2,0)</f>
        <v>MICAELLA QUEIROZ DOS SANTOS ALMEIDA</v>
      </c>
      <c r="P116" s="11"/>
      <c r="Q116" s="8"/>
      <c r="R116" s="182"/>
      <c r="S116" s="8"/>
      <c r="T116" s="8"/>
      <c r="U116" s="8"/>
      <c r="V116" s="182"/>
      <c r="W116" s="8"/>
      <c r="X116" s="62"/>
      <c r="Y116" s="182"/>
      <c r="Z116" s="8"/>
      <c r="AA116" s="8"/>
      <c r="AB116" s="234">
        <v>1</v>
      </c>
      <c r="AC116" s="169" t="str">
        <f>IF(AF122&lt;&gt;"",IF(AF124&lt;&gt;"",IF(AF122=AF124,"",IF(AF122&gt;AF124,AG122,AG124)),""),"")</f>
        <v>HELOISA SILVA DOS SANTOS</v>
      </c>
      <c r="AD116" s="8"/>
      <c r="AE116" s="69"/>
      <c r="AF116" s="78"/>
      <c r="AG116" s="181"/>
      <c r="AH116" s="78"/>
      <c r="AI116" s="78"/>
      <c r="AJ116" s="11"/>
      <c r="AK116" s="166"/>
      <c r="AL116" s="11"/>
    </row>
    <row r="117" spans="2:38" ht="18" customHeight="1" thickBot="1" x14ac:dyDescent="0.3">
      <c r="B117" s="16"/>
      <c r="C117" s="166"/>
      <c r="D117" s="11"/>
      <c r="E117" s="11"/>
      <c r="F117" s="11"/>
      <c r="G117" s="166"/>
      <c r="H117" s="11"/>
      <c r="I117" s="18"/>
      <c r="J117" s="11"/>
      <c r="K117" s="170" t="str">
        <f>IFERROR(IF(K116="","",VLOOKUP(K116,LISTAS!$F$5:$G$1004,2,0)),"0")</f>
        <v>COLÉGIO SÃO JOSÉ</v>
      </c>
      <c r="L117" s="235"/>
      <c r="M117" s="51"/>
      <c r="N117" s="51"/>
      <c r="O117" s="176"/>
      <c r="P117" s="11"/>
      <c r="Q117" s="8"/>
      <c r="R117" s="182"/>
      <c r="S117" s="8"/>
      <c r="T117" s="8"/>
      <c r="U117" s="8"/>
      <c r="V117" s="182"/>
      <c r="W117" s="8"/>
      <c r="X117" s="62"/>
      <c r="Y117" s="182"/>
      <c r="Z117" s="8"/>
      <c r="AA117" s="8"/>
      <c r="AB117" s="235"/>
      <c r="AC117" s="170" t="str">
        <f>IFERROR(IF(AC116="","",VLOOKUP(AC116,LISTAS!$F$5:$G$1004,2,0)),"0")</f>
        <v>COLÉGIO ENGENHEIRO SALVADOR ARENA</v>
      </c>
      <c r="AD117" s="8"/>
      <c r="AE117" s="69"/>
      <c r="AF117" s="78"/>
      <c r="AG117" s="181"/>
      <c r="AH117" s="78"/>
      <c r="AI117" s="78"/>
      <c r="AJ117" s="11"/>
      <c r="AK117" s="166"/>
      <c r="AL117" s="11"/>
    </row>
    <row r="118" spans="2:38" ht="18" customHeight="1" x14ac:dyDescent="0.25">
      <c r="B118" s="16">
        <v>20</v>
      </c>
      <c r="C118" s="169" t="str">
        <f>IF('11F GRP'!G5&gt;=3,'11F GRP'!J269,IF('11F GRP'!G5=2,"",IF('11F GRP'!G5=1,"","")))</f>
        <v/>
      </c>
      <c r="D118" s="234">
        <v>0</v>
      </c>
      <c r="E118" s="51">
        <f>IF(D118&lt;&gt;"",D118,"")</f>
        <v>0</v>
      </c>
      <c r="F118" s="51" t="str">
        <f>IF(D118&lt;&gt;"",IF(C118="","",C118),"")</f>
        <v/>
      </c>
      <c r="G118" s="176">
        <f>IF(E118&lt;&gt;"",IF(E120&lt;&gt;"",SMALL(E118:E120,1),""),"")</f>
        <v>0</v>
      </c>
      <c r="H118" s="51"/>
      <c r="I118" s="18"/>
      <c r="J118" s="11"/>
      <c r="K118" s="166"/>
      <c r="L118" s="11"/>
      <c r="M118" s="11"/>
      <c r="N118" s="11"/>
      <c r="O118" s="166"/>
      <c r="P118" s="11"/>
      <c r="Q118" s="8"/>
      <c r="R118" s="182"/>
      <c r="S118" s="8"/>
      <c r="T118" s="8"/>
      <c r="U118" s="8"/>
      <c r="V118" s="182"/>
      <c r="W118" s="8"/>
      <c r="X118" s="62"/>
      <c r="Y118" s="182"/>
      <c r="Z118" s="8"/>
      <c r="AA118" s="8"/>
      <c r="AB118" s="11"/>
      <c r="AC118" s="182"/>
      <c r="AD118" s="8"/>
      <c r="AE118" s="69"/>
      <c r="AF118" s="78"/>
      <c r="AG118" s="181">
        <f>IF(AJ118&lt;&gt;"",AJ118,"")</f>
        <v>0</v>
      </c>
      <c r="AH118" s="78" t="str">
        <f>IF(AJ118&lt;&gt;"",IF(AK118="","",AK118),"")</f>
        <v/>
      </c>
      <c r="AI118" s="51">
        <f>IF(AG118&lt;&gt;"",IF(AG120&lt;&gt;"",SMALL(AG118:AG120,1),""),"")</f>
        <v>0</v>
      </c>
      <c r="AJ118" s="234">
        <v>0</v>
      </c>
      <c r="AK118" s="169" t="str">
        <f>IF('11F GRP'!G5&gt;=3,'11F GRP'!J204,IF('11F GRP'!G5=2,"",IF('11F GRP'!G5=1,"","")))</f>
        <v/>
      </c>
      <c r="AL118" s="11">
        <v>15</v>
      </c>
    </row>
    <row r="119" spans="2:38" ht="18" customHeight="1" thickBot="1" x14ac:dyDescent="0.3">
      <c r="B119" s="16"/>
      <c r="C119" s="170" t="str">
        <f>IFERROR(IF(C118="","",VLOOKUP(C118,LISTAS!$F$5:$G$1004,2,0)),"0")</f>
        <v/>
      </c>
      <c r="D119" s="235"/>
      <c r="E119" s="51"/>
      <c r="F119" s="51"/>
      <c r="G119" s="176"/>
      <c r="H119" s="51"/>
      <c r="I119" s="18"/>
      <c r="J119" s="11"/>
      <c r="K119" s="166"/>
      <c r="L119" s="11"/>
      <c r="M119" s="11"/>
      <c r="N119" s="11"/>
      <c r="O119" s="166"/>
      <c r="P119" s="11"/>
      <c r="Q119" s="8"/>
      <c r="R119" s="182"/>
      <c r="S119" s="8"/>
      <c r="T119" s="8"/>
      <c r="U119" s="8"/>
      <c r="V119" s="182"/>
      <c r="W119" s="8"/>
      <c r="X119" s="62"/>
      <c r="Y119" s="182"/>
      <c r="Z119" s="8"/>
      <c r="AA119" s="8"/>
      <c r="AB119" s="11"/>
      <c r="AC119" s="182"/>
      <c r="AD119" s="8"/>
      <c r="AE119" s="69"/>
      <c r="AF119" s="78"/>
      <c r="AG119" s="181"/>
      <c r="AH119" s="78"/>
      <c r="AI119" s="51"/>
      <c r="AJ119" s="235"/>
      <c r="AK119" s="170" t="str">
        <f>IFERROR(IF(AK118="","",VLOOKUP(AK118,LISTAS!$F$5:$G$1004,2,0)),"0")</f>
        <v/>
      </c>
      <c r="AL119" s="11"/>
    </row>
    <row r="120" spans="2:38" ht="18" customHeight="1" x14ac:dyDescent="0.25">
      <c r="B120" s="16">
        <v>13</v>
      </c>
      <c r="C120" s="169" t="str">
        <f>IF('11F GRP'!G5&gt;=3,'11F GRP'!J178,IF('11F GRP'!G5=2,"",IF('11F GRP'!G5=1,"","")))</f>
        <v/>
      </c>
      <c r="D120" s="234">
        <v>0</v>
      </c>
      <c r="E120" s="52">
        <f>IF(D120&lt;&gt;"",D120,"")</f>
        <v>0</v>
      </c>
      <c r="F120" s="51" t="str">
        <f>IF(D120&lt;&gt;"",IF(C120="","",C120),"")</f>
        <v/>
      </c>
      <c r="G120" s="176" t="str">
        <f>VLOOKUP(G118,E118:F120,2,0)</f>
        <v/>
      </c>
      <c r="H120" s="51"/>
      <c r="I120" s="18"/>
      <c r="J120" s="11"/>
      <c r="K120" s="166"/>
      <c r="L120" s="11"/>
      <c r="M120" s="11"/>
      <c r="N120" s="11"/>
      <c r="O120" s="166"/>
      <c r="P120" s="11"/>
      <c r="Q120" s="8"/>
      <c r="R120" s="182"/>
      <c r="S120" s="8"/>
      <c r="T120" s="8"/>
      <c r="U120" s="8"/>
      <c r="V120" s="182"/>
      <c r="W120" s="8"/>
      <c r="X120" s="62"/>
      <c r="Y120" s="182"/>
      <c r="Z120" s="8"/>
      <c r="AA120" s="8"/>
      <c r="AB120" s="11"/>
      <c r="AC120" s="182"/>
      <c r="AD120" s="8"/>
      <c r="AE120" s="69"/>
      <c r="AF120" s="78"/>
      <c r="AG120" s="181">
        <f>IF(AJ120&lt;&gt;"",AJ120,"")</f>
        <v>0</v>
      </c>
      <c r="AH120" s="78" t="str">
        <f>IF(AJ120&lt;&gt;"",IF(AK120="","",AK120),"")</f>
        <v/>
      </c>
      <c r="AI120" s="55" t="str">
        <f>VLOOKUP(AI118,AG118:AH120,2,0)</f>
        <v/>
      </c>
      <c r="AJ120" s="234">
        <v>0</v>
      </c>
      <c r="AK120" s="169" t="str">
        <f>IF('11F GRP'!G5&gt;=3,'11F GRP'!J243,IF('11F GRP'!G5=2,"",IF('11F GRP'!G5=1,"","")))</f>
        <v/>
      </c>
      <c r="AL120" s="11">
        <v>18</v>
      </c>
    </row>
    <row r="121" spans="2:38" ht="18" customHeight="1" thickBot="1" x14ac:dyDescent="0.3">
      <c r="B121" s="16"/>
      <c r="C121" s="170" t="str">
        <f>IFERROR(IF(C120="","",VLOOKUP(C120,LISTAS!$F$5:$G$1004,2,0)),"0")</f>
        <v/>
      </c>
      <c r="D121" s="235"/>
      <c r="E121" s="128"/>
      <c r="F121" s="51"/>
      <c r="G121" s="176"/>
      <c r="H121" s="51"/>
      <c r="I121" s="18"/>
      <c r="J121" s="11"/>
      <c r="K121" s="166"/>
      <c r="L121" s="11"/>
      <c r="M121" s="11"/>
      <c r="N121" s="11"/>
      <c r="O121" s="166"/>
      <c r="P121" s="11"/>
      <c r="Q121" s="8"/>
      <c r="R121" s="182"/>
      <c r="S121" s="8"/>
      <c r="T121" s="8"/>
      <c r="U121" s="8"/>
      <c r="V121" s="182"/>
      <c r="W121" s="8"/>
      <c r="X121" s="62"/>
      <c r="Y121" s="182"/>
      <c r="Z121" s="8"/>
      <c r="AA121" s="8"/>
      <c r="AB121" s="11"/>
      <c r="AC121" s="182"/>
      <c r="AD121" s="8"/>
      <c r="AE121" s="69"/>
      <c r="AF121" s="78"/>
      <c r="AG121" s="181"/>
      <c r="AH121" s="126"/>
      <c r="AI121" s="51"/>
      <c r="AJ121" s="235"/>
      <c r="AK121" s="170" t="str">
        <f>IFERROR(IF(AK120="","",VLOOKUP(AK120,LISTAS!$F$5:$G$1004,2,0)),"0")</f>
        <v/>
      </c>
      <c r="AL121" s="11"/>
    </row>
    <row r="122" spans="2:38" ht="18" customHeight="1" x14ac:dyDescent="0.25">
      <c r="B122" s="16"/>
      <c r="C122" s="166"/>
      <c r="D122" s="11"/>
      <c r="E122" s="11"/>
      <c r="F122" s="17"/>
      <c r="G122" s="169" t="str">
        <f>IF(D118&lt;&gt;"",IF(D120&lt;&gt;"",IF(D118=D120,"",IF(D118&gt;D120,C118,C120)),""),"")</f>
        <v/>
      </c>
      <c r="H122" s="234">
        <v>0</v>
      </c>
      <c r="I122" s="56">
        <f>IF(H122&lt;&gt;"",H122,"")</f>
        <v>0</v>
      </c>
      <c r="J122" s="51" t="str">
        <f>IF(H122&lt;&gt;"",IF(G122="","",G122),"")</f>
        <v/>
      </c>
      <c r="K122" s="176">
        <f>IF(I122&lt;&gt;"",IF(I124&lt;&gt;"",SMALL(I122:J124,1),""),"")</f>
        <v>0</v>
      </c>
      <c r="L122" s="11"/>
      <c r="M122" s="11"/>
      <c r="N122" s="11"/>
      <c r="O122" s="166"/>
      <c r="P122" s="11"/>
      <c r="Q122" s="8"/>
      <c r="R122" s="182"/>
      <c r="S122" s="8"/>
      <c r="T122" s="8"/>
      <c r="U122" s="8"/>
      <c r="V122" s="182"/>
      <c r="W122" s="8"/>
      <c r="X122" s="62"/>
      <c r="Y122" s="182"/>
      <c r="Z122" s="8"/>
      <c r="AA122" s="8"/>
      <c r="AB122" s="11"/>
      <c r="AC122" s="182"/>
      <c r="AD122" s="8"/>
      <c r="AE122" s="69"/>
      <c r="AF122" s="234">
        <v>0</v>
      </c>
      <c r="AG122" s="169" t="str">
        <f>IF(AJ118&lt;&gt;"",IF(AJ120&lt;&gt;"",IF(AJ118=AJ120,"",IF(AJ118&gt;AJ120,AK118,AK120)),""),"")</f>
        <v/>
      </c>
      <c r="AH122" s="65"/>
      <c r="AI122" s="8"/>
      <c r="AJ122" s="11"/>
      <c r="AK122" s="166"/>
      <c r="AL122" s="11"/>
    </row>
    <row r="123" spans="2:38" ht="18" customHeight="1" thickBot="1" x14ac:dyDescent="0.3">
      <c r="B123" s="16"/>
      <c r="C123" s="166"/>
      <c r="D123" s="11"/>
      <c r="E123" s="11"/>
      <c r="F123" s="17"/>
      <c r="G123" s="170" t="str">
        <f>IFERROR(IF(G122="","",VLOOKUP(G122,LISTAS!$F$5:$G$1004,2,0)),"0")</f>
        <v/>
      </c>
      <c r="H123" s="235"/>
      <c r="I123" s="57"/>
      <c r="J123" s="51"/>
      <c r="K123" s="176"/>
      <c r="L123" s="11"/>
      <c r="M123" s="11"/>
      <c r="N123" s="11"/>
      <c r="O123" s="166"/>
      <c r="P123" s="11"/>
      <c r="Q123" s="8"/>
      <c r="R123" s="182"/>
      <c r="S123" s="8"/>
      <c r="T123" s="8"/>
      <c r="U123" s="8"/>
      <c r="V123" s="182"/>
      <c r="W123" s="8"/>
      <c r="X123" s="62"/>
      <c r="Y123" s="182"/>
      <c r="Z123" s="8"/>
      <c r="AA123" s="8"/>
      <c r="AB123" s="11"/>
      <c r="AC123" s="182"/>
      <c r="AD123" s="8"/>
      <c r="AE123" s="70"/>
      <c r="AF123" s="235"/>
      <c r="AG123" s="170" t="str">
        <f>IFERROR(IF(AG122="","",VLOOKUP(AG122,LISTAS!$F$5:$G$1004,2,0)),"0")</f>
        <v/>
      </c>
      <c r="AH123" s="65"/>
      <c r="AI123" s="8"/>
      <c r="AJ123" s="11"/>
      <c r="AK123" s="166"/>
      <c r="AL123" s="11"/>
    </row>
    <row r="124" spans="2:38" ht="18" customHeight="1" x14ac:dyDescent="0.25">
      <c r="B124" s="16"/>
      <c r="C124" s="166"/>
      <c r="D124" s="11"/>
      <c r="E124" s="18"/>
      <c r="F124" s="19"/>
      <c r="G124" s="169" t="str">
        <f>IF(D126&lt;&gt;"",IF(D128&lt;&gt;"",IF(D126=D128,"",IF(D126&gt;D128,C126,C128)),""),"")</f>
        <v>JULIA GOMES</v>
      </c>
      <c r="H124" s="234">
        <v>2</v>
      </c>
      <c r="I124" s="57">
        <f>IF(H124&lt;&gt;"",H124,"")</f>
        <v>2</v>
      </c>
      <c r="J124" s="51" t="str">
        <f>IF(H124&lt;&gt;"",IF(G124="","",G124),"")</f>
        <v>JULIA GOMES</v>
      </c>
      <c r="K124" s="176" t="str">
        <f>VLOOKUP(K122,I122:J124,2,0)</f>
        <v/>
      </c>
      <c r="L124" s="11"/>
      <c r="M124" s="11"/>
      <c r="N124" s="11"/>
      <c r="O124" s="166"/>
      <c r="P124" s="11"/>
      <c r="Q124" s="8"/>
      <c r="R124" s="182"/>
      <c r="S124" s="8"/>
      <c r="T124" s="8"/>
      <c r="U124" s="8"/>
      <c r="V124" s="182"/>
      <c r="W124" s="8"/>
      <c r="X124" s="62"/>
      <c r="Y124" s="182"/>
      <c r="Z124" s="8"/>
      <c r="AA124" s="8"/>
      <c r="AB124" s="11"/>
      <c r="AC124" s="182"/>
      <c r="AD124" s="8"/>
      <c r="AE124" s="64"/>
      <c r="AF124" s="234">
        <v>2</v>
      </c>
      <c r="AG124" s="169" t="str">
        <f>IF(AJ126&lt;&gt;"",IF(AJ128&lt;&gt;"",IF(AJ126=AJ128,"",IF(AJ126&gt;AJ128,AK126,AK128)),""),"")</f>
        <v>HELOISA SILVA DOS SANTOS</v>
      </c>
      <c r="AH124" s="66"/>
      <c r="AI124" s="8"/>
      <c r="AJ124" s="11"/>
      <c r="AK124" s="166"/>
      <c r="AL124" s="11"/>
    </row>
    <row r="125" spans="2:38" ht="18" customHeight="1" thickBot="1" x14ac:dyDescent="0.3">
      <c r="B125" s="16"/>
      <c r="C125" s="166"/>
      <c r="D125" s="11"/>
      <c r="E125" s="18"/>
      <c r="F125" s="11"/>
      <c r="G125" s="170" t="str">
        <f>IFERROR(IF(G124="","",VLOOKUP(G124,LISTAS!$F$5:$G$1004,2,0)),"0")</f>
        <v>COLÉGIO SÃO JOSÉ</v>
      </c>
      <c r="H125" s="235"/>
      <c r="I125" s="51"/>
      <c r="J125" s="51"/>
      <c r="K125" s="176"/>
      <c r="L125" s="11"/>
      <c r="M125" s="11"/>
      <c r="N125" s="11"/>
      <c r="O125" s="166"/>
      <c r="P125" s="11"/>
      <c r="Q125" s="8"/>
      <c r="R125" s="182"/>
      <c r="S125" s="8"/>
      <c r="T125" s="8"/>
      <c r="U125" s="8"/>
      <c r="V125" s="182"/>
      <c r="W125" s="8"/>
      <c r="X125" s="62"/>
      <c r="Y125" s="182"/>
      <c r="Z125" s="8"/>
      <c r="AA125" s="8"/>
      <c r="AB125" s="11"/>
      <c r="AC125" s="182"/>
      <c r="AD125" s="8"/>
      <c r="AE125" s="8"/>
      <c r="AF125" s="235"/>
      <c r="AG125" s="170" t="str">
        <f>IFERROR(IF(AG124="","",VLOOKUP(AG124,LISTAS!$F$5:$G$1004,2,0)),"0")</f>
        <v>COLÉGIO ENGENHEIRO SALVADOR ARENA</v>
      </c>
      <c r="AH125" s="8"/>
      <c r="AI125" s="69"/>
      <c r="AJ125" s="11"/>
      <c r="AK125" s="166"/>
      <c r="AL125" s="11"/>
    </row>
    <row r="126" spans="2:38" ht="18" customHeight="1" x14ac:dyDescent="0.25">
      <c r="B126" s="16">
        <v>29</v>
      </c>
      <c r="C126" s="169" t="str">
        <f>IF('11F GRP'!G5&gt;=3,'11F GRP'!J386,IF('11F GRP'!G5=2,"",IF('11F GRP'!G5=1,"","")))</f>
        <v/>
      </c>
      <c r="D126" s="234">
        <v>0</v>
      </c>
      <c r="E126" s="56">
        <f>IF(D126&lt;&gt;"",D126,"")</f>
        <v>0</v>
      </c>
      <c r="F126" s="51" t="str">
        <f>IF(D126&lt;&gt;"",IF(C126="","",C126),"")</f>
        <v/>
      </c>
      <c r="G126" s="176">
        <f>IF(E126&lt;&gt;"",IF(E128&lt;&gt;"",SMALL(E126:E128,1),""),"")</f>
        <v>0</v>
      </c>
      <c r="H126" s="51"/>
      <c r="I126" s="11"/>
      <c r="J126" s="11"/>
      <c r="K126" s="166"/>
      <c r="L126" s="11"/>
      <c r="M126" s="11"/>
      <c r="N126" s="11"/>
      <c r="O126" s="166"/>
      <c r="P126" s="11"/>
      <c r="Q126" s="8"/>
      <c r="R126" s="182"/>
      <c r="S126" s="8"/>
      <c r="T126" s="8"/>
      <c r="U126" s="8"/>
      <c r="V126" s="182"/>
      <c r="W126" s="8"/>
      <c r="X126" s="62"/>
      <c r="Y126" s="182"/>
      <c r="Z126" s="8"/>
      <c r="AA126" s="8"/>
      <c r="AB126" s="11"/>
      <c r="AC126" s="182"/>
      <c r="AD126" s="8"/>
      <c r="AE126" s="8"/>
      <c r="AF126" s="8"/>
      <c r="AG126" s="181">
        <f>IF(AJ126&lt;&gt;"",AJ126,"")</f>
        <v>0</v>
      </c>
      <c r="AH126" s="78" t="str">
        <f>IF(AJ126&lt;&gt;"",IF(AK126="","",AK126),"")</f>
        <v/>
      </c>
      <c r="AI126" s="53">
        <f>IF(AG126&lt;&gt;"",IF(AG128&lt;&gt;"",SMALL(AG126:AG128,1),""),"")</f>
        <v>0</v>
      </c>
      <c r="AJ126" s="234">
        <v>0</v>
      </c>
      <c r="AK126" s="169" t="str">
        <f>IF('11F GRP'!G5&gt;=3,'11F GRP'!J412,IF('11F GRP'!G5=2,"",IF('11F GRP'!G5=1,"","")))</f>
        <v/>
      </c>
      <c r="AL126" s="11">
        <v>31</v>
      </c>
    </row>
    <row r="127" spans="2:38" ht="18" customHeight="1" thickBot="1" x14ac:dyDescent="0.3">
      <c r="B127" s="16"/>
      <c r="C127" s="170" t="str">
        <f>IFERROR(IF(C126="","",VLOOKUP(C126,LISTAS!$F$5:$G$1004,2,0)),"0")</f>
        <v/>
      </c>
      <c r="D127" s="235"/>
      <c r="E127" s="57"/>
      <c r="F127" s="51"/>
      <c r="G127" s="176"/>
      <c r="H127" s="51"/>
      <c r="I127" s="11"/>
      <c r="J127" s="11"/>
      <c r="K127" s="166"/>
      <c r="L127" s="11"/>
      <c r="M127" s="11"/>
      <c r="N127" s="11"/>
      <c r="O127" s="166"/>
      <c r="P127" s="11"/>
      <c r="Q127" s="8"/>
      <c r="R127" s="182"/>
      <c r="S127" s="8"/>
      <c r="T127" s="8"/>
      <c r="U127" s="8"/>
      <c r="V127" s="182"/>
      <c r="W127" s="8"/>
      <c r="X127" s="62"/>
      <c r="Y127" s="182"/>
      <c r="Z127" s="8"/>
      <c r="AA127" s="8"/>
      <c r="AB127" s="11"/>
      <c r="AC127" s="182"/>
      <c r="AD127" s="8"/>
      <c r="AE127" s="8"/>
      <c r="AF127" s="8"/>
      <c r="AG127" s="181"/>
      <c r="AH127" s="78"/>
      <c r="AI127" s="77"/>
      <c r="AJ127" s="235"/>
      <c r="AK127" s="170" t="str">
        <f>IFERROR(IF(AK126="","",VLOOKUP(AK126,LISTAS!$F$5:$G$1004,2,0)),"0")</f>
        <v/>
      </c>
      <c r="AL127" s="11"/>
    </row>
    <row r="128" spans="2:38" ht="18" customHeight="1" x14ac:dyDescent="0.25">
      <c r="B128" s="16">
        <v>4</v>
      </c>
      <c r="C128" s="169" t="str">
        <f>IF('11F GRP'!G5&gt;=3,'11F GRP'!J61,IF('11F GRP'!G5=2,IF('11F GRP'!H8=3,"",'11F GRP'!J33),IF('11F GRP'!G5=1,"","")))</f>
        <v>JULIA GOMES</v>
      </c>
      <c r="D128" s="234">
        <v>2</v>
      </c>
      <c r="E128" s="57">
        <f>IF(D128&lt;&gt;"",D128,"")</f>
        <v>2</v>
      </c>
      <c r="F128" s="51" t="str">
        <f>IF(D128&lt;&gt;"",IF(C128="","",C128),"")</f>
        <v>JULIA GOMES</v>
      </c>
      <c r="G128" s="176" t="str">
        <f>VLOOKUP(G126,E126:F128,2,0)</f>
        <v/>
      </c>
      <c r="H128" s="51"/>
      <c r="I128" s="11"/>
      <c r="J128" s="11"/>
      <c r="K128" s="166"/>
      <c r="L128" s="11"/>
      <c r="M128" s="11"/>
      <c r="N128" s="11"/>
      <c r="O128" s="166"/>
      <c r="P128" s="11"/>
      <c r="Q128" s="8"/>
      <c r="R128" s="182"/>
      <c r="S128" s="8"/>
      <c r="T128" s="8"/>
      <c r="U128" s="8"/>
      <c r="V128" s="182"/>
      <c r="W128" s="8"/>
      <c r="X128" s="62"/>
      <c r="Y128" s="182"/>
      <c r="Z128" s="8"/>
      <c r="AA128" s="8"/>
      <c r="AB128" s="11"/>
      <c r="AC128" s="182"/>
      <c r="AD128" s="8"/>
      <c r="AE128" s="8"/>
      <c r="AF128" s="8"/>
      <c r="AG128" s="181">
        <f>IF(AJ128&lt;&gt;"",AJ128,"")</f>
        <v>2</v>
      </c>
      <c r="AH128" s="78" t="str">
        <f>IF(AJ128&lt;&gt;"",IF(AK128="","",AK128),"")</f>
        <v>HELOISA SILVA DOS SANTOS</v>
      </c>
      <c r="AI128" s="76" t="str">
        <f>VLOOKUP(AI126,AG126:AH128,2,0)</f>
        <v/>
      </c>
      <c r="AJ128" s="234">
        <v>2</v>
      </c>
      <c r="AK128" s="169" t="str">
        <f>IF('11F GRP'!G5&gt;=3,'11F GRP'!J31,IF('11F GRP'!G5=2,IF('11F GRP'!H8=3,'11F GRP'!J31,'11F GRP'!J32),IF('11F GRP'!G5=1,"","")))</f>
        <v>HELOISA SILVA DOS SANTOS</v>
      </c>
      <c r="AL128" s="11">
        <v>2</v>
      </c>
    </row>
    <row r="129" spans="2:48" ht="18" customHeight="1" thickBot="1" x14ac:dyDescent="0.3">
      <c r="B129" s="16"/>
      <c r="C129" s="170" t="str">
        <f>IFERROR(IF(C128="","",VLOOKUP(C128,LISTAS!$F$5:$G$1004,2,0)),"0")</f>
        <v>COLÉGIO SÃO JOSÉ</v>
      </c>
      <c r="D129" s="235"/>
      <c r="E129" s="51"/>
      <c r="F129" s="51"/>
      <c r="G129" s="176"/>
      <c r="H129" s="51"/>
      <c r="I129" s="11"/>
      <c r="J129" s="11"/>
      <c r="K129" s="166"/>
      <c r="L129" s="11"/>
      <c r="M129" s="11"/>
      <c r="N129" s="11"/>
      <c r="O129" s="166"/>
      <c r="P129" s="11"/>
      <c r="Q129" s="8"/>
      <c r="R129" s="182"/>
      <c r="S129" s="8"/>
      <c r="T129" s="8"/>
      <c r="U129" s="8"/>
      <c r="V129" s="182"/>
      <c r="W129" s="8"/>
      <c r="X129" s="62"/>
      <c r="Y129" s="182"/>
      <c r="Z129" s="8"/>
      <c r="AA129" s="8"/>
      <c r="AB129" s="11"/>
      <c r="AC129" s="182"/>
      <c r="AD129" s="8"/>
      <c r="AE129" s="8"/>
      <c r="AF129" s="8"/>
      <c r="AG129" s="181"/>
      <c r="AH129" s="78"/>
      <c r="AI129" s="51"/>
      <c r="AJ129" s="235"/>
      <c r="AK129" s="170" t="str">
        <f>IFERROR(IF(AK128="","",VLOOKUP(AK128,LISTAS!$F$5:$G$1004,2,0)),"0")</f>
        <v>COLÉGIO ENGENHEIRO SALVADOR ARENA</v>
      </c>
      <c r="AL129" s="11"/>
    </row>
    <row r="130" spans="2:48" ht="18" customHeight="1" x14ac:dyDescent="0.25">
      <c r="B130" s="16"/>
      <c r="C130" s="167"/>
      <c r="D130" s="71"/>
      <c r="E130" s="127"/>
      <c r="F130" s="127"/>
      <c r="G130" s="177"/>
      <c r="H130" s="127"/>
      <c r="I130" s="71"/>
      <c r="J130" s="71"/>
      <c r="K130" s="167"/>
      <c r="L130" s="71"/>
      <c r="M130" s="71"/>
      <c r="N130" s="71"/>
      <c r="O130" s="167"/>
      <c r="P130" s="71"/>
      <c r="Q130" s="8"/>
      <c r="R130" s="182"/>
      <c r="S130" s="8"/>
      <c r="T130" s="8"/>
      <c r="U130" s="8"/>
      <c r="V130" s="182"/>
      <c r="W130" s="8"/>
      <c r="X130" s="62"/>
      <c r="Y130" s="182"/>
      <c r="Z130" s="8"/>
      <c r="AA130" s="8"/>
      <c r="AB130" s="11"/>
      <c r="AC130" s="182"/>
      <c r="AD130" s="8"/>
      <c r="AE130" s="8"/>
      <c r="AF130" s="8"/>
      <c r="AG130" s="181"/>
      <c r="AH130" s="78"/>
      <c r="AI130" s="78"/>
      <c r="AJ130" s="71"/>
      <c r="AK130" s="167"/>
      <c r="AL130" s="11"/>
    </row>
    <row r="131" spans="2:48" ht="18" customHeight="1" x14ac:dyDescent="0.25">
      <c r="B131" s="11"/>
      <c r="C131" s="167"/>
      <c r="D131" s="71"/>
      <c r="E131" s="71"/>
      <c r="F131" s="71"/>
      <c r="G131" s="167"/>
      <c r="H131" s="71"/>
      <c r="I131" s="71"/>
      <c r="J131" s="71"/>
      <c r="K131" s="167"/>
      <c r="L131" s="71"/>
      <c r="M131" s="71"/>
      <c r="N131" s="71"/>
      <c r="O131" s="167"/>
      <c r="P131" s="71"/>
      <c r="Q131" s="8"/>
      <c r="R131" s="182"/>
      <c r="S131" s="8"/>
      <c r="T131" s="8"/>
      <c r="U131" s="8"/>
      <c r="V131" s="182"/>
      <c r="W131" s="8"/>
      <c r="X131" s="62"/>
      <c r="Y131" s="182"/>
      <c r="Z131" s="8"/>
      <c r="AA131" s="8"/>
      <c r="AB131" s="11"/>
      <c r="AC131" s="182"/>
      <c r="AD131" s="8"/>
      <c r="AE131" s="8"/>
      <c r="AF131" s="8"/>
      <c r="AG131" s="181"/>
      <c r="AH131" s="78"/>
      <c r="AI131" s="78"/>
      <c r="AJ131" s="71"/>
      <c r="AK131" s="167"/>
      <c r="AL131" s="11"/>
    </row>
    <row r="132" spans="2:48" ht="18" customHeight="1" x14ac:dyDescent="0.25">
      <c r="B132" s="22"/>
      <c r="C132" s="168"/>
      <c r="D132" s="22"/>
      <c r="E132" s="22"/>
      <c r="F132" s="22"/>
      <c r="G132" s="168"/>
      <c r="H132" s="22"/>
      <c r="I132" s="22"/>
      <c r="J132" s="22"/>
      <c r="K132" s="168"/>
      <c r="L132" s="22"/>
      <c r="M132" s="22"/>
      <c r="N132" s="22"/>
      <c r="O132" s="168"/>
      <c r="P132" s="22"/>
      <c r="W132" s="22"/>
      <c r="X132" s="22"/>
      <c r="Y132" s="168"/>
      <c r="Z132" s="22"/>
      <c r="AA132" s="22"/>
      <c r="AB132" s="22"/>
      <c r="AC132" s="168"/>
      <c r="AD132" s="22"/>
      <c r="AE132" s="22"/>
      <c r="AF132" s="22"/>
      <c r="AG132" s="168"/>
      <c r="AH132" s="22"/>
      <c r="AI132" s="22"/>
      <c r="AJ132" s="22"/>
      <c r="AK132" s="168"/>
    </row>
    <row r="133" spans="2:48" ht="18" customHeight="1" x14ac:dyDescent="0.25">
      <c r="B133" s="22"/>
      <c r="C133" s="168"/>
      <c r="D133" s="22"/>
      <c r="E133" s="22"/>
      <c r="F133" s="22"/>
      <c r="G133" s="168"/>
      <c r="H133" s="22"/>
      <c r="I133" s="22"/>
      <c r="J133" s="22"/>
      <c r="K133" s="168"/>
      <c r="L133" s="22"/>
      <c r="M133" s="22"/>
      <c r="N133" s="22"/>
      <c r="O133" s="168"/>
      <c r="P133" s="22"/>
      <c r="W133" s="22"/>
      <c r="X133" s="22"/>
      <c r="Y133" s="168"/>
      <c r="Z133" s="22"/>
      <c r="AA133" s="22"/>
      <c r="AB133" s="22"/>
      <c r="AC133" s="168"/>
      <c r="AD133" s="22"/>
      <c r="AE133" s="22"/>
      <c r="AF133" s="22"/>
      <c r="AG133" s="168"/>
      <c r="AH133" s="22"/>
      <c r="AI133" s="22"/>
      <c r="AJ133" s="22"/>
      <c r="AK133" s="168"/>
    </row>
    <row r="134" spans="2:48" ht="30" customHeight="1" x14ac:dyDescent="0.25">
      <c r="B134" s="251" t="s">
        <v>22</v>
      </c>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52"/>
      <c r="AE134" s="252"/>
      <c r="AF134" s="252"/>
      <c r="AG134" s="252"/>
      <c r="AH134" s="252"/>
      <c r="AI134" s="252"/>
      <c r="AJ134" s="252"/>
      <c r="AK134" s="252"/>
      <c r="AL134" s="252"/>
      <c r="AP134" s="241" t="s">
        <v>23</v>
      </c>
      <c r="AQ134" s="241"/>
      <c r="AR134" s="241"/>
      <c r="AS134" s="241"/>
      <c r="AT134" s="241"/>
      <c r="AU134" s="241"/>
    </row>
    <row r="135" spans="2:48" ht="18" customHeight="1" thickBot="1" x14ac:dyDescent="0.3">
      <c r="B135" s="73"/>
      <c r="C135" s="164"/>
      <c r="D135" s="61"/>
      <c r="E135" s="61"/>
      <c r="F135" s="61"/>
      <c r="G135" s="175"/>
      <c r="H135" s="61"/>
      <c r="I135" s="61"/>
      <c r="J135" s="61"/>
      <c r="K135" s="179"/>
      <c r="L135" s="61"/>
      <c r="M135" s="61"/>
      <c r="N135" s="61"/>
      <c r="O135" s="179"/>
      <c r="P135" s="61"/>
      <c r="Q135" s="61"/>
      <c r="R135" s="179"/>
      <c r="S135" s="61"/>
      <c r="T135" s="61"/>
      <c r="U135" s="61"/>
      <c r="V135" s="179"/>
      <c r="W135" s="61"/>
      <c r="X135" s="74"/>
      <c r="Y135" s="179"/>
      <c r="Z135" s="61"/>
      <c r="AA135" s="61"/>
      <c r="AB135" s="75"/>
      <c r="AC135" s="179"/>
      <c r="AD135" s="61"/>
      <c r="AE135" s="61"/>
      <c r="AF135" s="61"/>
      <c r="AG135" s="179"/>
      <c r="AH135" s="61"/>
      <c r="AI135" s="61"/>
      <c r="AJ135" s="61"/>
      <c r="AK135" s="179"/>
      <c r="AL135" s="61"/>
      <c r="AP135" s="228" t="s">
        <v>3</v>
      </c>
      <c r="AQ135" s="230"/>
      <c r="AR135" s="9" t="s">
        <v>15</v>
      </c>
      <c r="AS135" s="9" t="s">
        <v>0</v>
      </c>
      <c r="AT135" s="9" t="s">
        <v>16</v>
      </c>
      <c r="AU135" s="9" t="s">
        <v>17</v>
      </c>
    </row>
    <row r="136" spans="2:48" ht="18" customHeight="1" x14ac:dyDescent="0.25">
      <c r="B136" s="10">
        <v>1</v>
      </c>
      <c r="C136" s="171" t="str">
        <f>IF('11F GRP'!G5&gt;=3,'11F GRP'!J10,IF('11F GRP'!G5=2,IF('11F GRP'!H8=3,'11F GRP'!J10,""),IF('11F GRP'!G5=1,"","")))</f>
        <v>CECÍLIA GARAVELLO DE ARAÚJO</v>
      </c>
      <c r="D136" s="234">
        <v>2</v>
      </c>
      <c r="E136" s="51">
        <f>IF(D136&lt;&gt;"",D136,"")</f>
        <v>2</v>
      </c>
      <c r="F136" s="51" t="str">
        <f>IF(D136&lt;&gt;"",IF(C136="","",C136),"")</f>
        <v>CECÍLIA GARAVELLO DE ARAÚJO</v>
      </c>
      <c r="G136" s="176">
        <f>IF(E136&lt;&gt;"",IF(E138&lt;&gt;"",SMALL(E136:E138,1),""),"")</f>
        <v>0</v>
      </c>
      <c r="H136" s="11"/>
      <c r="I136" s="11"/>
      <c r="J136" s="11"/>
      <c r="K136" s="166"/>
      <c r="L136" s="11"/>
      <c r="M136" s="12"/>
      <c r="N136" s="12"/>
      <c r="O136" s="180"/>
      <c r="P136" s="12"/>
      <c r="Q136" s="8"/>
      <c r="R136" s="182"/>
      <c r="S136" s="8"/>
      <c r="T136" s="8"/>
      <c r="U136" s="8"/>
      <c r="V136" s="182"/>
      <c r="W136" s="8"/>
      <c r="X136" s="62"/>
      <c r="Y136" s="182"/>
      <c r="Z136" s="8"/>
      <c r="AA136" s="8"/>
      <c r="AB136" s="11"/>
      <c r="AC136" s="182"/>
      <c r="AD136" s="8"/>
      <c r="AE136" s="8"/>
      <c r="AF136" s="8"/>
      <c r="AG136" s="181">
        <f>IF(AJ136&lt;&gt;"",AJ136,"")</f>
        <v>2</v>
      </c>
      <c r="AH136" s="78" t="str">
        <f>IF(AJ136&lt;&gt;"",IF(AK136="","",AK136),"")</f>
        <v>LAURA SIMOYAMA BLASSIOLI ARCANJO</v>
      </c>
      <c r="AI136" s="51">
        <f>IF(AG136&lt;&gt;"",IF(AG138&lt;&gt;"",SMALL(AG136:AG138,1),""),"")</f>
        <v>0</v>
      </c>
      <c r="AJ136" s="234">
        <v>2</v>
      </c>
      <c r="AK136" s="171" t="str">
        <f>IF('11F GRP'!G5&gt;=3,'11F GRP'!J49,IF('11F GRP'!G5=2,"",IF('11F GRP'!G5=1,"","")))</f>
        <v>LAURA SIMOYAMA BLASSIOLI ARCANJO</v>
      </c>
      <c r="AL136" s="63">
        <v>3</v>
      </c>
      <c r="AP136" s="13">
        <f>IF(AR136&lt;&gt;"",1,"")</f>
        <v>1</v>
      </c>
      <c r="AQ136" s="14" t="str">
        <f>IF(AP136&lt;&gt;"","LUGAR","")</f>
        <v>LUGAR</v>
      </c>
      <c r="AR136" s="15" t="str">
        <f>IF(S164&lt;&gt;"",IF(U164&lt;&gt;"",IF(S164=U164,"",IF(S164&gt;U164,R164,V164)),""),"")</f>
        <v xml:space="preserve">GIOVANA MORAES </v>
      </c>
      <c r="AS136" s="15" t="str">
        <f>IFERROR(IF(AR136="","",VLOOKUP(AR136,LISTAS!$F$5:$G$1004,2,0)),"0")</f>
        <v>ESCOLA INTERAÇÃO</v>
      </c>
      <c r="AT136" s="15">
        <f>IF(AP136="","",IF(AP136=1,100,IF(AP136=2,80,IF(AP136=3,70,IF(AP136=4,50,IF(AP136=5,45,IF(AP136=6,40,IF(AP136=7,35,IF(AP136=8,30,IF(AP136=9,28,IF(AP136=10,28,IF(AP136=11,28,IF(AP136=12,28,IF(AP136=13,28,IF(AP136=14,28,IF(AP136=15,28,IF(AP136=16,28,IF(AP136&gt;16,"",""))))))))))))))))))</f>
        <v>100</v>
      </c>
      <c r="AU136" s="15">
        <f>IF(AP136="","",IF($AS$5="NÃO","",IF(AP136=1,100,IF(AP136=2,80,IF(AP136=3,70,IF(AP136=4,50,IF(AP136=5,45,IF(AP136=6,40,IF(AP136=7,35,IF(AP136=8,30,IF(AP136=9,28,IF(AP136=10,28,IF(AP136=11,28,IF(AP136=12,28,IF(AP136=13,28,IF(AP136=14,28,IF(AP136=15,28,IF(AP136=16,28,IF(AP136&gt;16,"","")))))))))))))))))))</f>
        <v>100</v>
      </c>
    </row>
    <row r="137" spans="2:48" ht="18" customHeight="1" thickBot="1" x14ac:dyDescent="0.3">
      <c r="B137" s="10"/>
      <c r="C137" s="172" t="str">
        <f>IFERROR(IF(C136="","",VLOOKUP(C136,LISTAS!$F$5:$G$1004,2,0)),"0")</f>
        <v>COLÉGIO ARBOS - UNIDADE SANTO ANDRÉ</v>
      </c>
      <c r="D137" s="235"/>
      <c r="E137" s="51"/>
      <c r="F137" s="51"/>
      <c r="G137" s="176"/>
      <c r="H137" s="11"/>
      <c r="I137" s="11"/>
      <c r="J137" s="11"/>
      <c r="K137" s="166"/>
      <c r="L137" s="11"/>
      <c r="M137" s="12"/>
      <c r="N137" s="12"/>
      <c r="O137" s="180"/>
      <c r="P137" s="12"/>
      <c r="Q137" s="8"/>
      <c r="R137" s="182"/>
      <c r="S137" s="8"/>
      <c r="T137" s="8"/>
      <c r="U137" s="8"/>
      <c r="V137" s="182"/>
      <c r="W137" s="8"/>
      <c r="X137" s="62"/>
      <c r="Y137" s="182"/>
      <c r="Z137" s="8"/>
      <c r="AA137" s="8"/>
      <c r="AB137" s="11"/>
      <c r="AC137" s="182"/>
      <c r="AD137" s="8"/>
      <c r="AE137" s="8"/>
      <c r="AF137" s="8"/>
      <c r="AG137" s="181"/>
      <c r="AH137" s="78"/>
      <c r="AI137" s="51"/>
      <c r="AJ137" s="235"/>
      <c r="AK137" s="172" t="str">
        <f>IFERROR(IF(AK136="","",VLOOKUP(AK136,LISTAS!$F$5:$G$1004,2,0)),"0")</f>
        <v>COLÉGIO ARBOS - UNIDADE SANTO ANDRÉ</v>
      </c>
      <c r="AL137" s="63"/>
      <c r="AP137" s="13">
        <f>IF(AR137&lt;&gt;"",1+COUNTIF(AP136,"1"),"")</f>
        <v>2</v>
      </c>
      <c r="AQ137" s="14" t="str">
        <f t="shared" ref="AQ137:AQ167" si="6">IF(AP137&lt;&gt;"","LUGAR","")</f>
        <v>LUGAR</v>
      </c>
      <c r="AR137" s="15" t="str">
        <f>IF(S164&lt;&gt;"",IF(U164&lt;&gt;"",IF(S164=U164,"",IF(S164&lt;U164,R164,V164)),""),"")</f>
        <v>SOFIA SOUZA CAPANEMA</v>
      </c>
      <c r="AS137" s="15" t="str">
        <f>IFERROR(IF(AR137="","",VLOOKUP(AR137,LISTAS!$F$5:$G$1004,2,0)),"0")</f>
        <v>IEBURIX -SBC</v>
      </c>
      <c r="AT137" s="15">
        <f t="shared" ref="AT137:AT166" si="7">IF(AP137="","",IF(AP137=1,100,IF(AP137=2,80,IF(AP137=3,70,IF(AP137=4,50,IF(AP137=5,45,IF(AP137=6,40,IF(AP137=7,35,IF(AP137=8,30,IF(AP137=9,28,IF(AP137=10,28,IF(AP137=11,28,IF(AP137=12,28,IF(AP137=13,28,IF(AP137=14,28,IF(AP137=15,28,IF(AP137=16,28,IF(AP137&gt;16,"",""))))))))))))))))))</f>
        <v>80</v>
      </c>
      <c r="AU137" s="15">
        <f t="shared" ref="AU137:AU166" si="8">IF(AP137="","",IF($AS$5="NÃO","",IF(AP137=1,100,IF(AP137=2,80,IF(AP137=3,70,IF(AP137=4,50,IF(AP137=5,45,IF(AP137=6,40,IF(AP137=7,35,IF(AP137=8,30,IF(AP137=9,28,IF(AP137=10,28,IF(AP137=11,28,IF(AP137=12,28,IF(AP137=13,28,IF(AP137=14,28,IF(AP137=15,28,IF(AP137=16,28,IF(AP137&gt;16,"","")))))))))))))))))))</f>
        <v>80</v>
      </c>
    </row>
    <row r="138" spans="2:48" ht="18" customHeight="1" x14ac:dyDescent="0.25">
      <c r="B138" s="16">
        <v>32</v>
      </c>
      <c r="C138" s="171" t="str">
        <f>IF('11F GRP'!G5&gt;=3,'11F GRP'!J426,IF('11F GRP'!G5=2,"",IF('11F GRP'!G5=1,"","")))</f>
        <v/>
      </c>
      <c r="D138" s="234">
        <v>0</v>
      </c>
      <c r="E138" s="52">
        <f>IF(D138&lt;&gt;"",D138,"")</f>
        <v>0</v>
      </c>
      <c r="F138" s="51" t="str">
        <f>IF(D138&lt;&gt;"",IF(C138="","",C138),"")</f>
        <v/>
      </c>
      <c r="G138" s="176" t="str">
        <f>VLOOKUP(G136,E136:F138,2,0)</f>
        <v/>
      </c>
      <c r="H138" s="11"/>
      <c r="I138" s="11"/>
      <c r="J138" s="11"/>
      <c r="K138" s="166"/>
      <c r="L138" s="11"/>
      <c r="M138" s="12"/>
      <c r="N138" s="12"/>
      <c r="O138" s="180"/>
      <c r="P138" s="12"/>
      <c r="Q138" s="8"/>
      <c r="R138" s="182"/>
      <c r="S138" s="8"/>
      <c r="T138" s="8"/>
      <c r="U138" s="8"/>
      <c r="V138" s="182"/>
      <c r="W138" s="8"/>
      <c r="X138" s="62"/>
      <c r="Y138" s="182"/>
      <c r="Z138" s="8"/>
      <c r="AA138" s="8"/>
      <c r="AB138" s="11"/>
      <c r="AC138" s="182"/>
      <c r="AD138" s="8"/>
      <c r="AE138" s="8"/>
      <c r="AF138" s="8"/>
      <c r="AG138" s="181">
        <f>IF(AJ138&lt;&gt;"",AJ138,"")</f>
        <v>0</v>
      </c>
      <c r="AH138" s="78" t="str">
        <f>IF(AJ138&lt;&gt;"",IF(AK138="","",AK138),"")</f>
        <v/>
      </c>
      <c r="AI138" s="55" t="str">
        <f>VLOOKUP(AI136,AG136:AH138,2,0)</f>
        <v/>
      </c>
      <c r="AJ138" s="234">
        <v>0</v>
      </c>
      <c r="AK138" s="171" t="str">
        <f>IF('11F GRP'!G5&gt;=3,'11F GRP'!J400,IF('11F GRP'!G5=2,"",IF('11F GRP'!G5=1,"","")))</f>
        <v/>
      </c>
      <c r="AL138" s="11">
        <v>30</v>
      </c>
      <c r="AP138" s="13">
        <f>IF(AR138&lt;&gt;"",1+COUNTIF(AP136:AP137,"1")+COUNTIF(AP136:AP137,"2"),"")</f>
        <v>3</v>
      </c>
      <c r="AQ138" s="14" t="str">
        <f t="shared" si="6"/>
        <v>LUGAR</v>
      </c>
      <c r="AR138" s="21" t="str">
        <f>IF(AR136&lt;&gt;"",IF(O163=AR136,O165,IF(O165=AR136,O163,IF(Y163=AR136,Y165,IF(Y165=AR136,Y163)))),"")</f>
        <v>CECÍLIA GARAVELLO DE ARAÚJO</v>
      </c>
      <c r="AS138" s="15" t="str">
        <f>IFERROR(IF(AR138="","",VLOOKUP(AR138,LISTAS!$F$5:$G$1004,2,0)),"0")</f>
        <v>COLÉGIO ARBOS - UNIDADE SANTO ANDRÉ</v>
      </c>
      <c r="AT138" s="15">
        <f t="shared" si="7"/>
        <v>70</v>
      </c>
      <c r="AU138" s="15">
        <f t="shared" si="8"/>
        <v>70</v>
      </c>
    </row>
    <row r="139" spans="2:48" ht="18" customHeight="1" thickBot="1" x14ac:dyDescent="0.3">
      <c r="B139" s="16"/>
      <c r="C139" s="172" t="str">
        <f>IFERROR(IF(C138="","",VLOOKUP(C138,LISTAS!$F$5:$G$1004,2,0)),"0")</f>
        <v/>
      </c>
      <c r="D139" s="235"/>
      <c r="E139" s="128"/>
      <c r="F139" s="51"/>
      <c r="G139" s="176"/>
      <c r="H139" s="11"/>
      <c r="I139" s="11"/>
      <c r="J139" s="11"/>
      <c r="K139" s="166"/>
      <c r="L139" s="11"/>
      <c r="M139" s="12"/>
      <c r="N139" s="12"/>
      <c r="O139" s="180"/>
      <c r="P139" s="12"/>
      <c r="Q139" s="8"/>
      <c r="R139" s="182"/>
      <c r="S139" s="8"/>
      <c r="T139" s="8"/>
      <c r="U139" s="8"/>
      <c r="V139" s="182"/>
      <c r="W139" s="8"/>
      <c r="X139" s="62"/>
      <c r="Y139" s="182"/>
      <c r="Z139" s="8"/>
      <c r="AA139" s="8"/>
      <c r="AB139" s="11"/>
      <c r="AC139" s="182"/>
      <c r="AD139" s="8"/>
      <c r="AE139" s="8"/>
      <c r="AF139" s="8"/>
      <c r="AG139" s="181"/>
      <c r="AH139" s="78"/>
      <c r="AI139" s="123"/>
      <c r="AJ139" s="235"/>
      <c r="AK139" s="172" t="str">
        <f>IFERROR(IF(AK138="","",VLOOKUP(AK138,LISTAS!$F$5:$G$1004,2,0)),"0")</f>
        <v/>
      </c>
      <c r="AL139" s="11"/>
      <c r="AP139" s="13">
        <f>IF(AR139&lt;&gt;"",1+COUNTIF(AP136:AP138,"1")+COUNTIF(AP136:AP138,"2")+COUNTIF(AP136:AP138,"3"),"")</f>
        <v>4</v>
      </c>
      <c r="AQ139" s="14" t="str">
        <f t="shared" si="6"/>
        <v>LUGAR</v>
      </c>
      <c r="AR139" s="21" t="str">
        <f>IF(AR137&lt;&gt;"",IF(O163=AR137,O165,IF(O165=AR137,O163,IF(Y163=AR137,Y165,IF(Y165=AR137,Y163)))),"")</f>
        <v>VIVIAN MATSUMOTO</v>
      </c>
      <c r="AS139" s="15" t="str">
        <f>IFERROR(IF(AR139="","",VLOOKUP(AR139,LISTAS!$F$5:$G$1004,2,0)),"0")</f>
        <v>COLÉGIO ARBOS - UNIDADE SANTO ANDRÉ</v>
      </c>
      <c r="AT139" s="15">
        <f t="shared" si="7"/>
        <v>50</v>
      </c>
      <c r="AU139" s="15">
        <f t="shared" si="8"/>
        <v>50</v>
      </c>
    </row>
    <row r="140" spans="2:48" ht="18" customHeight="1" x14ac:dyDescent="0.25">
      <c r="B140" s="16"/>
      <c r="C140" s="166"/>
      <c r="D140" s="11"/>
      <c r="E140" s="11"/>
      <c r="F140" s="17"/>
      <c r="G140" s="171" t="str">
        <f>IF(D136&lt;&gt;"",IF(D138&lt;&gt;"",IF(D136=D138,"",IF(D136&gt;D138,C136,C138)),""),"")</f>
        <v>CECÍLIA GARAVELLO DE ARAÚJO</v>
      </c>
      <c r="H140" s="234">
        <v>2</v>
      </c>
      <c r="I140" s="51">
        <f>IF(H140&lt;&gt;"",H140,"")</f>
        <v>2</v>
      </c>
      <c r="J140" s="51" t="str">
        <f>IF(H140&lt;&gt;"",IF(G140="","",G140),"")</f>
        <v>CECÍLIA GARAVELLO DE ARAÚJO</v>
      </c>
      <c r="K140" s="176">
        <f>IF(I140&lt;&gt;"",IF(I142&lt;&gt;"",SMALL(I140:J142,1),""),"")</f>
        <v>0</v>
      </c>
      <c r="L140" s="51"/>
      <c r="M140" s="11"/>
      <c r="N140" s="11"/>
      <c r="O140" s="166"/>
      <c r="P140" s="11"/>
      <c r="Q140" s="8"/>
      <c r="R140" s="182"/>
      <c r="S140" s="8"/>
      <c r="T140" s="8"/>
      <c r="U140" s="8"/>
      <c r="V140" s="182"/>
      <c r="W140" s="8"/>
      <c r="X140" s="62"/>
      <c r="Y140" s="182"/>
      <c r="Z140" s="8"/>
      <c r="AA140" s="8"/>
      <c r="AB140" s="11"/>
      <c r="AC140" s="182"/>
      <c r="AD140" s="8"/>
      <c r="AE140" s="67"/>
      <c r="AF140" s="234">
        <v>2</v>
      </c>
      <c r="AG140" s="171" t="str">
        <f>IF(AJ136&lt;&gt;"",IF(AJ138&lt;&gt;"",IF(AJ136=AJ138,"",IF(AJ136&gt;AJ138,AK136,AK138)),""),"")</f>
        <v>LAURA SIMOYAMA BLASSIOLI ARCANJO</v>
      </c>
      <c r="AH140" s="65"/>
      <c r="AI140" s="8"/>
      <c r="AJ140" s="11"/>
      <c r="AK140" s="166"/>
      <c r="AL140" s="11"/>
      <c r="AP140" s="13">
        <f>IF(AR140&lt;&gt;"",1+COUNTIF(AP136:AP139,"1")+COUNTIF(AP136:AP139,"2")+COUNTIF(AP136:AP139,"3")+COUNTIF(AP136:AP139,"4"),"")</f>
        <v>5</v>
      </c>
      <c r="AQ140" s="14" t="str">
        <f t="shared" si="6"/>
        <v>LUGAR</v>
      </c>
      <c r="AR140" s="21" t="str">
        <f>IF(AR136&lt;&gt;"",IF(K148=AR136,K150,IF(K150=AR136,K148,IF(K178=AR136,K180,IF(K180=AR136,K178,IF(AC148=AR136,AC150,IF(AC150=AR136,AC148,IF(AC178=AR136,AC180,IF(AC180=AR136,AC178)))))))),"")</f>
        <v>FELIPA DOS ANJOS GENTIL</v>
      </c>
      <c r="AS140" s="15" t="str">
        <f>IFERROR(IF(AR140="","",VLOOKUP(AR140,LISTAS!$F$5:$G$1004,2,0)),"0")</f>
        <v>IEBURIX -SBC</v>
      </c>
      <c r="AT140" s="15">
        <f t="shared" si="7"/>
        <v>45</v>
      </c>
      <c r="AU140" s="15">
        <f t="shared" si="8"/>
        <v>45</v>
      </c>
    </row>
    <row r="141" spans="2:48" ht="18" customHeight="1" thickBot="1" x14ac:dyDescent="0.3">
      <c r="B141" s="16"/>
      <c r="C141" s="166"/>
      <c r="D141" s="11"/>
      <c r="E141" s="11"/>
      <c r="F141" s="17"/>
      <c r="G141" s="172" t="str">
        <f>IFERROR(IF(G140="","",VLOOKUP(G140,LISTAS!$F$5:$G$1004,2,0)),"0")</f>
        <v>COLÉGIO ARBOS - UNIDADE SANTO ANDRÉ</v>
      </c>
      <c r="H141" s="235"/>
      <c r="I141" s="51"/>
      <c r="J141" s="51"/>
      <c r="K141" s="176"/>
      <c r="L141" s="51"/>
      <c r="M141" s="11"/>
      <c r="N141" s="11"/>
      <c r="O141" s="166"/>
      <c r="P141" s="11"/>
      <c r="Q141" s="8"/>
      <c r="R141" s="182"/>
      <c r="S141" s="8"/>
      <c r="T141" s="8"/>
      <c r="U141" s="8"/>
      <c r="V141" s="182"/>
      <c r="W141" s="8"/>
      <c r="X141" s="62"/>
      <c r="Y141" s="182"/>
      <c r="Z141" s="8"/>
      <c r="AA141" s="8"/>
      <c r="AB141" s="11"/>
      <c r="AC141" s="182"/>
      <c r="AD141" s="8"/>
      <c r="AE141" s="67"/>
      <c r="AF141" s="235"/>
      <c r="AG141" s="172" t="str">
        <f>IFERROR(IF(AG140="","",VLOOKUP(AG140,LISTAS!$F$5:$G$1004,2,0)),"0")</f>
        <v>COLÉGIO ARBOS - UNIDADE SANTO ANDRÉ</v>
      </c>
      <c r="AH141" s="65"/>
      <c r="AI141" s="8"/>
      <c r="AJ141" s="11"/>
      <c r="AK141" s="166"/>
      <c r="AL141" s="11"/>
      <c r="AP141" s="13">
        <f>IF(AR141&lt;&gt;"",1+COUNTIF(AP136:AP140,"1")+COUNTIF(AP136:AP140,"2")+COUNTIF(AP136:AP140,"3")+COUNTIF(AP136:AP140,"4")+COUNTIF(AP136:AP140,"5"),"")</f>
        <v>6</v>
      </c>
      <c r="AQ141" s="14" t="str">
        <f t="shared" si="6"/>
        <v>LUGAR</v>
      </c>
      <c r="AR141" s="21" t="str">
        <f>IF(AR137&lt;&gt;"",IF(K148=AR137,K150,IF(K150=AR137,K148,IF(K178=AR137,K180,IF(K180=AR137,K178,IF(AC148=AR137,AC150,IF(AC150=AR137,AC148,IF(AC178=AR137,AC180,IF(AC180=AR137,AC178)))))))),"")</f>
        <v>LAURA SIMOYAMA BLASSIOLI ARCANJO</v>
      </c>
      <c r="AS141" s="15" t="str">
        <f>IFERROR(IF(AR141="","",VLOOKUP(AR141,LISTAS!$F$5:$G$1004,2,0)),"0")</f>
        <v>COLÉGIO ARBOS - UNIDADE SANTO ANDRÉ</v>
      </c>
      <c r="AT141" s="15">
        <f t="shared" si="7"/>
        <v>40</v>
      </c>
      <c r="AU141" s="15">
        <f t="shared" si="8"/>
        <v>40</v>
      </c>
    </row>
    <row r="142" spans="2:48" ht="18" customHeight="1" x14ac:dyDescent="0.25">
      <c r="B142" s="16"/>
      <c r="C142" s="166"/>
      <c r="D142" s="11"/>
      <c r="E142" s="18"/>
      <c r="F142" s="19"/>
      <c r="G142" s="171" t="str">
        <f>IF(D144&lt;&gt;"",IF(D146&lt;&gt;"",IF(D144=D146,"",IF(D144&gt;D146,C144,C146)),""),"")</f>
        <v/>
      </c>
      <c r="H142" s="234">
        <v>0</v>
      </c>
      <c r="I142" s="52">
        <f>IF(H142&lt;&gt;"",H142,"")</f>
        <v>0</v>
      </c>
      <c r="J142" s="51" t="str">
        <f>IF(H142&lt;&gt;"",IF(G142="","",G142),"")</f>
        <v/>
      </c>
      <c r="K142" s="176" t="str">
        <f>VLOOKUP(K140,I140:J142,2,0)</f>
        <v/>
      </c>
      <c r="L142" s="51"/>
      <c r="M142" s="11"/>
      <c r="N142" s="11"/>
      <c r="O142" s="166"/>
      <c r="P142" s="11"/>
      <c r="Q142" s="8"/>
      <c r="R142" s="182"/>
      <c r="S142" s="8"/>
      <c r="T142" s="8"/>
      <c r="U142" s="8"/>
      <c r="V142" s="182"/>
      <c r="W142" s="8"/>
      <c r="X142" s="62"/>
      <c r="Y142" s="182"/>
      <c r="Z142" s="8"/>
      <c r="AA142" s="8"/>
      <c r="AB142" s="11"/>
      <c r="AC142" s="182"/>
      <c r="AD142" s="65"/>
      <c r="AE142" s="68"/>
      <c r="AF142" s="234">
        <v>0</v>
      </c>
      <c r="AG142" s="171" t="str">
        <f>IF(AJ144&lt;&gt;"",IF(AJ146&lt;&gt;"",IF(AJ144=AJ146,"",IF(AJ144&gt;AJ146,AK144,AK146)),""),"")</f>
        <v/>
      </c>
      <c r="AH142" s="66"/>
      <c r="AI142" s="8"/>
      <c r="AJ142" s="11"/>
      <c r="AK142" s="166"/>
      <c r="AL142" s="11"/>
      <c r="AN142" s="2"/>
      <c r="AO142" s="2"/>
      <c r="AP142" s="13">
        <f>IF(AR142&lt;&gt;"",1+COUNTIF(AP136:AP141,"1")+COUNTIF(AP136:AP141,"2")+COUNTIF(AP136:AP141,"3")+COUNTIF(AP136:AP141,"4")+COUNTIF(AP136:AP141,"5")+COUNTIF(AP136:AP141,"6"),"")</f>
        <v>7</v>
      </c>
      <c r="AQ142" s="14" t="str">
        <f t="shared" si="6"/>
        <v>LUGAR</v>
      </c>
      <c r="AR142" s="21" t="str">
        <f>IF(AR138&lt;&gt;"",IF(K148=AR138,K150,IF(K150=AR138,K148,IF(K178=AR138,K180,IF(K180=AR138,K178,IF(AC148=AR138,AC150,IF(AC150=AR138,AC148,IF(AC178=AR138,AC180,IF(AC180=AR138,AC178)))))))),"")</f>
        <v>SURIE DE PAULA NAVARRO</v>
      </c>
      <c r="AS142" s="15" t="str">
        <f>IFERROR(IF(AR142="","",VLOOKUP(AR142,LISTAS!$F$5:$G$1004,2,0)),"0")</f>
        <v>IEBURIX -SBC</v>
      </c>
      <c r="AT142" s="15">
        <f t="shared" si="7"/>
        <v>35</v>
      </c>
      <c r="AU142" s="15">
        <f t="shared" si="8"/>
        <v>35</v>
      </c>
      <c r="AV142" s="2"/>
    </row>
    <row r="143" spans="2:48" ht="18" customHeight="1" thickBot="1" x14ac:dyDescent="0.3">
      <c r="B143" s="16"/>
      <c r="C143" s="166"/>
      <c r="D143" s="11"/>
      <c r="E143" s="18"/>
      <c r="F143" s="11"/>
      <c r="G143" s="172" t="str">
        <f>IFERROR(IF(G142="","",VLOOKUP(G142,LISTAS!$F$5:$G$1004,2,0)),"0")</f>
        <v/>
      </c>
      <c r="H143" s="235"/>
      <c r="I143" s="54"/>
      <c r="J143" s="51"/>
      <c r="K143" s="176"/>
      <c r="L143" s="51"/>
      <c r="M143" s="11"/>
      <c r="N143" s="11"/>
      <c r="O143" s="166"/>
      <c r="P143" s="11"/>
      <c r="Q143" s="8"/>
      <c r="R143" s="182"/>
      <c r="S143" s="8"/>
      <c r="T143" s="8"/>
      <c r="U143" s="8"/>
      <c r="V143" s="182"/>
      <c r="W143" s="8"/>
      <c r="X143" s="62"/>
      <c r="Y143" s="182"/>
      <c r="Z143" s="8"/>
      <c r="AA143" s="8"/>
      <c r="AB143" s="11"/>
      <c r="AC143" s="182"/>
      <c r="AD143" s="65"/>
      <c r="AE143" s="8"/>
      <c r="AF143" s="235"/>
      <c r="AG143" s="172" t="str">
        <f>IFERROR(IF(AG142="","",VLOOKUP(AG142,LISTAS!$F$5:$G$1004,2,0)),"0")</f>
        <v/>
      </c>
      <c r="AH143" s="8"/>
      <c r="AI143" s="69"/>
      <c r="AJ143" s="11"/>
      <c r="AK143" s="166"/>
      <c r="AL143" s="11"/>
      <c r="AM143" s="2"/>
      <c r="AN143" s="2"/>
      <c r="AO143" s="2"/>
      <c r="AP143" s="13">
        <f>IF(AR143&lt;&gt;"",1+COUNTIF(AP136:AP142,"1")+COUNTIF(AP136:AP142,"2")+COUNTIF(AP136:AP142,"3")+COUNTIF(AP136:AP142,"4")+COUNTIF(AP136:AP142,"5")+COUNTIF(AP136:AP142,"6")+COUNTIF(AP136:AP142,"7"),"")</f>
        <v>8</v>
      </c>
      <c r="AQ143" s="14" t="str">
        <f t="shared" si="6"/>
        <v>LUGAR</v>
      </c>
      <c r="AR143" s="21" t="str">
        <f>IF(AR139&lt;&gt;"",IF(K148=AR139,K150,IF(K150=AR139,K148,IF(K178=AR139,K180,IF(K180=AR139,K178,IF(AC148=AR139,AC150,IF(AC150=AR139,AC148,IF(AC178=AR139,AC180,IF(AC180=AR139,AC178)))))))),"")</f>
        <v>HELOÍSA AKEMI MATSUDA</v>
      </c>
      <c r="AS143" s="15" t="str">
        <f>IFERROR(IF(AR143="","",VLOOKUP(AR143,LISTAS!$F$5:$G$1004,2,0)),"0")</f>
        <v>COLÉGIO SINGULAR SÃO CAETANO</v>
      </c>
      <c r="AT143" s="15">
        <f t="shared" si="7"/>
        <v>30</v>
      </c>
      <c r="AU143" s="15">
        <f t="shared" si="8"/>
        <v>30</v>
      </c>
      <c r="AV143" s="2"/>
    </row>
    <row r="144" spans="2:48" ht="18" customHeight="1" x14ac:dyDescent="0.25">
      <c r="B144" s="16">
        <v>17</v>
      </c>
      <c r="C144" s="171" t="str">
        <f>IF('11F GRP'!G5&gt;=3,'11F GRP'!J231,IF('11F GRP'!G5=2,"",IF('11F GRP'!G5=1,"","")))</f>
        <v/>
      </c>
      <c r="D144" s="234">
        <v>0</v>
      </c>
      <c r="E144" s="56">
        <f>IF(D144&lt;&gt;"",D144,"")</f>
        <v>0</v>
      </c>
      <c r="F144" s="51" t="str">
        <f>IF(D144&lt;&gt;"",IF(C144="","",C144),"")</f>
        <v/>
      </c>
      <c r="G144" s="176">
        <f>IF(E144&lt;&gt;"",IF(E146&lt;&gt;"",SMALL(E144:E146,1),""),"")</f>
        <v>0</v>
      </c>
      <c r="H144" s="51"/>
      <c r="I144" s="18"/>
      <c r="J144" s="11"/>
      <c r="K144" s="166"/>
      <c r="L144" s="11"/>
      <c r="M144" s="11"/>
      <c r="N144" s="11"/>
      <c r="O144" s="166"/>
      <c r="P144" s="11"/>
      <c r="Q144" s="8"/>
      <c r="R144" s="182"/>
      <c r="S144" s="8"/>
      <c r="T144" s="8"/>
      <c r="U144" s="8"/>
      <c r="V144" s="182"/>
      <c r="W144" s="8"/>
      <c r="X144" s="62"/>
      <c r="Y144" s="182"/>
      <c r="Z144" s="8"/>
      <c r="AA144" s="8"/>
      <c r="AB144" s="11"/>
      <c r="AC144" s="182"/>
      <c r="AD144" s="65"/>
      <c r="AE144" s="8"/>
      <c r="AF144" s="8"/>
      <c r="AG144" s="181">
        <f>IF(AJ144&lt;&gt;"",AJ144,"")</f>
        <v>0</v>
      </c>
      <c r="AH144" s="78" t="str">
        <f>IF(AJ144&lt;&gt;"",IF(AK144="","",AK144),"")</f>
        <v/>
      </c>
      <c r="AI144" s="53">
        <f>IF(AG144&lt;&gt;"",IF(AG146&lt;&gt;"",SMALL(AG144:AG146,1),""),"")</f>
        <v>0</v>
      </c>
      <c r="AJ144" s="234">
        <v>0</v>
      </c>
      <c r="AK144" s="171" t="str">
        <f>IF('11F GRP'!G5&gt;=3,'11F GRP'!J192,IF('11F GRP'!G5=2,"",IF('11F GRP'!G5=1,"","")))</f>
        <v/>
      </c>
      <c r="AL144" s="11">
        <v>14</v>
      </c>
      <c r="AM144" s="2"/>
      <c r="AP144" s="13">
        <f>IF(AR144&lt;&gt;"",1+COUNTIF(AP136:AP143,"1")+COUNTIF(AP136:AP143,"2")+COUNTIF(AP136:AP143,"3")+COUNTIF(AP136:AP143,"4")+COUNTIF(AP136:AP143,"5")+COUNTIF(AP136:AP143,"6")+COUNTIF(AP136:AP143,"7")+COUNTIF(AP136:AP143,"8"),"")</f>
        <v>9</v>
      </c>
      <c r="AQ144" s="14" t="str">
        <f t="shared" si="6"/>
        <v>LUGAR</v>
      </c>
      <c r="AR144" s="21" t="str">
        <f>IF(AR136&lt;&gt;"",IF(G140=AR136,G142,IF(G142=AR136,G140,IF(G156=AR136,G158,IF(G158=AR136,G156,IF(AG140=AR136,AG142,IF(AG142=AR136,AG140,IF(AG156=AR136,AG158,IF(AG158=AR136,AG156,IF(G170=AR136,G172,IF(G172=AR136,G170,IF(G186=AR136,G188,IF(G188=AR136,G186,IF(AG170=AR136,AG172,IF(AG172=AR136,AG170,IF(AG186=AR136,AG188,IF(AG188=AR136,AG186)))))))))))))))),"")</f>
        <v>MALUH GUIMARÃES PINHO</v>
      </c>
      <c r="AS144" s="15" t="str">
        <f>IFERROR(IF(AR144="","",VLOOKUP(AR144,LISTAS!$F$5:$G$1004,2,0)),"0")</f>
        <v>COLÉGIO ENGENHEIRO SALVADOR ARENA</v>
      </c>
      <c r="AT144" s="15">
        <f t="shared" si="7"/>
        <v>28</v>
      </c>
      <c r="AU144" s="15">
        <f t="shared" si="8"/>
        <v>28</v>
      </c>
    </row>
    <row r="145" spans="2:47" ht="18" customHeight="1" thickBot="1" x14ac:dyDescent="0.3">
      <c r="B145" s="16"/>
      <c r="C145" s="172" t="str">
        <f>IFERROR(IF(C144="","",VLOOKUP(C144,LISTAS!$F$5:$G$1004,2,0)),"0")</f>
        <v/>
      </c>
      <c r="D145" s="235"/>
      <c r="E145" s="57"/>
      <c r="F145" s="51"/>
      <c r="G145" s="176"/>
      <c r="H145" s="51"/>
      <c r="I145" s="18"/>
      <c r="J145" s="11"/>
      <c r="K145" s="166"/>
      <c r="L145" s="11"/>
      <c r="M145" s="11"/>
      <c r="N145" s="11"/>
      <c r="O145" s="166"/>
      <c r="P145" s="11"/>
      <c r="Q145" s="8"/>
      <c r="R145" s="182"/>
      <c r="S145" s="8"/>
      <c r="T145" s="8"/>
      <c r="U145" s="8"/>
      <c r="V145" s="182"/>
      <c r="W145" s="8"/>
      <c r="X145" s="62"/>
      <c r="Y145" s="182"/>
      <c r="Z145" s="8"/>
      <c r="AA145" s="8"/>
      <c r="AB145" s="11"/>
      <c r="AC145" s="182"/>
      <c r="AD145" s="65"/>
      <c r="AE145" s="8"/>
      <c r="AF145" s="8"/>
      <c r="AG145" s="181"/>
      <c r="AH145" s="78"/>
      <c r="AI145" s="124"/>
      <c r="AJ145" s="235"/>
      <c r="AK145" s="172" t="str">
        <f>IFERROR(IF(AK144="","",VLOOKUP(AK144,LISTAS!$F$5:$G$1004,2,0)),"0")</f>
        <v/>
      </c>
      <c r="AL145" s="11"/>
      <c r="AP145" s="13" t="str">
        <f>IF(AR145&lt;&gt;"",1+COUNTIF(AP136:AP144,"1")+COUNTIF(AP136:AP144,"2")+COUNTIF(AP136:AP144,"3")+COUNTIF(AP136:AP144,"4")+COUNTIF(AP136:AP144,"5")+COUNTIF(AP136:AP144,"6")+COUNTIF(AP136:AP144,"7")+COUNTIF(AP136:AP144,"8")+COUNTIF(AP136:AP144,"9"),"")</f>
        <v/>
      </c>
      <c r="AQ145" s="14" t="str">
        <f t="shared" si="6"/>
        <v/>
      </c>
      <c r="AR145" s="21" t="str">
        <f>IF(AR137&lt;&gt;"",IF(G140=AR137,G142,IF(G142=AR137,G140,IF(G156=AR137,G158,IF(G158=AR137,G156,IF(AG140=AR137,AG142,IF(AG142=AR137,AG140,IF(AG156=AR137,AG158,IF(AG158=AR137,AG156,IF(G170=AR137,G172,IF(G172=AR137,G170,IF(G186=AR137,G188,IF(G188=AR137,G186,IF(AG170=AR137,AG172,IF(AG172=AR137,AG170,IF(AG186=AR137,AG188,IF(AG188=AR137,AG186)))))))))))))))),"")</f>
        <v/>
      </c>
      <c r="AS145" s="15" t="str">
        <f>IFERROR(IF(AR145="","",VLOOKUP(AR145,LISTAS!$F$5:$G$1004,2,0)),"0")</f>
        <v/>
      </c>
      <c r="AT145" s="15" t="str">
        <f t="shared" si="7"/>
        <v/>
      </c>
      <c r="AU145" s="15" t="str">
        <f t="shared" si="8"/>
        <v/>
      </c>
    </row>
    <row r="146" spans="2:47" ht="18" customHeight="1" x14ac:dyDescent="0.25">
      <c r="B146" s="16">
        <v>16</v>
      </c>
      <c r="C146" s="171" t="str">
        <f>IF('11F GRP'!G5&gt;=3,'11F GRP'!J218,IF('11F GRP'!G5=2,"",IF('11F GRP'!G5=1,"","")))</f>
        <v/>
      </c>
      <c r="D146" s="234">
        <v>0</v>
      </c>
      <c r="E146" s="57">
        <f>IF(D146&lt;&gt;"",D146,"")</f>
        <v>0</v>
      </c>
      <c r="F146" s="51" t="str">
        <f>IF(D146&lt;&gt;"",IF(C146="","",C146),"")</f>
        <v/>
      </c>
      <c r="G146" s="176" t="str">
        <f>VLOOKUP(G144,E144:F146,2,0)</f>
        <v/>
      </c>
      <c r="H146" s="51"/>
      <c r="I146" s="18"/>
      <c r="J146" s="11"/>
      <c r="K146" s="166"/>
      <c r="L146" s="11"/>
      <c r="M146" s="11"/>
      <c r="N146" s="11"/>
      <c r="O146" s="166"/>
      <c r="P146" s="11"/>
      <c r="Q146" s="8"/>
      <c r="R146" s="182"/>
      <c r="S146" s="8"/>
      <c r="T146" s="8"/>
      <c r="U146" s="8"/>
      <c r="V146" s="182"/>
      <c r="W146" s="8"/>
      <c r="X146" s="62"/>
      <c r="Y146" s="182"/>
      <c r="Z146" s="8"/>
      <c r="AA146" s="8"/>
      <c r="AB146" s="11"/>
      <c r="AC146" s="182"/>
      <c r="AD146" s="65"/>
      <c r="AE146" s="8"/>
      <c r="AF146" s="8"/>
      <c r="AG146" s="181">
        <f>IF(AJ146&lt;&gt;"",AJ146,"")</f>
        <v>0</v>
      </c>
      <c r="AH146" s="78" t="str">
        <f>IF(AJ146&lt;&gt;"",IF(AK146="","",AK146),"")</f>
        <v/>
      </c>
      <c r="AI146" s="76" t="str">
        <f>VLOOKUP(AI144,AG144:AH146,2,0)</f>
        <v/>
      </c>
      <c r="AJ146" s="234">
        <v>0</v>
      </c>
      <c r="AK146" s="171" t="str">
        <f>IF('11F GRP'!G5&gt;=3,'11F GRP'!J257,IF('11F GRP'!G5=2,"",IF('11F GRP'!G5=1,"","")))</f>
        <v/>
      </c>
      <c r="AL146" s="11">
        <v>19</v>
      </c>
      <c r="AP146" s="13" t="str">
        <f>IF(AR146&lt;&gt;"",1+COUNTIF(AP136:AP145,"1")+COUNTIF(AP136:AP145,"2")+COUNTIF(AP136:AP145,"3")+COUNTIF(AP136:AP145,"4")+COUNTIF(AP136:AP145,"5")+COUNTIF(AP136:AP145,"6")+COUNTIF(AP136:AP145,"7")+COUNTIF(AP136:AP145,"8")+COUNTIF(AP136:AP145,"9")+COUNTIF(AP136:AP145,"10"),"")</f>
        <v/>
      </c>
      <c r="AQ146" s="14" t="str">
        <f t="shared" si="6"/>
        <v/>
      </c>
      <c r="AR146" s="21" t="str">
        <f>IF(AR138&lt;&gt;"",IF(G140=AR138,G142,IF(G142=AR138,G140,IF(G156=AR138,G158,IF(G158=AR138,G156,IF(AG140=AR138,AG142,IF(AG142=AR138,AG140,IF(AG156=AR138,AG158,IF(AG158=AR138,AG156,IF(G170=AR138,G172,IF(G172=AR138,G170,IF(G186=AR138,G188,IF(G188=AR138,G186,IF(AG170=AR138,AG172,IF(AG172=AR138,AG170,IF(AG186=AR138,AG188,IF(AG188=AR138,AG186)))))))))))))))),"")</f>
        <v/>
      </c>
      <c r="AS146" s="15" t="str">
        <f>IFERROR(IF(AR146="","",VLOOKUP(AR146,LISTAS!$F$5:$G$1004,2,0)),"0")</f>
        <v/>
      </c>
      <c r="AT146" s="15" t="str">
        <f t="shared" si="7"/>
        <v/>
      </c>
      <c r="AU146" s="15" t="str">
        <f t="shared" si="8"/>
        <v/>
      </c>
    </row>
    <row r="147" spans="2:47" ht="18" customHeight="1" thickBot="1" x14ac:dyDescent="0.3">
      <c r="B147" s="16"/>
      <c r="C147" s="172" t="str">
        <f>IFERROR(IF(C146="","",VLOOKUP(C146,LISTAS!$F$5:$G$1004,2,0)),"0")</f>
        <v/>
      </c>
      <c r="D147" s="235"/>
      <c r="E147" s="51"/>
      <c r="F147" s="51"/>
      <c r="G147" s="176"/>
      <c r="H147" s="51"/>
      <c r="I147" s="18"/>
      <c r="J147" s="11"/>
      <c r="K147" s="166"/>
      <c r="L147" s="11"/>
      <c r="M147" s="51"/>
      <c r="N147" s="51"/>
      <c r="O147" s="176"/>
      <c r="P147" s="11"/>
      <c r="Q147" s="8"/>
      <c r="R147" s="182"/>
      <c r="S147" s="8"/>
      <c r="T147" s="8"/>
      <c r="U147" s="8"/>
      <c r="V147" s="182"/>
      <c r="W147" s="8"/>
      <c r="X147" s="62"/>
      <c r="Y147" s="182"/>
      <c r="Z147" s="8"/>
      <c r="AA147" s="8"/>
      <c r="AB147" s="11"/>
      <c r="AC147" s="182"/>
      <c r="AD147" s="65"/>
      <c r="AE147" s="8"/>
      <c r="AF147" s="8"/>
      <c r="AG147" s="181"/>
      <c r="AH147" s="78"/>
      <c r="AI147" s="51"/>
      <c r="AJ147" s="235"/>
      <c r="AK147" s="172" t="str">
        <f>IFERROR(IF(AK146="","",VLOOKUP(AK146,LISTAS!$F$5:$G$1004,2,0)),"0")</f>
        <v/>
      </c>
      <c r="AL147" s="11"/>
      <c r="AP147" s="13" t="str">
        <f>IF(AR147&lt;&gt;"",1+COUNTIF(AP136:AP146,"1")+COUNTIF(AP136:AP146,"2")+COUNTIF(AP136:AP146,"3")+COUNTIF(AP136:AP146,"4")+COUNTIF(AP136:AP146,"5")+COUNTIF(AP136:AP146,"6")+COUNTIF(AP136:AP146,"7")+COUNTIF(AP136:AP146,"8")+COUNTIF(AP136:AP146,"9")+COUNTIF(AP136:AP146,"10")+COUNTIF(AP136:AP146,"11"),"")</f>
        <v/>
      </c>
      <c r="AQ147" s="14" t="str">
        <f t="shared" si="6"/>
        <v/>
      </c>
      <c r="AR147" s="21" t="str">
        <f>IF(AR139&lt;&gt;"",IF(G140=AR139,G142,IF(G142=AR139,G140,IF(G156=AR139,G158,IF(G158=AR139,G156,IF(AG140=AR139,AG142,IF(AG142=AR139,AG140,IF(AG156=AR139,AG158,IF(AG158=AR139,AG156,IF(G170=AR139,G172,IF(G172=AR139,G170,IF(G186=AR139,G188,IF(G188=AR139,G186,IF(AG170=AR139,AG172,IF(AG172=AR139,AG170,IF(AG186=AR139,AG188,IF(AG188=AR139,AG186)))))))))))))))),"")</f>
        <v/>
      </c>
      <c r="AS147" s="15" t="str">
        <f>IFERROR(IF(AR147="","",VLOOKUP(AR147,LISTAS!$F$5:$G$1004,2,0)),"0")</f>
        <v/>
      </c>
      <c r="AT147" s="15" t="str">
        <f t="shared" si="7"/>
        <v/>
      </c>
      <c r="AU147" s="15" t="str">
        <f t="shared" si="8"/>
        <v/>
      </c>
    </row>
    <row r="148" spans="2:47" ht="18" customHeight="1" x14ac:dyDescent="0.25">
      <c r="B148" s="16"/>
      <c r="C148" s="166"/>
      <c r="D148" s="11"/>
      <c r="E148" s="11"/>
      <c r="F148" s="11"/>
      <c r="G148" s="166"/>
      <c r="H148" s="11"/>
      <c r="I148" s="18"/>
      <c r="J148" s="11"/>
      <c r="K148" s="171" t="str">
        <f>IF(H140&lt;&gt;"",IF(H142&lt;&gt;"",IF(H140=H142,"",IF(H140&gt;H142,G140,G142)),""),"")</f>
        <v>CECÍLIA GARAVELLO DE ARAÚJO</v>
      </c>
      <c r="L148" s="234">
        <v>1</v>
      </c>
      <c r="M148" s="51">
        <f>IF(L148&lt;&gt;"",L148,"")</f>
        <v>1</v>
      </c>
      <c r="N148" s="51" t="str">
        <f>IF(L148&lt;&gt;"",IF(K148="","",K148),"")</f>
        <v>CECÍLIA GARAVELLO DE ARAÚJO</v>
      </c>
      <c r="O148" s="176">
        <f>IF(M148&lt;&gt;"",IF(M150&lt;&gt;"",SMALL(M148:N150,1),""),"")</f>
        <v>0</v>
      </c>
      <c r="P148" s="11"/>
      <c r="Q148" s="8"/>
      <c r="R148" s="202"/>
      <c r="S148" s="202"/>
      <c r="T148" s="202" t="s">
        <v>87</v>
      </c>
      <c r="U148" s="202"/>
      <c r="V148" s="202"/>
      <c r="W148" s="8"/>
      <c r="X148" s="62"/>
      <c r="Y148" s="182"/>
      <c r="Z148" s="8"/>
      <c r="AA148" s="8"/>
      <c r="AB148" s="234">
        <v>0</v>
      </c>
      <c r="AC148" s="171" t="str">
        <f>IF(AF140&lt;&gt;"",IF(AF142&lt;&gt;"",IF(AF140=AF142,"",IF(AF140&gt;AF142,AG140,AG142)),""),"")</f>
        <v>LAURA SIMOYAMA BLASSIOLI ARCANJO</v>
      </c>
      <c r="AD148" s="112"/>
      <c r="AE148" s="8"/>
      <c r="AF148" s="8"/>
      <c r="AG148" s="182"/>
      <c r="AH148" s="8"/>
      <c r="AI148" s="8"/>
      <c r="AJ148" s="11"/>
      <c r="AK148" s="166"/>
      <c r="AL148" s="11"/>
      <c r="AP148" s="13" t="str">
        <f>IF(AR148&lt;&gt;"",1+COUNTIF(AP136:AP147,"1")+COUNTIF(AP136:AP147,"2")+COUNTIF(AP136:AP147,"3")+COUNTIF(AP136:AP147,"4")+COUNTIF(AP136:AP147,"5")+COUNTIF(AP136:AP147,"6")+COUNTIF(AP136:AP147,"7")+COUNTIF(AP136:AP147,"8")+COUNTIF(AP136:AP147,"9")+COUNTIF(AP136:AP147,"10")+COUNTIF(AP136:AP147,"11")+COUNTIF(AP136:AP147,"12"),"")</f>
        <v/>
      </c>
      <c r="AQ148" s="14" t="str">
        <f t="shared" si="6"/>
        <v/>
      </c>
      <c r="AR148" s="21" t="str">
        <f>IF(AR140&lt;&gt;"",IF(G140=AR140,G142,IF(G142=AR140,G140,IF(G156=AR140,G158,IF(G158=AR140,G156,IF(AG140=AR140,AG142,IF(AG142=AR140,AG140,IF(AG156=AR140,AG158,IF(AG158=AR140,AG156,IF(G170=AR140,G172,IF(G172=AR140,G170,IF(G186=AR140,G188,IF(G188=AR140,G186,IF(AG170=AR140,AG172,IF(AG172=AR140,AG170,IF(AG186=AR140,AG188,IF(AG188=AR140,AG186)))))))))))))))),"")</f>
        <v/>
      </c>
      <c r="AS148" s="15" t="str">
        <f>IFERROR(IF(AR148="","",VLOOKUP(AR148,LISTAS!$F$5:$G$1004,2,0)),"0")</f>
        <v/>
      </c>
      <c r="AT148" s="15" t="str">
        <f t="shared" si="7"/>
        <v/>
      </c>
      <c r="AU148" s="15" t="str">
        <f t="shared" si="8"/>
        <v/>
      </c>
    </row>
    <row r="149" spans="2:47" ht="18" customHeight="1" thickBot="1" x14ac:dyDescent="0.3">
      <c r="B149" s="16"/>
      <c r="C149" s="166"/>
      <c r="D149" s="11"/>
      <c r="E149" s="11"/>
      <c r="F149" s="11"/>
      <c r="G149" s="166"/>
      <c r="H149" s="11"/>
      <c r="I149" s="18"/>
      <c r="J149" s="11"/>
      <c r="K149" s="172" t="str">
        <f>IFERROR(IF(K148="","",VLOOKUP(K148,LISTAS!$F$5:$G$1004,2,0)),"0")</f>
        <v>COLÉGIO ARBOS - UNIDADE SANTO ANDRÉ</v>
      </c>
      <c r="L149" s="235"/>
      <c r="M149" s="51"/>
      <c r="N149" s="51"/>
      <c r="O149" s="176"/>
      <c r="P149" s="11"/>
      <c r="Q149" s="8"/>
      <c r="R149" s="202"/>
      <c r="S149" s="202"/>
      <c r="T149" s="202" t="s">
        <v>12</v>
      </c>
      <c r="U149" s="202"/>
      <c r="V149" s="202"/>
      <c r="W149" s="8"/>
      <c r="X149" s="62"/>
      <c r="Y149" s="182"/>
      <c r="Z149" s="8"/>
      <c r="AA149" s="8"/>
      <c r="AB149" s="235"/>
      <c r="AC149" s="172" t="str">
        <f>IFERROR(IF(AC148="","",VLOOKUP(AC148,LISTAS!$F$5:$G$1004,2,0)),"0")</f>
        <v>COLÉGIO ARBOS - UNIDADE SANTO ANDRÉ</v>
      </c>
      <c r="AD149" s="8"/>
      <c r="AE149" s="69"/>
      <c r="AF149" s="8"/>
      <c r="AG149" s="182"/>
      <c r="AH149" s="8"/>
      <c r="AI149" s="8"/>
      <c r="AJ149" s="11"/>
      <c r="AK149" s="166"/>
      <c r="AL149" s="11"/>
      <c r="AP149" s="13" t="str">
        <f>IF(AR149&lt;&gt;"",1+COUNTIF(AP136:AP148,"1")+COUNTIF(AP136:AP148,"2")+COUNTIF(AP136:AP148,"3")+COUNTIF(AP136:AP148,"4")+COUNTIF(AP136:AP148,"5")+COUNTIF(AP136:AP148,"6")+COUNTIF(AP136:AP148,"7")+COUNTIF(AP136:AP148,"8")+COUNTIF(AP136:AP148,"9")+COUNTIF(AP136:AP148,"10")+COUNTIF(AP136:AP148,"11")+COUNTIF(AP136:AP148,"12")+COUNTIF(AP136:AP148,"13"),"")</f>
        <v/>
      </c>
      <c r="AQ149" s="14" t="str">
        <f t="shared" si="6"/>
        <v/>
      </c>
      <c r="AR149" s="21" t="str">
        <f>IF(AR141&lt;&gt;"",IF(G140=AR141,G142,IF(G142=AR141,G140,IF(G156=AR141,G158,IF(G158=AR141,G156,IF(AG140=AR141,AG142,IF(AG142=AR141,AG140,IF(AG156=AR141,AG158,IF(AG158=AR141,AG156,IF(G170=AR141,G172,IF(G172=AR141,G170,IF(G186=AR141,G188,IF(G188=AR141,G186,IF(AG170=AR141,AG172,IF(AG172=AR141,AG170,IF(AG186=AR141,AG188,IF(AG188=AR141,AG186)))))))))))))))),"")</f>
        <v/>
      </c>
      <c r="AS149" s="15" t="str">
        <f>IFERROR(IF(AR149="","",VLOOKUP(AR149,LISTAS!$F$5:$G$1004,2,0)),"0")</f>
        <v/>
      </c>
      <c r="AT149" s="15" t="str">
        <f t="shared" si="7"/>
        <v/>
      </c>
      <c r="AU149" s="15" t="str">
        <f t="shared" si="8"/>
        <v/>
      </c>
    </row>
    <row r="150" spans="2:47" ht="18" customHeight="1" x14ac:dyDescent="0.25">
      <c r="B150" s="16"/>
      <c r="C150" s="166"/>
      <c r="D150" s="11"/>
      <c r="E150" s="11"/>
      <c r="F150" s="11"/>
      <c r="G150" s="166"/>
      <c r="H150" s="11"/>
      <c r="I150" s="18"/>
      <c r="J150" s="19"/>
      <c r="K150" s="171" t="str">
        <f>IF(H156&lt;&gt;"",IF(H158&lt;&gt;"",IF(H156=H158,"",IF(H156&gt;H158,G156,G158)),""),"")</f>
        <v>SURIE DE PAULA NAVARRO</v>
      </c>
      <c r="L150" s="234">
        <v>0</v>
      </c>
      <c r="M150" s="52">
        <f>IF(L150&lt;&gt;"",L150,"")</f>
        <v>0</v>
      </c>
      <c r="N150" s="51" t="str">
        <f>IF(L150&lt;&gt;"",IF(K150="","",K150),"")</f>
        <v>SURIE DE PAULA NAVARRO</v>
      </c>
      <c r="O150" s="176" t="str">
        <f>VLOOKUP(O148,M148:N150,2,0)</f>
        <v>SURIE DE PAULA NAVARRO</v>
      </c>
      <c r="P150" s="11"/>
      <c r="Q150" s="8"/>
      <c r="R150" s="182"/>
      <c r="S150" s="8"/>
      <c r="T150" s="8"/>
      <c r="U150" s="8"/>
      <c r="V150" s="182"/>
      <c r="W150" s="8"/>
      <c r="X150" s="62"/>
      <c r="Y150" s="182"/>
      <c r="Z150" s="65"/>
      <c r="AA150" s="68"/>
      <c r="AB150" s="234">
        <v>1</v>
      </c>
      <c r="AC150" s="171" t="str">
        <f>IF(AF156&lt;&gt;"",IF(AF158&lt;&gt;"",IF(AF156=AF158,"",IF(AF156&gt;AF158,AG156,AG158)),""),"")</f>
        <v>SOFIA SOUZA CAPANEMA</v>
      </c>
      <c r="AD150" s="8"/>
      <c r="AE150" s="69"/>
      <c r="AF150" s="8"/>
      <c r="AG150" s="182"/>
      <c r="AH150" s="8"/>
      <c r="AI150" s="8"/>
      <c r="AJ150" s="11"/>
      <c r="AK150" s="166"/>
      <c r="AL150" s="11"/>
      <c r="AP150" s="13" t="str">
        <f>IF(AR150&lt;&gt;"",1+COUNTIF(AP136:AP149,"1")+COUNTIF(AP136:AP149,"2")+COUNTIF(AP136:AP149,"3")+COUNTIF(AP136:AP149,"4")+COUNTIF(AP136:AP149,"5")+COUNTIF(AP136:AP149,"6")+COUNTIF(AP136:AP149,"7")+COUNTIF(AP136:AP149,"8")+COUNTIF(AP136:AP149,"9")+COUNTIF(AP136:AP149,"10")+COUNTIF(AP136:AP149,"11")+COUNTIF(AP136:AP149,"12")+COUNTIF(AP136:AP149,"13")+COUNTIF(AP136:AP149,"14"),"")</f>
        <v/>
      </c>
      <c r="AQ150" s="14" t="str">
        <f t="shared" si="6"/>
        <v/>
      </c>
      <c r="AR150" s="21" t="str">
        <f>IF(AR142&lt;&gt;"",IF(G140=AR142,G142,IF(G142=AR142,G140,IF(G156=AR142,G158,IF(G158=AR142,G156,IF(AG140=AR142,AG142,IF(AG142=AR142,AG140,IF(AG156=AR142,AG158,IF(AG158=AR142,AG156,IF(G170=AR142,G172,IF(G172=AR142,G170,IF(G186=AR142,G188,IF(G188=AR142,G186,IF(AG170=AR142,AG172,IF(AG172=AR142,AG170,IF(AG186=AR142,AG188,IF(AG188=AR142,AG186)))))))))))))))),"")</f>
        <v/>
      </c>
      <c r="AS150" s="15" t="str">
        <f>IFERROR(IF(AR150="","",VLOOKUP(AR150,LISTAS!$F$5:$G$1004,2,0)),"0")</f>
        <v/>
      </c>
      <c r="AT150" s="15" t="str">
        <f t="shared" si="7"/>
        <v/>
      </c>
      <c r="AU150" s="15" t="str">
        <f t="shared" si="8"/>
        <v/>
      </c>
    </row>
    <row r="151" spans="2:47" ht="18" customHeight="1" thickBot="1" x14ac:dyDescent="0.3">
      <c r="B151" s="16"/>
      <c r="C151" s="166"/>
      <c r="D151" s="11"/>
      <c r="E151" s="11"/>
      <c r="F151" s="11"/>
      <c r="G151" s="166"/>
      <c r="H151" s="11"/>
      <c r="I151" s="18"/>
      <c r="J151" s="11"/>
      <c r="K151" s="172" t="str">
        <f>IFERROR(IF(K150="","",VLOOKUP(K150,LISTAS!$F$5:$G$1004,2,0)),"0")</f>
        <v>IEBURIX -SBC</v>
      </c>
      <c r="L151" s="235"/>
      <c r="M151" s="54"/>
      <c r="N151" s="51"/>
      <c r="O151" s="176"/>
      <c r="P151" s="11"/>
      <c r="Q151" s="8"/>
      <c r="R151" s="182"/>
      <c r="S151" s="8"/>
      <c r="T151" s="8"/>
      <c r="U151" s="8"/>
      <c r="V151" s="182"/>
      <c r="W151" s="8"/>
      <c r="X151" s="62"/>
      <c r="Y151" s="182"/>
      <c r="Z151" s="65"/>
      <c r="AA151" s="8"/>
      <c r="AB151" s="235"/>
      <c r="AC151" s="172" t="str">
        <f>IFERROR(IF(AC150="","",VLOOKUP(AC150,LISTAS!$F$5:$G$1004,2,0)),"0")</f>
        <v>IEBURIX -SBC</v>
      </c>
      <c r="AD151" s="8"/>
      <c r="AE151" s="69"/>
      <c r="AF151" s="8"/>
      <c r="AG151" s="181"/>
      <c r="AH151" s="78"/>
      <c r="AI151" s="78"/>
      <c r="AJ151" s="11"/>
      <c r="AK151" s="166"/>
      <c r="AL151" s="11"/>
      <c r="AP151" s="13" t="str">
        <f>IF(AR151&lt;&gt;"",1+COUNTIF(AP136:AP150,"1")+COUNTIF(AP136:AP150,"2")+COUNTIF(AP136:AP150,"3")+COUNTIF(AP136:AP150,"4")+COUNTIF(AP136:AP150,"5")+COUNTIF(AP136:AP150,"6")+COUNTIF(AP136:AP150,"7")+COUNTIF(AP136:AP150,"8")+COUNTIF(AP136:AP150,"9")+COUNTIF(AP136:AP150,"10")+COUNTIF(AP136:AP150,"11")+COUNTIF(AP136:AP150,"12")+COUNTIF(AP136:AP150,"13")+COUNTIF(AP136:AP150,"14")+COUNTIF(AP136:AP150,"15"),"")</f>
        <v/>
      </c>
      <c r="AQ151" s="14" t="str">
        <f t="shared" si="6"/>
        <v/>
      </c>
      <c r="AR151" s="21" t="str">
        <f>IF(AR143&lt;&gt;"",IF(G140=AR143,G142,IF(G142=AR143,G140,IF(G156=AR143,G158,IF(G158=AR143,G156,IF(AG140=AR143,AG142,IF(AG142=AR143,AG140,IF(AG156=AR143,AG158,IF(AG158=AR143,AG156,IF(G170=AR143,G172,IF(G172=AR143,G170,IF(G186=AR143,G188,IF(G188=AR143,G186,IF(AG170=AR143,AG172,IF(AG172=AR143,AG170,IF(AG186=AR143,AG188,IF(AG188=AR143,AG186)))))))))))))))),"")</f>
        <v/>
      </c>
      <c r="AS151" s="15" t="str">
        <f>IFERROR(IF(AR151="","",VLOOKUP(AR151,LISTAS!$F$5:$G$1004,2,0)),"0")</f>
        <v/>
      </c>
      <c r="AT151" s="15" t="str">
        <f t="shared" si="7"/>
        <v/>
      </c>
      <c r="AU151" s="15" t="str">
        <f t="shared" si="8"/>
        <v/>
      </c>
    </row>
    <row r="152" spans="2:47" ht="18" customHeight="1" x14ac:dyDescent="0.25">
      <c r="B152" s="16">
        <v>9</v>
      </c>
      <c r="C152" s="171" t="str">
        <f>IF('11F GRP'!G5&gt;=3,'11F GRP'!J127,IF('11F GRP'!G5=2,"",IF('11F GRP'!G5=1,"","")))</f>
        <v/>
      </c>
      <c r="D152" s="234">
        <v>0</v>
      </c>
      <c r="E152" s="51">
        <f>IF(D152&lt;&gt;"",D152,"")</f>
        <v>0</v>
      </c>
      <c r="F152" s="51" t="str">
        <f>IF(D152&lt;&gt;"",IF(C152="","",C152),"")</f>
        <v/>
      </c>
      <c r="G152" s="176">
        <f>IF(E152&lt;&gt;"",IF(E154&lt;&gt;"",SMALL(E152:E154,1),""),"")</f>
        <v>0</v>
      </c>
      <c r="H152" s="51"/>
      <c r="I152" s="18"/>
      <c r="J152" s="11"/>
      <c r="K152" s="166"/>
      <c r="L152" s="11"/>
      <c r="M152" s="54"/>
      <c r="N152" s="51"/>
      <c r="O152" s="176"/>
      <c r="P152" s="11"/>
      <c r="Q152" s="8"/>
      <c r="R152" s="182"/>
      <c r="S152" s="8"/>
      <c r="T152" s="8"/>
      <c r="U152" s="8"/>
      <c r="V152" s="182"/>
      <c r="W152" s="8"/>
      <c r="X152" s="62"/>
      <c r="Y152" s="182"/>
      <c r="Z152" s="65"/>
      <c r="AA152" s="8"/>
      <c r="AB152" s="11"/>
      <c r="AC152" s="182"/>
      <c r="AD152" s="8"/>
      <c r="AE152" s="69"/>
      <c r="AF152" s="8"/>
      <c r="AG152" s="181">
        <f>IF(AJ152&lt;&gt;"",AJ152,"")</f>
        <v>0</v>
      </c>
      <c r="AH152" s="78" t="str">
        <f>IF(AJ152&lt;&gt;"",IF(AK152="","",AK152),"")</f>
        <v/>
      </c>
      <c r="AI152" s="51">
        <f>IF(AG152&lt;&gt;"",IF(AG154&lt;&gt;"",SMALL(AG152:AG154,1),""),"")</f>
        <v>0</v>
      </c>
      <c r="AJ152" s="234">
        <v>0</v>
      </c>
      <c r="AK152" s="171" t="str">
        <f>IF('11F GRP'!G5&gt;=3,'11F GRP'!J296,IF('11F GRP'!G5=2,"",IF('11F GRP'!G5=1,"","")))</f>
        <v/>
      </c>
      <c r="AL152" s="11">
        <v>22</v>
      </c>
      <c r="AP152" s="13" t="str">
        <f>IF(AR152&lt;&gt;"",1+COUNTIF(AP136:AP151,"1")+COUNTIF(AP136:AP151,"2")+COUNTIF(AP136:AP151,"3")+COUNTIF(AP136:AP151,"4")+COUNTIF(AP136:AP151,"5")+COUNTIF(AP136:AP151,"6")+COUNTIF(AP136:AP151,"7")+COUNTIF(AP136:AP151,"8")+COUNTIF(AP136:AP151,"9")+COUNTIF(AP136:AP151,"10")+COUNTIF(AP136:AP151,"11")+COUNTIF(AP136:AP151,"12")+COUNTIF(AP136:AP151,"13")+COUNTIF(AP136:AP151,"14")+COUNTIF(AP136:AP151,"15")+COUNTIF(AP136:AP151,"16"),"")</f>
        <v/>
      </c>
      <c r="AQ152" s="14" t="str">
        <f t="shared" si="6"/>
        <v/>
      </c>
      <c r="AR152" s="21" t="str">
        <f>IF(AR136&lt;&gt;"",IF(C136=AR136,G138,IF(C138=AR136,G138,IF(C144=AR136,G146,IF(C146=AR136,G146,IF(C166=AR136,G168,IF(C168=AR136,G168,IF(C174=AR136,G176,IF(C176=AR136,G176,IF(C152=AR136,G154,IF(C154=AR136,G154,IF(C160=AR136,G162,IF(C162=AR136,G162,IF(C182=AR136,G184,IF(C184=AR136,G184,IF(C190=AR136,G192,IF(C192=AR136,G192,IF(AK136=AR136,AI138,IF(AK138=AR136,AI138,IF(AK144=AR136,AI146,IF(AK146=AR136,AI146,IF(AK166=AR136,AI168,IF(AK168=AR136,AI168,IF(AK174=AR136,AI176,IF(AK176=AR136,AI176,IF(AK152=AR136,AI154,IF(AK154=AR136,AI154,IF(AK160=AR136,AI162,IF(AK162=AR136,AI162,IF(AK182=AR136,AI184,IF(AK184=AR136,AI184,IF(AK190=AR136,AI192,IF(AK192=AR136,AI192)))))))))))))))))))))))))))))))),"")</f>
        <v/>
      </c>
      <c r="AS152" s="15" t="str">
        <f>IFERROR(IF(AR152="","",VLOOKUP(AR152,LISTAS!$F$5:$G$1004,2,0)),"0")</f>
        <v/>
      </c>
      <c r="AT152" s="15" t="str">
        <f t="shared" si="7"/>
        <v/>
      </c>
      <c r="AU152" s="15" t="str">
        <f t="shared" si="8"/>
        <v/>
      </c>
    </row>
    <row r="153" spans="2:47" ht="18" customHeight="1" thickBot="1" x14ac:dyDescent="0.3">
      <c r="B153" s="16"/>
      <c r="C153" s="172" t="str">
        <f>IFERROR(IF(C152="","",VLOOKUP(C152,LISTAS!$F$5:$G$1004,2,0)),"0")</f>
        <v/>
      </c>
      <c r="D153" s="235"/>
      <c r="E153" s="51"/>
      <c r="F153" s="51"/>
      <c r="G153" s="176"/>
      <c r="H153" s="51"/>
      <c r="I153" s="18"/>
      <c r="J153" s="11"/>
      <c r="K153" s="166"/>
      <c r="L153" s="11"/>
      <c r="M153" s="18"/>
      <c r="N153" s="11"/>
      <c r="O153" s="166"/>
      <c r="P153" s="11"/>
      <c r="Q153" s="8"/>
      <c r="R153" s="182"/>
      <c r="S153" s="8"/>
      <c r="T153" s="8"/>
      <c r="U153" s="8"/>
      <c r="V153" s="182"/>
      <c r="W153" s="8"/>
      <c r="X153" s="62"/>
      <c r="Y153" s="182"/>
      <c r="Z153" s="65"/>
      <c r="AA153" s="8"/>
      <c r="AB153" s="11"/>
      <c r="AC153" s="182"/>
      <c r="AD153" s="8"/>
      <c r="AE153" s="69"/>
      <c r="AF153" s="8"/>
      <c r="AG153" s="181"/>
      <c r="AH153" s="78"/>
      <c r="AI153" s="51"/>
      <c r="AJ153" s="235"/>
      <c r="AK153" s="172" t="str">
        <f>IFERROR(IF(AK152="","",VLOOKUP(AK152,LISTAS!$F$5:$G$1004,2,0)),"0")</f>
        <v/>
      </c>
      <c r="AL153" s="11"/>
      <c r="AP153" s="13" t="str">
        <f>IF(AR153&lt;&gt;"",1+COUNTIF(AP136:AP152,"1")+COUNTIF(AP136:AP152,"2")+COUNTIF(AP136:AP152,"3")+COUNTIF(AP136:AP152,"4")+COUNTIF(AP136:AP152,"5")+COUNTIF(AP136:AP152,"6")+COUNTIF(AP136:AP152,"7")+COUNTIF(AP136:AP152,"8")+COUNTIF(AP136:AP152,"9")+COUNTIF(AP136:AP152,"10")+COUNTIF(AP136:AP152,"11")+COUNTIF(AP136:AP152,"12")+COUNTIF(AP136:AP152,"13")+COUNTIF(AP136:AP152,"14")+COUNTIF(AP136:AP152,"15")+COUNTIF(AP136:AP152,"16")+COUNTIF(AP136:AP152,"17"),"")</f>
        <v/>
      </c>
      <c r="AQ153" s="14" t="str">
        <f t="shared" si="6"/>
        <v/>
      </c>
      <c r="AR153" s="21" t="str">
        <f>IF(AR137&lt;&gt;"",IF(C136=AR137,G138,IF(C138=AR137,G138,IF(C144=AR137,G146,IF(C146=AR137,G146,IF(C166=AR137,G168,IF(C168=AR137,G168,IF(C174=AR137,G176,IF(C176=AR137,G176,IF(C152=AR137,G154,IF(C154=AR137,G154,IF(C160=AR137,G162,IF(C162=AR137,G162,IF(C182=AR137,G184,IF(C184=AR137,G184,IF(C190=AR137,G192,IF(C192=AR137,G192,IF(AK136=AR137,AI138,IF(AK138=AR137,AI138,IF(AK144=AR137,AI146,IF(AK146=AR137,AI146,IF(AK166=AR137,AI168,IF(AK168=AR137,AI168,IF(AK174=AR137,AI176,IF(AK176=AR137,AI176,IF(AK152=AR137,AI154,IF(AK154=AR137,AI154,IF(AK160=AR137,AI162,IF(AK162=AR137,AI162,IF(AK182=AR137,AI184,IF(AK184=AR137,AI184,IF(AK190=AR137,AI192,IF(AK192=AR137,AI192)))))))))))))))))))))))))))))))),"")</f>
        <v/>
      </c>
      <c r="AS153" s="15" t="str">
        <f>IFERROR(IF(AR153="","",VLOOKUP(AR153,LISTAS!$F$5:$G$1004,2,0)),"0")</f>
        <v/>
      </c>
      <c r="AT153" s="15" t="str">
        <f t="shared" si="7"/>
        <v/>
      </c>
      <c r="AU153" s="15" t="str">
        <f t="shared" si="8"/>
        <v/>
      </c>
    </row>
    <row r="154" spans="2:47" ht="18" customHeight="1" x14ac:dyDescent="0.25">
      <c r="B154" s="16">
        <v>24</v>
      </c>
      <c r="C154" s="171" t="str">
        <f>IF('11F GRP'!G5&gt;=3,'11F GRP'!J322,IF('11F GRP'!G5=2,"",IF('11F GRP'!G5=1,"","")))</f>
        <v/>
      </c>
      <c r="D154" s="234">
        <v>0</v>
      </c>
      <c r="E154" s="52">
        <f>IF(D154&lt;&gt;"",D154,"")</f>
        <v>0</v>
      </c>
      <c r="F154" s="51" t="str">
        <f>IF(D154&lt;&gt;"",IF(C154="","",C154),"")</f>
        <v/>
      </c>
      <c r="G154" s="176" t="str">
        <f>VLOOKUP(G152,E152:F154,2,0)</f>
        <v/>
      </c>
      <c r="H154" s="51"/>
      <c r="I154" s="18"/>
      <c r="J154" s="11"/>
      <c r="K154" s="166"/>
      <c r="L154" s="11"/>
      <c r="M154" s="18"/>
      <c r="N154" s="11"/>
      <c r="O154" s="166"/>
      <c r="P154" s="11"/>
      <c r="Q154" s="8"/>
      <c r="R154" s="182"/>
      <c r="S154" s="8"/>
      <c r="T154" s="8"/>
      <c r="U154" s="8"/>
      <c r="V154" s="182"/>
      <c r="W154" s="8"/>
      <c r="X154" s="62"/>
      <c r="Y154" s="182"/>
      <c r="Z154" s="65"/>
      <c r="AA154" s="8"/>
      <c r="AB154" s="11"/>
      <c r="AC154" s="182"/>
      <c r="AD154" s="8"/>
      <c r="AE154" s="69"/>
      <c r="AF154" s="8"/>
      <c r="AG154" s="181">
        <f>IF(AJ154&lt;&gt;"",AJ154,"")</f>
        <v>0</v>
      </c>
      <c r="AH154" s="78" t="str">
        <f>IF(AJ154&lt;&gt;"",IF(AK154="","",AK154),"")</f>
        <v/>
      </c>
      <c r="AI154" s="55" t="str">
        <f>VLOOKUP(AI152,AG152:AH154,2,0)</f>
        <v/>
      </c>
      <c r="AJ154" s="234">
        <v>0</v>
      </c>
      <c r="AK154" s="171" t="str">
        <f>IF('11F GRP'!G5&gt;=3,'11F GRP'!J153,IF('11F GRP'!G5=2,"",IF('11F GRP'!G5=1,"","")))</f>
        <v/>
      </c>
      <c r="AL154" s="11">
        <v>11</v>
      </c>
      <c r="AP154" s="13" t="str">
        <f>IF(AR154&lt;&gt;"",1+COUNTIF(AP136:AP153,"1")+COUNTIF(AP136:AP153,"2")+COUNTIF(AP136:AP153,"3")+COUNTIF(AP136:AP153,"4")+COUNTIF(AP136:AP153,"5")+COUNTIF(AP136:AP153,"6")+COUNTIF(AP136:AP153,"7")+COUNTIF(AP136:AP153,"8")+COUNTIF(AP136:AP153,"9")+COUNTIF(AP136:AP153,"10")+COUNTIF(AP136:AP153,"11")+COUNTIF(AP136:AP153,"12")+COUNTIF(AP136:AP153,"13")+COUNTIF(AP136:AP153,"14")+COUNTIF(AP136:AP153,"15")+COUNTIF(AP136:AP153,"16")+COUNTIF(AP136:AP153,"17")+COUNTIF(AP136:AP153,"18"),"")</f>
        <v/>
      </c>
      <c r="AQ154" s="14" t="str">
        <f t="shared" si="6"/>
        <v/>
      </c>
      <c r="AR154" s="21" t="str">
        <f>IF(AR138&lt;&gt;"",IF(C136=AR138,G138,IF(C138=AR138,G138,IF(C144=AR138,G146,IF(C146=AR138,G146,IF(C166=AR138,G168,IF(C168=AR138,G168,IF(C174=AR138,G176,IF(C176=AR138,G176,IF(C152=AR138,G154,IF(C154=AR138,G154,IF(C160=AR138,G162,IF(C162=AR138,G162,IF(C182=AR138,G184,IF(C184=AR138,G184,IF(C190=AR138,G192,IF(C192=AR138,G192,IF(AK136=AR138,AI138,IF(AK138=AR138,AI138,IF(AK144=AR138,AI146,IF(AK146=AR138,AI146,IF(AK166=AR138,AI168,IF(AK168=AR138,AI168,IF(AK174=AR138,AI176,IF(AK176=AR138,AI176,IF(AK152=AR138,AI154,IF(AK154=AR138,AI154,IF(AK160=AR138,AI162,IF(AK162=AR138,AI162,IF(AK182=AR138,AI184,IF(AK184=AR138,AI184,IF(AK190=AR138,AI192,IF(AK192=AR138,AI192)))))))))))))))))))))))))))))))),"")</f>
        <v/>
      </c>
      <c r="AS154" s="15" t="str">
        <f>IFERROR(IF(AR154="","",VLOOKUP(AR154,LISTAS!$F$5:$G$1004,2,0)),"0")</f>
        <v/>
      </c>
      <c r="AT154" s="15" t="str">
        <f t="shared" si="7"/>
        <v/>
      </c>
      <c r="AU154" s="15" t="str">
        <f t="shared" si="8"/>
        <v/>
      </c>
    </row>
    <row r="155" spans="2:47" ht="18" customHeight="1" thickBot="1" x14ac:dyDescent="0.3">
      <c r="B155" s="16"/>
      <c r="C155" s="172" t="str">
        <f>IFERROR(IF(C154="","",VLOOKUP(C154,LISTAS!$F$5:$G$1004,2,0)),"0")</f>
        <v/>
      </c>
      <c r="D155" s="235"/>
      <c r="E155" s="128"/>
      <c r="F155" s="51"/>
      <c r="G155" s="176"/>
      <c r="H155" s="51"/>
      <c r="I155" s="54"/>
      <c r="J155" s="51"/>
      <c r="K155" s="176"/>
      <c r="L155" s="51"/>
      <c r="M155" s="54"/>
      <c r="N155" s="11"/>
      <c r="O155" s="166"/>
      <c r="P155" s="11"/>
      <c r="Q155" s="8"/>
      <c r="R155" s="182"/>
      <c r="S155" s="8"/>
      <c r="T155" s="8"/>
      <c r="U155" s="8"/>
      <c r="V155" s="182"/>
      <c r="W155" s="8"/>
      <c r="X155" s="62"/>
      <c r="Y155" s="182"/>
      <c r="Z155" s="65"/>
      <c r="AA155" s="8"/>
      <c r="AB155" s="11"/>
      <c r="AC155" s="182"/>
      <c r="AD155" s="8"/>
      <c r="AE155" s="69"/>
      <c r="AF155" s="8"/>
      <c r="AG155" s="181"/>
      <c r="AH155" s="78"/>
      <c r="AI155" s="123"/>
      <c r="AJ155" s="235"/>
      <c r="AK155" s="172" t="str">
        <f>IFERROR(IF(AK154="","",VLOOKUP(AK154,LISTAS!$F$5:$G$1004,2,0)),"0")</f>
        <v/>
      </c>
      <c r="AL155" s="11"/>
      <c r="AP155" s="13" t="str">
        <f>IF(AR155&lt;&gt;"",1+COUNTIF(AP136:AP154,"1")+COUNTIF(AP136:AP154,"2")+COUNTIF(AP136:AP154,"3")+COUNTIF(AP136:AP154,"4")+COUNTIF(AP136:AP154,"5")+COUNTIF(AP136:AP154,"6")+COUNTIF(AP136:AP154,"7")+COUNTIF(AP136:AP154,"8")+COUNTIF(AP136:AP154,"9")+COUNTIF(AP136:AP154,"10")+COUNTIF(AP136:AP154,"11")+COUNTIF(AP136:AP154,"12")+COUNTIF(AP136:AP154,"13")+COUNTIF(AP136:AP154,"14")+COUNTIF(AP136:AP154,"15")+COUNTIF(AP136:AP154,"16")+COUNTIF(AP136:AP154,"17")+COUNTIF(AP136:AP154,"18")+COUNTIF(AP136:AP154,"19"),"")</f>
        <v/>
      </c>
      <c r="AQ155" s="14" t="str">
        <f t="shared" si="6"/>
        <v/>
      </c>
      <c r="AR155" s="21" t="str">
        <f>IF(AR139&lt;&gt;"",IF(C136=AR139,G138,IF(C138=AR139,G138,IF(C144=AR139,G146,IF(C146=AR139,G146,IF(C166=AR139,G168,IF(C168=AR139,G168,IF(C174=AR139,G176,IF(C176=AR139,G176,IF(C152=AR139,G154,IF(C154=AR139,G154,IF(C160=AR139,G162,IF(C162=AR139,G162,IF(C182=AR139,G184,IF(C184=AR139,G184,IF(C190=AR139,G192,IF(C192=AR139,G192,IF(AK136=AR139,AI138,IF(AK138=AR139,AI138,IF(AK144=AR139,AI146,IF(AK146=AR139,AI146,IF(AK166=AR139,AI168,IF(AK168=AR139,AI168,IF(AK174=AR139,AI176,IF(AK176=AR139,AI176,IF(AK152=AR139,AI154,IF(AK154=AR139,AI154,IF(AK160=AR139,AI162,IF(AK162=AR139,AI162,IF(AK182=AR139,AI184,IF(AK184=AR139,AI184,IF(AK190=AR139,AI192,IF(AK192=AR139,AI192)))))))))))))))))))))))))))))))),"")</f>
        <v/>
      </c>
      <c r="AS155" s="15" t="str">
        <f>IFERROR(IF(AR155="","",VLOOKUP(AR155,LISTAS!$F$5:$G$1004,2,0)),"0")</f>
        <v/>
      </c>
      <c r="AT155" s="15" t="str">
        <f t="shared" si="7"/>
        <v/>
      </c>
      <c r="AU155" s="15" t="str">
        <f t="shared" si="8"/>
        <v/>
      </c>
    </row>
    <row r="156" spans="2:47" ht="18" customHeight="1" x14ac:dyDescent="0.25">
      <c r="B156" s="16"/>
      <c r="C156" s="166"/>
      <c r="D156" s="11"/>
      <c r="E156" s="11"/>
      <c r="F156" s="17"/>
      <c r="G156" s="171" t="str">
        <f>IF(D152&lt;&gt;"",IF(D154&lt;&gt;"",IF(D152=D154,"",IF(D152&gt;D154,C152,C154)),""),"")</f>
        <v/>
      </c>
      <c r="H156" s="234">
        <v>0</v>
      </c>
      <c r="I156" s="56">
        <f>IF(H156&lt;&gt;"",H156,"")</f>
        <v>0</v>
      </c>
      <c r="J156" s="51" t="str">
        <f>IF(H156&lt;&gt;"",IF(G156="","",G156),"")</f>
        <v/>
      </c>
      <c r="K156" s="176">
        <f>IF(I156&lt;&gt;"",IF(I158&lt;&gt;"",SMALL(I156:J158,1),""),"")</f>
        <v>0</v>
      </c>
      <c r="L156" s="51"/>
      <c r="M156" s="54"/>
      <c r="N156" s="11"/>
      <c r="O156" s="166"/>
      <c r="P156" s="11"/>
      <c r="Q156" s="8"/>
      <c r="R156" s="182"/>
      <c r="S156" s="8"/>
      <c r="T156" s="8"/>
      <c r="U156" s="8"/>
      <c r="V156" s="182"/>
      <c r="W156" s="8"/>
      <c r="X156" s="62"/>
      <c r="Y156" s="182"/>
      <c r="Z156" s="65"/>
      <c r="AA156" s="8"/>
      <c r="AB156" s="11"/>
      <c r="AC156" s="182"/>
      <c r="AD156" s="8"/>
      <c r="AE156" s="17"/>
      <c r="AF156" s="234">
        <v>0</v>
      </c>
      <c r="AG156" s="171" t="str">
        <f>IF(AJ152&lt;&gt;"",IF(AJ154&lt;&gt;"",IF(AJ152=AJ154,"",IF(AJ152&gt;AJ154,AK152,AK154)),""),"")</f>
        <v/>
      </c>
      <c r="AH156" s="65"/>
      <c r="AI156" s="8"/>
      <c r="AJ156" s="11"/>
      <c r="AK156" s="166"/>
      <c r="AL156" s="11"/>
      <c r="AP156" s="13" t="str">
        <f>IF(AR156&lt;&gt;"",1+COUNTIF(AP136:AP155,"1")+COUNTIF(AP136:AP155,"2")+COUNTIF(AP136:AP155,"3")+COUNTIF(AP136:AP155,"4")+COUNTIF(AP136:AP155,"5")+COUNTIF(AP136:AP155,"6")+COUNTIF(AP136:AP155,"7")+COUNTIF(AP136:AP155,"8")+COUNTIF(AP136:AP155,"9")+COUNTIF(AP136:AP155,"10")+COUNTIF(AP136:AP155,"11")+COUNTIF(AP136:AP155,"12")+COUNTIF(AP136:AP155,"13")+COUNTIF(AP136:AP155,"14")+COUNTIF(AP136:AP155,"15")+COUNTIF(AP136:AP155,"16")+COUNTIF(AP136:AP155,"17")+COUNTIF(AP136:AP155,"18")+COUNTIF(AP136:AP155,"19")+COUNTIF(AP136:AP155,"20"),"")</f>
        <v/>
      </c>
      <c r="AQ156" s="14" t="str">
        <f t="shared" si="6"/>
        <v/>
      </c>
      <c r="AR156" s="21" t="str">
        <f>IF(AR140&lt;&gt;"",IF(C136=AR140,G138,IF(C138=AR140,G138,IF(C144=AR140,G146,IF(C146=AR140,G146,IF(C166=AR140,G168,IF(C168=AR140,G168,IF(C174=AR140,G176,IF(C176=AR140,G176,IF(C152=AR140,G154,IF(C154=AR140,G154,IF(C160=AR140,G162,IF(C162=AR140,G162,IF(C182=AR140,G184,IF(C184=AR140,G184,IF(C190=AR140,G192,IF(C192=AR140,G192,IF(AK136=AR140,AI138,IF(AK138=AR140,AI138,IF(AK144=AR140,AI146,IF(AK146=AR140,AI146,IF(AK166=AR140,AI168,IF(AK168=AR140,AI168,IF(AK174=AR140,AI176,IF(AK176=AR140,AI176,IF(AK152=AR140,AI154,IF(AK154=AR140,AI154,IF(AK160=AR140,AI162,IF(AK162=AR140,AI162,IF(AK182=AR140,AI184,IF(AK184=AR140,AI184,IF(AK190=AR140,AI192,IF(AK192=AR140,AI192)))))))))))))))))))))))))))))))),"")</f>
        <v/>
      </c>
      <c r="AS156" s="15" t="str">
        <f>IFERROR(IF(AR156="","",VLOOKUP(AR156,LISTAS!$F$5:$G$1004,2,0)),"0")</f>
        <v/>
      </c>
      <c r="AT156" s="15" t="str">
        <f t="shared" si="7"/>
        <v/>
      </c>
      <c r="AU156" s="15" t="str">
        <f t="shared" si="8"/>
        <v/>
      </c>
    </row>
    <row r="157" spans="2:47" ht="18" customHeight="1" thickBot="1" x14ac:dyDescent="0.3">
      <c r="B157" s="16"/>
      <c r="C157" s="166"/>
      <c r="D157" s="11"/>
      <c r="E157" s="11"/>
      <c r="F157" s="17"/>
      <c r="G157" s="172" t="str">
        <f>IFERROR(IF(G156="","",VLOOKUP(G156,LISTAS!$F$5:$G$1004,2,0)),"0")</f>
        <v/>
      </c>
      <c r="H157" s="235"/>
      <c r="I157" s="57"/>
      <c r="J157" s="51"/>
      <c r="K157" s="176"/>
      <c r="L157" s="51"/>
      <c r="M157" s="54"/>
      <c r="N157" s="11"/>
      <c r="O157" s="166"/>
      <c r="P157" s="11"/>
      <c r="Q157" s="8"/>
      <c r="R157" s="182"/>
      <c r="S157" s="8"/>
      <c r="T157" s="8"/>
      <c r="U157" s="8"/>
      <c r="V157" s="182"/>
      <c r="W157" s="8"/>
      <c r="X157" s="62"/>
      <c r="Y157" s="182"/>
      <c r="Z157" s="65"/>
      <c r="AA157" s="8"/>
      <c r="AB157" s="11"/>
      <c r="AC157" s="182"/>
      <c r="AD157" s="8"/>
      <c r="AE157" s="122"/>
      <c r="AF157" s="235"/>
      <c r="AG157" s="172" t="str">
        <f>IFERROR(IF(AG156="","",VLOOKUP(AG156,LISTAS!$F$5:$G$1004,2,0)),"0")</f>
        <v/>
      </c>
      <c r="AH157" s="65"/>
      <c r="AI157" s="8"/>
      <c r="AJ157" s="11"/>
      <c r="AK157" s="166"/>
      <c r="AL157" s="11"/>
      <c r="AP157" s="13" t="str">
        <f>IF(AR157&lt;&gt;"",1+COUNTIF(AP136:AP156,"1")+COUNTIF(AP136:AP156,"2")+COUNTIF(AP136:AP156,"3")+COUNTIF(AP136:AP156,"4")+COUNTIF(AP136:AP156,"5")+COUNTIF(AP136:AP156,"6")+COUNTIF(AP136:AP156,"7")+COUNTIF(AP136:AP156,"8")+COUNTIF(AP136:AP156,"9")+COUNTIF(AP136:AP156,"10")+COUNTIF(AP136:AP156,"11")+COUNTIF(AP136:AP156,"12")+COUNTIF(AP136:AP156,"13")+COUNTIF(AP136:AP156,"14")+COUNTIF(AP136:AP156,"15")+COUNTIF(AP136:AP156,"16")+COUNTIF(AP136:AP156,"17")+COUNTIF(AP136:AP156,"18")+COUNTIF(AP136:AP156,"19")+COUNTIF(AP136:AP156,"20")+COUNTIF(AP136:AP156,"21"),"")</f>
        <v/>
      </c>
      <c r="AQ157" s="14" t="str">
        <f t="shared" si="6"/>
        <v/>
      </c>
      <c r="AR157" s="21" t="str">
        <f>IF(AR141&lt;&gt;"",IF(C136=AR141,G138,IF(C138=AR141,G138,IF(C144=AR141,G146,IF(C146=AR141,G146,IF(C166=AR141,G168,IF(C168=AR141,G168,IF(C174=AR141,G176,IF(C176=AR141,G176,IF(C152=AR141,G154,IF(C154=AR141,G154,IF(C160=AR141,G162,IF(C162=AR141,G162,IF(C182=AR141,G184,IF(C184=AR141,G184,IF(C190=AR141,G192,IF(C192=AR141,G192,IF(AK136=AR141,AI138,IF(AK138=AR141,AI138,IF(AK144=AR141,AI146,IF(AK146=AR141,AI146,IF(AK166=AR141,AI168,IF(AK168=AR141,AI168,IF(AK174=AR141,AI176,IF(AK176=AR141,AI176,IF(AK152=AR141,AI154,IF(AK154=AR141,AI154,IF(AK160=AR141,AI162,IF(AK162=AR141,AI162,IF(AK182=AR141,AI184,IF(AK184=AR141,AI184,IF(AK190=AR141,AI192,IF(AK192=AR141,AI192)))))))))))))))))))))))))))))))),"")</f>
        <v/>
      </c>
      <c r="AS157" s="15" t="str">
        <f>IFERROR(IF(AR157="","",VLOOKUP(AR157,LISTAS!$F$5:$G$1004,2,0)),"0")</f>
        <v/>
      </c>
      <c r="AT157" s="15" t="str">
        <f t="shared" si="7"/>
        <v/>
      </c>
      <c r="AU157" s="15" t="str">
        <f t="shared" si="8"/>
        <v/>
      </c>
    </row>
    <row r="158" spans="2:47" ht="18" customHeight="1" x14ac:dyDescent="0.25">
      <c r="B158" s="16"/>
      <c r="C158" s="166"/>
      <c r="D158" s="11"/>
      <c r="E158" s="18"/>
      <c r="F158" s="19"/>
      <c r="G158" s="171" t="str">
        <f>IF(D160&lt;&gt;"",IF(D162&lt;&gt;"",IF(D160=D162,"",IF(D160&gt;D162,C160,C162)),""),"")</f>
        <v>SURIE DE PAULA NAVARRO</v>
      </c>
      <c r="H158" s="234">
        <v>2</v>
      </c>
      <c r="I158" s="57">
        <f>IF(H158&lt;&gt;"",H158,"")</f>
        <v>2</v>
      </c>
      <c r="J158" s="51" t="str">
        <f>IF(H158&lt;&gt;"",IF(G158="","",G158),"")</f>
        <v>SURIE DE PAULA NAVARRO</v>
      </c>
      <c r="K158" s="176" t="str">
        <f>VLOOKUP(K156,I156:J158,2,0)</f>
        <v/>
      </c>
      <c r="L158" s="51"/>
      <c r="M158" s="54"/>
      <c r="N158" s="11"/>
      <c r="O158" s="166"/>
      <c r="P158" s="11"/>
      <c r="Q158" s="8"/>
      <c r="R158" s="182"/>
      <c r="S158" s="8"/>
      <c r="T158" s="8"/>
      <c r="U158" s="8"/>
      <c r="V158" s="182"/>
      <c r="W158" s="8"/>
      <c r="X158" s="62"/>
      <c r="Y158" s="182"/>
      <c r="Z158" s="65"/>
      <c r="AA158" s="8"/>
      <c r="AB158" s="11"/>
      <c r="AC158" s="182"/>
      <c r="AD158" s="8"/>
      <c r="AE158" s="64"/>
      <c r="AF158" s="234">
        <v>2</v>
      </c>
      <c r="AG158" s="171" t="str">
        <f>IF(AJ160&lt;&gt;"",IF(AJ162&lt;&gt;"",IF(AJ160=AJ162,"",IF(AJ160&gt;AJ162,AK160,AK162)),""),"")</f>
        <v>SOFIA SOUZA CAPANEMA</v>
      </c>
      <c r="AH158" s="66"/>
      <c r="AI158" s="8"/>
      <c r="AJ158" s="11"/>
      <c r="AK158" s="166"/>
      <c r="AL158" s="11"/>
      <c r="AP158" s="13" t="str">
        <f>IF(AR158&lt;&gt;"",1+COUNTIF(AP136:AP157,"1")+COUNTIF(AP136:AP157,"2")+COUNTIF(AP136:AP157,"3")+COUNTIF(AP136:AP157,"4")+COUNTIF(AP136:AP157,"5")+COUNTIF(AP136:AP157,"6")+COUNTIF(AP136:AP157,"7")+COUNTIF(AP136:AP157,"8")+COUNTIF(AP136:AP157,"9")+COUNTIF(AP136:AP157,"10")+COUNTIF(AP136:AP157,"11")+COUNTIF(AP136:AP157,"12")+COUNTIF(AP136:AP157,"13")+COUNTIF(AP136:AP157,"14")+COUNTIF(AP136:AP157,"15")+COUNTIF(AP136:AP157,"16")+COUNTIF(AP136:AP157,"17")+COUNTIF(AP136:AP157,"18")+COUNTIF(AP136:AP157,"19")+COUNTIF(AP136:AP157,"20")+COUNTIF(AP136:AP157,"21")+COUNTIF(AP136:AP157,"22"),"")</f>
        <v/>
      </c>
      <c r="AQ158" s="14" t="str">
        <f t="shared" si="6"/>
        <v/>
      </c>
      <c r="AR158" s="21" t="str">
        <f>IF(AR142&lt;&gt;"",IF(C136=AR142,G138,IF(C138=AR142,G138,IF(C144=AR142,G146,IF(C146=AR142,G146,IF(C166=AR142,G168,IF(C168=AR142,G168,IF(C174=AR142,G176,IF(C176=AR142,G176,IF(C152=AR142,G154,IF(C154=AR142,G154,IF(C160=AR142,G162,IF(C162=AR142,G162,IF(C182=AR142,G184,IF(C184=AR142,G184,IF(C190=AR142,G192,IF(C192=AR142,G192,IF(AK136=AR142,AI138,IF(AK138=AR142,AI138,IF(AK144=AR142,AI146,IF(AK146=AR142,AI146,IF(AK166=AR142,AI168,IF(AK168=AR142,AI168,IF(AK174=AR142,AI176,IF(AK176=AR142,AI176,IF(AK152=AR142,AI154,IF(AK154=AR142,AI154,IF(AK160=AR142,AI162,IF(AK162=AR142,AI162,IF(AK182=AR142,AI184,IF(AK184=AR142,AI184,IF(AK190=AR142,AI192,IF(AK192=AR142,AI192)))))))))))))))))))))))))))))))),"")</f>
        <v/>
      </c>
      <c r="AS158" s="15" t="str">
        <f>IFERROR(IF(AR158="","",VLOOKUP(AR158,LISTAS!$F$5:$G$1004,2,0)),"0")</f>
        <v/>
      </c>
      <c r="AT158" s="15" t="str">
        <f t="shared" si="7"/>
        <v/>
      </c>
      <c r="AU158" s="15" t="str">
        <f t="shared" si="8"/>
        <v/>
      </c>
    </row>
    <row r="159" spans="2:47" ht="18" customHeight="1" thickBot="1" x14ac:dyDescent="0.3">
      <c r="B159" s="16"/>
      <c r="C159" s="166"/>
      <c r="D159" s="11"/>
      <c r="E159" s="18"/>
      <c r="F159" s="11"/>
      <c r="G159" s="172" t="str">
        <f>IFERROR(IF(G158="","",VLOOKUP(G158,LISTAS!$F$5:$G$1004,2,0)),"0")</f>
        <v>IEBURIX -SBC</v>
      </c>
      <c r="H159" s="235"/>
      <c r="I159" s="51"/>
      <c r="J159" s="51"/>
      <c r="K159" s="176"/>
      <c r="L159" s="51"/>
      <c r="M159" s="54"/>
      <c r="N159" s="11"/>
      <c r="O159" s="166"/>
      <c r="P159" s="11"/>
      <c r="Q159" s="8"/>
      <c r="R159" s="182"/>
      <c r="S159" s="8"/>
      <c r="T159" s="8"/>
      <c r="U159" s="8"/>
      <c r="V159" s="182"/>
      <c r="W159" s="8"/>
      <c r="X159" s="62"/>
      <c r="Y159" s="182"/>
      <c r="Z159" s="65"/>
      <c r="AA159" s="8"/>
      <c r="AB159" s="11"/>
      <c r="AC159" s="182"/>
      <c r="AD159" s="8"/>
      <c r="AE159" s="8"/>
      <c r="AF159" s="235"/>
      <c r="AG159" s="172" t="str">
        <f>IFERROR(IF(AG158="","",VLOOKUP(AG158,LISTAS!$F$5:$G$1004,2,0)),"0")</f>
        <v>IEBURIX -SBC</v>
      </c>
      <c r="AH159" s="8"/>
      <c r="AI159" s="69"/>
      <c r="AJ159" s="11"/>
      <c r="AK159" s="166"/>
      <c r="AL159" s="11"/>
      <c r="AP159" s="13" t="str">
        <f>IF(AR159&lt;&gt;"",1+COUNTIF(AP136:AP158,"1")+COUNTIF(AP136:AP158,"2")+COUNTIF(AP136:AP158,"3")+COUNTIF(AP136:AP158,"4")+COUNTIF(AP136:AP158,"5")+COUNTIF(AP136:AP158,"6")+COUNTIF(AP136:AP158,"7")+COUNTIF(AP136:AP158,"8")+COUNTIF(AP136:AP158,"9")+COUNTIF(AP136:AP158,"10")+COUNTIF(AP136:AP158,"11")+COUNTIF(AP136:AP158,"12")+COUNTIF(AP136:AP158,"13")+COUNTIF(AP136:AP158,"14")+COUNTIF(AP136:AP158,"15")+COUNTIF(AP136:AP158,"16")+COUNTIF(AP136:AP158,"17")+COUNTIF(AP136:AP158,"18")+COUNTIF(AP136:AP158,"19")+COUNTIF(AP136:AP158,"20")+COUNTIF(AP136:AP158,"21")+COUNTIF(AP136:AP158,"22")+COUNTIF(AP136:AP158,"23"),"")</f>
        <v/>
      </c>
      <c r="AQ159" s="14" t="str">
        <f t="shared" si="6"/>
        <v/>
      </c>
      <c r="AR159" s="21" t="str">
        <f>IF(AR143&lt;&gt;"",IF(C136=AR143,G138,IF(C138=AR143,G138,IF(C144=AR143,G146,IF(C146=AR143,G146,IF(C166=AR143,G168,IF(C168=AR143,G168,IF(C174=AR143,G176,IF(C176=AR143,G176,IF(C152=AR143,G154,IF(C154=AR143,G154,IF(C160=AR143,G162,IF(C162=AR143,G162,IF(C182=AR143,G184,IF(C184=AR143,G184,IF(C190=AR143,G192,IF(C192=AR143,G192,IF(AK136=AR143,AI138,IF(AK138=AR143,AI138,IF(AK144=AR143,AI146,IF(AK146=AR143,AI146,IF(AK166=AR143,AI168,IF(AK168=AR143,AI168,IF(AK174=AR143,AI176,IF(AK176=AR143,AI176,IF(AK152=AR143,AI154,IF(AK154=AR143,AI154,IF(AK160=AR143,AI162,IF(AK162=AR143,AI162,IF(AK182=AR143,AI184,IF(AK184=AR143,AI184,IF(AK190=AR143,AI192,IF(AK192=AR143,AI192)))))))))))))))))))))))))))))))),"")</f>
        <v/>
      </c>
      <c r="AS159" s="15" t="str">
        <f>IFERROR(IF(AR159="","",VLOOKUP(AR159,LISTAS!$F$5:$G$1004,2,0)),"0")</f>
        <v/>
      </c>
      <c r="AT159" s="15" t="str">
        <f t="shared" si="7"/>
        <v/>
      </c>
      <c r="AU159" s="15" t="str">
        <f t="shared" si="8"/>
        <v/>
      </c>
    </row>
    <row r="160" spans="2:47" ht="18" customHeight="1" x14ac:dyDescent="0.25">
      <c r="B160" s="16">
        <v>25</v>
      </c>
      <c r="C160" s="171" t="str">
        <f>IF('11F GRP'!G5&gt;=3,'11F GRP'!J335,IF('11F GRP'!G5=2,"",IF('11F GRP'!G5=1,"","")))</f>
        <v/>
      </c>
      <c r="D160" s="234">
        <v>0</v>
      </c>
      <c r="E160" s="56">
        <f>IF(D160&lt;&gt;"",D160,"")</f>
        <v>0</v>
      </c>
      <c r="F160" s="51" t="str">
        <f>IF(D160&lt;&gt;"",IF(C160="","",C160),"")</f>
        <v/>
      </c>
      <c r="G160" s="176">
        <f>IF(E160&lt;&gt;"",IF(E162&lt;&gt;"",SMALL(E160:E162,1),""),"")</f>
        <v>0</v>
      </c>
      <c r="H160" s="51"/>
      <c r="I160" s="51"/>
      <c r="J160" s="51"/>
      <c r="K160" s="176"/>
      <c r="L160" s="51"/>
      <c r="M160" s="54"/>
      <c r="N160" s="11"/>
      <c r="O160" s="166"/>
      <c r="P160" s="11"/>
      <c r="Q160" s="8"/>
      <c r="R160" s="182"/>
      <c r="S160" s="8"/>
      <c r="T160" s="8"/>
      <c r="U160" s="8"/>
      <c r="V160" s="182"/>
      <c r="W160" s="8"/>
      <c r="X160" s="62"/>
      <c r="Y160" s="182"/>
      <c r="Z160" s="65"/>
      <c r="AA160" s="8"/>
      <c r="AB160" s="11"/>
      <c r="AC160" s="182"/>
      <c r="AD160" s="8"/>
      <c r="AE160" s="8"/>
      <c r="AF160" s="8"/>
      <c r="AG160" s="181">
        <f>IF(AJ160&lt;&gt;"",AJ160,"")</f>
        <v>0</v>
      </c>
      <c r="AH160" s="78" t="str">
        <f>IF(AJ160&lt;&gt;"",IF(AK160="","",AK160),"")</f>
        <v/>
      </c>
      <c r="AI160" s="53">
        <f>IF(AG160&lt;&gt;"",IF(AG162&lt;&gt;"",SMALL(AG160:AG162,1),""),"")</f>
        <v>0</v>
      </c>
      <c r="AJ160" s="234">
        <v>0</v>
      </c>
      <c r="AK160" s="171" t="str">
        <f>IF('11F GRP'!G5&gt;=3,'11F GRP'!J361,IF('11F GRP'!G5=2,"",IF('11F GRP'!G5=1,"","")))</f>
        <v/>
      </c>
      <c r="AL160" s="11">
        <v>27</v>
      </c>
      <c r="AP160" s="13" t="str">
        <f>IF(AR160&lt;&gt;"",1+COUNTIF(AP136:AP159,"1")+COUNTIF(AP136:AP159,"2")+COUNTIF(AP136:AP159,"3")+COUNTIF(AP136:AP159,"4")+COUNTIF(AP136:AP159,"5")+COUNTIF(AP136:AP159,"6")+COUNTIF(AP136:AP159,"7")+COUNTIF(AP136:AP159,"8")+COUNTIF(AP136:AP159,"9")+COUNTIF(AP136:AP159,"10")+COUNTIF(AP136:AP159,"11")+COUNTIF(AP136:AP159,"12")+COUNTIF(AP136:AP159,"13")+COUNTIF(AP136:AP159,"14")+COUNTIF(AP136:AP159,"15")+COUNTIF(AP136:AP159,"16")+COUNTIF(AP136:AP159,"17")+COUNTIF(AP136:AP159,"18")+COUNTIF(AP136:AP159,"19")+COUNTIF(AP136:AP159,"20")+COUNTIF(AP136:AP159,"21")+COUNTIF(AP136:AP159,"22")+COUNTIF(AP136:AP159,"23")+COUNTIF(AP136:AP159,"24"),"")</f>
        <v/>
      </c>
      <c r="AQ160" s="14" t="str">
        <f t="shared" si="6"/>
        <v/>
      </c>
      <c r="AR160" s="21" t="str">
        <f>IF(AR144&lt;&gt;"",IF(C136=AR144,G138,IF(C138=AR144,G138,IF(C144=AR144,G146,IF(C146=AR144,G146,IF(C166=AR144,G168,IF(C168=AR144,G168,IF(C174=AR144,G176,IF(C176=AR144,G176,IF(C152=AR144,G154,IF(C154=AR144,G154,IF(C160=AR144,G162,IF(C162=AR144,G162,IF(C182=AR144,G184,IF(C184=AR144,G184,IF(C190=AR144,G192,IF(C192=AR144,G192,IF(AK136=AR144,AI138,IF(AK138=AR144,AI138,IF(AK144=AR144,AI146,IF(AK146=AR144,AI146,IF(AK166=AR144,AI168,IF(AK168=AR144,AI168,IF(AK174=AR144,AI176,IF(AK176=AR144,AI176,IF(AK152=AR144,AI154,IF(AK154=AR144,AI154,IF(AK160=AR144,AI162,IF(AK162=AR144,AI162,IF(AK182=AR144,AI184,IF(AK184=AR144,AI184,IF(AK190=AR144,AI192,IF(AK192=AR144,AI192)))))))))))))))))))))))))))))))),"")</f>
        <v/>
      </c>
      <c r="AS160" s="15" t="str">
        <f>IFERROR(IF(AR160="","",VLOOKUP(AR160,LISTAS!$F$5:$G$1004,2,0)),"0")</f>
        <v/>
      </c>
      <c r="AT160" s="15" t="str">
        <f t="shared" si="7"/>
        <v/>
      </c>
      <c r="AU160" s="15" t="str">
        <f t="shared" si="8"/>
        <v/>
      </c>
    </row>
    <row r="161" spans="2:47" ht="18" customHeight="1" thickBot="1" x14ac:dyDescent="0.3">
      <c r="B161" s="16"/>
      <c r="C161" s="172" t="str">
        <f>IFERROR(IF(C160="","",VLOOKUP(C160,LISTAS!$F$5:$G$1004,2,0)),"0")</f>
        <v/>
      </c>
      <c r="D161" s="235"/>
      <c r="E161" s="57"/>
      <c r="F161" s="51"/>
      <c r="G161" s="176"/>
      <c r="H161" s="51"/>
      <c r="I161" s="11"/>
      <c r="J161" s="11"/>
      <c r="K161" s="166"/>
      <c r="L161" s="11"/>
      <c r="M161" s="18"/>
      <c r="N161" s="11"/>
      <c r="O161" s="166"/>
      <c r="P161" s="11"/>
      <c r="Q161" s="8"/>
      <c r="R161" s="182"/>
      <c r="S161" s="8"/>
      <c r="T161" s="8"/>
      <c r="U161" s="8"/>
      <c r="V161" s="182"/>
      <c r="W161" s="8"/>
      <c r="X161" s="62"/>
      <c r="Y161" s="182"/>
      <c r="Z161" s="65"/>
      <c r="AA161" s="8"/>
      <c r="AB161" s="11"/>
      <c r="AC161" s="182"/>
      <c r="AD161" s="8"/>
      <c r="AE161" s="8"/>
      <c r="AF161" s="8"/>
      <c r="AG161" s="181"/>
      <c r="AH161" s="78"/>
      <c r="AI161" s="124"/>
      <c r="AJ161" s="235"/>
      <c r="AK161" s="172" t="str">
        <f>IFERROR(IF(AK160="","",VLOOKUP(AK160,LISTAS!$F$5:$G$1004,2,0)),"0")</f>
        <v/>
      </c>
      <c r="AL161" s="11"/>
      <c r="AP161" s="13" t="str">
        <f>IF(AR161&lt;&gt;"",1+COUNTIF(AP136:AP160,"1")+COUNTIF(AP136:AP160,"2")+COUNTIF(AP136:AP160,"3")+COUNTIF(AP136:AP160,"4")+COUNTIF(AP136:AP160,"5")+COUNTIF(AP136:AP160,"6")+COUNTIF(AP136:AP160,"7")+COUNTIF(AP136:AP160,"8")+COUNTIF(AP136:AP160,"9")+COUNTIF(AP136:AP160,"10")+COUNTIF(AP136:AP160,"11")+COUNTIF(AP136:AP160,"12")+COUNTIF(AP136:AP160,"13")+COUNTIF(AP136:AP160,"14")+COUNTIF(AP136:AP160,"15")+COUNTIF(AP136:AP160,"16")+COUNTIF(AP136:AP160,"17")+COUNTIF(AP136:AP160,"18")+COUNTIF(AP136:AP160,"19")+COUNTIF(AP136:AP160,"20")+COUNTIF(AP136:AP160,"21")+COUNTIF(AP136:AP160,"22")+COUNTIF(AP136:AP160,"23")+COUNTIF(AP136:AP160,"24")+COUNTIF(AP136:AP160,"25"),"")</f>
        <v/>
      </c>
      <c r="AQ161" s="14" t="str">
        <f t="shared" si="6"/>
        <v/>
      </c>
      <c r="AR161" s="21" t="str">
        <f>IF(AR145&lt;&gt;"",IF(C136=AR145,G138,IF(C138=AR145,G138,IF(C144=AR145,G146,IF(C146=AR145,G146,IF(C166=AR145,G168,IF(C168=AR145,G168,IF(C174=AR145,G176,IF(C176=AR145,G176,IF(C152=AR145,G154,IF(C154=AR145,G154,IF(C160=AR145,G162,IF(C162=AR145,G162,IF(C182=AR145,G184,IF(C184=AR145,G184,IF(C190=AR145,G192,IF(C192=AR145,G192,IF(AK136=AR145,AI138,IF(AK138=AR145,AI138,IF(AK144=AR145,AI146,IF(AK146=AR145,AI146,IF(AK166=AR145,AI168,IF(AK168=AR145,AI168,IF(AK174=AR145,AI176,IF(AK176=AR145,AI176,IF(AK152=AR145,AI154,IF(AK154=AR145,AI154,IF(AK160=AR145,AI162,IF(AK162=AR145,AI162,IF(AK182=AR145,AI184,IF(AK184=AR145,AI184,IF(AK190=AR145,AI192,IF(AK192=AR145,AI192)))))))))))))))))))))))))))))))),"")</f>
        <v/>
      </c>
      <c r="AS161" s="15" t="str">
        <f>IFERROR(IF(AR161="","",VLOOKUP(AR161,LISTAS!$F$5:$G$1004,2,0)),"0")</f>
        <v/>
      </c>
      <c r="AT161" s="15" t="str">
        <f t="shared" si="7"/>
        <v/>
      </c>
      <c r="AU161" s="15" t="str">
        <f t="shared" si="8"/>
        <v/>
      </c>
    </row>
    <row r="162" spans="2:47" ht="18" customHeight="1" thickBot="1" x14ac:dyDescent="0.3">
      <c r="B162" s="16">
        <v>8</v>
      </c>
      <c r="C162" s="171" t="str">
        <f>IF('11F GRP'!G5&gt;=3,'11F GRP'!J114,IF('11F GRP'!G5=2,"",IF('11F GRP'!G5=1,"","")))</f>
        <v>SURIE DE PAULA NAVARRO</v>
      </c>
      <c r="D162" s="234">
        <v>2</v>
      </c>
      <c r="E162" s="57">
        <f>IF(D162&lt;&gt;"",D162,"")</f>
        <v>2</v>
      </c>
      <c r="F162" s="51" t="str">
        <f>IF(D162&lt;&gt;"",IF(C162="","",C162),"")</f>
        <v>SURIE DE PAULA NAVARRO</v>
      </c>
      <c r="G162" s="176" t="str">
        <f>VLOOKUP(G160,E160:F162,2,0)</f>
        <v/>
      </c>
      <c r="H162" s="51"/>
      <c r="I162" s="11"/>
      <c r="J162" s="11"/>
      <c r="K162" s="166"/>
      <c r="L162" s="11"/>
      <c r="M162" s="18"/>
      <c r="N162" s="11"/>
      <c r="O162" s="166"/>
      <c r="P162" s="11"/>
      <c r="Q162" s="8"/>
      <c r="R162" s="236" t="s">
        <v>37</v>
      </c>
      <c r="S162" s="236"/>
      <c r="T162" s="236"/>
      <c r="U162" s="236"/>
      <c r="V162" s="236"/>
      <c r="W162" s="8"/>
      <c r="X162" s="62"/>
      <c r="Y162" s="182"/>
      <c r="Z162" s="65"/>
      <c r="AA162" s="8"/>
      <c r="AB162" s="11"/>
      <c r="AC162" s="182"/>
      <c r="AD162" s="8"/>
      <c r="AE162" s="8"/>
      <c r="AF162" s="8"/>
      <c r="AG162" s="181">
        <f>IF(AJ162&lt;&gt;"",AJ162,"")</f>
        <v>2</v>
      </c>
      <c r="AH162" s="78" t="str">
        <f>IF(AJ162&lt;&gt;"",IF(AK162="","",AK162),"")</f>
        <v>SOFIA SOUZA CAPANEMA</v>
      </c>
      <c r="AI162" s="125" t="str">
        <f>VLOOKUP(AI160,AG160:AH162,2,0)</f>
        <v/>
      </c>
      <c r="AJ162" s="234">
        <v>2</v>
      </c>
      <c r="AK162" s="171" t="str">
        <f>IF('11F GRP'!G5&gt;=3,'11F GRP'!J88,IF('11F GRP'!G5=2,"",IF('11F GRP'!G5=1,"","")))</f>
        <v>SOFIA SOUZA CAPANEMA</v>
      </c>
      <c r="AL162" s="11">
        <v>6</v>
      </c>
      <c r="AP162" s="13" t="str">
        <f>IF(AR162&lt;&gt;"",1+COUNTIF(AP136:AP161,"1")+COUNTIF(AP136:AP161,"2")+COUNTIF(AP136:AP161,"3")+COUNTIF(AP136:AP161,"4")+COUNTIF(AP136:AP161,"5")+COUNTIF(AP136:AP161,"6")+COUNTIF(AP136:AP161,"7")+COUNTIF(AP136:AP161,"8")+COUNTIF(AP136:AP161,"9")+COUNTIF(AP136:AP161,"10")+COUNTIF(AP136:AP161,"11")+COUNTIF(AP136:AP161,"12")+COUNTIF(AP136:AP161,"13")+COUNTIF(AP136:AP161,"14")+COUNTIF(AP136:AP161,"15")+COUNTIF(AP136:AP161,"16")+COUNTIF(AP136:AP161,"17")+COUNTIF(AP136:AP161,"18")+COUNTIF(AP136:AP161,"19")+COUNTIF(AP136:AP161,"20")+COUNTIF(AP136:AP161,"21")+COUNTIF(AP136:AP161,"22")+COUNTIF(AP136:AP161,"23")+COUNTIF(AP136:AP161,"24")+COUNTIF(AP136:AP161,"25")+COUNTIF(AP136:AP161,"26"),"")</f>
        <v/>
      </c>
      <c r="AQ162" s="14" t="str">
        <f t="shared" si="6"/>
        <v/>
      </c>
      <c r="AR162" s="21" t="str">
        <f>IF(AR146&lt;&gt;"",IF(C136=AR146,G138,IF(C138=AR146,G138,IF(C144=AR146,G146,IF(C146=AR146,G146,IF(C166=AR146,G168,IF(C168=AR146,G168,IF(C174=AR146,G176,IF(C176=AR146,G176,IF(C152=AR146,G154,IF(C154=AR146,G154,IF(C160=AR146,G162,IF(C162=AR146,G162,IF(C182=AR146,G184,IF(C184=AR146,G184,IF(C190=AR146,G192,IF(C192=AR146,G192,IF(AK136=AR146,AI138,IF(AK138=AR146,AI138,IF(AK144=AR146,AI146,IF(AK146=AR146,AI146,IF(AK166=AR146,AI168,IF(AK168=AR146,AI168,IF(AK174=AR146,AI176,IF(AK176=AR146,AI176,IF(AK152=AR146,AI154,IF(AK154=AR146,AI154,IF(AK160=AR146,AI162,IF(AK162=AR146,AI162,IF(AK182=AR146,AI184,IF(AK184=AR146,AI184,IF(AK190=AR146,AI192,IF(AK192=AR146,AI192)))))))))))))))))))))))))))))))),"")</f>
        <v/>
      </c>
      <c r="AS162" s="15" t="str">
        <f>IFERROR(IF(AR162="","",VLOOKUP(AR162,LISTAS!$F$5:$G$1004,2,0)),"0")</f>
        <v/>
      </c>
      <c r="AT162" s="15" t="str">
        <f t="shared" si="7"/>
        <v/>
      </c>
      <c r="AU162" s="15" t="str">
        <f t="shared" si="8"/>
        <v/>
      </c>
    </row>
    <row r="163" spans="2:47" ht="18" customHeight="1" thickBot="1" x14ac:dyDescent="0.3">
      <c r="B163" s="16"/>
      <c r="C163" s="172" t="str">
        <f>IFERROR(IF(C162="","",VLOOKUP(C162,LISTAS!$F$5:$G$1004,2,0)),"0")</f>
        <v>IEBURIX -SBC</v>
      </c>
      <c r="D163" s="235"/>
      <c r="E163" s="51"/>
      <c r="F163" s="51"/>
      <c r="G163" s="176"/>
      <c r="H163" s="51"/>
      <c r="I163" s="11"/>
      <c r="J163" s="11"/>
      <c r="K163" s="166"/>
      <c r="L163" s="11"/>
      <c r="M163" s="18"/>
      <c r="N163" s="11"/>
      <c r="O163" s="171" t="str">
        <f>IF(L148&lt;&gt;"",IF(L150&lt;&gt;"",IF(L148=L150,"",IF(L148&gt;L150,K148,K150)),""),"")</f>
        <v>CECÍLIA GARAVELLO DE ARAÚJO</v>
      </c>
      <c r="P163" s="234">
        <v>0</v>
      </c>
      <c r="Q163" s="8"/>
      <c r="R163" s="167"/>
      <c r="S163" s="71"/>
      <c r="T163" s="71"/>
      <c r="U163" s="71"/>
      <c r="V163" s="167"/>
      <c r="W163" s="8"/>
      <c r="X163" s="234">
        <v>1</v>
      </c>
      <c r="Y163" s="171" t="str">
        <f>IF(AB148&lt;&gt;"",IF(AB150&lt;&gt;"",IF(AB148=AB150,"",IF(AB148&gt;AB150,AC148,AC150)),""),"")</f>
        <v>SOFIA SOUZA CAPANEMA</v>
      </c>
      <c r="Z163" s="65"/>
      <c r="AA163" s="8"/>
      <c r="AB163" s="11"/>
      <c r="AC163" s="182"/>
      <c r="AD163" s="8"/>
      <c r="AE163" s="8"/>
      <c r="AF163" s="8"/>
      <c r="AG163" s="181"/>
      <c r="AH163" s="78"/>
      <c r="AI163" s="51"/>
      <c r="AJ163" s="235"/>
      <c r="AK163" s="172" t="str">
        <f>IFERROR(IF(AK162="","",VLOOKUP(AK162,LISTAS!$F$5:$G$1004,2,0)),"0")</f>
        <v>IEBURIX -SBC</v>
      </c>
      <c r="AL163" s="11"/>
      <c r="AP163" s="13" t="str">
        <f>IF(AR163&lt;&gt;"",1+COUNTIF(AP136:AP162,"1")+COUNTIF(AP136:AP162,"2")+COUNTIF(AP136:AP162,"3")+COUNTIF(AP136:AP162,"4")+COUNTIF(AP136:AP162,"5")+COUNTIF(AP136:AP162,"6")+COUNTIF(AP136:AP162,"7")+COUNTIF(AP136:AP162,"8")+COUNTIF(AP136:AP162,"9")+COUNTIF(AP136:AP162,"10")+COUNTIF(AP136:AP162,"11")+COUNTIF(AP136:AP162,"12")+COUNTIF(AP136:AP162,"13")+COUNTIF(AP136:AP162,"14")+COUNTIF(AP136:AP162,"15")+COUNTIF(AP136:AP162,"16")+COUNTIF(AP136:AP162,"17")+COUNTIF(AP136:AP162,"18")+COUNTIF(AP136:AP162,"19")+COUNTIF(AP136:AP162,"20")+COUNTIF(AP136:AP162,"21")+COUNTIF(AP136:AP162,"22")+COUNTIF(AP136:AP162,"23")+COUNTIF(AP136:AP162,"24")+COUNTIF(AP136:AP162,"25")+COUNTIF(AP136:AP162,"26")+COUNTIF(AP136:AP162,"27"),"")</f>
        <v/>
      </c>
      <c r="AQ163" s="14" t="str">
        <f t="shared" si="6"/>
        <v/>
      </c>
      <c r="AR163" s="21" t="str">
        <f>IF(AR147&lt;&gt;"",IF(C136=AR147,G138,IF(C138=AR147,G138,IF(C144=AR147,G146,IF(C146=AR147,G146,IF(C166=AR147,G168,IF(C168=AR147,G168,IF(C174=AR147,G176,IF(C176=AR147,G176,IF(C152=AR147,G154,IF(C154=AR147,G154,IF(C160=AR147,G162,IF(C162=AR147,G162,IF(C182=AR147,G184,IF(C184=AR147,G184,IF(C190=AR147,G192,IF(C192=AR147,G192,IF(AK136=AR147,AI138,IF(AK138=AR147,AI138,IF(AK144=AR147,AI146,IF(AK146=AR147,AI146,IF(AK166=AR147,AI168,IF(AK168=AR147,AI168,IF(AK174=AR147,AI176,IF(AK176=AR147,AI176,IF(AK152=AR147,AI154,IF(AK154=AR147,AI154,IF(AK160=AR147,AI162,IF(AK162=AR147,AI162,IF(AK182=AR147,AI184,IF(AK184=AR147,AI184,IF(AK190=AR147,AI192,IF(AK192=AR147,AI192)))))))))))))))))))))))))))))))),"")</f>
        <v/>
      </c>
      <c r="AS163" s="15" t="str">
        <f>IFERROR(IF(AR163="","",VLOOKUP(AR163,LISTAS!$F$5:$G$1004,2,0)),"0")</f>
        <v/>
      </c>
      <c r="AT163" s="15" t="str">
        <f t="shared" si="7"/>
        <v/>
      </c>
      <c r="AU163" s="15" t="str">
        <f t="shared" si="8"/>
        <v/>
      </c>
    </row>
    <row r="164" spans="2:47" ht="18" customHeight="1" thickBot="1" x14ac:dyDescent="0.3">
      <c r="B164" s="16"/>
      <c r="C164" s="166"/>
      <c r="D164" s="11"/>
      <c r="E164" s="11"/>
      <c r="F164" s="11"/>
      <c r="G164" s="166"/>
      <c r="H164" s="11"/>
      <c r="I164" s="11"/>
      <c r="J164" s="11"/>
      <c r="K164" s="166"/>
      <c r="L164" s="11"/>
      <c r="M164" s="18"/>
      <c r="N164" s="11"/>
      <c r="O164" s="172" t="str">
        <f>IFERROR(IF(O163="","",VLOOKUP(O163,LISTAS!$F$5:$G$1004,2,0)),"0")</f>
        <v>COLÉGIO ARBOS - UNIDADE SANTO ANDRÉ</v>
      </c>
      <c r="P164" s="235"/>
      <c r="Q164" s="8"/>
      <c r="R164" s="171" t="str">
        <f>IF(P163&lt;&gt;"",IF(P165&lt;&gt;"",IF(P163=P165,"",IF(P163&gt;P165,O163,O165)),""),"")</f>
        <v xml:space="preserve">GIOVANA MORAES </v>
      </c>
      <c r="S164" s="234">
        <v>1</v>
      </c>
      <c r="T164" s="237" t="s">
        <v>38</v>
      </c>
      <c r="U164" s="234">
        <v>0</v>
      </c>
      <c r="V164" s="171" t="str">
        <f>IF(X163&lt;&gt;"",IF(X165&lt;&gt;"",IF(X163=X165,"",IF(X163&gt;X165,Y163,Y165)),""),"")</f>
        <v>SOFIA SOUZA CAPANEMA</v>
      </c>
      <c r="W164" s="112"/>
      <c r="X164" s="235"/>
      <c r="Y164" s="172" t="str">
        <f>IFERROR(IF(Y163="","",VLOOKUP(Y163,LISTAS!$F$5:$G$1004,2,0)),"0")</f>
        <v>IEBURIX -SBC</v>
      </c>
      <c r="Z164" s="112"/>
      <c r="AA164" s="8"/>
      <c r="AB164" s="11"/>
      <c r="AC164" s="182"/>
      <c r="AD164" s="8"/>
      <c r="AE164" s="8"/>
      <c r="AF164" s="8"/>
      <c r="AG164" s="182"/>
      <c r="AH164" s="8"/>
      <c r="AI164" s="8"/>
      <c r="AJ164" s="11"/>
      <c r="AK164" s="166"/>
      <c r="AL164" s="11"/>
      <c r="AP164" s="13" t="str">
        <f>IF(AR164&lt;&gt;"",1+COUNTIF(AP136:AP163,"1")+COUNTIF(AP136:AP163,"2")+COUNTIF(AP136:AP163,"3")+COUNTIF(AP136:AP163,"4")+COUNTIF(AP136:AP163,"5")+COUNTIF(AP136:AP163,"6")+COUNTIF(AP136:AP163,"7")+COUNTIF(AP136:AP163,"8")+COUNTIF(AP136:AP163,"9")+COUNTIF(AP136:AP163,"10")+COUNTIF(AP136:AP163,"11")+COUNTIF(AP136:AP163,"12")+COUNTIF(AP136:AP163,"13")+COUNTIF(AP136:AP163,"14")+COUNTIF(AP136:AP163,"15")+COUNTIF(AP136:AP163,"16")+COUNTIF(AP136:AP163,"17")+COUNTIF(AP136:AP163,"18")+COUNTIF(AP136:AP163,"19")+COUNTIF(AP136:AP163,"20")+COUNTIF(AP136:AP163,"21")+COUNTIF(AP136:AP163,"22")+COUNTIF(AP136:AP163,"23")+COUNTIF(AP136:AP163,"24")+COUNTIF(AP136:AP163,"25")+COUNTIF(AP136:AP163,"26")+COUNTIF(AP136:AP163,"27")+COUNTIF(AP136:AP163,"28"),"")</f>
        <v/>
      </c>
      <c r="AQ164" s="14" t="str">
        <f t="shared" si="6"/>
        <v/>
      </c>
      <c r="AR164" s="21" t="str">
        <f>IF(AR148&lt;&gt;"",IF(C136=AR148,G138,IF(C138=AR148,G138,IF(C144=AR148,G146,IF(C146=AR148,G146,IF(C166=AR148,G168,IF(C168=AR148,G168,IF(C174=AR148,G176,IF(C176=AR148,G176,IF(C152=AR148,G154,IF(C154=AR148,G154,IF(C160=AR148,G162,IF(C162=AR148,G162,IF(C182=AR148,G184,IF(C184=AR148,G184,IF(C190=AR148,G192,IF(C192=AR148,G192,IF(AK136=AR148,AI138,IF(AK138=AR148,AI138,IF(AK144=AR148,AI146,IF(AK146=AR148,AI146,IF(AK166=AR148,AI168,IF(AK168=AR148,AI168,IF(AK174=AR148,AI176,IF(AK176=AR148,AI176,IF(AK152=AR148,AI154,IF(AK154=AR148,AI154,IF(AK160=AR148,AI162,IF(AK162=AR148,AI162,IF(AK182=AR148,AI184,IF(AK184=AR148,AI184,IF(AK190=AR148,AI192,IF(AK192=AR148,AI192)))))))))))))))))))))))))))))))),"")</f>
        <v/>
      </c>
      <c r="AS164" s="15" t="str">
        <f>IFERROR(IF(AR164="","",VLOOKUP(AR164,LISTAS!$F$5:$G$1004,2,0)),"0")</f>
        <v/>
      </c>
      <c r="AT164" s="15" t="str">
        <f t="shared" si="7"/>
        <v/>
      </c>
      <c r="AU164" s="15" t="str">
        <f t="shared" si="8"/>
        <v/>
      </c>
    </row>
    <row r="165" spans="2:47" ht="18" customHeight="1" thickBot="1" x14ac:dyDescent="0.3">
      <c r="B165" s="16"/>
      <c r="C165" s="166"/>
      <c r="D165" s="11"/>
      <c r="E165" s="11"/>
      <c r="F165" s="11"/>
      <c r="G165" s="166"/>
      <c r="H165" s="11"/>
      <c r="I165" s="11"/>
      <c r="J165" s="11"/>
      <c r="K165" s="166"/>
      <c r="L165" s="11"/>
      <c r="M165" s="18"/>
      <c r="N165" s="19"/>
      <c r="O165" s="171" t="str">
        <f>IF(L178&lt;&gt;"",IF(L180&lt;&gt;"",IF(L178=L180,"",IF(L178&gt;L180,K178,K180)),""),"")</f>
        <v xml:space="preserve">GIOVANA MORAES </v>
      </c>
      <c r="P165" s="234">
        <v>1</v>
      </c>
      <c r="Q165" s="72"/>
      <c r="R165" s="172" t="str">
        <f>IFERROR(IF(R164="","",VLOOKUP(R164,LISTAS!$F$5:$G$1004,2,0)),"0")</f>
        <v>ESCOLA INTERAÇÃO</v>
      </c>
      <c r="S165" s="235"/>
      <c r="T165" s="237"/>
      <c r="U165" s="235"/>
      <c r="V165" s="172" t="str">
        <f>IFERROR(IF(V164="","",VLOOKUP(V164,LISTAS!$F$5:$G$1004,2,0)),"0")</f>
        <v>IEBURIX -SBC</v>
      </c>
      <c r="W165" s="66"/>
      <c r="X165" s="234">
        <v>0</v>
      </c>
      <c r="Y165" s="171" t="str">
        <f>IF(AB178&lt;&gt;"",IF(AB180&lt;&gt;"",IF(AB178=AB180,"",IF(AB178&gt;AB180,AC178,AC180)),""),"")</f>
        <v>VIVIAN MATSUMOTO</v>
      </c>
      <c r="Z165" s="66"/>
      <c r="AA165" s="8"/>
      <c r="AB165" s="11"/>
      <c r="AC165" s="182"/>
      <c r="AD165" s="8"/>
      <c r="AE165" s="8"/>
      <c r="AF165" s="8"/>
      <c r="AG165" s="182"/>
      <c r="AH165" s="8"/>
      <c r="AI165" s="8"/>
      <c r="AJ165" s="11"/>
      <c r="AK165" s="166"/>
      <c r="AL165" s="11"/>
      <c r="AP165" s="13" t="str">
        <f>IF(AR165&lt;&gt;"",1+COUNTIF(AP136:AP164,"1")+COUNTIF(AP136:AP164,"2")+COUNTIF(AP136:AP164,"3")+COUNTIF(AP136:AP164,"4")+COUNTIF(AP136:AP164,"5")+COUNTIF(AP136:AP164,"6")+COUNTIF(AP136:AP164,"7")+COUNTIF(AP136:AP164,"8")+COUNTIF(AP136:AP164,"9")+COUNTIF(AP136:AP164,"10")+COUNTIF(AP136:AP164,"11")+COUNTIF(AP136:AP164,"12")+COUNTIF(AP136:AP164,"13")+COUNTIF(AP136:AP164,"14")+COUNTIF(AP136:AP164,"15")+COUNTIF(AP136:AP164,"16")+COUNTIF(AP136:AP164,"17")+COUNTIF(AP136:AP164,"18")+COUNTIF(AP136:AP164,"19")+COUNTIF(AP136:AP164,"20")+COUNTIF(AP136:AP164,"21")+COUNTIF(AP136:AP164,"22")+COUNTIF(AP136:AP164,"23")+COUNTIF(AP136:AP164,"24")+COUNTIF(AP136:AP164,"25")+COUNTIF(AP136:AP164,"26")+COUNTIF(AP136:AP164,"27")+COUNTIF(AP136:AP164,"28")+COUNTIF(AP136:AP164,"29"),"")</f>
        <v/>
      </c>
      <c r="AQ165" s="14" t="str">
        <f t="shared" si="6"/>
        <v/>
      </c>
      <c r="AR165" s="21" t="str">
        <f>IF(AR149&lt;&gt;"",IF(C136=AR149,G138,IF(C138=AR149,G138,IF(C144=AR149,G146,IF(C146=AR149,G146,IF(C166=AR149,G168,IF(C168=AR149,G168,IF(C174=AR149,G176,IF(C176=AR149,G176,IF(C152=AR149,G154,IF(C154=AR149,G154,IF(C160=AR149,G162,IF(C162=AR149,G162,IF(C182=AR149,G184,IF(C184=AR149,G184,IF(C190=AR149,G192,IF(C192=AR149,G192,IF(AK136=AR149,AI138,IF(AK138=AR149,AI138,IF(AK144=AR149,AI146,IF(AK146=AR149,AI146,IF(AK166=AR149,AI168,IF(AK168=AR149,AI168,IF(AK174=AR149,AI176,IF(AK176=AR149,AI176,IF(AK152=AR149,AI154,IF(AK154=AR149,AI154,IF(AK160=AR149,AI162,IF(AK162=AR149,AI162,IF(AK182=AR149,AI184,IF(AK184=AR149,AI184,IF(AK190=AR149,AI192,IF(AK192=AR149,AI192)))))))))))))))))))))))))))))))),"")</f>
        <v/>
      </c>
      <c r="AS165" s="15" t="str">
        <f>IFERROR(IF(AR165="","",VLOOKUP(AR165,LISTAS!$F$5:$G$1004,2,0)),"0")</f>
        <v/>
      </c>
      <c r="AT165" s="15" t="str">
        <f t="shared" si="7"/>
        <v/>
      </c>
      <c r="AU165" s="15" t="str">
        <f t="shared" si="8"/>
        <v/>
      </c>
    </row>
    <row r="166" spans="2:47" ht="18" customHeight="1" thickBot="1" x14ac:dyDescent="0.3">
      <c r="B166" s="16">
        <v>5</v>
      </c>
      <c r="C166" s="171" t="str">
        <f>IF('11F GRP'!G5&gt;=3,'11F GRP'!J75,IF('11F GRP'!G5=2,"",IF('11F GRP'!G5=1,"","")))</f>
        <v>MALUH GUIMARÃES PINHO</v>
      </c>
      <c r="D166" s="234">
        <v>2</v>
      </c>
      <c r="E166" s="51">
        <f>IF(D166&lt;&gt;"",D166,"")</f>
        <v>2</v>
      </c>
      <c r="F166" s="51" t="str">
        <f>IF(D166&lt;&gt;"",IF(C166="","",C166),"")</f>
        <v>MALUH GUIMARÃES PINHO</v>
      </c>
      <c r="G166" s="176">
        <f>IF(E166&lt;&gt;"",IF(E168&lt;&gt;"",SMALL(E166:E168,1),""),"")</f>
        <v>0</v>
      </c>
      <c r="H166" s="51"/>
      <c r="I166" s="51"/>
      <c r="J166" s="11"/>
      <c r="K166" s="166"/>
      <c r="L166" s="11"/>
      <c r="M166" s="18"/>
      <c r="N166" s="8"/>
      <c r="O166" s="172" t="str">
        <f>IFERROR(IF(O165="","",VLOOKUP(O165,LISTAS!$F$5:$G$1004,2,0)),"0")</f>
        <v>ESCOLA INTERAÇÃO</v>
      </c>
      <c r="P166" s="235"/>
      <c r="Q166" s="60"/>
      <c r="R166" s="182"/>
      <c r="S166" s="8"/>
      <c r="T166" s="8"/>
      <c r="U166" s="8"/>
      <c r="V166" s="182"/>
      <c r="W166" s="8"/>
      <c r="X166" s="235"/>
      <c r="Y166" s="172" t="str">
        <f>IFERROR(IF(Y165="","",VLOOKUP(Y165,LISTAS!$F$5:$G$1004,2,0)),"0")</f>
        <v>COLÉGIO ARBOS - UNIDADE SANTO ANDRÉ</v>
      </c>
      <c r="Z166" s="65"/>
      <c r="AA166" s="8"/>
      <c r="AB166" s="11"/>
      <c r="AC166" s="182"/>
      <c r="AD166" s="8"/>
      <c r="AE166" s="8"/>
      <c r="AF166" s="8"/>
      <c r="AG166" s="181">
        <f>IF(AJ166&lt;&gt;"",AJ166,"")</f>
        <v>2</v>
      </c>
      <c r="AH166" s="78" t="str">
        <f>IF(AJ166&lt;&gt;"",IF(AK166="","",AK166),"")</f>
        <v>VIVIAN MATSUMOTO</v>
      </c>
      <c r="AI166" s="51">
        <f>IF(AG166&lt;&gt;"",IF(AG168&lt;&gt;"",SMALL(AG166:AG168,1),""),"")</f>
        <v>0</v>
      </c>
      <c r="AJ166" s="234">
        <v>2</v>
      </c>
      <c r="AK166" s="171" t="str">
        <f>IF('11F GRP'!G5&gt;=3,'11F GRP'!J101,IF('11F GRP'!G5=2,"",IF('11F GRP'!G5=1,"","")))</f>
        <v>VIVIAN MATSUMOTO</v>
      </c>
      <c r="AL166" s="11">
        <v>7</v>
      </c>
      <c r="AP166" s="13" t="str">
        <f>IF(AR166&lt;&gt;"",1+COUNTIF(AP136:AP165,"1")+COUNTIF(AP136:AP165,"2")+COUNTIF(AP136:AP165,"3")+COUNTIF(AP136:AP165,"4")+COUNTIF(AP136:AP165,"5")+COUNTIF(AP136:AP165,"6")+COUNTIF(AP136:AP165,"7")+COUNTIF(AP136:AP165,"8")+COUNTIF(AP136:AP165,"9")+COUNTIF(AP136:AP165,"10")+COUNTIF(AP136:AP165,"11")+COUNTIF(AP136:AP165,"12")+COUNTIF(AP136:AP165,"13")+COUNTIF(AP136:AP165,"14")+COUNTIF(AP136:AP165,"15")+COUNTIF(AP136:AP165,"16")+COUNTIF(AP136:AP165,"17")+COUNTIF(AP136:AP165,"18")+COUNTIF(AP136:AP165,"19")+COUNTIF(AP136:AP165,"20")+COUNTIF(AP136:AP165,"21")+COUNTIF(AP136:AP165,"22")+COUNTIF(AP136:AP165,"23")+COUNTIF(AP136:AP165,"24")+COUNTIF(AP136:AP165,"25")+COUNTIF(AP136:AP165,"26")+COUNTIF(AP136:AP165,"27")+COUNTIF(AP136:AP165,"28")+COUNTIF(AP136:AP165,"29")+COUNTIF(AP136:AP165,"30"),"")</f>
        <v/>
      </c>
      <c r="AQ166" s="14" t="str">
        <f t="shared" si="6"/>
        <v/>
      </c>
      <c r="AR166" s="21" t="str">
        <f>IF(AR150&lt;&gt;"",IF(C136=AR150,G138,IF(C138=AR150,G138,IF(C144=AR150,G146,IF(C146=AR150,G146,IF(C166=AR150,G168,IF(C168=AR150,G168,IF(C174=AR150,G176,IF(C176=AR150,G176,IF(C152=AR150,G154,IF(C154=AR150,G154,IF(C160=AR150,G162,IF(C162=AR150,G162,IF(C182=AR150,G184,IF(C184=AR150,G184,IF(C190=AR150,G192,IF(C192=AR150,G192,IF(AK136=AR150,AI138,IF(AK138=AR150,AI138,IF(AK144=AR150,AI146,IF(AK146=AR150,AI146,IF(AK166=AR150,AI168,IF(AK168=AR150,AI168,IF(AK174=AR150,AI176,IF(AK176=AR150,AI176,IF(AK152=AR150,AI154,IF(AK154=AR150,AI154,IF(AK160=AR150,AI162,IF(AK162=AR150,AI162,IF(AK182=AR150,AI184,IF(AK184=AR150,AI184,IF(AK190=AR150,AI192,IF(AK192=AR150,AI192)))))))))))))))))))))))))))))))),"")</f>
        <v/>
      </c>
      <c r="AS166" s="15" t="str">
        <f>IFERROR(IF(AR166="","",VLOOKUP(AR166,LISTAS!$F$5:$G$1004,2,0)),"0")</f>
        <v/>
      </c>
      <c r="AT166" s="15" t="str">
        <f t="shared" si="7"/>
        <v/>
      </c>
      <c r="AU166" s="15" t="str">
        <f t="shared" si="8"/>
        <v/>
      </c>
    </row>
    <row r="167" spans="2:47" ht="18" customHeight="1" thickBot="1" x14ac:dyDescent="0.3">
      <c r="B167" s="16"/>
      <c r="C167" s="172" t="str">
        <f>IFERROR(IF(C166="","",VLOOKUP(C166,LISTAS!$F$5:$G$1004,2,0)),"0")</f>
        <v>COLÉGIO ENGENHEIRO SALVADOR ARENA</v>
      </c>
      <c r="D167" s="235"/>
      <c r="E167" s="51"/>
      <c r="F167" s="51"/>
      <c r="G167" s="176"/>
      <c r="H167" s="51"/>
      <c r="I167" s="51"/>
      <c r="J167" s="51"/>
      <c r="K167" s="176"/>
      <c r="L167" s="51"/>
      <c r="M167" s="54"/>
      <c r="N167" s="78"/>
      <c r="O167" s="181"/>
      <c r="P167" s="78"/>
      <c r="Q167" s="78"/>
      <c r="R167" s="182"/>
      <c r="S167" s="8"/>
      <c r="T167" s="8"/>
      <c r="U167" s="8"/>
      <c r="V167" s="182"/>
      <c r="W167" s="8"/>
      <c r="X167" s="62"/>
      <c r="Y167" s="182"/>
      <c r="Z167" s="65"/>
      <c r="AA167" s="8"/>
      <c r="AB167" s="11"/>
      <c r="AC167" s="182"/>
      <c r="AD167" s="8"/>
      <c r="AE167" s="8"/>
      <c r="AF167" s="8"/>
      <c r="AG167" s="181"/>
      <c r="AH167" s="78"/>
      <c r="AI167" s="51"/>
      <c r="AJ167" s="235"/>
      <c r="AK167" s="172" t="str">
        <f>IFERROR(IF(AK166="","",VLOOKUP(AK166,LISTAS!$F$5:$G$1004,2,0)),"0")</f>
        <v>COLÉGIO ARBOS - UNIDADE SANTO ANDRÉ</v>
      </c>
      <c r="AL167" s="11"/>
      <c r="AP167" s="13" t="str">
        <f>IF(AR167&lt;&gt;"",1+COUNTIF(AP136:AP166,"1")+COUNTIF(AP136:AP166,"2")+COUNTIF(AP136:AP166,"3")+COUNTIF(AP136:AP166,"4")+COUNTIF(AP136:AP166,"5")+COUNTIF(AP136:AP166,"6")+COUNTIF(AP136:AP166,"7")+COUNTIF(AP136:AP166,"8")+COUNTIF(AP136:AP166,"9")+COUNTIF(AP136:AP166,"10")+COUNTIF(AP136:AP166,"11")+COUNTIF(AP136:AP166,"12")+COUNTIF(AP136:AP166,"13")+COUNTIF(AP136:AP166,"14")+COUNTIF(AP136:AP166,"15")+COUNTIF(AP136:AP166,"16")+COUNTIF(AP136:AP166,"17")+COUNTIF(AP136:AP166,"18")+COUNTIF(AP136:AP166,"19")+COUNTIF(AP136:AP166,"20")+COUNTIF(AP136:AP166,"21")+COUNTIF(AP136:AP166,"22")+COUNTIF(AP136:AP166,"23")+COUNTIF(AP136:AP166,"24")+COUNTIF(AP136:AP166,"25")+COUNTIF(AP136:AP166,"26")+COUNTIF(AP136:AP166,"27")+COUNTIF(AP136:AP166,"28")+COUNTIF(AP136:AP166,"29")+COUNTIF(AP136:AP166,"30")+COUNTIF(AP136:AP166,"31"),"")</f>
        <v/>
      </c>
      <c r="AQ167" s="14" t="str">
        <f t="shared" si="6"/>
        <v/>
      </c>
      <c r="AR167" s="21" t="str">
        <f>IF(AR151&lt;&gt;"",IF(C136=AR151,G138,IF(C138=AR151,G138,IF(C144=AR151,G146,IF(C146=AR151,G146,IF(C166=AR151,G168,IF(C168=AR151,G168,IF(C174=AR151,G176,IF(C176=AR151,G176,IF(C152=AR151,G154,IF(C154=AR151,G154,IF(C160=AR151,G162,IF(C162=AR151,G162,IF(C182=AR151,G184,IF(C184=AR151,G184,IF(C190=AR151,G192,IF(C192=AR151,G192,IF(AK136=AR151,AI138,IF(AK138=AR151,AI138,IF(AK144=AR151,AI146,IF(AK146=AR151,AI146,IF(AK166=AR151,AI168,IF(AK168=AR151,AI168,IF(AK174=AR151,AI176,IF(AK176=AR151,AI176,IF(AK152=AR151,AI154,IF(AK154=AR151,AI154,IF(AK160=AR151,AI162,IF(AK162=AR151,AI162,IF(AK182=AR151,AI184,IF(AK184=AR151,AI184,IF(AK190=AR151,AI192,IF(AK192=AR151,AI192)))))))))))))))))))))))))))))))),"")</f>
        <v/>
      </c>
      <c r="AS167" s="15" t="str">
        <f>IFERROR(IF(AR167="","",VLOOKUP(AR167,LISTAS!$F$5:$G$1004,2,0)),"0")</f>
        <v/>
      </c>
      <c r="AT167" s="15" t="str">
        <f>IF(AP167="","",IF(AP167=1,100,IF(AP167=2,80,IF(AP167=3,70,IF(AP167=4,50,IF(AP167=5,45,IF(AP167=6,40,IF(AP167=7,35,IF(AP167=8,30,IF(AP167=9,28,IF(AP167=10,28,IF(AP167=11,28,IF(AP167=12,28,IF(AP167=13,28,IF(AP167=14,28,IF(AP167=15,28,IF(AP167=16,28,IF(AP167&gt;16,"",""))))))))))))))))))</f>
        <v/>
      </c>
      <c r="AU167" s="15" t="str">
        <f>IF(AP167="","",IF($AS$5="NÃO","",IF(AP167=1,100,IF(AP167=2,80,IF(AP167=3,70,IF(AP167=4,50,IF(AP167=5,45,IF(AP167=6,40,IF(AP167=7,35,IF(AP167=8,30,IF(AP167=9,28,IF(AP167=10,28,IF(AP167=11,28,IF(AP167=12,28,IF(AP167=13,28,IF(AP167=14,28,IF(AP167=15,28,IF(AP167=16,28,IF(AP167&gt;16,"","")))))))))))))))))))</f>
        <v/>
      </c>
    </row>
    <row r="168" spans="2:47" ht="18" customHeight="1" x14ac:dyDescent="0.25">
      <c r="B168" s="16">
        <v>28</v>
      </c>
      <c r="C168" s="171" t="str">
        <f>IF('11F GRP'!G5&gt;=3,'11F GRP'!J374,IF('11F GRP'!G5=2,"",IF('11F GRP'!G5=1,"","")))</f>
        <v/>
      </c>
      <c r="D168" s="234">
        <v>0</v>
      </c>
      <c r="E168" s="52">
        <f>IF(D168&lt;&gt;"",D168,"")</f>
        <v>0</v>
      </c>
      <c r="F168" s="51" t="str">
        <f>IF(D168&lt;&gt;"",IF(C168="","",C168),"")</f>
        <v/>
      </c>
      <c r="G168" s="176" t="str">
        <f>VLOOKUP(G166,E166:F168,2,0)</f>
        <v/>
      </c>
      <c r="H168" s="51"/>
      <c r="I168" s="51"/>
      <c r="J168" s="51"/>
      <c r="K168" s="176"/>
      <c r="L168" s="51"/>
      <c r="M168" s="54"/>
      <c r="N168" s="51">
        <f>IF(P163&lt;&gt;"",P163,"")</f>
        <v>0</v>
      </c>
      <c r="O168" s="176" t="str">
        <f>IF(P163&lt;&gt;"",O163,"")</f>
        <v>CECÍLIA GARAVELLO DE ARAÚJO</v>
      </c>
      <c r="P168" s="51">
        <f>IF(N168&lt;&gt;"",IF(N170&lt;&gt;"",LARGE(N168:N170,1),""),"")</f>
        <v>1</v>
      </c>
      <c r="Q168" s="78"/>
      <c r="R168" s="182"/>
      <c r="S168" s="8"/>
      <c r="T168" s="8"/>
      <c r="U168" s="8"/>
      <c r="V168" s="182"/>
      <c r="W168" s="8"/>
      <c r="X168" s="62"/>
      <c r="Y168" s="182"/>
      <c r="Z168" s="65"/>
      <c r="AA168" s="8"/>
      <c r="AB168" s="11"/>
      <c r="AC168" s="182"/>
      <c r="AD168" s="8"/>
      <c r="AE168" s="8"/>
      <c r="AF168" s="8"/>
      <c r="AG168" s="181">
        <f>IF(AJ168&lt;&gt;"",AJ168,"")</f>
        <v>0</v>
      </c>
      <c r="AH168" s="78" t="str">
        <f>IF(AJ168&lt;&gt;"",IF(AK168="","",AK168),"")</f>
        <v/>
      </c>
      <c r="AI168" s="55" t="str">
        <f>VLOOKUP(AI166,AG166:AH168,2,0)</f>
        <v/>
      </c>
      <c r="AJ168" s="234">
        <v>0</v>
      </c>
      <c r="AK168" s="171" t="str">
        <f>IF('11F GRP'!G5&gt;=3,'11F GRP'!J348,IF('11F GRP'!G5=2,"",IF('11F GRP'!G5=1,"","")))</f>
        <v/>
      </c>
      <c r="AL168" s="11">
        <v>26</v>
      </c>
    </row>
    <row r="169" spans="2:47" ht="18" customHeight="1" thickBot="1" x14ac:dyDescent="0.3">
      <c r="B169" s="16"/>
      <c r="C169" s="172" t="str">
        <f>IFERROR(IF(C168="","",VLOOKUP(C168,LISTAS!$F$5:$G$1004,2,0)),"0")</f>
        <v/>
      </c>
      <c r="D169" s="235"/>
      <c r="E169" s="128"/>
      <c r="F169" s="51"/>
      <c r="G169" s="176"/>
      <c r="H169" s="51"/>
      <c r="I169" s="51"/>
      <c r="J169" s="51"/>
      <c r="K169" s="176"/>
      <c r="L169" s="51"/>
      <c r="M169" s="54"/>
      <c r="N169" s="51"/>
      <c r="O169" s="176"/>
      <c r="P169" s="51"/>
      <c r="Q169" s="78"/>
      <c r="R169" s="182"/>
      <c r="S169" s="8"/>
      <c r="T169" s="8"/>
      <c r="U169" s="8"/>
      <c r="V169" s="182"/>
      <c r="W169" s="8"/>
      <c r="X169" s="62"/>
      <c r="Y169" s="182"/>
      <c r="Z169" s="65"/>
      <c r="AA169" s="8"/>
      <c r="AB169" s="11"/>
      <c r="AC169" s="182"/>
      <c r="AD169" s="8"/>
      <c r="AE169" s="8"/>
      <c r="AF169" s="8"/>
      <c r="AG169" s="181"/>
      <c r="AH169" s="78"/>
      <c r="AI169" s="123"/>
      <c r="AJ169" s="235"/>
      <c r="AK169" s="172" t="str">
        <f>IFERROR(IF(AK168="","",VLOOKUP(AK168,LISTAS!$F$5:$G$1004,2,0)),"0")</f>
        <v/>
      </c>
      <c r="AL169" s="11"/>
    </row>
    <row r="170" spans="2:47" ht="18" customHeight="1" x14ac:dyDescent="0.25">
      <c r="B170" s="16"/>
      <c r="C170" s="166"/>
      <c r="D170" s="11"/>
      <c r="E170" s="11"/>
      <c r="F170" s="17"/>
      <c r="G170" s="171" t="str">
        <f>IF(D166&lt;&gt;"",IF(D168&lt;&gt;"",IF(D166=D168,"",IF(D166&gt;D168,C166,C168)),""),"")</f>
        <v>MALUH GUIMARÃES PINHO</v>
      </c>
      <c r="H170" s="234">
        <v>0</v>
      </c>
      <c r="I170" s="51">
        <f>IF(H170&lt;&gt;"",H170,"")</f>
        <v>0</v>
      </c>
      <c r="J170" s="51" t="str">
        <f>IF(H170&lt;&gt;"",IF(G170="","",G170),"")</f>
        <v>MALUH GUIMARÃES PINHO</v>
      </c>
      <c r="K170" s="176">
        <f>IF(I170&lt;&gt;"",IF(I172&lt;&gt;"",SMALL(I170:J172,1),""),"")</f>
        <v>0</v>
      </c>
      <c r="L170" s="51"/>
      <c r="M170" s="54"/>
      <c r="N170" s="51">
        <f>IF(P165&lt;&gt;"",P165,"")</f>
        <v>1</v>
      </c>
      <c r="O170" s="176" t="str">
        <f>IF(P165&lt;&gt;"",O165,"")</f>
        <v xml:space="preserve">GIOVANA MORAES </v>
      </c>
      <c r="P170" s="51" t="str">
        <f>VLOOKUP(P168,N168:O170,2,0)</f>
        <v xml:space="preserve">GIOVANA MORAES </v>
      </c>
      <c r="Q170" s="78"/>
      <c r="R170" s="182"/>
      <c r="S170" s="8"/>
      <c r="T170" s="8"/>
      <c r="U170" s="8"/>
      <c r="V170" s="182"/>
      <c r="W170" s="8"/>
      <c r="X170" s="62"/>
      <c r="Y170" s="182"/>
      <c r="Z170" s="65"/>
      <c r="AA170" s="8"/>
      <c r="AB170" s="11"/>
      <c r="AC170" s="182"/>
      <c r="AD170" s="8"/>
      <c r="AE170" s="67"/>
      <c r="AF170" s="234">
        <v>2</v>
      </c>
      <c r="AG170" s="171" t="str">
        <f>IF(AJ166&lt;&gt;"",IF(AJ168&lt;&gt;"",IF(AJ166=AJ168,"",IF(AJ166&gt;AJ168,AK166,AK168)),""),"")</f>
        <v>VIVIAN MATSUMOTO</v>
      </c>
      <c r="AH170" s="65"/>
      <c r="AI170" s="8"/>
      <c r="AJ170" s="11"/>
      <c r="AK170" s="166"/>
      <c r="AL170" s="11"/>
      <c r="AP170" s="2"/>
      <c r="AQ170" s="2"/>
      <c r="AR170" s="2"/>
      <c r="AS170" s="2"/>
      <c r="AT170" s="2"/>
      <c r="AU170" s="2"/>
    </row>
    <row r="171" spans="2:47" ht="18" customHeight="1" thickBot="1" x14ac:dyDescent="0.3">
      <c r="B171" s="16"/>
      <c r="C171" s="166"/>
      <c r="D171" s="11"/>
      <c r="E171" s="11"/>
      <c r="F171" s="17"/>
      <c r="G171" s="172" t="str">
        <f>IFERROR(IF(G170="","",VLOOKUP(G170,LISTAS!$F$5:$G$1004,2,0)),"0")</f>
        <v>COLÉGIO ENGENHEIRO SALVADOR ARENA</v>
      </c>
      <c r="H171" s="235"/>
      <c r="I171" s="51"/>
      <c r="J171" s="51"/>
      <c r="K171" s="176"/>
      <c r="L171" s="51"/>
      <c r="M171" s="54"/>
      <c r="N171" s="51"/>
      <c r="O171" s="176"/>
      <c r="P171" s="51"/>
      <c r="Q171" s="78"/>
      <c r="R171" s="182"/>
      <c r="S171" s="8"/>
      <c r="T171" s="8"/>
      <c r="U171" s="8"/>
      <c r="V171" s="182"/>
      <c r="W171" s="8"/>
      <c r="X171" s="62"/>
      <c r="Y171" s="182"/>
      <c r="Z171" s="65"/>
      <c r="AA171" s="8"/>
      <c r="AB171" s="11"/>
      <c r="AC171" s="182"/>
      <c r="AD171" s="8"/>
      <c r="AE171" s="67"/>
      <c r="AF171" s="235"/>
      <c r="AG171" s="172" t="str">
        <f>IFERROR(IF(AG170="","",VLOOKUP(AG170,LISTAS!$F$5:$G$1004,2,0)),"0")</f>
        <v>COLÉGIO ARBOS - UNIDADE SANTO ANDRÉ</v>
      </c>
      <c r="AH171" s="65"/>
      <c r="AI171" s="8"/>
      <c r="AJ171" s="11"/>
      <c r="AK171" s="166"/>
      <c r="AL171" s="11"/>
      <c r="AP171" s="2"/>
      <c r="AQ171" s="2"/>
      <c r="AR171" s="2"/>
      <c r="AS171" s="2"/>
      <c r="AT171" s="2"/>
      <c r="AU171" s="2"/>
    </row>
    <row r="172" spans="2:47" ht="18" customHeight="1" x14ac:dyDescent="0.25">
      <c r="B172" s="16"/>
      <c r="C172" s="166"/>
      <c r="D172" s="11"/>
      <c r="E172" s="18"/>
      <c r="F172" s="19"/>
      <c r="G172" s="171" t="str">
        <f>IF(D174&lt;&gt;"",IF(D176&lt;&gt;"",IF(D174=D176,"",IF(D174&gt;D176,C174,C176)),""),"")</f>
        <v xml:space="preserve">GIOVANA MORAES </v>
      </c>
      <c r="H172" s="234">
        <v>1</v>
      </c>
      <c r="I172" s="52">
        <f>IF(H172&lt;&gt;"",H172,"")</f>
        <v>1</v>
      </c>
      <c r="J172" s="51" t="str">
        <f>IF(H172&lt;&gt;"",IF(G172="","",G172),"")</f>
        <v xml:space="preserve">GIOVANA MORAES </v>
      </c>
      <c r="K172" s="176" t="str">
        <f>VLOOKUP(K170,I170:J172,2,0)</f>
        <v>MALUH GUIMARÃES PINHO</v>
      </c>
      <c r="L172" s="51"/>
      <c r="M172" s="54"/>
      <c r="N172" s="51">
        <f>IF(P163&lt;&gt;"",P163,"")</f>
        <v>0</v>
      </c>
      <c r="O172" s="176" t="str">
        <f>IF(P163&lt;&gt;"",O163,"")</f>
        <v>CECÍLIA GARAVELLO DE ARAÚJO</v>
      </c>
      <c r="P172" s="51">
        <f>IF(N172&lt;&gt;"",IF(N174&lt;&gt;"",SMALL(N172:N174,1),""),"")</f>
        <v>0</v>
      </c>
      <c r="Q172" s="78"/>
      <c r="R172" s="182"/>
      <c r="S172" s="8"/>
      <c r="T172" s="8"/>
      <c r="U172" s="8"/>
      <c r="V172" s="182"/>
      <c r="W172" s="8"/>
      <c r="X172" s="62"/>
      <c r="Y172" s="182"/>
      <c r="Z172" s="65"/>
      <c r="AA172" s="8"/>
      <c r="AB172" s="11"/>
      <c r="AC172" s="182"/>
      <c r="AD172" s="65"/>
      <c r="AE172" s="68"/>
      <c r="AF172" s="234">
        <v>0</v>
      </c>
      <c r="AG172" s="171" t="str">
        <f>IF(AJ174&lt;&gt;"",IF(AJ176&lt;&gt;"",IF(AJ174=AJ176,"",IF(AJ174&gt;AJ176,AK174,AK176)),""),"")</f>
        <v/>
      </c>
      <c r="AH172" s="66"/>
      <c r="AI172" s="8"/>
      <c r="AJ172" s="11"/>
      <c r="AK172" s="166"/>
      <c r="AL172" s="11"/>
    </row>
    <row r="173" spans="2:47" ht="18" customHeight="1" thickBot="1" x14ac:dyDescent="0.3">
      <c r="B173" s="16"/>
      <c r="C173" s="166"/>
      <c r="D173" s="11"/>
      <c r="E173" s="18"/>
      <c r="F173" s="11"/>
      <c r="G173" s="172" t="str">
        <f>IFERROR(IF(G172="","",VLOOKUP(G172,LISTAS!$F$5:$G$1004,2,0)),"0")</f>
        <v>ESCOLA INTERAÇÃO</v>
      </c>
      <c r="H173" s="235"/>
      <c r="I173" s="54"/>
      <c r="J173" s="51"/>
      <c r="K173" s="176"/>
      <c r="L173" s="51"/>
      <c r="M173" s="54"/>
      <c r="N173" s="51"/>
      <c r="O173" s="176"/>
      <c r="P173" s="51"/>
      <c r="Q173" s="78"/>
      <c r="R173" s="182"/>
      <c r="S173" s="8"/>
      <c r="T173" s="8"/>
      <c r="U173" s="8"/>
      <c r="V173" s="182"/>
      <c r="W173" s="8"/>
      <c r="X173" s="62"/>
      <c r="Y173" s="182"/>
      <c r="Z173" s="8"/>
      <c r="AA173" s="69"/>
      <c r="AB173" s="11"/>
      <c r="AC173" s="182"/>
      <c r="AD173" s="65"/>
      <c r="AE173" s="8"/>
      <c r="AF173" s="235"/>
      <c r="AG173" s="172" t="str">
        <f>IFERROR(IF(AG172="","",VLOOKUP(AG172,LISTAS!$F$5:$G$1004,2,0)),"0")</f>
        <v/>
      </c>
      <c r="AH173" s="8"/>
      <c r="AI173" s="69"/>
      <c r="AJ173" s="11"/>
      <c r="AK173" s="166"/>
      <c r="AL173" s="11"/>
    </row>
    <row r="174" spans="2:47" ht="18" customHeight="1" x14ac:dyDescent="0.25">
      <c r="B174" s="16">
        <v>12</v>
      </c>
      <c r="C174" s="171" t="str">
        <f>IF('11F GRP'!G5&gt;=3,'11F GRP'!J166,IF('11F GRP'!G5=2,"",IF('11F GRP'!G5=1,"","")))</f>
        <v/>
      </c>
      <c r="D174" s="234">
        <v>0</v>
      </c>
      <c r="E174" s="56">
        <f>IF(D174&lt;&gt;"",D174,"")</f>
        <v>0</v>
      </c>
      <c r="F174" s="51" t="str">
        <f>IF(D174&lt;&gt;"",IF(C174="","",C174),"")</f>
        <v/>
      </c>
      <c r="G174" s="176">
        <f>IF(E174&lt;&gt;"",IF(E176&lt;&gt;"",SMALL(E174:E176,1),""),"")</f>
        <v>0</v>
      </c>
      <c r="H174" s="51"/>
      <c r="I174" s="54"/>
      <c r="J174" s="51"/>
      <c r="K174" s="176"/>
      <c r="L174" s="51"/>
      <c r="M174" s="54"/>
      <c r="N174" s="51">
        <f>IF(P165&lt;&gt;"",P165,"")</f>
        <v>1</v>
      </c>
      <c r="O174" s="176" t="str">
        <f>IF(P165&lt;&gt;"",O165,"")</f>
        <v xml:space="preserve">GIOVANA MORAES </v>
      </c>
      <c r="P174" s="51" t="str">
        <f>VLOOKUP(P172,N172:O174,2,0)</f>
        <v>CECÍLIA GARAVELLO DE ARAÚJO</v>
      </c>
      <c r="Q174" s="78"/>
      <c r="R174" s="182"/>
      <c r="S174" s="8"/>
      <c r="T174" s="8"/>
      <c r="U174" s="8"/>
      <c r="V174" s="182"/>
      <c r="W174" s="8"/>
      <c r="X174" s="62"/>
      <c r="Y174" s="182"/>
      <c r="Z174" s="8"/>
      <c r="AA174" s="69"/>
      <c r="AB174" s="11"/>
      <c r="AC174" s="182"/>
      <c r="AD174" s="65"/>
      <c r="AE174" s="8"/>
      <c r="AF174" s="8"/>
      <c r="AG174" s="181">
        <f>IF(AJ174&lt;&gt;"",AJ174,"")</f>
        <v>0</v>
      </c>
      <c r="AH174" s="78" t="str">
        <f>IF(AJ174&lt;&gt;"",IF(AK174="","",AK174),"")</f>
        <v/>
      </c>
      <c r="AI174" s="53">
        <f>IF(AG174&lt;&gt;"",IF(AG176&lt;&gt;"",SMALL(AG174:AG176,1),""),"")</f>
        <v>0</v>
      </c>
      <c r="AJ174" s="234">
        <v>0</v>
      </c>
      <c r="AK174" s="171" t="str">
        <f>IF('11F GRP'!G5&gt;=3,'11F GRP'!J140,IF('11F GRP'!G5=2,"",IF('11F GRP'!G5=1,"","")))</f>
        <v/>
      </c>
      <c r="AL174" s="11">
        <v>10</v>
      </c>
    </row>
    <row r="175" spans="2:47" ht="18" customHeight="1" thickBot="1" x14ac:dyDescent="0.3">
      <c r="B175" s="16"/>
      <c r="C175" s="172" t="str">
        <f>IFERROR(IF(C174="","",VLOOKUP(C174,LISTAS!$F$5:$G$1004,2,0)),"0")</f>
        <v/>
      </c>
      <c r="D175" s="235"/>
      <c r="E175" s="57"/>
      <c r="F175" s="51"/>
      <c r="G175" s="176"/>
      <c r="H175" s="51"/>
      <c r="I175" s="54"/>
      <c r="J175" s="51"/>
      <c r="K175" s="176"/>
      <c r="L175" s="51"/>
      <c r="M175" s="54"/>
      <c r="N175" s="51"/>
      <c r="O175" s="176"/>
      <c r="P175" s="51"/>
      <c r="Q175" s="78"/>
      <c r="R175" s="182"/>
      <c r="S175" s="8"/>
      <c r="T175" s="8"/>
      <c r="U175" s="8"/>
      <c r="V175" s="182"/>
      <c r="W175" s="8"/>
      <c r="X175" s="62"/>
      <c r="Y175" s="182"/>
      <c r="Z175" s="8"/>
      <c r="AA175" s="69"/>
      <c r="AB175" s="11"/>
      <c r="AC175" s="182"/>
      <c r="AD175" s="65"/>
      <c r="AE175" s="8"/>
      <c r="AF175" s="8"/>
      <c r="AG175" s="181"/>
      <c r="AH175" s="78"/>
      <c r="AI175" s="124"/>
      <c r="AJ175" s="235"/>
      <c r="AK175" s="172" t="str">
        <f>IFERROR(IF(AK174="","",VLOOKUP(AK174,LISTAS!$F$5:$G$1004,2,0)),"0")</f>
        <v/>
      </c>
      <c r="AL175" s="11"/>
    </row>
    <row r="176" spans="2:47" ht="18" customHeight="1" x14ac:dyDescent="0.25">
      <c r="B176" s="16">
        <v>21</v>
      </c>
      <c r="C176" s="39" t="s">
        <v>668</v>
      </c>
      <c r="D176" s="234">
        <v>1</v>
      </c>
      <c r="E176" s="57">
        <f>IF(D176&lt;&gt;"",D176,"")</f>
        <v>1</v>
      </c>
      <c r="F176" s="51" t="str">
        <f>IF(D176&lt;&gt;"",IF(C176="","",C176),"")</f>
        <v xml:space="preserve">GIOVANA MORAES </v>
      </c>
      <c r="G176" s="176" t="str">
        <f>VLOOKUP(G174,E174:F176,2,0)</f>
        <v/>
      </c>
      <c r="H176" s="51"/>
      <c r="I176" s="54"/>
      <c r="J176" s="51"/>
      <c r="K176" s="176"/>
      <c r="L176" s="51"/>
      <c r="M176" s="54"/>
      <c r="N176" s="51"/>
      <c r="O176" s="176"/>
      <c r="P176" s="51"/>
      <c r="Q176" s="78"/>
      <c r="R176" s="182"/>
      <c r="S176" s="8"/>
      <c r="T176" s="8"/>
      <c r="U176" s="8"/>
      <c r="V176" s="182"/>
      <c r="W176" s="8"/>
      <c r="X176" s="62"/>
      <c r="Y176" s="182"/>
      <c r="Z176" s="8"/>
      <c r="AA176" s="69"/>
      <c r="AB176" s="11"/>
      <c r="AC176" s="182"/>
      <c r="AD176" s="65"/>
      <c r="AE176" s="8"/>
      <c r="AF176" s="8"/>
      <c r="AG176" s="181">
        <f>IF(AJ176&lt;&gt;"",AJ176,"")</f>
        <v>0</v>
      </c>
      <c r="AH176" s="78" t="str">
        <f>IF(AJ176&lt;&gt;"",IF(AK176="","",AK176),"")</f>
        <v/>
      </c>
      <c r="AI176" s="125" t="str">
        <f>VLOOKUP(AI174,AG174:AH176,2,0)</f>
        <v/>
      </c>
      <c r="AJ176" s="234">
        <v>0</v>
      </c>
      <c r="AK176" s="171" t="str">
        <f>IF('11F GRP'!G5&gt;=3,'11F GRP'!J309,IF('11F GRP'!G5=2,"",IF('11F GRP'!G5=1,"","")))</f>
        <v/>
      </c>
      <c r="AL176" s="11">
        <v>23</v>
      </c>
    </row>
    <row r="177" spans="2:38" ht="18" customHeight="1" thickBot="1" x14ac:dyDescent="0.3">
      <c r="B177" s="16"/>
      <c r="C177" s="172" t="str">
        <f>IFERROR(IF(C176="","",VLOOKUP(C176,LISTAS!$F$5:$G$1004,2,0)),"0")</f>
        <v>ESCOLA INTERAÇÃO</v>
      </c>
      <c r="D177" s="235"/>
      <c r="E177" s="51"/>
      <c r="F177" s="51"/>
      <c r="G177" s="176"/>
      <c r="H177" s="51"/>
      <c r="I177" s="54"/>
      <c r="J177" s="51"/>
      <c r="K177" s="176"/>
      <c r="L177" s="51"/>
      <c r="M177" s="54"/>
      <c r="N177" s="51"/>
      <c r="O177" s="176"/>
      <c r="P177" s="51"/>
      <c r="Q177" s="78"/>
      <c r="R177" s="182"/>
      <c r="S177" s="8"/>
      <c r="T177" s="8"/>
      <c r="U177" s="8"/>
      <c r="V177" s="182"/>
      <c r="W177" s="8"/>
      <c r="X177" s="62"/>
      <c r="Y177" s="182"/>
      <c r="Z177" s="8"/>
      <c r="AA177" s="69"/>
      <c r="AB177" s="11"/>
      <c r="AC177" s="182"/>
      <c r="AD177" s="65"/>
      <c r="AE177" s="8"/>
      <c r="AF177" s="8"/>
      <c r="AG177" s="181"/>
      <c r="AH177" s="78"/>
      <c r="AI177" s="51"/>
      <c r="AJ177" s="235"/>
      <c r="AK177" s="172" t="str">
        <f>IFERROR(IF(AK176="","",VLOOKUP(AK176,LISTAS!$F$5:$G$1004,2,0)),"0")</f>
        <v/>
      </c>
      <c r="AL177" s="11"/>
    </row>
    <row r="178" spans="2:38" ht="18" customHeight="1" x14ac:dyDescent="0.25">
      <c r="B178" s="16"/>
      <c r="C178" s="166"/>
      <c r="D178" s="11"/>
      <c r="E178" s="11"/>
      <c r="F178" s="11"/>
      <c r="G178" s="166"/>
      <c r="H178" s="11"/>
      <c r="I178" s="18"/>
      <c r="J178" s="11"/>
      <c r="K178" s="171" t="str">
        <f>IF(H170&lt;&gt;"",IF(H172&lt;&gt;"",IF(H170=H172,"",IF(H170&gt;H172,G170,G172)),""),"")</f>
        <v xml:space="preserve">GIOVANA MORAES </v>
      </c>
      <c r="L178" s="234">
        <v>1</v>
      </c>
      <c r="M178" s="56">
        <f>IF(L178&lt;&gt;"",L178,"")</f>
        <v>1</v>
      </c>
      <c r="N178" s="51" t="str">
        <f>IF(L178&lt;&gt;"",IF(K178="","",K178),"")</f>
        <v xml:space="preserve">GIOVANA MORAES </v>
      </c>
      <c r="O178" s="176">
        <f>IF(M178&lt;&gt;"",IF(M180&lt;&gt;"",SMALL(M178:N180,1),""),"")</f>
        <v>0</v>
      </c>
      <c r="P178" s="11"/>
      <c r="Q178" s="8"/>
      <c r="R178" s="182"/>
      <c r="S178" s="8"/>
      <c r="T178" s="8"/>
      <c r="U178" s="8"/>
      <c r="V178" s="182"/>
      <c r="W178" s="8"/>
      <c r="X178" s="62"/>
      <c r="Y178" s="182"/>
      <c r="Z178" s="8"/>
      <c r="AA178" s="70"/>
      <c r="AB178" s="234">
        <v>1</v>
      </c>
      <c r="AC178" s="171" t="str">
        <f>IF(AF170&lt;&gt;"",IF(AF172&lt;&gt;"",IF(AF170=AF172,"",IF(AF170&gt;AF172,AG170,AG172)),""),"")</f>
        <v>VIVIAN MATSUMOTO</v>
      </c>
      <c r="AD178" s="112"/>
      <c r="AE178" s="8"/>
      <c r="AF178" s="8"/>
      <c r="AG178" s="181"/>
      <c r="AH178" s="78"/>
      <c r="AI178" s="78"/>
      <c r="AJ178" s="11"/>
      <c r="AK178" s="166"/>
      <c r="AL178" s="11"/>
    </row>
    <row r="179" spans="2:38" ht="18" customHeight="1" thickBot="1" x14ac:dyDescent="0.3">
      <c r="B179" s="16"/>
      <c r="C179" s="166"/>
      <c r="D179" s="11"/>
      <c r="E179" s="11"/>
      <c r="F179" s="11"/>
      <c r="G179" s="166"/>
      <c r="H179" s="11"/>
      <c r="I179" s="18"/>
      <c r="J179" s="11"/>
      <c r="K179" s="172" t="str">
        <f>IFERROR(IF(K178="","",VLOOKUP(K178,LISTAS!$F$5:$G$1004,2,0)),"0")</f>
        <v>ESCOLA INTERAÇÃO</v>
      </c>
      <c r="L179" s="235"/>
      <c r="M179" s="57"/>
      <c r="N179" s="51"/>
      <c r="O179" s="176"/>
      <c r="P179" s="11"/>
      <c r="Q179" s="8"/>
      <c r="R179" s="182"/>
      <c r="S179" s="8"/>
      <c r="T179" s="8"/>
      <c r="U179" s="8"/>
      <c r="V179" s="182"/>
      <c r="W179" s="8"/>
      <c r="X179" s="62"/>
      <c r="Y179" s="182"/>
      <c r="Z179" s="8"/>
      <c r="AA179" s="8"/>
      <c r="AB179" s="235"/>
      <c r="AC179" s="172" t="str">
        <f>IFERROR(IF(AC178="","",VLOOKUP(AC178,LISTAS!$F$5:$G$1004,2,0)),"0")</f>
        <v>COLÉGIO ARBOS - UNIDADE SANTO ANDRÉ</v>
      </c>
      <c r="AD179" s="8"/>
      <c r="AE179" s="69"/>
      <c r="AF179" s="8"/>
      <c r="AG179" s="182"/>
      <c r="AH179" s="8"/>
      <c r="AI179" s="8"/>
      <c r="AJ179" s="11"/>
      <c r="AK179" s="166"/>
      <c r="AL179" s="11"/>
    </row>
    <row r="180" spans="2:38" ht="18" customHeight="1" x14ac:dyDescent="0.25">
      <c r="B180" s="16"/>
      <c r="C180" s="166"/>
      <c r="D180" s="11"/>
      <c r="E180" s="11"/>
      <c r="F180" s="11"/>
      <c r="G180" s="166"/>
      <c r="H180" s="11"/>
      <c r="I180" s="18"/>
      <c r="J180" s="19"/>
      <c r="K180" s="171" t="str">
        <f>IF(H186&lt;&gt;"",IF(H188&lt;&gt;"",IF(H186=H188,"",IF(H186&gt;H188,G186,G188)),""),"")</f>
        <v>FELIPA DOS ANJOS GENTIL</v>
      </c>
      <c r="L180" s="234">
        <v>0</v>
      </c>
      <c r="M180" s="57">
        <f>IF(L180&lt;&gt;"",L180,"")</f>
        <v>0</v>
      </c>
      <c r="N180" s="51" t="str">
        <f>IF(L180&lt;&gt;"",IF(K180="","",K180),"")</f>
        <v>FELIPA DOS ANJOS GENTIL</v>
      </c>
      <c r="O180" s="176" t="str">
        <f>VLOOKUP(O178,M178:N180,2,0)</f>
        <v>FELIPA DOS ANJOS GENTIL</v>
      </c>
      <c r="P180" s="11"/>
      <c r="Q180" s="8"/>
      <c r="R180" s="182"/>
      <c r="S180" s="8"/>
      <c r="T180" s="8"/>
      <c r="U180" s="8"/>
      <c r="V180" s="182"/>
      <c r="W180" s="8"/>
      <c r="X180" s="62"/>
      <c r="Y180" s="182"/>
      <c r="Z180" s="8"/>
      <c r="AA180" s="8"/>
      <c r="AB180" s="234">
        <v>0</v>
      </c>
      <c r="AC180" s="171" t="str">
        <f>IF(AF186&lt;&gt;"",IF(AF188&lt;&gt;"",IF(AF186=AF188,"",IF(AF186&gt;AF188,AG186,AG188)),""),"")</f>
        <v>HELOÍSA AKEMI MATSUDA</v>
      </c>
      <c r="AD180" s="8"/>
      <c r="AE180" s="69"/>
      <c r="AF180" s="8"/>
      <c r="AG180" s="182"/>
      <c r="AH180" s="8"/>
      <c r="AI180" s="8"/>
      <c r="AJ180" s="11"/>
      <c r="AK180" s="166"/>
      <c r="AL180" s="11"/>
    </row>
    <row r="181" spans="2:38" ht="18" customHeight="1" thickBot="1" x14ac:dyDescent="0.3">
      <c r="B181" s="16"/>
      <c r="C181" s="166"/>
      <c r="D181" s="11"/>
      <c r="E181" s="11"/>
      <c r="F181" s="11"/>
      <c r="G181" s="166"/>
      <c r="H181" s="11"/>
      <c r="I181" s="18"/>
      <c r="J181" s="11"/>
      <c r="K181" s="172" t="str">
        <f>IFERROR(IF(K180="","",VLOOKUP(K180,LISTAS!$F$5:$G$1004,2,0)),"0")</f>
        <v>IEBURIX -SBC</v>
      </c>
      <c r="L181" s="235"/>
      <c r="M181" s="51"/>
      <c r="N181" s="51"/>
      <c r="O181" s="176"/>
      <c r="P181" s="11"/>
      <c r="Q181" s="8"/>
      <c r="R181" s="182"/>
      <c r="S181" s="8"/>
      <c r="T181" s="8"/>
      <c r="U181" s="8"/>
      <c r="V181" s="182"/>
      <c r="W181" s="8"/>
      <c r="X181" s="62"/>
      <c r="Y181" s="182"/>
      <c r="Z181" s="8"/>
      <c r="AA181" s="8"/>
      <c r="AB181" s="235"/>
      <c r="AC181" s="172" t="str">
        <f>IFERROR(IF(AC180="","",VLOOKUP(AC180,LISTAS!$F$5:$G$1004,2,0)),"0")</f>
        <v>COLÉGIO SINGULAR SÃO CAETANO</v>
      </c>
      <c r="AD181" s="8"/>
      <c r="AE181" s="69"/>
      <c r="AF181" s="8"/>
      <c r="AG181" s="182"/>
      <c r="AH181" s="8"/>
      <c r="AI181" s="8"/>
      <c r="AJ181" s="11"/>
      <c r="AK181" s="166"/>
      <c r="AL181" s="11"/>
    </row>
    <row r="182" spans="2:38" ht="18" customHeight="1" x14ac:dyDescent="0.25">
      <c r="B182" s="16">
        <v>20</v>
      </c>
      <c r="C182" s="171" t="str">
        <f>IF('11F GRP'!G5&gt;=3,'11F GRP'!J270,IF('11F GRP'!G5=2,"",IF('11F GRP'!G5=1,"","")))</f>
        <v/>
      </c>
      <c r="D182" s="234">
        <v>0</v>
      </c>
      <c r="E182" s="51">
        <f>IF(D182&lt;&gt;"",D182,"")</f>
        <v>0</v>
      </c>
      <c r="F182" s="51" t="str">
        <f>IF(D182&lt;&gt;"",IF(C182="","",C182),"")</f>
        <v/>
      </c>
      <c r="G182" s="176">
        <f>IF(E182&lt;&gt;"",IF(E184&lt;&gt;"",SMALL(E182:E184,1),""),"")</f>
        <v>0</v>
      </c>
      <c r="H182" s="51"/>
      <c r="I182" s="18"/>
      <c r="J182" s="11"/>
      <c r="K182" s="166"/>
      <c r="L182" s="11"/>
      <c r="M182" s="11"/>
      <c r="N182" s="11"/>
      <c r="O182" s="166"/>
      <c r="P182" s="11"/>
      <c r="Q182" s="8"/>
      <c r="R182" s="182"/>
      <c r="S182" s="8"/>
      <c r="T182" s="8"/>
      <c r="U182" s="8"/>
      <c r="V182" s="182"/>
      <c r="W182" s="8"/>
      <c r="X182" s="62"/>
      <c r="Y182" s="182"/>
      <c r="Z182" s="8"/>
      <c r="AA182" s="8"/>
      <c r="AB182" s="11"/>
      <c r="AC182" s="182"/>
      <c r="AD182" s="8"/>
      <c r="AE182" s="69"/>
      <c r="AF182" s="8"/>
      <c r="AG182" s="181">
        <f>IF(AJ182&lt;&gt;"",AJ182,"")</f>
        <v>0</v>
      </c>
      <c r="AH182" s="78" t="str">
        <f>IF(AJ182&lt;&gt;"",IF(AK182="","",AK182),"")</f>
        <v/>
      </c>
      <c r="AI182" s="51">
        <f>IF(AG182&lt;&gt;"",IF(AG184&lt;&gt;"",SMALL(AG182:AG184,1),""),"")</f>
        <v>0</v>
      </c>
      <c r="AJ182" s="234">
        <v>0</v>
      </c>
      <c r="AK182" s="171" t="str">
        <f>IF('11F GRP'!G5&gt;=3,'11F GRP'!J205,IF('11F GRP'!G5=2,"",IF('11F GRP'!G5=1,"","")))</f>
        <v/>
      </c>
      <c r="AL182" s="11">
        <v>15</v>
      </c>
    </row>
    <row r="183" spans="2:38" ht="18" customHeight="1" thickBot="1" x14ac:dyDescent="0.3">
      <c r="B183" s="16"/>
      <c r="C183" s="172" t="str">
        <f>IFERROR(IF(C182="","",VLOOKUP(C182,LISTAS!$F$5:$G$1004,2,0)),"0")</f>
        <v/>
      </c>
      <c r="D183" s="235"/>
      <c r="E183" s="51"/>
      <c r="F183" s="51"/>
      <c r="G183" s="176"/>
      <c r="H183" s="51"/>
      <c r="I183" s="18"/>
      <c r="J183" s="11"/>
      <c r="K183" s="166"/>
      <c r="L183" s="11"/>
      <c r="M183" s="11"/>
      <c r="N183" s="11"/>
      <c r="O183" s="166"/>
      <c r="P183" s="11"/>
      <c r="Q183" s="8"/>
      <c r="R183" s="182"/>
      <c r="S183" s="8"/>
      <c r="T183" s="8"/>
      <c r="U183" s="8"/>
      <c r="V183" s="182"/>
      <c r="W183" s="8"/>
      <c r="X183" s="62"/>
      <c r="Y183" s="182"/>
      <c r="Z183" s="8"/>
      <c r="AA183" s="8"/>
      <c r="AB183" s="11"/>
      <c r="AC183" s="182"/>
      <c r="AD183" s="8"/>
      <c r="AE183" s="69"/>
      <c r="AF183" s="8"/>
      <c r="AG183" s="181"/>
      <c r="AH183" s="78"/>
      <c r="AI183" s="51"/>
      <c r="AJ183" s="235"/>
      <c r="AK183" s="172" t="str">
        <f>IFERROR(IF(AK182="","",VLOOKUP(AK182,LISTAS!$F$5:$G$1004,2,0)),"0")</f>
        <v/>
      </c>
      <c r="AL183" s="11"/>
    </row>
    <row r="184" spans="2:38" ht="18" customHeight="1" x14ac:dyDescent="0.25">
      <c r="B184" s="16">
        <v>13</v>
      </c>
      <c r="C184" s="171" t="str">
        <f>IF('11F GRP'!G5&gt;=3,'11F GRP'!J179,IF('11F GRP'!G5=2,"",IF('11F GRP'!G5=1,"","")))</f>
        <v/>
      </c>
      <c r="D184" s="234">
        <v>0</v>
      </c>
      <c r="E184" s="52">
        <f>IF(D184&lt;&gt;"",D184,"")</f>
        <v>0</v>
      </c>
      <c r="F184" s="51" t="str">
        <f>IF(D184&lt;&gt;"",IF(C184="","",C184),"")</f>
        <v/>
      </c>
      <c r="G184" s="176" t="str">
        <f>VLOOKUP(G182,E182:F184,2,0)</f>
        <v/>
      </c>
      <c r="H184" s="51"/>
      <c r="I184" s="18"/>
      <c r="J184" s="11"/>
      <c r="K184" s="166"/>
      <c r="L184" s="11"/>
      <c r="M184" s="11"/>
      <c r="N184" s="11"/>
      <c r="O184" s="166"/>
      <c r="P184" s="11"/>
      <c r="Q184" s="8"/>
      <c r="R184" s="182"/>
      <c r="S184" s="8"/>
      <c r="T184" s="8"/>
      <c r="U184" s="8"/>
      <c r="V184" s="182"/>
      <c r="W184" s="8"/>
      <c r="X184" s="62"/>
      <c r="Y184" s="182"/>
      <c r="Z184" s="8"/>
      <c r="AA184" s="8"/>
      <c r="AB184" s="11"/>
      <c r="AC184" s="182"/>
      <c r="AD184" s="8"/>
      <c r="AE184" s="69"/>
      <c r="AF184" s="8"/>
      <c r="AG184" s="181">
        <f>IF(AJ184&lt;&gt;"",AJ184,"")</f>
        <v>0</v>
      </c>
      <c r="AH184" s="78" t="str">
        <f>IF(AJ184&lt;&gt;"",IF(AK184="","",AK184),"")</f>
        <v/>
      </c>
      <c r="AI184" s="55" t="str">
        <f>VLOOKUP(AI182,AG182:AH184,2,0)</f>
        <v/>
      </c>
      <c r="AJ184" s="234">
        <v>0</v>
      </c>
      <c r="AK184" s="171" t="str">
        <f>IF('11F GRP'!G5&gt;=3,'11F GRP'!J244,IF('11F GRP'!G5=2,"",IF('11F GRP'!G5=1,"","")))</f>
        <v/>
      </c>
      <c r="AL184" s="11">
        <v>18</v>
      </c>
    </row>
    <row r="185" spans="2:38" ht="18" customHeight="1" thickBot="1" x14ac:dyDescent="0.3">
      <c r="B185" s="16"/>
      <c r="C185" s="172" t="str">
        <f>IFERROR(IF(C184="","",VLOOKUP(C184,LISTAS!$F$5:$G$1004,2,0)),"0")</f>
        <v/>
      </c>
      <c r="D185" s="235"/>
      <c r="E185" s="121"/>
      <c r="F185" s="11"/>
      <c r="G185" s="166"/>
      <c r="H185" s="11"/>
      <c r="I185" s="18"/>
      <c r="J185" s="11"/>
      <c r="K185" s="166"/>
      <c r="L185" s="11"/>
      <c r="M185" s="11"/>
      <c r="N185" s="11"/>
      <c r="O185" s="166"/>
      <c r="P185" s="11"/>
      <c r="Q185" s="8"/>
      <c r="R185" s="182"/>
      <c r="S185" s="8"/>
      <c r="T185" s="8"/>
      <c r="U185" s="8"/>
      <c r="V185" s="182"/>
      <c r="W185" s="8"/>
      <c r="X185" s="62"/>
      <c r="Y185" s="182"/>
      <c r="Z185" s="8"/>
      <c r="AA185" s="8"/>
      <c r="AB185" s="11"/>
      <c r="AC185" s="182"/>
      <c r="AD185" s="8"/>
      <c r="AE185" s="69"/>
      <c r="AF185" s="8"/>
      <c r="AG185" s="181"/>
      <c r="AH185" s="126"/>
      <c r="AI185" s="51"/>
      <c r="AJ185" s="235"/>
      <c r="AK185" s="172" t="str">
        <f>IFERROR(IF(AK184="","",VLOOKUP(AK184,LISTAS!$F$5:$G$1004,2,0)),"0")</f>
        <v/>
      </c>
      <c r="AL185" s="11"/>
    </row>
    <row r="186" spans="2:38" ht="18" customHeight="1" x14ac:dyDescent="0.25">
      <c r="B186" s="16"/>
      <c r="C186" s="166"/>
      <c r="D186" s="11"/>
      <c r="E186" s="11"/>
      <c r="F186" s="17"/>
      <c r="G186" s="171" t="str">
        <f>IF(D182&lt;&gt;"",IF(D184&lt;&gt;"",IF(D182=D184,"",IF(D182&gt;D184,C182,C184)),""),"")</f>
        <v/>
      </c>
      <c r="H186" s="234">
        <v>0</v>
      </c>
      <c r="I186" s="56">
        <f>IF(H186&lt;&gt;"",H186,"")</f>
        <v>0</v>
      </c>
      <c r="J186" s="51" t="str">
        <f>IF(H186&lt;&gt;"",IF(G186="","",G186),"")</f>
        <v/>
      </c>
      <c r="K186" s="176">
        <f>IF(I186&lt;&gt;"",IF(I188&lt;&gt;"",SMALL(I186:J188,1),""),"")</f>
        <v>0</v>
      </c>
      <c r="L186" s="11"/>
      <c r="M186" s="11"/>
      <c r="N186" s="11"/>
      <c r="O186" s="166"/>
      <c r="P186" s="11"/>
      <c r="Q186" s="8"/>
      <c r="R186" s="182"/>
      <c r="S186" s="8"/>
      <c r="T186" s="8"/>
      <c r="U186" s="8"/>
      <c r="V186" s="182"/>
      <c r="W186" s="8"/>
      <c r="X186" s="62"/>
      <c r="Y186" s="182"/>
      <c r="Z186" s="8"/>
      <c r="AA186" s="8"/>
      <c r="AB186" s="11"/>
      <c r="AC186" s="182"/>
      <c r="AD186" s="8"/>
      <c r="AE186" s="69"/>
      <c r="AF186" s="234">
        <v>0</v>
      </c>
      <c r="AG186" s="171" t="str">
        <f>IF(AJ182&lt;&gt;"",IF(AJ184&lt;&gt;"",IF(AJ182=AJ184,"",IF(AJ182&gt;AJ184,AK182,AK184)),""),"")</f>
        <v/>
      </c>
      <c r="AH186" s="65"/>
      <c r="AI186" s="8"/>
      <c r="AJ186" s="11"/>
      <c r="AK186" s="166"/>
      <c r="AL186" s="11"/>
    </row>
    <row r="187" spans="2:38" ht="18" customHeight="1" thickBot="1" x14ac:dyDescent="0.3">
      <c r="B187" s="16"/>
      <c r="C187" s="166"/>
      <c r="D187" s="11"/>
      <c r="E187" s="11"/>
      <c r="F187" s="17"/>
      <c r="G187" s="172" t="str">
        <f>IFERROR(IF(G186="","",VLOOKUP(G186,LISTAS!$F$5:$G$1004,2,0)),"0")</f>
        <v/>
      </c>
      <c r="H187" s="235"/>
      <c r="I187" s="57"/>
      <c r="J187" s="51"/>
      <c r="K187" s="176"/>
      <c r="L187" s="11"/>
      <c r="M187" s="11"/>
      <c r="N187" s="11"/>
      <c r="O187" s="166"/>
      <c r="P187" s="11"/>
      <c r="Q187" s="8"/>
      <c r="R187" s="182"/>
      <c r="S187" s="8"/>
      <c r="T187" s="8"/>
      <c r="U187" s="8"/>
      <c r="V187" s="182"/>
      <c r="W187" s="8"/>
      <c r="X187" s="62"/>
      <c r="Y187" s="182"/>
      <c r="Z187" s="8"/>
      <c r="AA187" s="8"/>
      <c r="AB187" s="11"/>
      <c r="AC187" s="182"/>
      <c r="AD187" s="8"/>
      <c r="AE187" s="70"/>
      <c r="AF187" s="235"/>
      <c r="AG187" s="172" t="str">
        <f>IFERROR(IF(AG186="","",VLOOKUP(AG186,LISTAS!$F$5:$G$1004,2,0)),"0")</f>
        <v/>
      </c>
      <c r="AH187" s="65"/>
      <c r="AI187" s="8"/>
      <c r="AJ187" s="11"/>
      <c r="AK187" s="166"/>
      <c r="AL187" s="11"/>
    </row>
    <row r="188" spans="2:38" ht="18" customHeight="1" x14ac:dyDescent="0.25">
      <c r="B188" s="16"/>
      <c r="C188" s="166"/>
      <c r="D188" s="11"/>
      <c r="E188" s="18"/>
      <c r="F188" s="19"/>
      <c r="G188" s="171" t="str">
        <f>IF(D190&lt;&gt;"",IF(D192&lt;&gt;"",IF(D190=D192,"",IF(D190&gt;D192,C190,C192)),""),"")</f>
        <v>FELIPA DOS ANJOS GENTIL</v>
      </c>
      <c r="H188" s="234">
        <v>2</v>
      </c>
      <c r="I188" s="57">
        <f>IF(H188&lt;&gt;"",H188,"")</f>
        <v>2</v>
      </c>
      <c r="J188" s="51" t="str">
        <f>IF(H188&lt;&gt;"",IF(G188="","",G188),"")</f>
        <v>FELIPA DOS ANJOS GENTIL</v>
      </c>
      <c r="K188" s="176" t="str">
        <f>VLOOKUP(K186,I186:J188,2,0)</f>
        <v/>
      </c>
      <c r="L188" s="11"/>
      <c r="M188" s="11"/>
      <c r="N188" s="11"/>
      <c r="O188" s="166"/>
      <c r="P188" s="11"/>
      <c r="Q188" s="8"/>
      <c r="R188" s="182"/>
      <c r="S188" s="8"/>
      <c r="T188" s="8"/>
      <c r="U188" s="8"/>
      <c r="V188" s="182"/>
      <c r="W188" s="8"/>
      <c r="X188" s="62"/>
      <c r="Y188" s="182"/>
      <c r="Z188" s="8"/>
      <c r="AA188" s="8"/>
      <c r="AB188" s="11"/>
      <c r="AC188" s="182"/>
      <c r="AD188" s="8"/>
      <c r="AE188" s="64"/>
      <c r="AF188" s="234">
        <v>2</v>
      </c>
      <c r="AG188" s="171" t="str">
        <f>IF(AJ190&lt;&gt;"",IF(AJ192&lt;&gt;"",IF(AJ190=AJ192,"",IF(AJ190&gt;AJ192,AK190,AK192)),""),"")</f>
        <v>HELOÍSA AKEMI MATSUDA</v>
      </c>
      <c r="AH188" s="66"/>
      <c r="AI188" s="8"/>
      <c r="AJ188" s="11"/>
      <c r="AK188" s="166"/>
      <c r="AL188" s="11"/>
    </row>
    <row r="189" spans="2:38" ht="18" customHeight="1" thickBot="1" x14ac:dyDescent="0.3">
      <c r="B189" s="16"/>
      <c r="C189" s="166"/>
      <c r="D189" s="11"/>
      <c r="E189" s="18"/>
      <c r="F189" s="11"/>
      <c r="G189" s="172" t="str">
        <f>IFERROR(IF(G188="","",VLOOKUP(G188,LISTAS!$F$5:$G$1004,2,0)),"0")</f>
        <v>IEBURIX -SBC</v>
      </c>
      <c r="H189" s="235"/>
      <c r="I189" s="51"/>
      <c r="J189" s="51"/>
      <c r="K189" s="176"/>
      <c r="L189" s="11"/>
      <c r="M189" s="11"/>
      <c r="N189" s="11"/>
      <c r="O189" s="166"/>
      <c r="P189" s="11"/>
      <c r="Q189" s="8"/>
      <c r="R189" s="182"/>
      <c r="S189" s="8"/>
      <c r="T189" s="8"/>
      <c r="U189" s="8"/>
      <c r="V189" s="182"/>
      <c r="W189" s="8"/>
      <c r="X189" s="62"/>
      <c r="Y189" s="182"/>
      <c r="Z189" s="8"/>
      <c r="AA189" s="8"/>
      <c r="AB189" s="11"/>
      <c r="AC189" s="182"/>
      <c r="AD189" s="8"/>
      <c r="AE189" s="8"/>
      <c r="AF189" s="235"/>
      <c r="AG189" s="172" t="str">
        <f>IFERROR(IF(AG188="","",VLOOKUP(AG188,LISTAS!$F$5:$G$1004,2,0)),"0")</f>
        <v>COLÉGIO SINGULAR SÃO CAETANO</v>
      </c>
      <c r="AH189" s="8"/>
      <c r="AI189" s="69"/>
      <c r="AJ189" s="11"/>
      <c r="AK189" s="166"/>
      <c r="AL189" s="11"/>
    </row>
    <row r="190" spans="2:38" ht="18" customHeight="1" x14ac:dyDescent="0.25">
      <c r="B190" s="16">
        <v>29</v>
      </c>
      <c r="C190" s="171" t="str">
        <f>IF('11F GRP'!G5&gt;=3,'11F GRP'!J387,IF('11F GRP'!G5=2,"",IF('11F GRP'!G5=1,"","")))</f>
        <v/>
      </c>
      <c r="D190" s="234">
        <v>0</v>
      </c>
      <c r="E190" s="56">
        <f>IF(D190&lt;&gt;"",D190,"")</f>
        <v>0</v>
      </c>
      <c r="F190" s="51" t="str">
        <f>IF(D190&lt;&gt;"",IF(C190="","",C190),"")</f>
        <v/>
      </c>
      <c r="G190" s="176">
        <f>IF(E190&lt;&gt;"",IF(E192&lt;&gt;"",SMALL(E190:E192,1),""),"")</f>
        <v>0</v>
      </c>
      <c r="H190" s="51"/>
      <c r="I190" s="11"/>
      <c r="J190" s="11"/>
      <c r="K190" s="166"/>
      <c r="L190" s="11"/>
      <c r="M190" s="11"/>
      <c r="N190" s="11"/>
      <c r="O190" s="166"/>
      <c r="P190" s="11"/>
      <c r="Q190" s="8"/>
      <c r="R190" s="182"/>
      <c r="S190" s="8"/>
      <c r="T190" s="8"/>
      <c r="U190" s="8"/>
      <c r="V190" s="182"/>
      <c r="W190" s="8"/>
      <c r="X190" s="62"/>
      <c r="Y190" s="182"/>
      <c r="Z190" s="8"/>
      <c r="AA190" s="8"/>
      <c r="AB190" s="11"/>
      <c r="AC190" s="182"/>
      <c r="AD190" s="8"/>
      <c r="AE190" s="8"/>
      <c r="AF190" s="8"/>
      <c r="AG190" s="181">
        <f>IF(AJ190&lt;&gt;"",AJ190,"")</f>
        <v>0</v>
      </c>
      <c r="AH190" s="78" t="str">
        <f>IF(AJ190&lt;&gt;"",IF(AK190="","",AK190),"")</f>
        <v/>
      </c>
      <c r="AI190" s="53">
        <f>IF(AG190&lt;&gt;"",IF(AG192&lt;&gt;"",SMALL(AG190:AG192,1),""),"")</f>
        <v>0</v>
      </c>
      <c r="AJ190" s="234">
        <v>0</v>
      </c>
      <c r="AK190" s="171" t="str">
        <f>IF('11F GRP'!G5&gt;=3,'11F GRP'!J413,IF('11F GRP'!G5=2,"",IF('11F GRP'!G5=1,"","")))</f>
        <v/>
      </c>
      <c r="AL190" s="11">
        <v>31</v>
      </c>
    </row>
    <row r="191" spans="2:38" ht="18" customHeight="1" thickBot="1" x14ac:dyDescent="0.3">
      <c r="B191" s="16"/>
      <c r="C191" s="172" t="str">
        <f>IFERROR(IF(C190="","",VLOOKUP(C190,LISTAS!$F$5:$G$1004,2,0)),"0")</f>
        <v/>
      </c>
      <c r="D191" s="235"/>
      <c r="E191" s="57"/>
      <c r="F191" s="51"/>
      <c r="G191" s="176"/>
      <c r="H191" s="51"/>
      <c r="I191" s="11"/>
      <c r="J191" s="11"/>
      <c r="K191" s="166"/>
      <c r="L191" s="11"/>
      <c r="M191" s="11"/>
      <c r="N191" s="11"/>
      <c r="O191" s="166"/>
      <c r="P191" s="11"/>
      <c r="Q191" s="8"/>
      <c r="R191" s="182"/>
      <c r="S191" s="8"/>
      <c r="T191" s="8"/>
      <c r="U191" s="8"/>
      <c r="V191" s="182"/>
      <c r="W191" s="8"/>
      <c r="X191" s="62"/>
      <c r="Y191" s="182"/>
      <c r="Z191" s="8"/>
      <c r="AA191" s="8"/>
      <c r="AB191" s="11"/>
      <c r="AC191" s="182"/>
      <c r="AD191" s="8"/>
      <c r="AE191" s="8"/>
      <c r="AF191" s="8"/>
      <c r="AG191" s="181"/>
      <c r="AH191" s="78"/>
      <c r="AI191" s="77"/>
      <c r="AJ191" s="235"/>
      <c r="AK191" s="172" t="str">
        <f>IFERROR(IF(AK190="","",VLOOKUP(AK190,LISTAS!$F$5:$G$1004,2,0)),"0")</f>
        <v/>
      </c>
      <c r="AL191" s="11"/>
    </row>
    <row r="192" spans="2:38" ht="30" x14ac:dyDescent="0.25">
      <c r="B192" s="16">
        <v>4</v>
      </c>
      <c r="C192" s="171" t="str">
        <f>IF('11F GRP'!G5&gt;=3,'11F GRP'!J62,IF('11F GRP'!G5=2,"",IF('11F GRP'!G5=1,"","")))</f>
        <v>FELIPA DOS ANJOS GENTIL</v>
      </c>
      <c r="D192" s="234">
        <v>2</v>
      </c>
      <c r="E192" s="57">
        <f>IF(D192&lt;&gt;"",D192,"")</f>
        <v>2</v>
      </c>
      <c r="F192" s="51" t="str">
        <f>IF(D192&lt;&gt;"",IF(C192="","",C192),"")</f>
        <v>FELIPA DOS ANJOS GENTIL</v>
      </c>
      <c r="G192" s="176" t="str">
        <f>VLOOKUP(G190,E190:F192,2,0)</f>
        <v/>
      </c>
      <c r="H192" s="51"/>
      <c r="I192" s="11"/>
      <c r="J192" s="11"/>
      <c r="K192" s="166"/>
      <c r="L192" s="11"/>
      <c r="M192" s="11"/>
      <c r="N192" s="11"/>
      <c r="O192" s="166"/>
      <c r="P192" s="11"/>
      <c r="Q192" s="8"/>
      <c r="R192" s="182"/>
      <c r="S192" s="8"/>
      <c r="T192" s="8"/>
      <c r="U192" s="8"/>
      <c r="V192" s="182"/>
      <c r="W192" s="8"/>
      <c r="X192" s="62"/>
      <c r="Y192" s="182"/>
      <c r="Z192" s="8"/>
      <c r="AA192" s="8"/>
      <c r="AB192" s="11"/>
      <c r="AC192" s="182"/>
      <c r="AD192" s="8"/>
      <c r="AE192" s="8"/>
      <c r="AF192" s="8"/>
      <c r="AG192" s="181">
        <f>IF(AJ192&lt;&gt;"",AJ192,"")</f>
        <v>2</v>
      </c>
      <c r="AH192" s="78" t="str">
        <f>IF(AJ192&lt;&gt;"",IF(AK192="","",AK192),"")</f>
        <v>HELOÍSA AKEMI MATSUDA</v>
      </c>
      <c r="AI192" s="76" t="str">
        <f>VLOOKUP(AI190,AG190:AH192,2,0)</f>
        <v/>
      </c>
      <c r="AJ192" s="234">
        <v>2</v>
      </c>
      <c r="AK192" s="171" t="str">
        <f>IF('11F GRP'!G5&gt;=3,'11F GRP'!J32,IF('11F GRP'!G5=2,IF('11F GRP'!H8=3,'11F GRP'!J32,""),IF('11F GRP'!G5=1,"","")))</f>
        <v>HELOÍSA AKEMI MATSUDA</v>
      </c>
      <c r="AL192" s="11">
        <v>2</v>
      </c>
    </row>
    <row r="193" spans="2:38" ht="30.75" thickBot="1" x14ac:dyDescent="0.3">
      <c r="B193" s="16"/>
      <c r="C193" s="172" t="str">
        <f>IFERROR(IF(C192="","",VLOOKUP(C192,LISTAS!$F$5:$G$1004,2,0)),"0")</f>
        <v>IEBURIX -SBC</v>
      </c>
      <c r="D193" s="235"/>
      <c r="E193" s="51"/>
      <c r="F193" s="51"/>
      <c r="G193" s="176"/>
      <c r="H193" s="51"/>
      <c r="I193" s="11"/>
      <c r="J193" s="11"/>
      <c r="K193" s="166"/>
      <c r="L193" s="11"/>
      <c r="M193" s="11"/>
      <c r="N193" s="11"/>
      <c r="O193" s="166"/>
      <c r="P193" s="11"/>
      <c r="Q193" s="8"/>
      <c r="R193" s="182"/>
      <c r="S193" s="8"/>
      <c r="T193" s="8"/>
      <c r="U193" s="8"/>
      <c r="V193" s="182"/>
      <c r="W193" s="8"/>
      <c r="X193" s="62"/>
      <c r="Y193" s="182"/>
      <c r="Z193" s="8"/>
      <c r="AA193" s="8"/>
      <c r="AB193" s="11"/>
      <c r="AC193" s="182"/>
      <c r="AD193" s="8"/>
      <c r="AE193" s="8"/>
      <c r="AF193" s="8"/>
      <c r="AG193" s="181"/>
      <c r="AH193" s="78"/>
      <c r="AI193" s="51"/>
      <c r="AJ193" s="235"/>
      <c r="AK193" s="172" t="str">
        <f>IFERROR(IF(AK192="","",VLOOKUP(AK192,LISTAS!$F$5:$G$1004,2,0)),"0")</f>
        <v>COLÉGIO SINGULAR SÃO CAETANO</v>
      </c>
      <c r="AL193" s="11"/>
    </row>
    <row r="194" spans="2:38" x14ac:dyDescent="0.25">
      <c r="B194" s="16"/>
      <c r="C194" s="167"/>
      <c r="D194" s="71"/>
      <c r="E194" s="127"/>
      <c r="F194" s="127"/>
      <c r="G194" s="177"/>
      <c r="H194" s="127"/>
      <c r="I194" s="71"/>
      <c r="J194" s="71"/>
      <c r="K194" s="167"/>
      <c r="L194" s="71"/>
      <c r="M194" s="71"/>
      <c r="N194" s="71"/>
      <c r="O194" s="167"/>
      <c r="P194" s="71"/>
      <c r="Q194" s="8"/>
      <c r="R194" s="182"/>
      <c r="S194" s="8"/>
      <c r="T194" s="8"/>
      <c r="U194" s="8"/>
      <c r="V194" s="182"/>
      <c r="W194" s="8"/>
      <c r="X194" s="62"/>
      <c r="Y194" s="182"/>
      <c r="Z194" s="8"/>
      <c r="AA194" s="8"/>
      <c r="AB194" s="11"/>
      <c r="AC194" s="182"/>
      <c r="AD194" s="8"/>
      <c r="AE194" s="8"/>
      <c r="AF194" s="8"/>
      <c r="AG194" s="182"/>
      <c r="AH194" s="8"/>
      <c r="AI194" s="8"/>
      <c r="AJ194" s="71"/>
      <c r="AK194" s="167"/>
      <c r="AL194" s="11"/>
    </row>
    <row r="195" spans="2:38" x14ac:dyDescent="0.25">
      <c r="B195" s="11"/>
      <c r="C195" s="167"/>
      <c r="D195" s="71"/>
      <c r="E195" s="71"/>
      <c r="F195" s="71"/>
      <c r="G195" s="167"/>
      <c r="H195" s="71"/>
      <c r="I195" s="71"/>
      <c r="J195" s="71"/>
      <c r="K195" s="167"/>
      <c r="L195" s="71"/>
      <c r="M195" s="71"/>
      <c r="N195" s="71"/>
      <c r="O195" s="167"/>
      <c r="P195" s="71"/>
      <c r="Q195" s="8"/>
      <c r="R195" s="182"/>
      <c r="S195" s="8"/>
      <c r="T195" s="8"/>
      <c r="U195" s="8"/>
      <c r="V195" s="182"/>
      <c r="W195" s="8"/>
      <c r="X195" s="62"/>
      <c r="Y195" s="182"/>
      <c r="Z195" s="8"/>
      <c r="AA195" s="8"/>
      <c r="AB195" s="11"/>
      <c r="AC195" s="182"/>
      <c r="AD195" s="8"/>
      <c r="AE195" s="8"/>
      <c r="AF195" s="8"/>
      <c r="AG195" s="182"/>
      <c r="AH195" s="8"/>
      <c r="AI195" s="8"/>
      <c r="AJ195" s="71"/>
      <c r="AK195" s="167"/>
      <c r="AL195" s="11"/>
    </row>
    <row r="196" spans="2:38" x14ac:dyDescent="0.25">
      <c r="B196" s="2"/>
      <c r="D196" s="2"/>
      <c r="E196" s="2"/>
      <c r="F196" s="2"/>
      <c r="G196" s="163"/>
      <c r="H196" s="2"/>
      <c r="I196" s="2"/>
      <c r="J196" s="2"/>
      <c r="K196" s="163"/>
      <c r="L196" s="2"/>
      <c r="M196" s="2"/>
      <c r="N196" s="2"/>
      <c r="O196" s="163"/>
      <c r="P196" s="2"/>
      <c r="W196" s="2"/>
      <c r="Y196" s="163"/>
      <c r="Z196" s="2"/>
      <c r="AA196" s="2"/>
      <c r="AB196" s="2"/>
      <c r="AC196" s="163"/>
      <c r="AD196" s="2"/>
      <c r="AE196" s="2"/>
      <c r="AF196" s="2"/>
      <c r="AG196" s="163"/>
      <c r="AH196" s="2"/>
      <c r="AI196" s="2"/>
      <c r="AJ196" s="2"/>
      <c r="AK196" s="163"/>
    </row>
    <row r="197" spans="2:38" x14ac:dyDescent="0.25">
      <c r="B197" s="2"/>
      <c r="D197" s="2"/>
      <c r="E197" s="2"/>
      <c r="F197" s="2"/>
      <c r="G197" s="163"/>
      <c r="H197" s="2"/>
      <c r="I197" s="2"/>
      <c r="J197" s="2"/>
      <c r="K197" s="163"/>
      <c r="L197" s="2"/>
      <c r="M197" s="2"/>
      <c r="N197" s="2"/>
      <c r="O197" s="163"/>
      <c r="P197" s="2"/>
      <c r="W197" s="2"/>
      <c r="Y197" s="163"/>
      <c r="Z197" s="2"/>
      <c r="AA197" s="2"/>
      <c r="AB197" s="2"/>
      <c r="AC197" s="163"/>
      <c r="AD197" s="2"/>
      <c r="AE197" s="2"/>
      <c r="AF197" s="2"/>
      <c r="AG197" s="163"/>
      <c r="AH197" s="2"/>
      <c r="AI197" s="2"/>
      <c r="AJ197" s="2"/>
      <c r="AK197" s="163"/>
    </row>
    <row r="198" spans="2:38" x14ac:dyDescent="0.25">
      <c r="B198" s="2"/>
      <c r="D198" s="2"/>
      <c r="E198" s="2"/>
      <c r="F198" s="2"/>
      <c r="G198" s="163"/>
      <c r="H198" s="2"/>
      <c r="I198" s="2"/>
      <c r="J198" s="2"/>
      <c r="K198" s="163"/>
      <c r="L198" s="2"/>
      <c r="M198" s="2"/>
      <c r="N198" s="2"/>
      <c r="O198" s="163"/>
      <c r="P198" s="2"/>
      <c r="W198" s="2"/>
      <c r="Y198" s="163"/>
      <c r="Z198" s="2"/>
      <c r="AA198" s="2"/>
      <c r="AB198" s="2"/>
      <c r="AC198" s="163"/>
      <c r="AD198" s="2"/>
      <c r="AE198" s="2"/>
      <c r="AF198" s="2"/>
      <c r="AG198" s="163"/>
      <c r="AH198" s="2"/>
      <c r="AI198" s="2"/>
      <c r="AJ198" s="2"/>
      <c r="AK198" s="163"/>
    </row>
    <row r="199" spans="2:38" x14ac:dyDescent="0.25">
      <c r="B199" s="2"/>
      <c r="D199" s="2"/>
      <c r="E199" s="2"/>
      <c r="F199" s="2"/>
      <c r="G199" s="163"/>
      <c r="H199" s="2"/>
      <c r="I199" s="2"/>
      <c r="J199" s="2"/>
      <c r="K199" s="163"/>
      <c r="L199" s="2"/>
      <c r="M199" s="2"/>
      <c r="N199" s="2"/>
      <c r="O199" s="163"/>
      <c r="P199" s="2"/>
      <c r="W199" s="2"/>
      <c r="Y199" s="163"/>
      <c r="Z199" s="2"/>
      <c r="AA199" s="2"/>
      <c r="AB199" s="2"/>
      <c r="AC199" s="163"/>
      <c r="AD199" s="2"/>
      <c r="AE199" s="2"/>
      <c r="AF199" s="2"/>
      <c r="AG199" s="163"/>
      <c r="AH199" s="2"/>
      <c r="AI199" s="2"/>
      <c r="AJ199" s="2"/>
      <c r="AK199" s="163"/>
    </row>
    <row r="200" spans="2:38" x14ac:dyDescent="0.25">
      <c r="B200" s="2"/>
      <c r="D200" s="2"/>
      <c r="E200" s="2"/>
      <c r="F200" s="2"/>
      <c r="G200" s="163"/>
      <c r="H200" s="2"/>
      <c r="I200" s="2"/>
      <c r="J200" s="2"/>
      <c r="K200" s="163"/>
      <c r="L200" s="2"/>
      <c r="M200" s="2"/>
      <c r="N200" s="2"/>
      <c r="O200" s="163"/>
      <c r="P200" s="2"/>
      <c r="W200" s="2"/>
      <c r="Y200" s="163"/>
      <c r="Z200" s="2"/>
      <c r="AA200" s="2"/>
      <c r="AB200" s="2"/>
      <c r="AC200" s="163"/>
      <c r="AD200" s="2"/>
      <c r="AE200" s="2"/>
      <c r="AF200" s="2"/>
      <c r="AG200" s="163"/>
      <c r="AH200" s="2"/>
      <c r="AI200" s="2"/>
      <c r="AJ200" s="2"/>
      <c r="AK200" s="163"/>
    </row>
  </sheetData>
  <mergeCells count="205">
    <mergeCell ref="B2:AL4"/>
    <mergeCell ref="B5:D5"/>
    <mergeCell ref="AP5:AQ5"/>
    <mergeCell ref="B6:AL6"/>
    <mergeCell ref="H14:H15"/>
    <mergeCell ref="AF14:AF15"/>
    <mergeCell ref="D16:D17"/>
    <mergeCell ref="AJ16:AJ17"/>
    <mergeCell ref="AP2:AU3"/>
    <mergeCell ref="AP6:AU6"/>
    <mergeCell ref="D18:D19"/>
    <mergeCell ref="AJ18:AJ19"/>
    <mergeCell ref="AP7:AQ7"/>
    <mergeCell ref="D8:D9"/>
    <mergeCell ref="AJ8:AJ9"/>
    <mergeCell ref="D10:D11"/>
    <mergeCell ref="AJ10:AJ11"/>
    <mergeCell ref="H12:H13"/>
    <mergeCell ref="AF12:AF13"/>
    <mergeCell ref="D26:D27"/>
    <mergeCell ref="AJ26:AJ27"/>
    <mergeCell ref="H28:H29"/>
    <mergeCell ref="AF28:AF29"/>
    <mergeCell ref="H30:H31"/>
    <mergeCell ref="AF30:AF31"/>
    <mergeCell ref="L20:L21"/>
    <mergeCell ref="AB20:AB21"/>
    <mergeCell ref="L22:L23"/>
    <mergeCell ref="AB22:AB23"/>
    <mergeCell ref="D24:D25"/>
    <mergeCell ref="AJ24:AJ25"/>
    <mergeCell ref="P37:P38"/>
    <mergeCell ref="X37:X38"/>
    <mergeCell ref="D38:D39"/>
    <mergeCell ref="AJ38:AJ39"/>
    <mergeCell ref="D40:D41"/>
    <mergeCell ref="AJ40:AJ41"/>
    <mergeCell ref="D32:D33"/>
    <mergeCell ref="AJ32:AJ33"/>
    <mergeCell ref="D34:D35"/>
    <mergeCell ref="R34:V34"/>
    <mergeCell ref="AJ34:AJ35"/>
    <mergeCell ref="P35:P36"/>
    <mergeCell ref="X35:X36"/>
    <mergeCell ref="S36:S37"/>
    <mergeCell ref="T36:T37"/>
    <mergeCell ref="U36:U37"/>
    <mergeCell ref="D48:D49"/>
    <mergeCell ref="AJ48:AJ49"/>
    <mergeCell ref="L50:L51"/>
    <mergeCell ref="AB50:AB51"/>
    <mergeCell ref="L52:L53"/>
    <mergeCell ref="AB52:AB53"/>
    <mergeCell ref="H42:H43"/>
    <mergeCell ref="AF42:AF43"/>
    <mergeCell ref="H44:H45"/>
    <mergeCell ref="AF44:AF45"/>
    <mergeCell ref="D46:D47"/>
    <mergeCell ref="AJ46:AJ47"/>
    <mergeCell ref="H60:H61"/>
    <mergeCell ref="AF60:AF61"/>
    <mergeCell ref="D62:D63"/>
    <mergeCell ref="AJ62:AJ63"/>
    <mergeCell ref="D64:D65"/>
    <mergeCell ref="AJ64:AJ65"/>
    <mergeCell ref="D54:D55"/>
    <mergeCell ref="AJ54:AJ55"/>
    <mergeCell ref="D56:D57"/>
    <mergeCell ref="AJ56:AJ57"/>
    <mergeCell ref="H58:H59"/>
    <mergeCell ref="AF58:AF59"/>
    <mergeCell ref="H76:H77"/>
    <mergeCell ref="AF76:AF77"/>
    <mergeCell ref="H78:H79"/>
    <mergeCell ref="AF78:AF79"/>
    <mergeCell ref="D80:D81"/>
    <mergeCell ref="AJ80:AJ81"/>
    <mergeCell ref="B70:AL70"/>
    <mergeCell ref="AP71:AQ71"/>
    <mergeCell ref="D72:D73"/>
    <mergeCell ref="AJ72:AJ73"/>
    <mergeCell ref="D74:D75"/>
    <mergeCell ref="AJ74:AJ75"/>
    <mergeCell ref="AP70:AU70"/>
    <mergeCell ref="D88:D89"/>
    <mergeCell ref="AJ88:AJ89"/>
    <mergeCell ref="D90:D91"/>
    <mergeCell ref="AJ90:AJ91"/>
    <mergeCell ref="H92:H93"/>
    <mergeCell ref="AF92:AF93"/>
    <mergeCell ref="D82:D83"/>
    <mergeCell ref="AJ82:AJ83"/>
    <mergeCell ref="L84:L85"/>
    <mergeCell ref="AB84:AB85"/>
    <mergeCell ref="L86:L87"/>
    <mergeCell ref="AB86:AB87"/>
    <mergeCell ref="H94:H95"/>
    <mergeCell ref="AF94:AF95"/>
    <mergeCell ref="D96:D97"/>
    <mergeCell ref="AJ96:AJ97"/>
    <mergeCell ref="D98:D99"/>
    <mergeCell ref="R98:V98"/>
    <mergeCell ref="AJ98:AJ99"/>
    <mergeCell ref="P99:P100"/>
    <mergeCell ref="X99:X100"/>
    <mergeCell ref="S100:S101"/>
    <mergeCell ref="D104:D105"/>
    <mergeCell ref="AJ104:AJ105"/>
    <mergeCell ref="H106:H107"/>
    <mergeCell ref="AF106:AF107"/>
    <mergeCell ref="H108:H109"/>
    <mergeCell ref="AF108:AF109"/>
    <mergeCell ref="T100:T101"/>
    <mergeCell ref="U100:U101"/>
    <mergeCell ref="P101:P102"/>
    <mergeCell ref="X101:X102"/>
    <mergeCell ref="D102:D103"/>
    <mergeCell ref="AJ102:AJ103"/>
    <mergeCell ref="L116:L117"/>
    <mergeCell ref="AB116:AB117"/>
    <mergeCell ref="D118:D119"/>
    <mergeCell ref="AJ118:AJ119"/>
    <mergeCell ref="D120:D121"/>
    <mergeCell ref="AJ120:AJ121"/>
    <mergeCell ref="D110:D111"/>
    <mergeCell ref="AJ110:AJ111"/>
    <mergeCell ref="D112:D113"/>
    <mergeCell ref="AJ112:AJ113"/>
    <mergeCell ref="L114:L115"/>
    <mergeCell ref="AB114:AB115"/>
    <mergeCell ref="D128:D129"/>
    <mergeCell ref="AJ128:AJ129"/>
    <mergeCell ref="B134:AL134"/>
    <mergeCell ref="AP135:AQ135"/>
    <mergeCell ref="D136:D137"/>
    <mergeCell ref="AJ136:AJ137"/>
    <mergeCell ref="H122:H123"/>
    <mergeCell ref="AF122:AF123"/>
    <mergeCell ref="H124:H125"/>
    <mergeCell ref="AF124:AF125"/>
    <mergeCell ref="D126:D127"/>
    <mergeCell ref="AJ126:AJ127"/>
    <mergeCell ref="AP134:AU134"/>
    <mergeCell ref="D144:D145"/>
    <mergeCell ref="AJ144:AJ145"/>
    <mergeCell ref="D146:D147"/>
    <mergeCell ref="AJ146:AJ147"/>
    <mergeCell ref="L148:L149"/>
    <mergeCell ref="AB148:AB149"/>
    <mergeCell ref="D138:D139"/>
    <mergeCell ref="AJ138:AJ139"/>
    <mergeCell ref="H140:H141"/>
    <mergeCell ref="AF140:AF141"/>
    <mergeCell ref="H142:H143"/>
    <mergeCell ref="AF142:AF143"/>
    <mergeCell ref="H156:H157"/>
    <mergeCell ref="AF156:AF157"/>
    <mergeCell ref="H158:H159"/>
    <mergeCell ref="AF158:AF159"/>
    <mergeCell ref="D160:D161"/>
    <mergeCell ref="AJ160:AJ161"/>
    <mergeCell ref="L150:L151"/>
    <mergeCell ref="AB150:AB151"/>
    <mergeCell ref="D152:D153"/>
    <mergeCell ref="AJ152:AJ153"/>
    <mergeCell ref="D154:D155"/>
    <mergeCell ref="AJ154:AJ155"/>
    <mergeCell ref="D166:D167"/>
    <mergeCell ref="AJ166:AJ167"/>
    <mergeCell ref="D168:D169"/>
    <mergeCell ref="AJ168:AJ169"/>
    <mergeCell ref="H170:H171"/>
    <mergeCell ref="AF170:AF171"/>
    <mergeCell ref="D162:D163"/>
    <mergeCell ref="R162:V162"/>
    <mergeCell ref="AJ162:AJ163"/>
    <mergeCell ref="P163:P164"/>
    <mergeCell ref="X163:X164"/>
    <mergeCell ref="S164:S165"/>
    <mergeCell ref="T164:T165"/>
    <mergeCell ref="U164:U165"/>
    <mergeCell ref="P165:P166"/>
    <mergeCell ref="X165:X166"/>
    <mergeCell ref="L178:L179"/>
    <mergeCell ref="AB178:AB179"/>
    <mergeCell ref="L180:L181"/>
    <mergeCell ref="AB180:AB181"/>
    <mergeCell ref="D182:D183"/>
    <mergeCell ref="AJ182:AJ183"/>
    <mergeCell ref="H172:H173"/>
    <mergeCell ref="AF172:AF173"/>
    <mergeCell ref="D174:D175"/>
    <mergeCell ref="AJ174:AJ175"/>
    <mergeCell ref="D176:D177"/>
    <mergeCell ref="AJ176:AJ177"/>
    <mergeCell ref="D190:D191"/>
    <mergeCell ref="AJ190:AJ191"/>
    <mergeCell ref="D192:D193"/>
    <mergeCell ref="AJ192:AJ193"/>
    <mergeCell ref="D184:D185"/>
    <mergeCell ref="AJ184:AJ185"/>
    <mergeCell ref="H186:H187"/>
    <mergeCell ref="AF186:AF187"/>
    <mergeCell ref="H188:H189"/>
    <mergeCell ref="AF188:AF189"/>
  </mergeCells>
  <printOptions horizontalCentered="1"/>
  <pageMargins left="0.23622047244094491" right="0.23622047244094491" top="0.74803149606299213" bottom="0.74803149606299213" header="0.31496062992125984" footer="0.31496062992125984"/>
  <pageSetup paperSize="9" scale="13"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LISTAS!$D$5:$D$6</xm:f>
          </x14:formula1>
          <xm:sqref>AS5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tabColor theme="4" tint="0.39997558519241921"/>
  </sheetPr>
  <dimension ref="B1:Q626"/>
  <sheetViews>
    <sheetView showGridLines="0" topLeftCell="A3" zoomScale="85" zoomScaleNormal="85" workbookViewId="0">
      <selection activeCell="D9" sqref="D9"/>
    </sheetView>
  </sheetViews>
  <sheetFormatPr defaultColWidth="25.28515625" defaultRowHeight="16.5" x14ac:dyDescent="0.25"/>
  <cols>
    <col min="1" max="1" width="1.140625" style="1" customWidth="1"/>
    <col min="2" max="2" width="49.7109375" style="1" customWidth="1"/>
    <col min="3" max="3" width="41.140625" style="2" bestFit="1" customWidth="1"/>
    <col min="4" max="8" width="8" style="1" customWidth="1"/>
    <col min="9" max="9" width="8.140625" style="1" customWidth="1"/>
    <col min="10" max="10" width="49.85546875" style="1" customWidth="1"/>
    <col min="11" max="11" width="21.42578125" style="1" customWidth="1"/>
    <col min="12" max="12" width="14.42578125" style="1" customWidth="1"/>
    <col min="13" max="13" width="7" style="20" bestFit="1" customWidth="1"/>
    <col min="14" max="14" width="10.42578125" style="20" bestFit="1" customWidth="1"/>
    <col min="15" max="15" width="8.42578125" style="20" bestFit="1" customWidth="1"/>
    <col min="16" max="16" width="10.42578125" style="20" bestFit="1" customWidth="1"/>
    <col min="17" max="17" width="25.28515625" style="20"/>
    <col min="18" max="16384" width="25.28515625" style="1"/>
  </cols>
  <sheetData>
    <row r="1" spans="2:17" ht="6" customHeight="1" x14ac:dyDescent="0.25"/>
    <row r="2" spans="2:17" s="3" customFormat="1" ht="60.75" customHeight="1" x14ac:dyDescent="0.25">
      <c r="B2" s="233"/>
      <c r="C2" s="233"/>
      <c r="D2" s="233"/>
      <c r="E2" s="233"/>
      <c r="F2" s="233"/>
      <c r="G2" s="233"/>
      <c r="H2" s="233"/>
      <c r="I2" s="233"/>
      <c r="J2" s="233"/>
      <c r="K2" s="233"/>
      <c r="L2" s="233"/>
      <c r="M2" s="25"/>
      <c r="N2" s="25"/>
      <c r="O2" s="25"/>
      <c r="P2" s="25"/>
      <c r="Q2" s="25"/>
    </row>
    <row r="3" spans="2:17" s="3" customFormat="1" ht="60.75" customHeight="1" x14ac:dyDescent="0.25">
      <c r="B3" s="233"/>
      <c r="C3" s="233"/>
      <c r="D3" s="233"/>
      <c r="E3" s="233"/>
      <c r="F3" s="233"/>
      <c r="G3" s="233"/>
      <c r="H3" s="233"/>
      <c r="I3" s="233"/>
      <c r="J3" s="233"/>
      <c r="K3" s="233"/>
      <c r="L3" s="233"/>
      <c r="M3" s="25"/>
      <c r="N3" s="25"/>
      <c r="O3" s="25"/>
      <c r="P3" s="25"/>
      <c r="Q3" s="25"/>
    </row>
    <row r="4" spans="2:17" s="3" customFormat="1" ht="13.5" customHeight="1" x14ac:dyDescent="0.25">
      <c r="B4" s="233"/>
      <c r="C4" s="233"/>
      <c r="D4" s="233"/>
      <c r="E4" s="233"/>
      <c r="F4" s="233"/>
      <c r="G4" s="233"/>
      <c r="H4" s="233"/>
      <c r="I4" s="233"/>
      <c r="J4" s="233"/>
      <c r="K4" s="233"/>
      <c r="L4" s="233"/>
      <c r="M4" s="25"/>
      <c r="N4" s="25"/>
      <c r="O4" s="25"/>
      <c r="P4" s="25"/>
      <c r="Q4" s="25"/>
    </row>
    <row r="5" spans="2:17" s="3" customFormat="1" ht="30" customHeight="1" x14ac:dyDescent="0.25">
      <c r="B5" s="59" t="s">
        <v>24</v>
      </c>
      <c r="C5" s="221" t="s">
        <v>82</v>
      </c>
      <c r="D5" s="222"/>
      <c r="E5" s="222"/>
      <c r="F5" s="222"/>
      <c r="G5" s="120">
        <v>32</v>
      </c>
      <c r="I5" s="4"/>
      <c r="J5" s="4"/>
      <c r="M5" s="25"/>
      <c r="N5" s="25"/>
      <c r="O5" s="25"/>
      <c r="P5" s="25"/>
      <c r="Q5" s="25"/>
    </row>
    <row r="6" spans="2:17" ht="30" customHeight="1" x14ac:dyDescent="0.25">
      <c r="B6" s="161" t="s">
        <v>39</v>
      </c>
      <c r="C6" s="79"/>
      <c r="D6" s="263" t="s">
        <v>42</v>
      </c>
      <c r="E6" s="264"/>
      <c r="F6" s="264"/>
      <c r="G6" s="265"/>
      <c r="H6" s="113"/>
      <c r="I6" s="263" t="s">
        <v>3</v>
      </c>
      <c r="J6" s="264"/>
      <c r="K6" s="264"/>
      <c r="L6" s="265"/>
    </row>
    <row r="7" spans="2:17" ht="18" customHeight="1" x14ac:dyDescent="0.25">
      <c r="B7" s="131" t="s">
        <v>15</v>
      </c>
      <c r="C7" s="28" t="s">
        <v>0</v>
      </c>
      <c r="D7" s="28" t="s">
        <v>43</v>
      </c>
      <c r="E7" s="28" t="s">
        <v>44</v>
      </c>
      <c r="F7" s="28" t="s">
        <v>77</v>
      </c>
      <c r="G7" s="28" t="s">
        <v>78</v>
      </c>
      <c r="H7" s="114"/>
      <c r="I7" s="28" t="s">
        <v>18</v>
      </c>
      <c r="J7" s="28" t="s">
        <v>15</v>
      </c>
      <c r="K7" s="28" t="s">
        <v>0</v>
      </c>
      <c r="L7" s="28" t="s">
        <v>45</v>
      </c>
    </row>
    <row r="8" spans="2:17" ht="18" customHeight="1" x14ac:dyDescent="0.25">
      <c r="B8" s="33" t="s">
        <v>601</v>
      </c>
      <c r="C8" s="33" t="str">
        <f>IFERROR(IF(B8="","",VLOOKUP(B8,LISTAS!$F$5:$G$1004,2,0)),"0")</f>
        <v>BYE</v>
      </c>
      <c r="D8" s="33" t="s">
        <v>715</v>
      </c>
      <c r="E8" s="33" t="str">
        <f>IF(H8&lt;3,"",IF(H8=3,IF(D18&lt;&gt;"",IF(H18&lt;&gt;"",IF(D18&lt;&gt;H18,IF(D18&gt;H18,"V","D"),""),""),""),IF(H8=4,IF(D18&lt;&gt;"",IF(H18&lt;&gt;"",IF(D18&lt;&gt;H18,IF(D18&gt;H18,"V","D"),""),""),""),IF(H8=5,IF(D20&lt;&gt;"",IF(H20&lt;&gt;"",IF(D20&lt;&gt;H20,IF(D18&gt;H18,"D","V"),""),""),"")))))</f>
        <v>V</v>
      </c>
      <c r="F8" s="33" t="str">
        <f>IF(H8&lt;4,"-",IF(H8=3,"",IF(H8=4,IF(D21&lt;&gt;"",IF(H21&lt;&gt;"",IF(D21&lt;&gt;H21,IF(D21&gt;H21,"V","D"),""),""),""),IF(H8=5,IF(D23&lt;&gt;"",IF(H23&lt;&gt;"",IF(D23&lt;&gt;H23,IF(D23&gt;H23,"D","V"),""),""),"")))))</f>
        <v>-</v>
      </c>
      <c r="G8" s="33" t="str">
        <f>IF(H8&lt;5,"-",IF(H8=3,"",IF(H8=4,"",IF(H8=5,IF(D25&lt;&gt;"",IF(H25&lt;&gt;"",IF(D25&lt;&gt;H25,IF(D25&gt;H25,"D","V"),""),""),"")))))</f>
        <v>-</v>
      </c>
      <c r="H8" s="117">
        <f>COUNTA(B8:B12)</f>
        <v>3</v>
      </c>
      <c r="I8" s="33">
        <f>IF(B8&lt;&gt;"",1,"")</f>
        <v>1</v>
      </c>
      <c r="J8" s="33" t="str">
        <f>IF(I8&lt;&gt;"",P8,"")</f>
        <v>BYE</v>
      </c>
      <c r="K8" s="33" t="str">
        <f>IFERROR(IF(J8="","",VLOOKUP(J8,LISTAS!$F$5:$G$1004,2,0)),"0")</f>
        <v>BYE</v>
      </c>
      <c r="L8" s="130" t="str">
        <f>IF(B8&lt;&gt;"",IF(G5=1,"OURO",IF(G5=2,IF(H8&lt;3,"",IF(H8&gt;4,"",IF(H8=3,"OURO",IF(H8=4,"OURO")))),IF(G5&gt;=3,"OURO",""))),"")</f>
        <v>OURO</v>
      </c>
      <c r="M8" s="20">
        <f>IF(B8&lt;&gt;"",COUNTIF(D8:G8,"V")+(SUMIF(B16:B25,B8,D16:E25)/1000)+(SUMIF(J16:J25,B8,H16:I25)/1000)-(SUMIF(B16:B25,B8,H16:I25)/1000)-(SUMIF(J16:J25,B8,D16:E25)/1000)+0.005,"")</f>
        <v>2.0070000000000001</v>
      </c>
      <c r="N8" s="20" t="str">
        <f>IF(B8="","",B8)</f>
        <v>BYE</v>
      </c>
      <c r="O8" s="20">
        <f>IF(B8&lt;&gt;"",LARGE(M8:M12,1),"")</f>
        <v>2.0070000000000001</v>
      </c>
      <c r="P8" s="20" t="str">
        <f>VLOOKUP(O8,M8:N12,2,0)</f>
        <v>BYE</v>
      </c>
    </row>
    <row r="9" spans="2:17" ht="18" customHeight="1" x14ac:dyDescent="0.25">
      <c r="B9" s="33" t="s">
        <v>629</v>
      </c>
      <c r="C9" s="33" t="str">
        <f>IFERROR(IF(B9="","",VLOOKUP(B9,LISTAS!$F$5:$G$1004,2,0)),"0")</f>
        <v>ESCOLA INTERAÇÃO</v>
      </c>
      <c r="D9" s="33" t="str">
        <f>IF(H8&lt;3,"",IF(H8=3,IF(D17&lt;&gt;"",IF(H17&lt;&gt;"",IF(D17&lt;&gt;H17,IF(D17&gt;H17,"V","D"),""),""),""),IF(H8=4,IF(D17&lt;&gt;"",IF(H17&lt;&gt;"",IF(D17&lt;&gt;H17,IF(D17&gt;H17,"V","D"),""),""),""),IF(H8=5,IF(D17&lt;&gt;"",IF(H17&lt;&gt;"",IF(D17&lt;&gt;H17,IF(D17&gt;H17,"V","D"),""),""),"")))))</f>
        <v>V</v>
      </c>
      <c r="E9" s="33" t="str">
        <f>IF(H8&lt;3,"",IF(H8=3,IF(D18&lt;&gt;"",IF(H18&lt;&gt;"",IF(D18&lt;&gt;H18,IF(D18&gt;H18,"D","V"),""),""),""),IF(H8=4,IF(D19&lt;&gt;"",IF(H19&lt;&gt;"",IF(D19&lt;&gt;H19,IF(D19&gt;H19,"V","D"),""),""),""),IF(H8=5,IF(D18&lt;&gt;"",IF(H18&lt;&gt;"",IF(D18&lt;&gt;H18,IF(D18&gt;H18,"V","D"),""),""),"")))))</f>
        <v>D</v>
      </c>
      <c r="F9" s="33" t="str">
        <f>IF(H8&lt;4,"-",IF(H8=3,"",IF(H8=4,IF(D21&lt;&gt;"",IF(H21&lt;&gt;"",IF(D21&lt;&gt;H21,IF(D21&gt;H21,"D","V"),""),""),""),IF(H8=5,IF(D22&lt;&gt;"",IF(H22&lt;&gt;"",IF(D22&lt;&gt;H22,IF(D22&gt;H22,"D","V"),""),""),"")))))</f>
        <v>-</v>
      </c>
      <c r="G9" s="33" t="str">
        <f>IF(H8&lt;5,"-",IF(H8=3,"",IF(H8=4,"",IF(H8=5,IF(D25&lt;&gt;"",IF(H25&lt;&gt;"",IF(D25&lt;&gt;H25,IF(D25&gt;H25,"V","D"),""),""),"")))))</f>
        <v>-</v>
      </c>
      <c r="H9" s="115"/>
      <c r="I9" s="33">
        <f>IF(B9&lt;&gt;"",2,"")</f>
        <v>2</v>
      </c>
      <c r="J9" s="33" t="str">
        <f>IF(I9&lt;&gt;"",P9,"")</f>
        <v>Heitor Dias de Oliveira Tamayoshi</v>
      </c>
      <c r="K9" s="33" t="str">
        <f>IFERROR(IF(J9="","",VLOOKUP(J9,LISTAS!$F$5:$G$1004,2,0)),"0")</f>
        <v>ESCOLA INTERAÇÃO</v>
      </c>
      <c r="L9" s="130" t="str">
        <f>IF(B9&lt;&gt;"",IF(G5=1,"OURO",IF(G5=2,IF(H8&lt;3,"",IF(H8&gt;4,"",IF(H8=3,"PRATA",IF(H8=4,"OURO")))),IF(G5&gt;=3,"PRATA",""))),"")</f>
        <v>PRATA</v>
      </c>
      <c r="M9" s="118">
        <f>IF(B9&lt;&gt;"",COUNTIF(D9:G9,"V")+(SUMIF(B16:B25,B9,D16:E25)/1000)+(SUMIF(J16:J25,B9,H16:I25)/1000)-(SUMIF(B16:B25,B9,H16:I25)/1000)-(SUMIF(J16:J25,B9,D16:E25)/1000)+0.004,"")</f>
        <v>1.004</v>
      </c>
      <c r="N9" s="20" t="str">
        <f t="shared" ref="N9" si="0">IF(B9="","",B9)</f>
        <v>Heitor Dias de Oliveira Tamayoshi</v>
      </c>
      <c r="O9" s="20">
        <f>IF(B9&lt;&gt;"",LARGE(M8:M12,2),"")</f>
        <v>1.004</v>
      </c>
      <c r="P9" s="20" t="str">
        <f>VLOOKUP(O9,M8:N12,2,0)</f>
        <v>Heitor Dias de Oliveira Tamayoshi</v>
      </c>
    </row>
    <row r="10" spans="2:17" ht="18" customHeight="1" x14ac:dyDescent="0.25">
      <c r="B10" s="33" t="s">
        <v>279</v>
      </c>
      <c r="C10" s="33" t="str">
        <f>IFERROR(IF(B10="","",VLOOKUP(B10,LISTAS!$F$5:$G$1004,2,0)),"0")</f>
        <v>RIO BRANCO - SBC</v>
      </c>
      <c r="D10" s="33" t="s">
        <v>714</v>
      </c>
      <c r="E10" s="33" t="str">
        <f>IF(H8&lt;3,"",IF(H8=3,IF(D17&lt;&gt;"",IF(H17&lt;&gt;"",IF(D17&lt;&gt;H17,IF(D17&gt;H17,"D","V"),""),""),""),IF(H8=4,IF(D18&lt;&gt;"",IF(H18&lt;&gt;"",IF(D18&lt;&gt;H18,IF(D18&gt;H18,"D","V"),""),""),""),IF(H8=5,IF(D21&lt;&gt;"",IF(H21&lt;&gt;"",IF(D21&lt;&gt;H21,IF(D21&gt;H21,"D","V"),""),""),"")))))</f>
        <v>D</v>
      </c>
      <c r="F10" s="33" t="str">
        <f>IF(H8&lt;4,"-",IF(H8=3,"",IF(H8=4,IF(D20&lt;&gt;"",IF(H20&lt;&gt;"",IF(D20&lt;&gt;H20,IF(D20&gt;H20,"V","D"),""),""),""),IF(H8=5,IF(D23&lt;&gt;"",IF(H23&lt;&gt;"",IF(D23&lt;&gt;H23,IF(D23&gt;H23,"V","D"),""),""),"")))))</f>
        <v>-</v>
      </c>
      <c r="G10" s="33" t="str">
        <f>IF(H8&lt;5,"-",IF(H8=3,"",IF(H8=4,"",IF(H8=5,IF(D24&lt;&gt;"",IF(H24&lt;&gt;"",IF(D24&lt;&gt;H24,IF(D24&gt;H24,"V","D"),""),""),"")))))</f>
        <v>-</v>
      </c>
      <c r="H10" s="115"/>
      <c r="I10" s="33">
        <f>IF(B10&lt;&gt;"",3,"")</f>
        <v>3</v>
      </c>
      <c r="J10" s="33" t="str">
        <f>IF(I10&lt;&gt;"",P10,"")</f>
        <v>IAN REZENDE</v>
      </c>
      <c r="K10" s="33" t="str">
        <f>IFERROR(IF(J10="","",VLOOKUP(J10,LISTAS!$F$5:$G$1004,2,0)),"0")</f>
        <v>RIO BRANCO - SBC</v>
      </c>
      <c r="L10" s="130" t="str">
        <f>IF(B10&lt;&gt;"",IF(G5=1,"OURO",IF(G5=2,IF(H8&lt;3,"",IF(H8&gt;4,"",IF(H8=3,"BRONZE",IF(H8=4,"PRATA")))),IF(G5&gt;=3,"BRONZE",""))),"")</f>
        <v>BRONZE</v>
      </c>
      <c r="M10" s="118">
        <f>IF(B10&lt;&gt;"",COUNTIF(D10:G10,"V")+(SUMIF(B16:B25,B10,D16:E25)/1000)+(SUMIF(J16:J25,B10,H16:I25)/1000)-(SUMIF(B16:B25,B10,H16:I25)/1000)-(SUMIF(J16:J25,B10,D16:E25)/1000)+0.003,"")</f>
        <v>1E-3</v>
      </c>
      <c r="N10" s="20" t="str">
        <f>IF(B10="","",B10)</f>
        <v>IAN REZENDE</v>
      </c>
      <c r="O10" s="20">
        <f>IF(B10&lt;&gt;"",LARGE(M8:M12,3),"")</f>
        <v>1E-3</v>
      </c>
      <c r="P10" s="20" t="str">
        <f>VLOOKUP(O10,M8:N12,2,0)</f>
        <v>IAN REZENDE</v>
      </c>
    </row>
    <row r="11" spans="2:17" ht="18" customHeight="1" x14ac:dyDescent="0.25">
      <c r="B11" s="33"/>
      <c r="C11" s="33" t="str">
        <f>IFERROR(IF(B11="","",VLOOKUP(B11,LISTAS!$F$5:$G$1004,2,0)),"0")</f>
        <v/>
      </c>
      <c r="D11" s="33" t="str">
        <f>IF(H8&lt;3,"",IF(H8=3,"",IF(H8=4,IF(D16&lt;&gt;"",IF(H16&lt;&gt;"",IF(D16&lt;&gt;H16,IF(D16&gt;H16,"D","V"),""),""),""),IF(H8=5,IF(D17&lt;&gt;"",IF(H17&lt;&gt;"",IF(D17&lt;&gt;H17,IF(D17&gt;H17,"D","V"),""),""),"")))))</f>
        <v/>
      </c>
      <c r="E11" s="33" t="str">
        <f>IF(H8&lt;3,"",IF(H8=3,"",IF(H8=4,IF(D19&lt;&gt;"",IF(H19&lt;&gt;"",IF(D19&lt;&gt;H19,IF(D19&gt;H19,"D","V"),""),""),""),IF(H8=5,IF(D19&lt;&gt;"",IF(H19&lt;&gt;"",IF(D19&lt;&gt;H19,IF(D19&gt;H19,"V","D"),""),""),"")))))</f>
        <v/>
      </c>
      <c r="F11" s="33" t="str">
        <f>IF(H8&lt;4,"-",IF(H8=3,"",IF(H8=4,IF(D20&lt;&gt;"",IF(H20&lt;&gt;"",IF(D20&lt;&gt;H20,IF(D20&gt;H20,"D","V"),""),""),""),IF(H8=5,IF(D20&lt;&gt;"",IF(H20&lt;&gt;"",IF(D20&lt;&gt;H20,IF(D20&gt;H20,"V","D"),""),""),"")))))</f>
        <v>-</v>
      </c>
      <c r="G11" s="33" t="str">
        <f>IF(H8&lt;5,"-",IF(H8=3,"",IF(H8=4,"",IF(H8=5,IF(D24&lt;&gt;"",IF(H24&lt;&gt;"",IF(D24&lt;&gt;H24,IF(D24&gt;H24,"D","V"),""),""),"")))))</f>
        <v>-</v>
      </c>
      <c r="H11" s="115"/>
      <c r="I11" s="33" t="str">
        <f>IF(B11&lt;&gt;"",4,"")</f>
        <v/>
      </c>
      <c r="J11" s="33" t="str">
        <f>IF(I11&lt;&gt;"",P11,"")</f>
        <v/>
      </c>
      <c r="K11" s="33" t="str">
        <f>IFERROR(IF(J11="","",VLOOKUP(J11,LISTAS!$F$5:$G$1004,2,0)),"0")</f>
        <v/>
      </c>
      <c r="L11" s="130" t="str">
        <f>IF(B11&lt;&gt;"",IF(G5=1,"OURO",IF(G5=2,IF(H8&lt;3,"",IF(H8&gt;4,"",IF(H8=3,"",IF(H8=4,"PRATA")))),IF(G5&gt;=3,"",""))),"")</f>
        <v/>
      </c>
      <c r="M11" s="20" t="str">
        <f>IF(B11&lt;&gt;"",COUNTIF(D11:G11,"V")+(SUMIF(B16:B25,B11,D16:E25)/1000)+(SUMIF(J16:J25,B11,H16:I25)/1000)-(SUMIF(B16:B25,B11,H16:I25)/1000)-(SUMIF(J16:J25,B11,D16:E25)/1000)+0.002,"")</f>
        <v/>
      </c>
      <c r="N11" s="20" t="str">
        <f>IF(B11="","",B11)</f>
        <v/>
      </c>
      <c r="O11" s="20" t="str">
        <f>IF(B11&lt;&gt;"",LARGE(M8:M12,4),"")</f>
        <v/>
      </c>
      <c r="P11" s="20" t="str">
        <f>VLOOKUP(O11,M8:N12,2,0)</f>
        <v/>
      </c>
    </row>
    <row r="12" spans="2:17" ht="18" customHeight="1" x14ac:dyDescent="0.25">
      <c r="B12" s="33"/>
      <c r="C12" s="33" t="str">
        <f>IFERROR(IF(B12="","",VLOOKUP(B12,LISTAS!$F$5:$G$1004,2,0)),"0")</f>
        <v/>
      </c>
      <c r="D12" s="33" t="str">
        <f>IF(H8&lt;3,"",IF(H8=3,"",IF(H8=4,"",IF(H8=5,IF(D16&lt;&gt;"",IF(H16&lt;&gt;"",IF(D16&lt;&gt;H16,IF(D16&gt;H16,"D","V"),""),""),"")))))</f>
        <v/>
      </c>
      <c r="E12" s="33" t="str">
        <f>IF(H8&lt;3,"",IF(H8=3,"",IF(H8=4,"",IF(H8=5,IF(D19&lt;&gt;"",IF(H19&lt;&gt;"",IF(D19&lt;&gt;H19,IF(D19&gt;H19,"D","V"),""),""),"")))))</f>
        <v/>
      </c>
      <c r="F12" s="33" t="str">
        <f>IF(H8&lt;4,"-",IF(H8=3,"",IF(H8=4,"",IF(H8=5,IF(D21&lt;&gt;"",IF(H21&lt;&gt;"",IF(D21&lt;&gt;H21,IF(D21&gt;H21,"V","D"),""),""),"")))))</f>
        <v>-</v>
      </c>
      <c r="G12" s="33" t="str">
        <f>IF(H8&lt;5,"-",IF(H8=3,"",IF(H8=4,"",IF(H8=5,IF(D22&lt;&gt;"",IF(H22&lt;&gt;"",IF(D22&lt;&gt;H22,IF(D22&gt;H22,"V","D"),""),""),"")))))</f>
        <v>-</v>
      </c>
      <c r="H12" s="116"/>
      <c r="I12" s="33" t="str">
        <f>IF(B12&lt;&gt;"",5,"")</f>
        <v/>
      </c>
      <c r="J12" s="33" t="str">
        <f>IF(I12&lt;&gt;"",P12,"")</f>
        <v/>
      </c>
      <c r="K12" s="33" t="str">
        <f>IFERROR(IF(J12="","",VLOOKUP(J12,LISTAS!$F$5:$G$1004,2,0)),"0")</f>
        <v/>
      </c>
      <c r="L12" s="130" t="str">
        <f>IF(B12&lt;&gt;"",IF(G5=1,"OURO",IF(G5=2,IF(H8&lt;3,"",IF(H8&gt;4,"",IF(H8=3,"",IF(H8=4,"")))),IF(G5&gt;=3,"",""))),"")</f>
        <v/>
      </c>
      <c r="M12" s="20" t="str">
        <f>IF(B12&lt;&gt;"",COUNTIF(D12:G12,"V")+(SUMIF(B16:B25,B12,D16:E25)/1000)+(SUMIF(J16:J25,B12,H16:I25)/1000)-(SUMIF(B16:B25,B12,H16:I25)/1000)-(SUMIF(J16:J25,B12,D16:E25)/1000)+0.001,"")</f>
        <v/>
      </c>
      <c r="N12" s="20" t="str">
        <f>IF(B12="","",B12)</f>
        <v/>
      </c>
      <c r="O12" s="20" t="str">
        <f>IF(B12&lt;&gt;"",LARGE(M8:M12,5),"")</f>
        <v/>
      </c>
      <c r="P12" s="20" t="str">
        <f>VLOOKUP(O12,M8:N12,2,0)</f>
        <v/>
      </c>
    </row>
    <row r="13" spans="2:17" ht="18" customHeight="1" x14ac:dyDescent="0.25">
      <c r="B13" s="79"/>
      <c r="C13" s="79"/>
      <c r="D13" s="79"/>
      <c r="E13" s="79"/>
      <c r="F13" s="79"/>
      <c r="G13" s="79"/>
      <c r="I13" s="80"/>
      <c r="J13" s="79"/>
      <c r="K13" s="81"/>
      <c r="L13" s="81"/>
    </row>
    <row r="14" spans="2:17" ht="23.25" customHeight="1" x14ac:dyDescent="0.25">
      <c r="B14" s="82" t="s">
        <v>40</v>
      </c>
      <c r="C14" s="79"/>
      <c r="D14" s="79"/>
      <c r="E14" s="79"/>
      <c r="F14" s="79"/>
      <c r="G14" s="79"/>
      <c r="H14" s="79"/>
      <c r="I14" s="79"/>
      <c r="J14" s="79"/>
      <c r="K14" s="79"/>
      <c r="L14" s="79"/>
    </row>
    <row r="15" spans="2:17" ht="18" customHeight="1" x14ac:dyDescent="0.25">
      <c r="B15" s="132" t="s">
        <v>15</v>
      </c>
      <c r="C15" s="132" t="s">
        <v>0</v>
      </c>
      <c r="D15" s="258" t="s">
        <v>41</v>
      </c>
      <c r="E15" s="259"/>
      <c r="F15" s="259"/>
      <c r="G15" s="259"/>
      <c r="H15" s="259"/>
      <c r="I15" s="260"/>
      <c r="J15" s="132" t="s">
        <v>15</v>
      </c>
      <c r="K15" s="132" t="s">
        <v>0</v>
      </c>
      <c r="L15" s="79"/>
    </row>
    <row r="16" spans="2:17" ht="18" customHeight="1" x14ac:dyDescent="0.25">
      <c r="B16" s="33" t="str">
        <f>IF(H8=3,B8,IF(H8=4,B8,IF(H8=5,B8,"")))</f>
        <v>BYE</v>
      </c>
      <c r="C16" s="33" t="str">
        <f>IFERROR(IF(B16="","",VLOOKUP(B16,LISTAS!$F$5:$G$1004,2,0)),"0")</f>
        <v>BYE</v>
      </c>
      <c r="D16" s="253">
        <v>2</v>
      </c>
      <c r="E16" s="254"/>
      <c r="F16" s="253">
        <v>0</v>
      </c>
      <c r="G16" s="254"/>
      <c r="H16" s="253">
        <v>2</v>
      </c>
      <c r="I16" s="254"/>
      <c r="J16" s="111" t="str">
        <f>IF(H8=3,B10,IF(H8=4,B11,IF(H8=5,B12,"")))</f>
        <v>IAN REZENDE</v>
      </c>
      <c r="K16" s="33" t="str">
        <f>IFERROR(IF(J16="","",VLOOKUP(J16,LISTAS!$F$5:$G$1004,2,0)),"0")</f>
        <v>RIO BRANCO - SBC</v>
      </c>
      <c r="L16" s="81"/>
    </row>
    <row r="17" spans="2:16" ht="18" customHeight="1" x14ac:dyDescent="0.25">
      <c r="B17" s="33" t="str">
        <f>IF(H8=3,B9,IF(H8=4,B9,IF(H8=5,B9,"")))</f>
        <v>Heitor Dias de Oliveira Tamayoshi</v>
      </c>
      <c r="C17" s="33" t="str">
        <f>IFERROR(IF(B17="","",VLOOKUP(B17,LISTAS!$F$5:$G$1004,2,0)),"0")</f>
        <v>ESCOLA INTERAÇÃO</v>
      </c>
      <c r="D17" s="253">
        <v>2</v>
      </c>
      <c r="E17" s="254"/>
      <c r="F17" s="253" t="s">
        <v>38</v>
      </c>
      <c r="G17" s="254"/>
      <c r="H17" s="253">
        <v>0</v>
      </c>
      <c r="I17" s="254"/>
      <c r="J17" s="111" t="str">
        <f>IF(H8=3,B10,IF(H8=4,B10,IF(H8=5,B11,"")))</f>
        <v>IAN REZENDE</v>
      </c>
      <c r="K17" s="33" t="str">
        <f>IFERROR(IF(J17="","",VLOOKUP(J17,LISTAS!$F$5:$G$1004,2,0)),"0")</f>
        <v>RIO BRANCO - SBC</v>
      </c>
      <c r="L17" s="79"/>
    </row>
    <row r="18" spans="2:16" ht="18" customHeight="1" x14ac:dyDescent="0.25">
      <c r="B18" s="33" t="str">
        <f>IF(H8=3,B8,IF(H8=4,B8,IF(H8=5,B9,"")))</f>
        <v>BYE</v>
      </c>
      <c r="C18" s="33" t="str">
        <f>IFERROR(IF(B18="","",VLOOKUP(B18,LISTAS!$F$5:$G$1004,2,0)),"0")</f>
        <v>BYE</v>
      </c>
      <c r="D18" s="253">
        <v>2</v>
      </c>
      <c r="E18" s="254"/>
      <c r="F18" s="253" t="s">
        <v>38</v>
      </c>
      <c r="G18" s="254"/>
      <c r="H18" s="253">
        <v>0</v>
      </c>
      <c r="I18" s="254"/>
      <c r="J18" s="111" t="str">
        <f>IF(H8=3,B9,IF(H8=4,B10,IF(H8=5,B10,"")))</f>
        <v>Heitor Dias de Oliveira Tamayoshi</v>
      </c>
      <c r="K18" s="33" t="str">
        <f>IFERROR(IF(J18="","",VLOOKUP(J18,LISTAS!$F$5:$G$1004,2,0)),"0")</f>
        <v>ESCOLA INTERAÇÃO</v>
      </c>
      <c r="L18" s="81"/>
    </row>
    <row r="19" spans="2:16" ht="18" customHeight="1" x14ac:dyDescent="0.25">
      <c r="B19" s="33" t="str">
        <f>IF(H8=3,"",IF(H8=4,B9,IF(H8=5,B11,"")))</f>
        <v/>
      </c>
      <c r="C19" s="33" t="str">
        <f>IFERROR(IF(B19="","",VLOOKUP(B19,LISTAS!$F$5:$G$1004,2,0)),"0")</f>
        <v/>
      </c>
      <c r="D19" s="253"/>
      <c r="E19" s="254"/>
      <c r="F19" s="253" t="s">
        <v>38</v>
      </c>
      <c r="G19" s="254"/>
      <c r="H19" s="253"/>
      <c r="I19" s="254"/>
      <c r="J19" s="111" t="str">
        <f>IF(H8=3,"",IF(H8=4,B11,IF(H8=5,B12,"")))</f>
        <v/>
      </c>
      <c r="K19" s="33" t="str">
        <f>IFERROR(IF(J19="","",VLOOKUP(J19,LISTAS!$F$5:$G$1004,2,0)),"0")</f>
        <v/>
      </c>
      <c r="L19" s="81"/>
    </row>
    <row r="20" spans="2:16" ht="18" customHeight="1" x14ac:dyDescent="0.25">
      <c r="B20" s="33" t="str">
        <f>IF(H8=3,"",IF(H8=4,B10,IF(H8=5,B11,"")))</f>
        <v/>
      </c>
      <c r="C20" s="33" t="str">
        <f>IFERROR(IF(B20="","",VLOOKUP(B20,LISTAS!$F$5:$G$1004,2,0)),"0")</f>
        <v/>
      </c>
      <c r="D20" s="253"/>
      <c r="E20" s="254"/>
      <c r="F20" s="253" t="s">
        <v>38</v>
      </c>
      <c r="G20" s="254"/>
      <c r="H20" s="253"/>
      <c r="I20" s="254"/>
      <c r="J20" s="111" t="str">
        <f>IF(H8=3,"",IF(H8=4,B11,IF(H8=5,B8,"")))</f>
        <v/>
      </c>
      <c r="K20" s="33" t="str">
        <f>IFERROR(IF(J20="","",VLOOKUP(J20,LISTAS!$F$5:$G$1004,2,0)),"0")</f>
        <v/>
      </c>
      <c r="L20" s="81"/>
    </row>
    <row r="21" spans="2:16" ht="18" customHeight="1" x14ac:dyDescent="0.25">
      <c r="B21" s="33" t="str">
        <f>IF(H8=3,"",IF(H8=4,B8,IF(H8=5,B12,"")))</f>
        <v/>
      </c>
      <c r="C21" s="33" t="str">
        <f>IFERROR(IF(B21="","",VLOOKUP(B21,LISTAS!$F$5:$G$1004,2,0)),"0")</f>
        <v/>
      </c>
      <c r="D21" s="253"/>
      <c r="E21" s="254"/>
      <c r="F21" s="253" t="s">
        <v>38</v>
      </c>
      <c r="G21" s="254"/>
      <c r="H21" s="253"/>
      <c r="I21" s="254"/>
      <c r="J21" s="111" t="str">
        <f>IF(H8=3,"",IF(H8=4,B9,IF(H8=5,B10,"")))</f>
        <v/>
      </c>
      <c r="K21" s="33" t="str">
        <f>IFERROR(IF(J21="","",VLOOKUP(J21,LISTAS!$F$5:$G$1004,2,0)),"0")</f>
        <v/>
      </c>
      <c r="L21" s="81"/>
    </row>
    <row r="22" spans="2:16" ht="18" customHeight="1" x14ac:dyDescent="0.25">
      <c r="B22" s="33" t="str">
        <f>IF(H8=3,"",IF(H8=4,"",IF(H8=5,B12,"")))</f>
        <v/>
      </c>
      <c r="C22" s="33" t="str">
        <f>IFERROR(IF(B22="","",VLOOKUP(B22,LISTAS!$F$5:$G$1004,2,0)),"0")</f>
        <v/>
      </c>
      <c r="D22" s="253"/>
      <c r="E22" s="254"/>
      <c r="F22" s="253" t="s">
        <v>38</v>
      </c>
      <c r="G22" s="254"/>
      <c r="H22" s="253"/>
      <c r="I22" s="254"/>
      <c r="J22" s="111" t="str">
        <f>IF(H8=3,"",IF(H8=4,"",IF(H8=5,B9,"")))</f>
        <v/>
      </c>
      <c r="K22" s="33" t="str">
        <f>IFERROR(IF(J22="","",VLOOKUP(J22,LISTAS!$F$5:$G$1004,2,0)),"0")</f>
        <v/>
      </c>
      <c r="L22" s="81"/>
    </row>
    <row r="23" spans="2:16" ht="18" customHeight="1" x14ac:dyDescent="0.25">
      <c r="B23" s="99" t="str">
        <f>IF(H8=3,"",IF(H8=4,"",IF(H8=5,B10,"")))</f>
        <v/>
      </c>
      <c r="C23" s="33" t="str">
        <f>IFERROR(IF(B23="","",VLOOKUP(B23,LISTAS!$F$5:$G$1004,2,0)),"0")</f>
        <v/>
      </c>
      <c r="D23" s="253"/>
      <c r="E23" s="254"/>
      <c r="F23" s="253" t="s">
        <v>38</v>
      </c>
      <c r="G23" s="254"/>
      <c r="H23" s="253"/>
      <c r="I23" s="254"/>
      <c r="J23" s="111" t="str">
        <f>IF(H8=3,"",IF(H8=4,"",IF(H8=5,B8,"")))</f>
        <v/>
      </c>
      <c r="K23" s="33" t="str">
        <f>IFERROR(IF(J23="","",VLOOKUP(J23,LISTAS!$F$5:$G$1004,2,0)),"0")</f>
        <v/>
      </c>
      <c r="L23" s="81"/>
    </row>
    <row r="24" spans="2:16" ht="18" customHeight="1" x14ac:dyDescent="0.25">
      <c r="B24" s="33" t="str">
        <f>IF(H8=3,"",IF(H8=4,"",IF(H8=5,B10,"")))</f>
        <v/>
      </c>
      <c r="C24" s="33" t="str">
        <f>IFERROR(IF(B24="","",VLOOKUP(B24,LISTAS!$F$5:$G$1004,2,0)),"0")</f>
        <v/>
      </c>
      <c r="D24" s="253"/>
      <c r="E24" s="254"/>
      <c r="F24" s="253" t="s">
        <v>38</v>
      </c>
      <c r="G24" s="254"/>
      <c r="H24" s="253"/>
      <c r="I24" s="254"/>
      <c r="J24" s="111" t="str">
        <f>IF(H8=3,"",IF(H8=4,"",IF(H8=5,B11,"")))</f>
        <v/>
      </c>
      <c r="K24" s="33" t="str">
        <f>IFERROR(IF(J24="","",VLOOKUP(J24,LISTAS!$F$5:$G$1004,2,0)),"0")</f>
        <v/>
      </c>
      <c r="L24" s="81"/>
    </row>
    <row r="25" spans="2:16" ht="18" customHeight="1" x14ac:dyDescent="0.25">
      <c r="B25" s="99" t="str">
        <f>IF(H8=3,"",IF(H8=4,"",IF(H8=5,B9,"")))</f>
        <v/>
      </c>
      <c r="C25" s="33" t="str">
        <f>IFERROR(IF(B25="","",VLOOKUP(B25,LISTAS!$F$5:$G$1004,2,0)),"0")</f>
        <v/>
      </c>
      <c r="D25" s="253"/>
      <c r="E25" s="254"/>
      <c r="F25" s="261" t="s">
        <v>38</v>
      </c>
      <c r="G25" s="262"/>
      <c r="H25" s="253"/>
      <c r="I25" s="254"/>
      <c r="J25" s="111" t="str">
        <f>IF(H8=3,"",IF(H8=4,"",IF(H8=5,B8,"")))</f>
        <v/>
      </c>
      <c r="K25" s="33" t="str">
        <f>IFERROR(IF(J25="","",VLOOKUP(J25,LISTAS!$F$5:$G$1004,2,0)),"0")</f>
        <v/>
      </c>
      <c r="L25" s="81"/>
    </row>
    <row r="28" spans="2:16" ht="30" customHeight="1" x14ac:dyDescent="0.25">
      <c r="B28" s="161" t="s">
        <v>46</v>
      </c>
      <c r="C28" s="79"/>
      <c r="D28" s="255" t="s">
        <v>42</v>
      </c>
      <c r="E28" s="256"/>
      <c r="F28" s="256"/>
      <c r="G28" s="257"/>
      <c r="H28" s="113"/>
      <c r="I28" s="255" t="s">
        <v>3</v>
      </c>
      <c r="J28" s="256"/>
      <c r="K28" s="256"/>
      <c r="L28" s="256"/>
    </row>
    <row r="29" spans="2:16" ht="18" customHeight="1" x14ac:dyDescent="0.25">
      <c r="B29" s="132" t="s">
        <v>15</v>
      </c>
      <c r="C29" s="132" t="s">
        <v>0</v>
      </c>
      <c r="D29" s="132" t="s">
        <v>43</v>
      </c>
      <c r="E29" s="132" t="s">
        <v>44</v>
      </c>
      <c r="F29" s="132" t="s">
        <v>77</v>
      </c>
      <c r="G29" s="132" t="s">
        <v>78</v>
      </c>
      <c r="H29" s="114"/>
      <c r="I29" s="132" t="s">
        <v>18</v>
      </c>
      <c r="J29" s="132" t="s">
        <v>15</v>
      </c>
      <c r="K29" s="132" t="s">
        <v>0</v>
      </c>
      <c r="L29" s="132" t="s">
        <v>45</v>
      </c>
    </row>
    <row r="30" spans="2:16" ht="18" customHeight="1" x14ac:dyDescent="0.25">
      <c r="B30" s="33" t="s">
        <v>216</v>
      </c>
      <c r="C30" s="33" t="str">
        <f>IFERROR(IF(B30="","",VLOOKUP(B30,LISTAS!$F$5:$G$1004,2,0)),"0")</f>
        <v>ABACO IPIRANGA</v>
      </c>
      <c r="D30" s="33" t="str">
        <f>IF(H30&lt;3,"",IF(H30=3,IF(D37&lt;&gt;"",IF(H37&lt;&gt;"",IF(D37&lt;&gt;H37,IF(D37&gt;H37,"V","D"),""),""),""),IF(H30=4,IF(D37&lt;&gt;"",IF(H37&lt;&gt;"",IF(D37&lt;&gt;H37,IF(D37&gt;H37,"V","D"),""),""),""))))</f>
        <v>D</v>
      </c>
      <c r="E30" s="33" t="str">
        <f>IF(H30&lt;3,"",IF(H30=3,IF(D39&lt;&gt;"",IF(H39&lt;&gt;"",IF(D39&lt;&gt;H39,IF(D39&gt;H39,"V","D"),""),""),""),IF(H30=4,IF(D39&lt;&gt;"",IF(H39&lt;&gt;"",IF(D39&lt;&gt;H39,IF(D39&gt;H39,"V","D"),""),""),""))))</f>
        <v>V</v>
      </c>
      <c r="F30" s="33" t="str">
        <f>IF(H30&lt;4,"-",IF(H30=3,"",IF(H30=4,IF(D42&lt;&gt;"",IF(H42&lt;&gt;"",IF(D42&lt;&gt;H42,IF(D42&gt;H42,"V","D"),""),""),""))))</f>
        <v>-</v>
      </c>
      <c r="G30" s="33" t="s">
        <v>81</v>
      </c>
      <c r="H30" s="117">
        <f>COUNTA(B30:B33)</f>
        <v>3</v>
      </c>
      <c r="I30" s="33">
        <f>IF(B30&lt;&gt;"",1,"")</f>
        <v>1</v>
      </c>
      <c r="J30" s="33" t="str">
        <f>IF(I30&lt;&gt;"",P30,"")</f>
        <v>ALLAN DUQUE</v>
      </c>
      <c r="K30" s="33" t="str">
        <f>IFERROR(IF(J30="","",VLOOKUP(J30,LISTAS!$F$5:$G$1004,2,0)),"0")</f>
        <v>RIO BRANCO - SBC</v>
      </c>
      <c r="L30" s="130" t="str">
        <f>IF(B30&lt;&gt;"",IF(G5=1,"OURO",IF(G5=2,IF(H8&lt;3,"",IF(H8=3,"OURO",IF(H8=4,"OURO"))),IF(G5&gt;=3,"OURO",""))),"")</f>
        <v>OURO</v>
      </c>
      <c r="M30" s="20">
        <f>IF(B30&lt;&gt;"",COUNTIF(D30:G30,"V")+(SUMIF(B37:B42,B30,D37:E42)/1000)+(SUMIF(J37:J42,B30,H37:I42)/1000)-(SUMIF(B37:B42,B30,H37:I42)/1000)-(SUMIF(J37:J42,B30,D37:E42)/1000)+0.005,"")</f>
        <v>1.0049999999999999</v>
      </c>
      <c r="N30" s="20" t="str">
        <f>IF(B30="","",B30)</f>
        <v>ARTHUR SCAQUETTI SCARFONE</v>
      </c>
      <c r="O30" s="20">
        <f>IF(B30&lt;&gt;"",LARGE(M30:M33,1),"")</f>
        <v>2.0070000000000001</v>
      </c>
      <c r="P30" s="20" t="str">
        <f>VLOOKUP(O30,M30:N33,2,0)</f>
        <v>ALLAN DUQUE</v>
      </c>
    </row>
    <row r="31" spans="2:16" ht="18" customHeight="1" x14ac:dyDescent="0.25">
      <c r="B31" s="39" t="s">
        <v>693</v>
      </c>
      <c r="C31" s="33" t="str">
        <f>IFERROR(IF(B31="","",VLOOKUP(B31,LISTAS!$F$5:$G$1004,2,0)),"0")</f>
        <v>COLÉGIO ARBOS SÃO CAETANO DO SUL</v>
      </c>
      <c r="D31" s="33" t="str">
        <f>IF(H30&lt;3,"",IF(H30=3,IF(D38&lt;&gt;"",IF(H38&lt;&gt;"",IF(D38&lt;&gt;H38,IF(D38&gt;H38,"V","D"),""),""),""),IF(H30=4,IF(D38&lt;&gt;"",IF(H38&lt;&gt;"",IF(D38&lt;&gt;H38,IF(D38&gt;H38,"V","D"),""),""),""))))</f>
        <v>D</v>
      </c>
      <c r="E31" s="33" t="str">
        <f>IF(H30&lt;3,"",IF(H30=3,IF(D39&lt;&gt;"",IF(H39&lt;&gt;"",IF(D39&lt;&gt;H39,IF(D39&gt;H39,"D","V"),""),""),""),IF(H30=4,IF(D40&lt;&gt;"",IF(H40&lt;&gt;"",IF(D40&lt;&gt;H40,IF(D40&gt;H40,"V","D"),""),""),""))))</f>
        <v>D</v>
      </c>
      <c r="F31" s="33" t="str">
        <f>IF(H30&lt;4,"-",IF(H30=3,"",IF(H30=4,IF(D42&lt;&gt;"",IF(H42&lt;&gt;"",IF(D42&lt;&gt;H42,IF(D42&gt;H42,"D","V"),""),""),""))))</f>
        <v>-</v>
      </c>
      <c r="G31" s="33" t="s">
        <v>81</v>
      </c>
      <c r="H31" s="117"/>
      <c r="I31" s="33">
        <f>IF(B31&lt;&gt;"",2,"")</f>
        <v>2</v>
      </c>
      <c r="J31" s="33" t="str">
        <f>IF(I31&lt;&gt;"",P31,"")</f>
        <v>ARTHUR SCAQUETTI SCARFONE</v>
      </c>
      <c r="K31" s="33" t="str">
        <f>IFERROR(IF(J31="","",VLOOKUP(J31,LISTAS!$F$5:$G$1004,2,0)),"0")</f>
        <v>ABACO IPIRANGA</v>
      </c>
      <c r="L31" s="130" t="str">
        <f>IF(B31&lt;&gt;"",IF(G5=1,"OURO",IF(G5=2,IF(H8&lt;3,"",IF(H8=3,"PRATA",IF(H8=4,"OURO"))),IF(G5&gt;=3,"PRATA",""))),"")</f>
        <v>PRATA</v>
      </c>
      <c r="M31" s="118">
        <f>IF(B31&lt;&gt;"",COUNTIF(D31:G31,"V")+(SUMIF(B37:B42,B31,D37:E42)/1000)+(SUMIF(J37:J42,B31,H37:I42)/1000)-(SUMIF(B37:B42,B31,H37:I42)/1000)-(SUMIF(J37:J42,B31,D37:E42)/1000)+0.004,"")</f>
        <v>0</v>
      </c>
      <c r="N31" s="20" t="str">
        <f t="shared" ref="N31" si="1">IF(B31="","",B31)</f>
        <v xml:space="preserve">RAFAEL MIRANDA </v>
      </c>
      <c r="O31" s="20">
        <f>IF(B31&lt;&gt;"",LARGE(M30:M33,2),"")</f>
        <v>1.0049999999999999</v>
      </c>
      <c r="P31" s="20" t="str">
        <f>VLOOKUP(O31,M30:N33,2,0)</f>
        <v>ARTHUR SCAQUETTI SCARFONE</v>
      </c>
    </row>
    <row r="32" spans="2:16" ht="18" customHeight="1" x14ac:dyDescent="0.25">
      <c r="B32" s="33" t="s">
        <v>211</v>
      </c>
      <c r="C32" s="33" t="str">
        <f>IFERROR(IF(B32="","",VLOOKUP(B32,LISTAS!$F$5:$G$1004,2,0)),"0")</f>
        <v>RIO BRANCO - SBC</v>
      </c>
      <c r="D32" s="33" t="str">
        <f>IF(H30&lt;3,"",IF(H30=3,IF(D37&lt;&gt;"",IF(H37&lt;&gt;"",IF(D37&lt;&gt;H37,IF(D37&gt;H37,"D","V"),""),""),""),IF(H30=4,IF(D38&lt;&gt;"",IF(H38&lt;&gt;"",IF(D38&lt;&gt;H38,IF(D38&gt;H38,"D","V"),""),""),""))))</f>
        <v>V</v>
      </c>
      <c r="E32" s="33" t="str">
        <f>IF(H30&lt;3,"",IF(H30=3,IF(D38&lt;&gt;"",IF(H38&lt;&gt;"",IF(D38&lt;&gt;H38,IF(D38&gt;H38,"D","V"),""),""),""),IF(H30=4,IF(D39&lt;&gt;"",IF(H39&lt;&gt;"",IF(D39&lt;&gt;H39,IF(D39&gt;H39,"D","V"),""),""),""))))</f>
        <v>V</v>
      </c>
      <c r="F32" s="33" t="str">
        <f>IF(H30&lt;4,"-",IF(H30=3,"-",IF(H30=4,IF(D41&lt;&gt;"",IF(H41&lt;&gt;"",IF(D41&lt;&gt;H41,IF(D41&gt;H41,"V","D"),""),""),""))))</f>
        <v>-</v>
      </c>
      <c r="G32" s="33" t="s">
        <v>81</v>
      </c>
      <c r="H32" s="117"/>
      <c r="I32" s="33">
        <f>IF(B32&lt;&gt;"",3,"")</f>
        <v>3</v>
      </c>
      <c r="J32" s="33" t="str">
        <f>IF(I32&lt;&gt;"",P32,"")</f>
        <v xml:space="preserve">RAFAEL MIRANDA </v>
      </c>
      <c r="K32" s="33" t="str">
        <f>IFERROR(IF(J32="","",VLOOKUP(J32,LISTAS!$F$5:$G$1004,2,0)),"0")</f>
        <v>COLÉGIO ARBOS SÃO CAETANO DO SUL</v>
      </c>
      <c r="L32" s="130" t="str">
        <f>IF(B32&lt;&gt;"",IF(G5=1,"OURO",IF(G5=2,IF(H8&lt;3,"",IF(H8=3,"BRONZE",IF(H8=4,"PRATA"))),IF(G5&gt;=3,"BRONZE",""))),"")</f>
        <v>BRONZE</v>
      </c>
      <c r="M32" s="118">
        <f>IF(B32&lt;&gt;"",COUNTIF(D32:G32,"V")+(SUMIF(B37:B42,B32,D37:E42)/1000)+(SUMIF(J37:J42,B32,H37:I42)/1000)-(SUMIF(B37:B42,B32,H37:I42)/1000)-(SUMIF(J37:J42,B32,D37:E42)/1000)+0.003,"")</f>
        <v>2.0070000000000001</v>
      </c>
      <c r="N32" s="20" t="str">
        <f>IF(B32="","",B32)</f>
        <v>ALLAN DUQUE</v>
      </c>
      <c r="O32" s="20">
        <f>IF(B32&lt;&gt;"",LARGE(M30:M33,3),"")</f>
        <v>0</v>
      </c>
      <c r="P32" s="20" t="str">
        <f>VLOOKUP(O32,M30:N33,2,0)</f>
        <v xml:space="preserve">RAFAEL MIRANDA </v>
      </c>
    </row>
    <row r="33" spans="2:16" ht="18" customHeight="1" x14ac:dyDescent="0.25">
      <c r="B33" s="33"/>
      <c r="C33" s="33" t="str">
        <f>IFERROR(IF(B33="","",VLOOKUP(B33,LISTAS!$F$5:$G$1004,2,0)),"0")</f>
        <v/>
      </c>
      <c r="D33" s="33" t="str">
        <f>IF(H30&lt;3,"",IF(H30=3,"",IF(H30=4,IF(D37&lt;&gt;"",IF(H37&lt;&gt;"",IF(D37&lt;&gt;H37,IF(D37&gt;H37,"D","V"),""),""),""))))</f>
        <v/>
      </c>
      <c r="E33" s="33" t="str">
        <f>IF(H30&lt;3,"",IF(H30=3,"",IF(H30=4,IF(D40&lt;&gt;"",IF(H40&lt;&gt;"",IF(D40&lt;&gt;H40,IF(D40&gt;H40,"D","V"),""),""),""))))</f>
        <v/>
      </c>
      <c r="F33" s="33" t="str">
        <f>IF(H30&lt;4,"-",IF(H30=3,"",IF(H30=4,IF(D41&lt;&gt;"",IF(H41&lt;&gt;"",IF(D41&lt;&gt;H41,IF(D41&gt;H41,"D","V"),""),""),""))))</f>
        <v>-</v>
      </c>
      <c r="G33" s="33" t="s">
        <v>81</v>
      </c>
      <c r="H33" s="117"/>
      <c r="I33" s="33" t="str">
        <f>IF(B33&lt;&gt;"",4,"")</f>
        <v/>
      </c>
      <c r="J33" s="33" t="str">
        <f>IF(I33&lt;&gt;"",P33,"")</f>
        <v/>
      </c>
      <c r="K33" s="33" t="str">
        <f>IFERROR(IF(J33="","",VLOOKUP(J33,LISTAS!$F$5:$G$1004,2,0)),"0")</f>
        <v/>
      </c>
      <c r="L33" s="130" t="str">
        <f>IF(B33&lt;&gt;"",IF(G5=1,"OURO",IF(G5=2,IF(H8&lt;3,"",IF(H8=3,"",IF(H8=4,"PRATA"))),IF(G5&gt;=3,"",""))),"")</f>
        <v/>
      </c>
      <c r="M33" s="20" t="str">
        <f>IF(B33&lt;&gt;"",COUNTIF(D33:G33,"V")+(SUMIF(B37:B42,B33,D37:E42)/1000)+(SUMIF(J37:J42,B33,H37:I42)/1000)-(SUMIF(B37:B42,B33,H37:I42)/1000)-(SUMIF(J37:J42,B33,D37:E42)/1000)+0.002,"")</f>
        <v/>
      </c>
      <c r="N33" s="20" t="str">
        <f>IF(B33="","",B33)</f>
        <v/>
      </c>
      <c r="O33" s="20" t="str">
        <f>IF(B33&lt;&gt;"",LARGE(M30:M33,4),"")</f>
        <v/>
      </c>
      <c r="P33" s="20" t="str">
        <f>VLOOKUP(O33,M30:N33,2,0)</f>
        <v/>
      </c>
    </row>
    <row r="34" spans="2:16" ht="18" customHeight="1" x14ac:dyDescent="0.25">
      <c r="B34" s="79"/>
      <c r="C34" s="79"/>
      <c r="D34" s="79"/>
      <c r="E34" s="79"/>
      <c r="F34" s="79"/>
      <c r="G34" s="79"/>
      <c r="I34" s="80"/>
      <c r="J34" s="79"/>
      <c r="K34" s="81"/>
      <c r="L34" s="81"/>
    </row>
    <row r="35" spans="2:16" ht="23.25" customHeight="1" x14ac:dyDescent="0.25">
      <c r="B35" s="82" t="s">
        <v>40</v>
      </c>
      <c r="C35" s="79"/>
      <c r="D35" s="79"/>
      <c r="E35" s="79"/>
      <c r="F35" s="79"/>
      <c r="G35" s="79"/>
      <c r="H35" s="79"/>
      <c r="I35" s="79"/>
      <c r="J35" s="79"/>
      <c r="K35" s="79"/>
      <c r="L35" s="79"/>
    </row>
    <row r="36" spans="2:16" ht="18" customHeight="1" x14ac:dyDescent="0.25">
      <c r="B36" s="132" t="s">
        <v>15</v>
      </c>
      <c r="C36" s="132" t="s">
        <v>0</v>
      </c>
      <c r="D36" s="258" t="s">
        <v>41</v>
      </c>
      <c r="E36" s="259"/>
      <c r="F36" s="259"/>
      <c r="G36" s="259"/>
      <c r="H36" s="259"/>
      <c r="I36" s="260"/>
      <c r="J36" s="132" t="s">
        <v>15</v>
      </c>
      <c r="K36" s="132" t="s">
        <v>0</v>
      </c>
      <c r="L36" s="79"/>
    </row>
    <row r="37" spans="2:16" ht="18" customHeight="1" x14ac:dyDescent="0.25">
      <c r="B37" s="33" t="str">
        <f>IF(H30=3,B30,IF(H30=4,B30,""))</f>
        <v>ARTHUR SCAQUETTI SCARFONE</v>
      </c>
      <c r="C37" s="33" t="str">
        <f>IFERROR(IF(B37="","",VLOOKUP(B37,LISTAS!$F$5:$G$1004,2,0)),"0")</f>
        <v>ABACO IPIRANGA</v>
      </c>
      <c r="D37" s="253">
        <v>0</v>
      </c>
      <c r="E37" s="254"/>
      <c r="F37" s="253" t="s">
        <v>38</v>
      </c>
      <c r="G37" s="254"/>
      <c r="H37" s="253">
        <v>2</v>
      </c>
      <c r="I37" s="254"/>
      <c r="J37" s="111" t="str">
        <f>IF(H30=3,B32,IF(H30=4,B33,""))</f>
        <v>ALLAN DUQUE</v>
      </c>
      <c r="K37" s="33" t="str">
        <f>IFERROR(IF(J37="","",VLOOKUP(J37,LISTAS!$F$5:$G$1004,2,0)),"0")</f>
        <v>RIO BRANCO - SBC</v>
      </c>
      <c r="L37" s="81"/>
    </row>
    <row r="38" spans="2:16" ht="18" customHeight="1" x14ac:dyDescent="0.25">
      <c r="B38" s="33" t="str">
        <f>IF(H30=3,B31,IF(H30=4,B31,""))</f>
        <v xml:space="preserve">RAFAEL MIRANDA </v>
      </c>
      <c r="C38" s="33" t="str">
        <f>IFERROR(IF(B38="","",VLOOKUP(B38,LISTAS!$F$5:$G$1004,2,0)),"0")</f>
        <v>COLÉGIO ARBOS SÃO CAETANO DO SUL</v>
      </c>
      <c r="D38" s="253">
        <v>0</v>
      </c>
      <c r="E38" s="254"/>
      <c r="F38" s="253" t="s">
        <v>38</v>
      </c>
      <c r="G38" s="254"/>
      <c r="H38" s="253">
        <v>2</v>
      </c>
      <c r="I38" s="254"/>
      <c r="J38" s="111" t="str">
        <f>IF(H30=3,B32,IF(H30=4,B32,""))</f>
        <v>ALLAN DUQUE</v>
      </c>
      <c r="K38" s="33" t="str">
        <f>IFERROR(IF(J38="","",VLOOKUP(J38,LISTAS!$F$5:$G$1004,2,0)),"0")</f>
        <v>RIO BRANCO - SBC</v>
      </c>
      <c r="L38" s="79"/>
    </row>
    <row r="39" spans="2:16" ht="18" customHeight="1" x14ac:dyDescent="0.25">
      <c r="B39" s="33" t="str">
        <f>IF(H30=3,B30,IF(H30=4,B30,""))</f>
        <v>ARTHUR SCAQUETTI SCARFONE</v>
      </c>
      <c r="C39" s="33" t="str">
        <f>IFERROR(IF(B39="","",VLOOKUP(B39,LISTAS!$F$5:$G$1004,2,0)),"0")</f>
        <v>ABACO IPIRANGA</v>
      </c>
      <c r="D39" s="253">
        <v>2</v>
      </c>
      <c r="E39" s="254"/>
      <c r="F39" s="253" t="s">
        <v>38</v>
      </c>
      <c r="G39" s="254"/>
      <c r="H39" s="253">
        <v>0</v>
      </c>
      <c r="I39" s="254"/>
      <c r="J39" s="111" t="str">
        <f>IF(H30=3,B31,IF(H30=4,B32,""))</f>
        <v xml:space="preserve">RAFAEL MIRANDA </v>
      </c>
      <c r="K39" s="33" t="str">
        <f>IFERROR(IF(J39="","",VLOOKUP(J39,LISTAS!$F$5:$G$1004,2,0)),"0")</f>
        <v>COLÉGIO ARBOS SÃO CAETANO DO SUL</v>
      </c>
      <c r="L39" s="81"/>
    </row>
    <row r="40" spans="2:16" ht="18" customHeight="1" x14ac:dyDescent="0.25">
      <c r="B40" s="33" t="str">
        <f>IF(H30=3,"",IF(H30=4,B31,""))</f>
        <v/>
      </c>
      <c r="C40" s="33" t="str">
        <f>IFERROR(IF(B40="","",VLOOKUP(B40,LISTAS!$F$5:$G$1004,2,0)),"0")</f>
        <v/>
      </c>
      <c r="D40" s="253"/>
      <c r="E40" s="254"/>
      <c r="F40" s="253" t="s">
        <v>38</v>
      </c>
      <c r="G40" s="254"/>
      <c r="H40" s="253"/>
      <c r="I40" s="254"/>
      <c r="J40" s="111" t="str">
        <f>IF(H30=3,"",IF(H30=4,B33,""))</f>
        <v/>
      </c>
      <c r="K40" s="33" t="str">
        <f>IFERROR(IF(J40="","",VLOOKUP(J40,LISTAS!$F$5:$G$1004,2,0)),"0")</f>
        <v/>
      </c>
      <c r="L40" s="81"/>
    </row>
    <row r="41" spans="2:16" ht="18" customHeight="1" x14ac:dyDescent="0.25">
      <c r="B41" s="33" t="str">
        <f>IF(H30=3,"",IF(H30=4,B32,""))</f>
        <v/>
      </c>
      <c r="C41" s="33" t="str">
        <f>IFERROR(IF(B41="","",VLOOKUP(B41,LISTAS!$F$5:$G$1004,2,0)),"0")</f>
        <v/>
      </c>
      <c r="D41" s="253"/>
      <c r="E41" s="254"/>
      <c r="F41" s="253" t="s">
        <v>38</v>
      </c>
      <c r="G41" s="254"/>
      <c r="H41" s="253"/>
      <c r="I41" s="254"/>
      <c r="J41" s="111" t="str">
        <f>IF(H30=3,"",IF(H30=4,B33,""))</f>
        <v/>
      </c>
      <c r="K41" s="33" t="str">
        <f>IFERROR(IF(J41="","",VLOOKUP(J41,LISTAS!$F$5:$G$1004,2,0)),"0")</f>
        <v/>
      </c>
      <c r="L41" s="81"/>
    </row>
    <row r="42" spans="2:16" ht="18" customHeight="1" x14ac:dyDescent="0.25">
      <c r="B42" s="33" t="str">
        <f>IF(H30=3,"",IF(H30=4,B30,""))</f>
        <v/>
      </c>
      <c r="C42" s="33" t="str">
        <f>IFERROR(IF(B42="","",VLOOKUP(B42,LISTAS!$F$5:$G$1004,2,0)),"0")</f>
        <v/>
      </c>
      <c r="D42" s="253"/>
      <c r="E42" s="254"/>
      <c r="F42" s="253" t="s">
        <v>38</v>
      </c>
      <c r="G42" s="254"/>
      <c r="H42" s="253"/>
      <c r="I42" s="254"/>
      <c r="J42" s="111" t="str">
        <f>IF(H30=3,"",IF(H30=4,B31,""))</f>
        <v/>
      </c>
      <c r="K42" s="33" t="str">
        <f>IFERROR(IF(J42="","",VLOOKUP(J42,LISTAS!$F$5:$G$1004,2,0)),"0")</f>
        <v/>
      </c>
      <c r="L42" s="81"/>
    </row>
    <row r="45" spans="2:16" ht="30" customHeight="1" x14ac:dyDescent="0.25">
      <c r="B45" s="161" t="s">
        <v>47</v>
      </c>
      <c r="C45" s="79"/>
      <c r="D45" s="255" t="s">
        <v>42</v>
      </c>
      <c r="E45" s="256"/>
      <c r="F45" s="256"/>
      <c r="G45" s="257"/>
      <c r="H45" s="113"/>
      <c r="I45" s="255" t="s">
        <v>3</v>
      </c>
      <c r="J45" s="256"/>
      <c r="K45" s="256"/>
      <c r="L45" s="256"/>
    </row>
    <row r="46" spans="2:16" ht="18" customHeight="1" x14ac:dyDescent="0.25">
      <c r="B46" s="132" t="s">
        <v>15</v>
      </c>
      <c r="C46" s="132" t="s">
        <v>0</v>
      </c>
      <c r="D46" s="132" t="s">
        <v>43</v>
      </c>
      <c r="E46" s="132" t="s">
        <v>44</v>
      </c>
      <c r="F46" s="132" t="s">
        <v>77</v>
      </c>
      <c r="G46" s="132" t="s">
        <v>78</v>
      </c>
      <c r="H46" s="114"/>
      <c r="I46" s="132" t="s">
        <v>18</v>
      </c>
      <c r="J46" s="132" t="s">
        <v>15</v>
      </c>
      <c r="K46" s="132" t="s">
        <v>0</v>
      </c>
      <c r="L46" s="132" t="s">
        <v>45</v>
      </c>
    </row>
    <row r="47" spans="2:16" ht="18" customHeight="1" x14ac:dyDescent="0.25">
      <c r="B47" s="33" t="s">
        <v>601</v>
      </c>
      <c r="C47" s="33" t="str">
        <f>IFERROR(IF(B47="","",VLOOKUP(B47,LISTAS!$F$5:$G$1004,2,0)),"0")</f>
        <v>BYE</v>
      </c>
      <c r="D47" s="33" t="str">
        <f>IF(H47&lt;3,"",IF(H47=3,IF(D53&lt;&gt;"",IF(H53&lt;&gt;"",IF(D53&lt;&gt;H53,IF(D53&gt;H53,"V","D"),""),""),"")))</f>
        <v>D</v>
      </c>
      <c r="E47" s="33" t="str">
        <f>IF(H47&lt;3,"",IF(H47=3,IF(D55&lt;&gt;"",IF(H55&lt;&gt;"",IF(D55&lt;&gt;H55,IF(D55&gt;H55,"V","D"),""),""),"")))</f>
        <v>D</v>
      </c>
      <c r="F47" s="33" t="s">
        <v>81</v>
      </c>
      <c r="G47" s="33" t="s">
        <v>81</v>
      </c>
      <c r="H47" s="117">
        <f>COUNTA(B47:B49)</f>
        <v>3</v>
      </c>
      <c r="I47" s="33">
        <f>IF(B47&lt;&gt;"",1,"")</f>
        <v>1</v>
      </c>
      <c r="J47" s="33" t="str">
        <f>IF(I47&lt;&gt;"",P47,"")</f>
        <v>RENATO YUKIO MIYAHIRA PEGGAU</v>
      </c>
      <c r="K47" s="33" t="str">
        <f>IFERROR(IF(J47="","",VLOOKUP(J47,LISTAS!$F$5:$G$1004,2,0)),"0")</f>
        <v>ESCOLA VILLARE</v>
      </c>
      <c r="L47" s="130" t="str">
        <f>IF(H47=3,"OURO",IF(H47=4,"OURO",IF(H47=5,"OURO","")))</f>
        <v>OURO</v>
      </c>
      <c r="M47" s="20">
        <f>IF(B47&lt;&gt;"",COUNTIF(D47:G47,"V")+(SUMIF(B53:B55,B47,D53:E55)/1000)+(SUMIF(J53:J55,B47,H53:I55)/1000)-(SUMIF(B53:B55,B47,H53:I55)/1000)-(SUMIF(J53:J55,B47,D53:E55)/1000)+0.003,"")</f>
        <v>-1E-3</v>
      </c>
      <c r="N47" s="20" t="str">
        <f>IF(B47="","",B47)</f>
        <v>BYE</v>
      </c>
      <c r="O47" s="20">
        <f>IF(B47&lt;&gt;"",LARGE(M47:M49,1),"")</f>
        <v>2.0059999999999993</v>
      </c>
      <c r="P47" s="20" t="str">
        <f>VLOOKUP(O47,M47:N49,2,0)</f>
        <v>RENATO YUKIO MIYAHIRA PEGGAU</v>
      </c>
    </row>
    <row r="48" spans="2:16" ht="18" customHeight="1" x14ac:dyDescent="0.25">
      <c r="B48" s="33" t="s">
        <v>351</v>
      </c>
      <c r="C48" s="33" t="str">
        <f>IFERROR(IF(B48="","",VLOOKUP(B48,LISTAS!$F$5:$G$1004,2,0)),"0")</f>
        <v>ESCOLA VILLARE</v>
      </c>
      <c r="D48" s="33" t="str">
        <f>IF(H47&lt;3,"",IF(H47=3,IF(D54&lt;&gt;"",IF(H54&lt;&gt;"",IF(D54&lt;&gt;H54,IF(D54&gt;H54,"V","D"),""),""),"")))</f>
        <v>V</v>
      </c>
      <c r="E48" s="33" t="str">
        <f>IF(H47&lt;3,"",IF(H47=3,IF(D55&lt;&gt;"",IF(H55&lt;&gt;"",IF(D55&lt;&gt;H55,IF(D55&gt;H55,"D","V"),""),""),"")))</f>
        <v>V</v>
      </c>
      <c r="F48" s="33" t="s">
        <v>81</v>
      </c>
      <c r="G48" s="33" t="s">
        <v>81</v>
      </c>
      <c r="H48" s="117"/>
      <c r="I48" s="33">
        <f>IF(B48&lt;&gt;"",2,"")</f>
        <v>2</v>
      </c>
      <c r="J48" s="33" t="str">
        <f>IF(I48&lt;&gt;"",P48,"")</f>
        <v>FELIPE BRITO RUAS</v>
      </c>
      <c r="K48" s="33" t="str">
        <f>IFERROR(IF(J48="","",VLOOKUP(J48,LISTAS!$F$5:$G$1004,2,0)),"0")</f>
        <v>EVOLUTION TEENS</v>
      </c>
      <c r="L48" s="130" t="str">
        <f>IF(H47=3,"PRATA",IF(H47=4,"OURO",IF(H47=5,"OURO","")))</f>
        <v>PRATA</v>
      </c>
      <c r="M48" s="20">
        <f>IF(B48&lt;&gt;"",COUNTIF(D48:G48,"V")+(SUMIF(B53:B55,B48,D53:E55)/1000)+(SUMIF(J53:J55,B48,H53:I55)/1000)-(SUMIF(B53:B55,B48,H53:I55)/1000)-(SUMIF(J53:J55,B48,D53:E55)/1000)+0.002,"")</f>
        <v>2.0059999999999993</v>
      </c>
      <c r="N48" s="20" t="str">
        <f t="shared" ref="N48" si="2">IF(B48="","",B48)</f>
        <v>RENATO YUKIO MIYAHIRA PEGGAU</v>
      </c>
      <c r="O48" s="20">
        <f>IF(B48&lt;&gt;"",LARGE(M47:M49,2),"")</f>
        <v>1.0009999999999999</v>
      </c>
      <c r="P48" s="20" t="str">
        <f>VLOOKUP(O48,M47:N49,2,0)</f>
        <v>FELIPE BRITO RUAS</v>
      </c>
    </row>
    <row r="49" spans="2:16" ht="18" customHeight="1" x14ac:dyDescent="0.25">
      <c r="B49" s="33" t="s">
        <v>248</v>
      </c>
      <c r="C49" s="33" t="str">
        <f>IFERROR(IF(B49="","",VLOOKUP(B49,LISTAS!$F$5:$G$1004,2,0)),"0")</f>
        <v>EVOLUTION TEENS</v>
      </c>
      <c r="D49" s="33" t="str">
        <f>IF(H47&lt;3,"",IF(H47=3,IF(D53&lt;&gt;"",IF(H53&lt;&gt;"",IF(D53&lt;&gt;H53,IF(D53&gt;H53,"D","V"),""),""),"")))</f>
        <v>V</v>
      </c>
      <c r="E49" s="33" t="str">
        <f>IF(H47&lt;3,"",IF(H47=3,IF(D54&lt;&gt;"",IF(H54&lt;&gt;"",IF(D54&lt;&gt;H54,IF(D54&gt;H54,"D","V"),""),""),"")))</f>
        <v>D</v>
      </c>
      <c r="F49" s="33" t="s">
        <v>81</v>
      </c>
      <c r="G49" s="33" t="s">
        <v>81</v>
      </c>
      <c r="H49" s="117"/>
      <c r="I49" s="33">
        <f>IF(B49&lt;&gt;"",3,"")</f>
        <v>3</v>
      </c>
      <c r="J49" s="33" t="str">
        <f>IF(I49&lt;&gt;"",P49,"")</f>
        <v>BYE</v>
      </c>
      <c r="K49" s="33" t="str">
        <f>IFERROR(IF(J49="","",VLOOKUP(J49,LISTAS!$F$5:$G$1004,2,0)),"0")</f>
        <v>BYE</v>
      </c>
      <c r="L49" s="130" t="str">
        <f>IF(H47=3,"BRONZE",IF(H47=4,"PRATA",IF(H47=5,"OURO","")))</f>
        <v>BRONZE</v>
      </c>
      <c r="M49" s="20">
        <f>IF(B49&lt;&gt;"",COUNTIF(D49:G49,"V")+(SUMIF(B53:B55,B49,D53:E55)/1000)+(SUMIF(J53:J55,B49,H53:I55)/1000)-(SUMIF(B53:B55,B49,H53:I55)/1000)-(SUMIF(J53:J55,B49,D53:E55)/1000)+0.001,"")</f>
        <v>1.0009999999999999</v>
      </c>
      <c r="N49" s="20" t="str">
        <f>IF(B49="","",B49)</f>
        <v>FELIPE BRITO RUAS</v>
      </c>
      <c r="O49" s="20">
        <f>IF(B49&lt;&gt;"",LARGE(M47:M49,3),"")</f>
        <v>-1E-3</v>
      </c>
      <c r="P49" s="20" t="str">
        <f>VLOOKUP(O49,M47:N49,2,0)</f>
        <v>BYE</v>
      </c>
    </row>
    <row r="50" spans="2:16" ht="18" customHeight="1" x14ac:dyDescent="0.25">
      <c r="B50" s="79"/>
      <c r="C50" s="79"/>
      <c r="D50" s="79"/>
      <c r="E50" s="79"/>
      <c r="F50" s="79"/>
      <c r="G50" s="79"/>
      <c r="I50" s="80"/>
      <c r="J50" s="79"/>
      <c r="K50" s="81"/>
      <c r="L50" s="81"/>
    </row>
    <row r="51" spans="2:16" ht="23.25" customHeight="1" x14ac:dyDescent="0.25">
      <c r="B51" s="82" t="s">
        <v>40</v>
      </c>
      <c r="C51" s="79"/>
      <c r="D51" s="79"/>
      <c r="E51" s="79"/>
      <c r="F51" s="79"/>
      <c r="G51" s="79"/>
      <c r="H51" s="79"/>
      <c r="I51" s="79"/>
      <c r="J51" s="79"/>
      <c r="K51" s="79"/>
      <c r="L51" s="79"/>
    </row>
    <row r="52" spans="2:16" ht="18" customHeight="1" x14ac:dyDescent="0.25">
      <c r="B52" s="132" t="s">
        <v>15</v>
      </c>
      <c r="C52" s="132" t="s">
        <v>0</v>
      </c>
      <c r="D52" s="258" t="s">
        <v>41</v>
      </c>
      <c r="E52" s="259"/>
      <c r="F52" s="259"/>
      <c r="G52" s="259"/>
      <c r="H52" s="259"/>
      <c r="I52" s="260"/>
      <c r="J52" s="132" t="s">
        <v>15</v>
      </c>
      <c r="K52" s="132" t="s">
        <v>0</v>
      </c>
      <c r="L52" s="79"/>
    </row>
    <row r="53" spans="2:16" ht="18" customHeight="1" x14ac:dyDescent="0.25">
      <c r="B53" s="33" t="str">
        <f>IF(H47=3,B47,"")</f>
        <v>BYE</v>
      </c>
      <c r="C53" s="33" t="str">
        <f>IFERROR(IF(B53="","",VLOOKUP(B53,LISTAS!$F$5:$G$1004,2,0)),"0")</f>
        <v>BYE</v>
      </c>
      <c r="D53" s="253">
        <v>0</v>
      </c>
      <c r="E53" s="254"/>
      <c r="F53" s="253" t="s">
        <v>38</v>
      </c>
      <c r="G53" s="254"/>
      <c r="H53" s="253">
        <v>2</v>
      </c>
      <c r="I53" s="254"/>
      <c r="J53" s="111" t="str">
        <f>IF(H47=3,B49,"")</f>
        <v>FELIPE BRITO RUAS</v>
      </c>
      <c r="K53" s="33" t="str">
        <f>IFERROR(IF(J53="","",VLOOKUP(J53,LISTAS!$F$5:$G$1004,2,0)),"0")</f>
        <v>EVOLUTION TEENS</v>
      </c>
      <c r="L53" s="81"/>
    </row>
    <row r="54" spans="2:16" ht="18" customHeight="1" x14ac:dyDescent="0.25">
      <c r="B54" s="33" t="str">
        <f>IF(H47=3,B48,"")</f>
        <v>RENATO YUKIO MIYAHIRA PEGGAU</v>
      </c>
      <c r="C54" s="33" t="str">
        <f>IFERROR(IF(B54="","",VLOOKUP(B54,LISTAS!$F$5:$G$1004,2,0)),"0")</f>
        <v>ESCOLA VILLARE</v>
      </c>
      <c r="D54" s="253">
        <v>2</v>
      </c>
      <c r="E54" s="254"/>
      <c r="F54" s="253" t="s">
        <v>38</v>
      </c>
      <c r="G54" s="254"/>
      <c r="H54" s="253">
        <v>0</v>
      </c>
      <c r="I54" s="254"/>
      <c r="J54" s="111" t="str">
        <f>IF(H47=3,B49,"")</f>
        <v>FELIPE BRITO RUAS</v>
      </c>
      <c r="K54" s="33" t="str">
        <f>IFERROR(IF(J54="","",VLOOKUP(J54,LISTAS!$F$5:$G$1004,2,0)),"0")</f>
        <v>EVOLUTION TEENS</v>
      </c>
      <c r="L54" s="79"/>
    </row>
    <row r="55" spans="2:16" ht="18" customHeight="1" x14ac:dyDescent="0.25">
      <c r="B55" s="33" t="str">
        <f>IF(H47=3,B47,"")</f>
        <v>BYE</v>
      </c>
      <c r="C55" s="33" t="str">
        <f>IFERROR(IF(B55="","",VLOOKUP(B55,LISTAS!$F$5:$G$1004,2,0)),"0")</f>
        <v>BYE</v>
      </c>
      <c r="D55" s="253">
        <v>0</v>
      </c>
      <c r="E55" s="254"/>
      <c r="F55" s="253" t="s">
        <v>38</v>
      </c>
      <c r="G55" s="254"/>
      <c r="H55" s="253">
        <v>2</v>
      </c>
      <c r="I55" s="254"/>
      <c r="J55" s="111" t="str">
        <f>IF(H47=3,B48,"")</f>
        <v>RENATO YUKIO MIYAHIRA PEGGAU</v>
      </c>
      <c r="K55" s="33" t="str">
        <f>IFERROR(IF(J55="","",VLOOKUP(J55,LISTAS!$F$5:$G$1004,2,0)),"0")</f>
        <v>ESCOLA VILLARE</v>
      </c>
      <c r="L55" s="81"/>
    </row>
    <row r="58" spans="2:16" ht="30" customHeight="1" x14ac:dyDescent="0.25">
      <c r="B58" s="161" t="s">
        <v>48</v>
      </c>
      <c r="C58" s="79"/>
      <c r="D58" s="255" t="s">
        <v>42</v>
      </c>
      <c r="E58" s="256"/>
      <c r="F58" s="256"/>
      <c r="G58" s="257"/>
      <c r="H58" s="113"/>
      <c r="I58" s="255" t="s">
        <v>3</v>
      </c>
      <c r="J58" s="256"/>
      <c r="K58" s="256"/>
      <c r="L58" s="256"/>
    </row>
    <row r="59" spans="2:16" ht="18" customHeight="1" x14ac:dyDescent="0.25">
      <c r="B59" s="132" t="s">
        <v>15</v>
      </c>
      <c r="C59" s="132" t="s">
        <v>0</v>
      </c>
      <c r="D59" s="132" t="s">
        <v>43</v>
      </c>
      <c r="E59" s="132" t="s">
        <v>44</v>
      </c>
      <c r="F59" s="132" t="s">
        <v>77</v>
      </c>
      <c r="G59" s="132" t="s">
        <v>78</v>
      </c>
      <c r="H59" s="114"/>
      <c r="I59" s="132" t="s">
        <v>18</v>
      </c>
      <c r="J59" s="132" t="s">
        <v>15</v>
      </c>
      <c r="K59" s="132" t="s">
        <v>0</v>
      </c>
      <c r="L59" s="132" t="s">
        <v>45</v>
      </c>
    </row>
    <row r="60" spans="2:16" ht="18" customHeight="1" x14ac:dyDescent="0.25">
      <c r="B60" s="33" t="s">
        <v>265</v>
      </c>
      <c r="C60" s="33" t="str">
        <f>IFERROR(IF(B60="","",VLOOKUP(B60,LISTAS!$F$5:$G$1004,2,0)),"0")</f>
        <v>0</v>
      </c>
      <c r="D60" s="33" t="str">
        <f>IF(H60&lt;3,"",IF(H60=3,IF(D66&lt;&gt;"",IF(H66&lt;&gt;"",IF(D66&lt;&gt;H66,IF(D66&gt;H66,"V","D"),""),""),"")))</f>
        <v>D</v>
      </c>
      <c r="E60" s="33" t="str">
        <f>IF(H60&lt;3,"",IF(H60=3,IF(D68&lt;&gt;"",IF(H68&lt;&gt;"",IF(D68&lt;&gt;H68,IF(D68&gt;H68,"V","D"),""),""),"")))</f>
        <v>D</v>
      </c>
      <c r="F60" s="33" t="s">
        <v>81</v>
      </c>
      <c r="G60" s="33" t="s">
        <v>81</v>
      </c>
      <c r="H60" s="117">
        <f>COUNTA(B60:B62)</f>
        <v>3</v>
      </c>
      <c r="I60" s="33">
        <f>IF(B60&lt;&gt;"",1,"")</f>
        <v>1</v>
      </c>
      <c r="J60" s="33" t="str">
        <f>IF(I60&lt;&gt;"",P60,"")</f>
        <v>YURI FONSECA CABALEIRO COSTA</v>
      </c>
      <c r="K60" s="33" t="str">
        <f>IFERROR(IF(J60="","",VLOOKUP(J60,LISTAS!$F$5:$G$1004,2,0)),"0")</f>
        <v>LICEU JARDIM</v>
      </c>
      <c r="L60" s="130" t="str">
        <f>IF(H60=3,"OURO",IF(H60=4,"OURO",IF(H60=5,"OURO","")))</f>
        <v>OURO</v>
      </c>
      <c r="M60" s="20">
        <f>IF(B60&lt;&gt;"",COUNTIF(D60:G60,"V")+(SUMIF(B66:B68,B60,D66:E68)/1000)+(SUMIF(J66:J68,B60,H66:I68)/1000)-(SUMIF(B66:B68,B60,H66:I68)/1000)-(SUMIF(J66:J68,B60,D66:E68)/1000)+0.003,"")</f>
        <v>1E-3</v>
      </c>
      <c r="N60" s="20" t="str">
        <f>IF(B60="","",B60)</f>
        <v>GUIL CAVALCANTI SIQUEIRA</v>
      </c>
      <c r="O60" s="20">
        <f>IF(B60&lt;&gt;"",LARGE(M60:M62,1),"")</f>
        <v>2.004</v>
      </c>
      <c r="P60" s="20" t="str">
        <f>VLOOKUP(O60,M60:N62,2,0)</f>
        <v>YURI FONSECA CABALEIRO COSTA</v>
      </c>
    </row>
    <row r="61" spans="2:16" ht="18" customHeight="1" x14ac:dyDescent="0.25">
      <c r="B61" s="33" t="s">
        <v>269</v>
      </c>
      <c r="C61" s="33" t="str">
        <f>IFERROR(IF(B61="","",VLOOKUP(B61,LISTAS!$F$5:$G$1004,2,0)),"0")</f>
        <v>COLÉGIO ARBOS - UNIDADE SANTO ANDRÉ</v>
      </c>
      <c r="D61" s="33" t="str">
        <f>IF(H60&lt;3,"",IF(H60=3,IF(D67&lt;&gt;"",IF(H67&lt;&gt;"",IF(D67&lt;&gt;H67,IF(D67&gt;H67,"V","D"),""),""),"")))</f>
        <v>D</v>
      </c>
      <c r="E61" s="33" t="str">
        <f>IF(H60&lt;3,"",IF(H60=3,IF(D68&lt;&gt;"",IF(H68&lt;&gt;"",IF(D68&lt;&gt;H68,IF(D68&gt;H68,"D","V"),""),""),"")))</f>
        <v>V</v>
      </c>
      <c r="F61" s="33" t="s">
        <v>81</v>
      </c>
      <c r="G61" s="33" t="s">
        <v>81</v>
      </c>
      <c r="H61" s="117"/>
      <c r="I61" s="33">
        <f>IF(B61&lt;&gt;"",2,"")</f>
        <v>2</v>
      </c>
      <c r="J61" s="33" t="str">
        <f>IF(I61&lt;&gt;"",P61,"")</f>
        <v>GUSTAVO FONSECA ROSSI</v>
      </c>
      <c r="K61" s="33" t="str">
        <f>IFERROR(IF(J61="","",VLOOKUP(J61,LISTAS!$F$5:$G$1004,2,0)),"0")</f>
        <v>COLÉGIO ARBOS - UNIDADE SANTO ANDRÉ</v>
      </c>
      <c r="L61" s="130" t="str">
        <f>IF(H60=3,"PRATA",IF(H60=4,"OURO",IF(H60=5,"OURO","")))</f>
        <v>PRATA</v>
      </c>
      <c r="M61" s="20">
        <f>IF(B61&lt;&gt;"",COUNTIF(D61:G61,"V")+(SUMIF(B66:B68,B61,D66:E68)/1000)+(SUMIF(J66:J68,B61,H66:I68)/1000)-(SUMIF(B66:B68,B61,H66:I68)/1000)-(SUMIF(J66:J68,B61,D66:E68)/1000)+0.002,"")</f>
        <v>1.0009999999999999</v>
      </c>
      <c r="N61" s="20" t="str">
        <f t="shared" ref="N61" si="3">IF(B61="","",B61)</f>
        <v>GUSTAVO FONSECA ROSSI</v>
      </c>
      <c r="O61" s="20">
        <f>IF(B61&lt;&gt;"",LARGE(M60:M62,2),"")</f>
        <v>1.0009999999999999</v>
      </c>
      <c r="P61" s="20" t="str">
        <f>VLOOKUP(O61,M60:N62,2,0)</f>
        <v>GUSTAVO FONSECA ROSSI</v>
      </c>
    </row>
    <row r="62" spans="2:16" ht="18" customHeight="1" x14ac:dyDescent="0.25">
      <c r="B62" s="33" t="s">
        <v>366</v>
      </c>
      <c r="C62" s="33" t="str">
        <f>IFERROR(IF(B62="","",VLOOKUP(B62,LISTAS!$F$5:$G$1004,2,0)),"0")</f>
        <v>LICEU JARDIM</v>
      </c>
      <c r="D62" s="33" t="str">
        <f>IF(H60&lt;3,"",IF(H60=3,IF(D66&lt;&gt;"",IF(H66&lt;&gt;"",IF(D66&lt;&gt;H66,IF(D66&gt;H66,"D","V"),""),""),"")))</f>
        <v>V</v>
      </c>
      <c r="E62" s="33" t="str">
        <f>IF(H60&lt;3,"",IF(H60=3,IF(D67&lt;&gt;"",IF(H67&lt;&gt;"",IF(D67&lt;&gt;H67,IF(D67&gt;H67,"D","V"),""),""),"")))</f>
        <v>V</v>
      </c>
      <c r="F62" s="33" t="s">
        <v>81</v>
      </c>
      <c r="G62" s="33" t="s">
        <v>81</v>
      </c>
      <c r="H62" s="117"/>
      <c r="I62" s="33">
        <f>IF(B62&lt;&gt;"",3,"")</f>
        <v>3</v>
      </c>
      <c r="J62" s="33" t="str">
        <f>IF(I62&lt;&gt;"",P62,"")</f>
        <v>GUIL CAVALCANTI SIQUEIRA</v>
      </c>
      <c r="K62" s="33" t="str">
        <f>IFERROR(IF(J62="","",VLOOKUP(J62,LISTAS!$F$5:$G$1004,2,0)),"0")</f>
        <v>0</v>
      </c>
      <c r="L62" s="130" t="str">
        <f>IF(H60=3,"BRONZE",IF(H60=4,"PRATA",IF(H60=5,"OURO","")))</f>
        <v>BRONZE</v>
      </c>
      <c r="M62" s="20">
        <f>IF(B62&lt;&gt;"",COUNTIF(D62:G62,"V")+(SUMIF(B66:B68,B62,D66:E68)/1000)+(SUMIF(J66:J68,B62,H66:I68)/1000)-(SUMIF(B66:B68,B62,H66:I68)/1000)-(SUMIF(J66:J68,B62,D66:E68)/1000)+0.001,"")</f>
        <v>2.004</v>
      </c>
      <c r="N62" s="20" t="str">
        <f>IF(B62="","",B62)</f>
        <v>YURI FONSECA CABALEIRO COSTA</v>
      </c>
      <c r="O62" s="20">
        <f>IF(B62&lt;&gt;"",LARGE(M60:M62,3),"")</f>
        <v>1E-3</v>
      </c>
      <c r="P62" s="20" t="str">
        <f>VLOOKUP(O62,M60:N62,2,0)</f>
        <v>GUIL CAVALCANTI SIQUEIRA</v>
      </c>
    </row>
    <row r="63" spans="2:16" ht="18" customHeight="1" x14ac:dyDescent="0.25">
      <c r="B63" s="79"/>
      <c r="C63" s="79"/>
      <c r="D63" s="79"/>
      <c r="E63" s="79"/>
      <c r="F63" s="79"/>
      <c r="G63" s="79"/>
      <c r="I63" s="80"/>
      <c r="J63" s="79"/>
      <c r="K63" s="81"/>
      <c r="L63" s="81"/>
    </row>
    <row r="64" spans="2:16" ht="23.25" customHeight="1" x14ac:dyDescent="0.25">
      <c r="B64" s="82" t="s">
        <v>40</v>
      </c>
      <c r="C64" s="79"/>
      <c r="D64" s="79"/>
      <c r="E64" s="79"/>
      <c r="F64" s="79"/>
      <c r="G64" s="79"/>
      <c r="H64" s="79"/>
      <c r="I64" s="79"/>
      <c r="J64" s="79"/>
      <c r="K64" s="79"/>
      <c r="L64" s="79"/>
    </row>
    <row r="65" spans="2:16" ht="18" customHeight="1" x14ac:dyDescent="0.25">
      <c r="B65" s="132" t="s">
        <v>15</v>
      </c>
      <c r="C65" s="132" t="s">
        <v>0</v>
      </c>
      <c r="D65" s="258" t="s">
        <v>41</v>
      </c>
      <c r="E65" s="259"/>
      <c r="F65" s="259"/>
      <c r="G65" s="259"/>
      <c r="H65" s="259"/>
      <c r="I65" s="260"/>
      <c r="J65" s="132" t="s">
        <v>15</v>
      </c>
      <c r="K65" s="132" t="s">
        <v>0</v>
      </c>
      <c r="L65" s="79"/>
    </row>
    <row r="66" spans="2:16" ht="18" customHeight="1" x14ac:dyDescent="0.25">
      <c r="B66" s="33" t="str">
        <f>IF(H60=3,B60,"")</f>
        <v>GUIL CAVALCANTI SIQUEIRA</v>
      </c>
      <c r="C66" s="33" t="str">
        <f>IFERROR(IF(B66="","",VLOOKUP(B66,LISTAS!$F$5:$G$1004,2,0)),"0")</f>
        <v>0</v>
      </c>
      <c r="D66" s="253">
        <v>1</v>
      </c>
      <c r="E66" s="254"/>
      <c r="F66" s="253" t="s">
        <v>38</v>
      </c>
      <c r="G66" s="254"/>
      <c r="H66" s="253">
        <v>2</v>
      </c>
      <c r="I66" s="254"/>
      <c r="J66" s="111" t="str">
        <f>IF(H60=3,B62,"")</f>
        <v>YURI FONSECA CABALEIRO COSTA</v>
      </c>
      <c r="K66" s="33" t="str">
        <f>IFERROR(IF(J66="","",VLOOKUP(J66,LISTAS!$F$5:$G$1004,2,0)),"0")</f>
        <v>LICEU JARDIM</v>
      </c>
      <c r="L66" s="81"/>
    </row>
    <row r="67" spans="2:16" ht="18" customHeight="1" x14ac:dyDescent="0.25">
      <c r="B67" s="33" t="str">
        <f>IF(H60=3,B61,"")</f>
        <v>GUSTAVO FONSECA ROSSI</v>
      </c>
      <c r="C67" s="33" t="str">
        <f>IFERROR(IF(B67="","",VLOOKUP(B67,LISTAS!$F$5:$G$1004,2,0)),"0")</f>
        <v>COLÉGIO ARBOS - UNIDADE SANTO ANDRÉ</v>
      </c>
      <c r="D67" s="253">
        <v>0</v>
      </c>
      <c r="E67" s="254"/>
      <c r="F67" s="253" t="s">
        <v>38</v>
      </c>
      <c r="G67" s="254"/>
      <c r="H67" s="253">
        <v>2</v>
      </c>
      <c r="I67" s="254"/>
      <c r="J67" s="111" t="str">
        <f>IF(H60=3,B62,"")</f>
        <v>YURI FONSECA CABALEIRO COSTA</v>
      </c>
      <c r="K67" s="33" t="str">
        <f>IFERROR(IF(J67="","",VLOOKUP(J67,LISTAS!$F$5:$G$1004,2,0)),"0")</f>
        <v>LICEU JARDIM</v>
      </c>
      <c r="L67" s="79"/>
    </row>
    <row r="68" spans="2:16" ht="18" customHeight="1" x14ac:dyDescent="0.25">
      <c r="B68" s="33" t="str">
        <f>IF(H60=3,B60,"")</f>
        <v>GUIL CAVALCANTI SIQUEIRA</v>
      </c>
      <c r="C68" s="33" t="str">
        <f>IFERROR(IF(B68="","",VLOOKUP(B68,LISTAS!$F$5:$G$1004,2,0)),"0")</f>
        <v>0</v>
      </c>
      <c r="D68" s="253">
        <v>1</v>
      </c>
      <c r="E68" s="254"/>
      <c r="F68" s="253" t="s">
        <v>38</v>
      </c>
      <c r="G68" s="254"/>
      <c r="H68" s="253">
        <v>2</v>
      </c>
      <c r="I68" s="254"/>
      <c r="J68" s="111" t="str">
        <f>IF(H60=3,B61,"")</f>
        <v>GUSTAVO FONSECA ROSSI</v>
      </c>
      <c r="K68" s="33" t="str">
        <f>IFERROR(IF(J68="","",VLOOKUP(J68,LISTAS!$F$5:$G$1004,2,0)),"0")</f>
        <v>COLÉGIO ARBOS - UNIDADE SANTO ANDRÉ</v>
      </c>
      <c r="L68" s="81"/>
    </row>
    <row r="71" spans="2:16" ht="30" customHeight="1" x14ac:dyDescent="0.25">
      <c r="B71" s="161" t="s">
        <v>49</v>
      </c>
      <c r="C71" s="79"/>
      <c r="D71" s="255" t="s">
        <v>42</v>
      </c>
      <c r="E71" s="256"/>
      <c r="F71" s="256"/>
      <c r="G71" s="257"/>
      <c r="H71" s="113"/>
      <c r="I71" s="255" t="s">
        <v>3</v>
      </c>
      <c r="J71" s="256"/>
      <c r="K71" s="256"/>
      <c r="L71" s="256"/>
    </row>
    <row r="72" spans="2:16" ht="18" customHeight="1" x14ac:dyDescent="0.25">
      <c r="B72" s="132" t="s">
        <v>15</v>
      </c>
      <c r="C72" s="132" t="s">
        <v>0</v>
      </c>
      <c r="D72" s="132" t="s">
        <v>43</v>
      </c>
      <c r="E72" s="132" t="s">
        <v>44</v>
      </c>
      <c r="F72" s="132" t="s">
        <v>77</v>
      </c>
      <c r="G72" s="132" t="s">
        <v>78</v>
      </c>
      <c r="H72" s="114"/>
      <c r="I72" s="132" t="s">
        <v>18</v>
      </c>
      <c r="J72" s="132" t="s">
        <v>15</v>
      </c>
      <c r="K72" s="132" t="s">
        <v>0</v>
      </c>
      <c r="L72" s="132" t="s">
        <v>45</v>
      </c>
    </row>
    <row r="73" spans="2:16" ht="18" customHeight="1" x14ac:dyDescent="0.25">
      <c r="B73" s="33" t="s">
        <v>226</v>
      </c>
      <c r="C73" s="33" t="str">
        <f>IFERROR(IF(B73="","",VLOOKUP(B73,LISTAS!$F$5:$G$1004,2,0)),"0")</f>
        <v>COLÉGIO MARCONI - GRU</v>
      </c>
      <c r="D73" s="33" t="str">
        <f>IF(H73&lt;3,"",IF(H73=3,IF(D79&lt;&gt;"",IF(H79&lt;&gt;"",IF(D79&lt;&gt;H79,IF(D79&gt;H79,"V","D"),""),""),"")))</f>
        <v>V</v>
      </c>
      <c r="E73" s="33" t="str">
        <f>IF(H73&lt;3,"",IF(H73=3,IF(D81&lt;&gt;"",IF(H81&lt;&gt;"",IF(D81&lt;&gt;H81,IF(D81&gt;H81,"V","D"),""),""),"")))</f>
        <v>V</v>
      </c>
      <c r="F73" s="33" t="s">
        <v>81</v>
      </c>
      <c r="G73" s="33" t="s">
        <v>81</v>
      </c>
      <c r="H73" s="117">
        <f>COUNTA(B73:B75)</f>
        <v>3</v>
      </c>
      <c r="I73" s="33">
        <f>IF(B73&lt;&gt;"",1,"")</f>
        <v>1</v>
      </c>
      <c r="J73" s="33" t="str">
        <f>IF(I73&lt;&gt;"",P73,"")</f>
        <v>BRUNO SALLES</v>
      </c>
      <c r="K73" s="33" t="str">
        <f>IFERROR(IF(J73="","",VLOOKUP(J73,LISTAS!$F$5:$G$1004,2,0)),"0")</f>
        <v>COLÉGIO MARCONI - GRU</v>
      </c>
      <c r="L73" s="130" t="str">
        <f>IF(H73=3,"OURO",IF(H73=4,"OURO",IF(H73=5,"OURO","")))</f>
        <v>OURO</v>
      </c>
      <c r="M73" s="20">
        <f>IF(B73&lt;&gt;"",COUNTIF(D73:G73,"V")+(SUMIF(B79:B81,B73,D79:E81)/1000)+(SUMIF(J79:J81,B73,H79:I81)/1000)-(SUMIF(B79:B81,B73,H79:I81)/1000)-(SUMIF(J79:J81,B73,D79:E81)/1000)+0.003,"")</f>
        <v>2.0070000000000001</v>
      </c>
      <c r="N73" s="20" t="str">
        <f>IF(B73="","",B73)</f>
        <v>BRUNO SALLES</v>
      </c>
      <c r="O73" s="20">
        <f>IF(B73&lt;&gt;"",LARGE(M73:M75,1),"")</f>
        <v>2.0070000000000001</v>
      </c>
      <c r="P73" s="20" t="str">
        <f>VLOOKUP(O73,M73:N75,2,0)</f>
        <v>BRUNO SALLES</v>
      </c>
    </row>
    <row r="74" spans="2:16" ht="18" customHeight="1" x14ac:dyDescent="0.25">
      <c r="B74" s="33" t="s">
        <v>298</v>
      </c>
      <c r="C74" s="33" t="str">
        <f>IFERROR(IF(B74="","",VLOOKUP(B74,LISTAS!$F$5:$G$1004,2,0)),"0")</f>
        <v>COLÉGIO ARBOS - UNIDADE SANTO ANDRÉ</v>
      </c>
      <c r="D74" s="33" t="str">
        <f>IF(H73&lt;3,"",IF(H73=3,IF(D80&lt;&gt;"",IF(H80&lt;&gt;"",IF(D80&lt;&gt;H80,IF(D80&gt;H80,"V","D"),""),""),"")))</f>
        <v>D</v>
      </c>
      <c r="E74" s="33" t="str">
        <f>IF(H73&lt;3,"",IF(H73=3,IF(D81&lt;&gt;"",IF(H81&lt;&gt;"",IF(D81&lt;&gt;H81,IF(D81&gt;H81,"D","V"),""),""),"")))</f>
        <v>D</v>
      </c>
      <c r="F74" s="33" t="s">
        <v>81</v>
      </c>
      <c r="G74" s="33" t="s">
        <v>81</v>
      </c>
      <c r="H74" s="117"/>
      <c r="I74" s="33">
        <f>IF(B74&lt;&gt;"",2,"")</f>
        <v>2</v>
      </c>
      <c r="J74" s="33" t="str">
        <f>IF(I74&lt;&gt;"",P74,"")</f>
        <v>BERNARDO FERREIRA FIGUEIREDO</v>
      </c>
      <c r="K74" s="33" t="str">
        <f>IFERROR(IF(J74="","",VLOOKUP(J74,LISTAS!$F$5:$G$1004,2,0)),"0")</f>
        <v>ABACO IPIRANGA</v>
      </c>
      <c r="L74" s="130" t="str">
        <f>IF(H73=3,"PRATA",IF(H73=4,"OURO",IF(H73=5,"OURO","")))</f>
        <v>PRATA</v>
      </c>
      <c r="M74" s="20">
        <f>IF(B74&lt;&gt;"",COUNTIF(D74:G74,"V")+(SUMIF(B79:B81,B74,D79:E81)/1000)+(SUMIF(J79:J81,B74,H79:I81)/1000)-(SUMIF(B79:B81,B74,H79:I81)/1000)-(SUMIF(J79:J81,B74,D79:E81)/1000)+0.002,"")</f>
        <v>-1E-3</v>
      </c>
      <c r="N74" s="20" t="str">
        <f t="shared" ref="N74" si="4">IF(B74="","",B74)</f>
        <v>LORENZO DOS SANTOS BEVILACQUA</v>
      </c>
      <c r="O74" s="20">
        <f>IF(B74&lt;&gt;"",LARGE(M73:M75,2),"")</f>
        <v>1</v>
      </c>
      <c r="P74" s="20" t="str">
        <f>VLOOKUP(O74,M73:N75,2,0)</f>
        <v>BERNARDO FERREIRA FIGUEIREDO</v>
      </c>
    </row>
    <row r="75" spans="2:16" ht="18" customHeight="1" x14ac:dyDescent="0.25">
      <c r="B75" s="33" t="s">
        <v>223</v>
      </c>
      <c r="C75" s="33" t="str">
        <f>IFERROR(IF(B75="","",VLOOKUP(B75,LISTAS!$F$5:$G$1004,2,0)),"0")</f>
        <v>ABACO IPIRANGA</v>
      </c>
      <c r="D75" s="33" t="str">
        <f>IF(H73&lt;3,"",IF(H73=3,IF(D79&lt;&gt;"",IF(H79&lt;&gt;"",IF(D79&lt;&gt;H79,IF(D79&gt;H79,"D","V"),""),""),"")))</f>
        <v>D</v>
      </c>
      <c r="E75" s="33" t="str">
        <f>IF(H73&lt;3,"",IF(H73=3,IF(D80&lt;&gt;"",IF(H80&lt;&gt;"",IF(D80&lt;&gt;H80,IF(D80&gt;H80,"D","V"),""),""),"")))</f>
        <v>V</v>
      </c>
      <c r="F75" s="33" t="s">
        <v>81</v>
      </c>
      <c r="G75" s="33" t="s">
        <v>81</v>
      </c>
      <c r="H75" s="117"/>
      <c r="I75" s="33">
        <f>IF(B75&lt;&gt;"",3,"")</f>
        <v>3</v>
      </c>
      <c r="J75" s="33" t="str">
        <f>IF(I75&lt;&gt;"",P75,"")</f>
        <v>LORENZO DOS SANTOS BEVILACQUA</v>
      </c>
      <c r="K75" s="33" t="str">
        <f>IFERROR(IF(J75="","",VLOOKUP(J75,LISTAS!$F$5:$G$1004,2,0)),"0")</f>
        <v>COLÉGIO ARBOS - UNIDADE SANTO ANDRÉ</v>
      </c>
      <c r="L75" s="130" t="str">
        <f>IF(H73=3,"BRONZE",IF(H73=4,"PRATA",IF(H73=5,"OURO","")))</f>
        <v>BRONZE</v>
      </c>
      <c r="M75" s="20">
        <f>IF(B75&lt;&gt;"",COUNTIF(D75:G75,"V")+(SUMIF(B79:B81,B75,D79:E81)/1000)+(SUMIF(J79:J81,B75,H79:I81)/1000)-(SUMIF(B79:B81,B75,H79:I81)/1000)-(SUMIF(J79:J81,B75,D79:E81)/1000)+0.001,"")</f>
        <v>1</v>
      </c>
      <c r="N75" s="20" t="str">
        <f>IF(B75="","",B75)</f>
        <v>BERNARDO FERREIRA FIGUEIREDO</v>
      </c>
      <c r="O75" s="20">
        <f>IF(B75&lt;&gt;"",LARGE(M73:M75,3),"")</f>
        <v>-1E-3</v>
      </c>
      <c r="P75" s="20" t="str">
        <f>VLOOKUP(O75,M73:N75,2,0)</f>
        <v>LORENZO DOS SANTOS BEVILACQUA</v>
      </c>
    </row>
    <row r="76" spans="2:16" ht="18" customHeight="1" x14ac:dyDescent="0.25">
      <c r="B76" s="79"/>
      <c r="C76" s="79"/>
      <c r="D76" s="79"/>
      <c r="E76" s="79"/>
      <c r="F76" s="79"/>
      <c r="G76" s="79"/>
      <c r="I76" s="80"/>
      <c r="J76" s="79"/>
      <c r="K76" s="81"/>
      <c r="L76" s="81"/>
    </row>
    <row r="77" spans="2:16" ht="23.25" customHeight="1" x14ac:dyDescent="0.25">
      <c r="B77" s="82" t="s">
        <v>40</v>
      </c>
      <c r="C77" s="79"/>
      <c r="D77" s="79"/>
      <c r="E77" s="79"/>
      <c r="F77" s="79"/>
      <c r="G77" s="79"/>
      <c r="H77" s="79"/>
      <c r="I77" s="79"/>
      <c r="J77" s="79"/>
      <c r="K77" s="79"/>
      <c r="L77" s="79"/>
    </row>
    <row r="78" spans="2:16" ht="18" customHeight="1" x14ac:dyDescent="0.25">
      <c r="B78" s="132" t="s">
        <v>15</v>
      </c>
      <c r="C78" s="132" t="s">
        <v>0</v>
      </c>
      <c r="D78" s="258" t="s">
        <v>41</v>
      </c>
      <c r="E78" s="259"/>
      <c r="F78" s="259"/>
      <c r="G78" s="259"/>
      <c r="H78" s="259"/>
      <c r="I78" s="260"/>
      <c r="J78" s="132" t="s">
        <v>15</v>
      </c>
      <c r="K78" s="132" t="s">
        <v>0</v>
      </c>
      <c r="L78" s="79"/>
    </row>
    <row r="79" spans="2:16" ht="18" customHeight="1" x14ac:dyDescent="0.25">
      <c r="B79" s="33" t="str">
        <f>IF(H73=3,B73,"")</f>
        <v>BRUNO SALLES</v>
      </c>
      <c r="C79" s="33" t="str">
        <f>IFERROR(IF(B79="","",VLOOKUP(B79,LISTAS!$F$5:$G$1004,2,0)),"0")</f>
        <v>COLÉGIO MARCONI - GRU</v>
      </c>
      <c r="D79" s="253">
        <v>2</v>
      </c>
      <c r="E79" s="254"/>
      <c r="F79" s="253" t="s">
        <v>38</v>
      </c>
      <c r="G79" s="254"/>
      <c r="H79" s="253">
        <v>0</v>
      </c>
      <c r="I79" s="254"/>
      <c r="J79" s="111" t="str">
        <f>IF(H73=3,B75,"")</f>
        <v>BERNARDO FERREIRA FIGUEIREDO</v>
      </c>
      <c r="K79" s="33" t="str">
        <f>IFERROR(IF(J79="","",VLOOKUP(J79,LISTAS!$F$5:$G$1004,2,0)),"0")</f>
        <v>ABACO IPIRANGA</v>
      </c>
      <c r="L79" s="81"/>
    </row>
    <row r="80" spans="2:16" ht="18" customHeight="1" x14ac:dyDescent="0.25">
      <c r="B80" s="33" t="str">
        <f>IF(H73=3,B74,"")</f>
        <v>LORENZO DOS SANTOS BEVILACQUA</v>
      </c>
      <c r="C80" s="33" t="str">
        <f>IFERROR(IF(B80="","",VLOOKUP(B80,LISTAS!$F$5:$G$1004,2,0)),"0")</f>
        <v>COLÉGIO ARBOS - UNIDADE SANTO ANDRÉ</v>
      </c>
      <c r="D80" s="253">
        <v>1</v>
      </c>
      <c r="E80" s="254"/>
      <c r="F80" s="253" t="s">
        <v>38</v>
      </c>
      <c r="G80" s="254"/>
      <c r="H80" s="253">
        <v>2</v>
      </c>
      <c r="I80" s="254"/>
      <c r="J80" s="111" t="str">
        <f>IF(H73=3,B75,"")</f>
        <v>BERNARDO FERREIRA FIGUEIREDO</v>
      </c>
      <c r="K80" s="33" t="str">
        <f>IFERROR(IF(J80="","",VLOOKUP(J80,LISTAS!$F$5:$G$1004,2,0)),"0")</f>
        <v>ABACO IPIRANGA</v>
      </c>
      <c r="L80" s="79"/>
    </row>
    <row r="81" spans="2:16" ht="18" customHeight="1" x14ac:dyDescent="0.25">
      <c r="B81" s="33" t="str">
        <f>IF(H73=3,B73,"")</f>
        <v>BRUNO SALLES</v>
      </c>
      <c r="C81" s="33" t="str">
        <f>IFERROR(IF(B81="","",VLOOKUP(B81,LISTAS!$F$5:$G$1004,2,0)),"0")</f>
        <v>COLÉGIO MARCONI - GRU</v>
      </c>
      <c r="D81" s="253">
        <v>2</v>
      </c>
      <c r="E81" s="254"/>
      <c r="F81" s="253" t="s">
        <v>38</v>
      </c>
      <c r="G81" s="254"/>
      <c r="H81" s="253">
        <v>0</v>
      </c>
      <c r="I81" s="254"/>
      <c r="J81" s="111" t="str">
        <f>IF(H73=3,B74,"")</f>
        <v>LORENZO DOS SANTOS BEVILACQUA</v>
      </c>
      <c r="K81" s="33" t="str">
        <f>IFERROR(IF(J81="","",VLOOKUP(J81,LISTAS!$F$5:$G$1004,2,0)),"0")</f>
        <v>COLÉGIO ARBOS - UNIDADE SANTO ANDRÉ</v>
      </c>
      <c r="L81" s="81"/>
    </row>
    <row r="84" spans="2:16" ht="30" customHeight="1" x14ac:dyDescent="0.25">
      <c r="B84" s="161" t="s">
        <v>50</v>
      </c>
      <c r="C84" s="79"/>
      <c r="D84" s="255" t="s">
        <v>42</v>
      </c>
      <c r="E84" s="256"/>
      <c r="F84" s="256"/>
      <c r="G84" s="257"/>
      <c r="H84" s="113"/>
      <c r="I84" s="255" t="s">
        <v>3</v>
      </c>
      <c r="J84" s="256"/>
      <c r="K84" s="256"/>
      <c r="L84" s="256"/>
    </row>
    <row r="85" spans="2:16" ht="18" customHeight="1" x14ac:dyDescent="0.25">
      <c r="B85" s="132" t="s">
        <v>15</v>
      </c>
      <c r="C85" s="132" t="s">
        <v>0</v>
      </c>
      <c r="D85" s="132" t="s">
        <v>43</v>
      </c>
      <c r="E85" s="132" t="s">
        <v>44</v>
      </c>
      <c r="F85" s="132" t="s">
        <v>77</v>
      </c>
      <c r="G85" s="132" t="s">
        <v>78</v>
      </c>
      <c r="H85" s="114"/>
      <c r="I85" s="132" t="s">
        <v>18</v>
      </c>
      <c r="J85" s="132" t="s">
        <v>15</v>
      </c>
      <c r="K85" s="132" t="s">
        <v>0</v>
      </c>
      <c r="L85" s="132" t="s">
        <v>45</v>
      </c>
    </row>
    <row r="86" spans="2:16" ht="18" customHeight="1" x14ac:dyDescent="0.25">
      <c r="B86" s="33" t="s">
        <v>264</v>
      </c>
      <c r="C86" s="33" t="str">
        <f>IFERROR(IF(B86="","",VLOOKUP(B86,LISTAS!$F$5:$G$1004,2,0)),"0")</f>
        <v>COLÉGIO ARBOS - UNIDADE SANTO ANDRÉ</v>
      </c>
      <c r="D86" s="33" t="str">
        <f>IF(H86&lt;3,"",IF(H86=3,IF(D92&lt;&gt;"",IF(H92&lt;&gt;"",IF(D92&lt;&gt;H92,IF(D92&gt;H92,"V","D"),""),""),"")))</f>
        <v>D</v>
      </c>
      <c r="E86" s="33" t="str">
        <f>IF(H86&lt;3,"",IF(H86=3,IF(D94&lt;&gt;"",IF(H94&lt;&gt;"",IF(D94&lt;&gt;H94,IF(D94&gt;H94,"V","D"),""),""),"")))</f>
        <v>V</v>
      </c>
      <c r="F86" s="33" t="s">
        <v>81</v>
      </c>
      <c r="G86" s="33" t="s">
        <v>81</v>
      </c>
      <c r="H86" s="117">
        <f>COUNTA(B86:B88)</f>
        <v>3</v>
      </c>
      <c r="I86" s="33">
        <f>IF(B86&lt;&gt;"",1,"")</f>
        <v>1</v>
      </c>
      <c r="J86" s="33" t="str">
        <f>IF(I86&lt;&gt;"",P86,"")</f>
        <v>ARTHUR COSTA MACIEL</v>
      </c>
      <c r="K86" s="33" t="str">
        <f>IFERROR(IF(J86="","",VLOOKUP(J86,LISTAS!$F$5:$G$1004,2,0)),"0")</f>
        <v>ESCOLA VILLARE</v>
      </c>
      <c r="L86" s="130" t="str">
        <f>IF(H86=3,"OURO",IF(H86=4,"OURO",IF(H86=5,"OURO","")))</f>
        <v>OURO</v>
      </c>
      <c r="M86" s="20">
        <f>IF(B86&lt;&gt;"",COUNTIF(D86:G86,"V")+(SUMIF(B92:B94,B86,D92:E94)/1000)+(SUMIF(J92:J94,B86,H92:I94)/1000)-(SUMIF(B92:B94,B86,H92:I94)/1000)-(SUMIF(J92:J94,B86,D92:E94)/1000)+0.003,"")</f>
        <v>1.0029999999999999</v>
      </c>
      <c r="N86" s="20" t="str">
        <f>IF(B86="","",B86)</f>
        <v>GHAEL DOS SANTOS PERES</v>
      </c>
      <c r="O86" s="20">
        <f>IF(B86&lt;&gt;"",LARGE(M86:M88,1),"")</f>
        <v>2.0049999999999999</v>
      </c>
      <c r="P86" s="20" t="str">
        <f>VLOOKUP(O86,M86:N88,2,0)</f>
        <v>ARTHUR COSTA MACIEL</v>
      </c>
    </row>
    <row r="87" spans="2:16" ht="18" customHeight="1" x14ac:dyDescent="0.25">
      <c r="B87" s="33" t="s">
        <v>295</v>
      </c>
      <c r="C87" s="33" t="str">
        <f>IFERROR(IF(B87="","",VLOOKUP(B87,LISTAS!$F$5:$G$1004,2,0)),"0")</f>
        <v>ESCOLA IL SOLE</v>
      </c>
      <c r="D87" s="33" t="str">
        <f>IF(H86&lt;3,"",IF(H86=3,IF(D93&lt;&gt;"",IF(H93&lt;&gt;"",IF(D93&lt;&gt;H93,IF(D93&gt;H93,"V","D"),""),""),"")))</f>
        <v>D</v>
      </c>
      <c r="E87" s="33" t="str">
        <f>IF(H86&lt;3,"",IF(H86=3,IF(D94&lt;&gt;"",IF(H94&lt;&gt;"",IF(D94&lt;&gt;H94,IF(D94&gt;H94,"D","V"),""),""),"")))</f>
        <v>D</v>
      </c>
      <c r="F87" s="33" t="s">
        <v>81</v>
      </c>
      <c r="G87" s="33" t="s">
        <v>81</v>
      </c>
      <c r="H87" s="117"/>
      <c r="I87" s="33">
        <f>IF(B87&lt;&gt;"",2,"")</f>
        <v>2</v>
      </c>
      <c r="J87" s="33" t="str">
        <f>IF(I87&lt;&gt;"",P87,"")</f>
        <v>GHAEL DOS SANTOS PERES</v>
      </c>
      <c r="K87" s="33" t="str">
        <f>IFERROR(IF(J87="","",VLOOKUP(J87,LISTAS!$F$5:$G$1004,2,0)),"0")</f>
        <v>COLÉGIO ARBOS - UNIDADE SANTO ANDRÉ</v>
      </c>
      <c r="L87" s="130" t="str">
        <f>IF(H86=3,"PRATA",IF(H86=4,"OURO",IF(H86=5,"OURO","")))</f>
        <v>PRATA</v>
      </c>
      <c r="M87" s="20">
        <f>IF(B87&lt;&gt;"",COUNTIF(D87:G87,"V")+(SUMIF(B92:B94,B87,D92:E94)/1000)+(SUMIF(J92:J94,B87,H92:I94)/1000)-(SUMIF(B92:B94,B87,H92:I94)/1000)-(SUMIF(J92:J94,B87,D92:E94)/1000)+0.002,"")</f>
        <v>-2E-3</v>
      </c>
      <c r="N87" s="20" t="str">
        <f t="shared" ref="N87" si="5">IF(B87="","",B87)</f>
        <v>LEONARDO RIBEIRO CAMOLESI</v>
      </c>
      <c r="O87" s="20">
        <f>IF(B87&lt;&gt;"",LARGE(M86:M88,2),"")</f>
        <v>1.0029999999999999</v>
      </c>
      <c r="P87" s="20" t="str">
        <f>VLOOKUP(O87,M86:N88,2,0)</f>
        <v>GHAEL DOS SANTOS PERES</v>
      </c>
    </row>
    <row r="88" spans="2:16" ht="18" customHeight="1" x14ac:dyDescent="0.25">
      <c r="B88" s="33" t="s">
        <v>214</v>
      </c>
      <c r="C88" s="33" t="str">
        <f>IFERROR(IF(B88="","",VLOOKUP(B88,LISTAS!$F$5:$G$1004,2,0)),"0")</f>
        <v>ESCOLA VILLARE</v>
      </c>
      <c r="D88" s="33" t="str">
        <f>IF(H86&lt;3,"",IF(H86=3,IF(D92&lt;&gt;"",IF(H92&lt;&gt;"",IF(D92&lt;&gt;H92,IF(D92&gt;H92,"D","V"),""),""),"")))</f>
        <v>V</v>
      </c>
      <c r="E88" s="33" t="str">
        <f>IF(H86&lt;3,"",IF(H86=3,IF(D93&lt;&gt;"",IF(H93&lt;&gt;"",IF(D93&lt;&gt;H93,IF(D93&gt;H93,"D","V"),""),""),"")))</f>
        <v>V</v>
      </c>
      <c r="F88" s="33" t="s">
        <v>81</v>
      </c>
      <c r="G88" s="33" t="s">
        <v>81</v>
      </c>
      <c r="H88" s="117"/>
      <c r="I88" s="33">
        <f>IF(B88&lt;&gt;"",3,"")</f>
        <v>3</v>
      </c>
      <c r="J88" s="33" t="str">
        <f>IF(I88&lt;&gt;"",P88,"")</f>
        <v>LEONARDO RIBEIRO CAMOLESI</v>
      </c>
      <c r="K88" s="33" t="str">
        <f>IFERROR(IF(J88="","",VLOOKUP(J88,LISTAS!$F$5:$G$1004,2,0)),"0")</f>
        <v>ESCOLA IL SOLE</v>
      </c>
      <c r="L88" s="130" t="str">
        <f>IF(H86=3,"BRONZE",IF(H86=4,"PRATA",IF(H86=5,"OURO","")))</f>
        <v>BRONZE</v>
      </c>
      <c r="M88" s="20">
        <f>IF(B88&lt;&gt;"",COUNTIF(D88:G88,"V")+(SUMIF(B92:B94,B88,D92:E94)/1000)+(SUMIF(J92:J94,B88,H92:I94)/1000)-(SUMIF(B92:B94,B88,H92:I94)/1000)-(SUMIF(J92:J94,B88,D92:E94)/1000)+0.001,"")</f>
        <v>2.0049999999999999</v>
      </c>
      <c r="N88" s="20" t="str">
        <f>IF(B88="","",B88)</f>
        <v>ARTHUR COSTA MACIEL</v>
      </c>
      <c r="O88" s="20">
        <f>IF(B88&lt;&gt;"",LARGE(M86:M88,3),"")</f>
        <v>-2E-3</v>
      </c>
      <c r="P88" s="20" t="str">
        <f>VLOOKUP(O88,M86:N88,2,0)</f>
        <v>LEONARDO RIBEIRO CAMOLESI</v>
      </c>
    </row>
    <row r="89" spans="2:16" ht="18" customHeight="1" x14ac:dyDescent="0.25">
      <c r="B89" s="79"/>
      <c r="C89" s="79"/>
      <c r="D89" s="79"/>
      <c r="E89" s="79"/>
      <c r="F89" s="79"/>
      <c r="G89" s="79"/>
      <c r="I89" s="80"/>
      <c r="J89" s="79"/>
      <c r="K89" s="81"/>
      <c r="L89" s="81"/>
    </row>
    <row r="90" spans="2:16" ht="23.25" customHeight="1" x14ac:dyDescent="0.25">
      <c r="B90" s="82" t="s">
        <v>40</v>
      </c>
      <c r="C90" s="79"/>
      <c r="D90" s="79"/>
      <c r="E90" s="79"/>
      <c r="F90" s="79"/>
      <c r="G90" s="79"/>
      <c r="H90" s="79"/>
      <c r="I90" s="79"/>
      <c r="J90" s="79"/>
      <c r="K90" s="79"/>
      <c r="L90" s="79"/>
    </row>
    <row r="91" spans="2:16" ht="18" customHeight="1" x14ac:dyDescent="0.25">
      <c r="B91" s="132" t="s">
        <v>15</v>
      </c>
      <c r="C91" s="132" t="s">
        <v>0</v>
      </c>
      <c r="D91" s="258" t="s">
        <v>41</v>
      </c>
      <c r="E91" s="259"/>
      <c r="F91" s="259"/>
      <c r="G91" s="259"/>
      <c r="H91" s="259"/>
      <c r="I91" s="260"/>
      <c r="J91" s="132" t="s">
        <v>15</v>
      </c>
      <c r="K91" s="132" t="s">
        <v>0</v>
      </c>
      <c r="L91" s="79"/>
    </row>
    <row r="92" spans="2:16" ht="18" customHeight="1" x14ac:dyDescent="0.25">
      <c r="B92" s="33" t="str">
        <f>IF(H86=3,B86,"")</f>
        <v>GHAEL DOS SANTOS PERES</v>
      </c>
      <c r="C92" s="33" t="str">
        <f>IFERROR(IF(B92="","",VLOOKUP(B92,LISTAS!$F$5:$G$1004,2,0)),"0")</f>
        <v>COLÉGIO ARBOS - UNIDADE SANTO ANDRÉ</v>
      </c>
      <c r="D92" s="253">
        <v>0</v>
      </c>
      <c r="E92" s="254"/>
      <c r="F92" s="253" t="s">
        <v>38</v>
      </c>
      <c r="G92" s="254"/>
      <c r="H92" s="253">
        <v>2</v>
      </c>
      <c r="I92" s="254"/>
      <c r="J92" s="111" t="str">
        <f>IF(H86=3,B88,"")</f>
        <v>ARTHUR COSTA MACIEL</v>
      </c>
      <c r="K92" s="33" t="str">
        <f>IFERROR(IF(J92="","",VLOOKUP(J92,LISTAS!$F$5:$G$1004,2,0)),"0")</f>
        <v>ESCOLA VILLARE</v>
      </c>
      <c r="L92" s="81"/>
    </row>
    <row r="93" spans="2:16" ht="18" customHeight="1" x14ac:dyDescent="0.25">
      <c r="B93" s="33" t="str">
        <f>IF(H86=3,B87,"")</f>
        <v>LEONARDO RIBEIRO CAMOLESI</v>
      </c>
      <c r="C93" s="33" t="str">
        <f>IFERROR(IF(B93="","",VLOOKUP(B93,LISTAS!$F$5:$G$1004,2,0)),"0")</f>
        <v>ESCOLA IL SOLE</v>
      </c>
      <c r="D93" s="253">
        <v>0</v>
      </c>
      <c r="E93" s="254"/>
      <c r="F93" s="253" t="s">
        <v>38</v>
      </c>
      <c r="G93" s="254"/>
      <c r="H93" s="253">
        <v>2</v>
      </c>
      <c r="I93" s="254"/>
      <c r="J93" s="111" t="str">
        <f>IF(H86=3,B88,"")</f>
        <v>ARTHUR COSTA MACIEL</v>
      </c>
      <c r="K93" s="33" t="str">
        <f>IFERROR(IF(J93="","",VLOOKUP(J93,LISTAS!$F$5:$G$1004,2,0)),"0")</f>
        <v>ESCOLA VILLARE</v>
      </c>
      <c r="L93" s="79"/>
    </row>
    <row r="94" spans="2:16" ht="18" customHeight="1" x14ac:dyDescent="0.25">
      <c r="B94" s="33" t="str">
        <f>IF(H86=3,B86,"")</f>
        <v>GHAEL DOS SANTOS PERES</v>
      </c>
      <c r="C94" s="33" t="str">
        <f>IFERROR(IF(B94="","",VLOOKUP(B94,LISTAS!$F$5:$G$1004,2,0)),"0")</f>
        <v>COLÉGIO ARBOS - UNIDADE SANTO ANDRÉ</v>
      </c>
      <c r="D94" s="253">
        <v>2</v>
      </c>
      <c r="E94" s="254"/>
      <c r="F94" s="253" t="s">
        <v>38</v>
      </c>
      <c r="G94" s="254"/>
      <c r="H94" s="253">
        <v>0</v>
      </c>
      <c r="I94" s="254"/>
      <c r="J94" s="111" t="str">
        <f>IF(H86=3,B87,"")</f>
        <v>LEONARDO RIBEIRO CAMOLESI</v>
      </c>
      <c r="K94" s="33" t="str">
        <f>IFERROR(IF(J94="","",VLOOKUP(J94,LISTAS!$F$5:$G$1004,2,0)),"0")</f>
        <v>ESCOLA IL SOLE</v>
      </c>
      <c r="L94" s="81"/>
    </row>
    <row r="97" spans="2:16" ht="30" customHeight="1" x14ac:dyDescent="0.25">
      <c r="B97" s="161" t="s">
        <v>51</v>
      </c>
      <c r="C97" s="79"/>
      <c r="D97" s="255" t="s">
        <v>42</v>
      </c>
      <c r="E97" s="256"/>
      <c r="F97" s="256"/>
      <c r="G97" s="257"/>
      <c r="H97" s="113"/>
      <c r="I97" s="255" t="s">
        <v>3</v>
      </c>
      <c r="J97" s="256"/>
      <c r="K97" s="256"/>
      <c r="L97" s="256"/>
    </row>
    <row r="98" spans="2:16" ht="18" customHeight="1" x14ac:dyDescent="0.25">
      <c r="B98" s="132" t="s">
        <v>15</v>
      </c>
      <c r="C98" s="132" t="s">
        <v>0</v>
      </c>
      <c r="D98" s="132" t="s">
        <v>43</v>
      </c>
      <c r="E98" s="132" t="s">
        <v>44</v>
      </c>
      <c r="F98" s="132" t="s">
        <v>77</v>
      </c>
      <c r="G98" s="132" t="s">
        <v>78</v>
      </c>
      <c r="H98" s="114"/>
      <c r="I98" s="132" t="s">
        <v>18</v>
      </c>
      <c r="J98" s="132" t="s">
        <v>15</v>
      </c>
      <c r="K98" s="132" t="s">
        <v>0</v>
      </c>
      <c r="L98" s="132" t="s">
        <v>45</v>
      </c>
    </row>
    <row r="99" spans="2:16" ht="18" customHeight="1" x14ac:dyDescent="0.25">
      <c r="B99" s="33" t="s">
        <v>233</v>
      </c>
      <c r="C99" s="33" t="str">
        <f>IFERROR(IF(B99="","",VLOOKUP(B99,LISTAS!$F$5:$G$1004,2,0)),"0")</f>
        <v>ESCOLA VILLARE</v>
      </c>
      <c r="D99" s="33" t="str">
        <f>IF(H99&lt;3,"",IF(H99=3,IF(D105&lt;&gt;"",IF(H105&lt;&gt;"",IF(D105&lt;&gt;H105,IF(D105&gt;H105,"V","D"),""),""),"")))</f>
        <v>V</v>
      </c>
      <c r="E99" s="33" t="str">
        <f>IF(H99&lt;3,"",IF(H99=3,IF(D107&lt;&gt;"",IF(H107&lt;&gt;"",IF(D107&lt;&gt;H107,IF(D107&gt;H107,"V","D"),""),""),"")))</f>
        <v>V</v>
      </c>
      <c r="F99" s="33" t="s">
        <v>81</v>
      </c>
      <c r="G99" s="33" t="s">
        <v>81</v>
      </c>
      <c r="H99" s="117">
        <f>COUNTA(B99:B101)</f>
        <v>3</v>
      </c>
      <c r="I99" s="33">
        <f>IF(B99&lt;&gt;"",1,"")</f>
        <v>1</v>
      </c>
      <c r="J99" s="33" t="str">
        <f>IF(I99&lt;&gt;"",P99,"")</f>
        <v>DANILO RICO ALVES REGINALDO</v>
      </c>
      <c r="K99" s="33" t="str">
        <f>IFERROR(IF(J99="","",VLOOKUP(J99,LISTAS!$F$5:$G$1004,2,0)),"0")</f>
        <v>ESCOLA VILLARE</v>
      </c>
      <c r="L99" s="130" t="str">
        <f>IF(H99=3,"OURO",IF(H99=4,"OURO",IF(H99=5,"OURO","")))</f>
        <v>OURO</v>
      </c>
      <c r="M99" s="20">
        <f>IF(B99&lt;&gt;"",COUNTIF(D99:G99,"V")+(SUMIF(B105:B107,B99,D105:E107)/1000)+(SUMIF(J105:J107,B99,H105:I107)/1000)-(SUMIF(B105:B107,B99,H105:I107)/1000)-(SUMIF(J105:J107,B99,D105:E107)/1000)+0.003,"")</f>
        <v>2.0070000000000001</v>
      </c>
      <c r="N99" s="20" t="str">
        <f>IF(B99="","",B99)</f>
        <v>DANILO RICO ALVES REGINALDO</v>
      </c>
      <c r="O99" s="20">
        <f>IF(B99&lt;&gt;"",LARGE(M99:M101,1),"")</f>
        <v>2.0070000000000001</v>
      </c>
      <c r="P99" s="20" t="str">
        <f>VLOOKUP(O99,M99:N101,2,0)</f>
        <v>DANILO RICO ALVES REGINALDO</v>
      </c>
    </row>
    <row r="100" spans="2:16" ht="18" customHeight="1" x14ac:dyDescent="0.25">
      <c r="B100" s="33" t="s">
        <v>301</v>
      </c>
      <c r="C100" s="33" t="str">
        <f>IFERROR(IF(B100="","",VLOOKUP(B100,LISTAS!$F$5:$G$1004,2,0)),"0")</f>
        <v>COLÉGIO ARBOS - UNIDADE SANTO ANDRÉ</v>
      </c>
      <c r="D100" s="33" t="str">
        <f>IF(H99&lt;3,"",IF(H99=3,IF(D106&lt;&gt;"",IF(H106&lt;&gt;"",IF(D106&lt;&gt;H106,IF(D106&gt;H106,"V","D"),""),""),"")))</f>
        <v>V</v>
      </c>
      <c r="E100" s="33" t="str">
        <f>IF(H99&lt;3,"",IF(H99=3,IF(D107&lt;&gt;"",IF(H107&lt;&gt;"",IF(D107&lt;&gt;H107,IF(D107&gt;H107,"D","V"),""),""),"")))</f>
        <v>D</v>
      </c>
      <c r="F100" s="33" t="s">
        <v>81</v>
      </c>
      <c r="G100" s="33" t="s">
        <v>81</v>
      </c>
      <c r="H100" s="117"/>
      <c r="I100" s="33">
        <f>IF(B100&lt;&gt;"",2,"")</f>
        <v>2</v>
      </c>
      <c r="J100" s="33" t="str">
        <f>IF(I100&lt;&gt;"",P100,"")</f>
        <v>LORENZO MIGUEL DA SILVA BERTTI</v>
      </c>
      <c r="K100" s="33" t="str">
        <f>IFERROR(IF(J100="","",VLOOKUP(J100,LISTAS!$F$5:$G$1004,2,0)),"0")</f>
        <v>COLÉGIO ARBOS - UNIDADE SANTO ANDRÉ</v>
      </c>
      <c r="L100" s="130" t="str">
        <f>IF(H99=3,"PRATA",IF(H99=4,"OURO",IF(H99=5,"OURO","")))</f>
        <v>PRATA</v>
      </c>
      <c r="M100" s="20">
        <f>IF(B100&lt;&gt;"",COUNTIF(D100:G100,"V")+(SUMIF(B105:B107,B100,D105:E107)/1000)+(SUMIF(J105:J107,B100,H105:I107)/1000)-(SUMIF(B105:B107,B100,H105:I107)/1000)-(SUMIF(J105:J107,B100,D105:E107)/1000)+0.002,"")</f>
        <v>1.002</v>
      </c>
      <c r="N100" s="20" t="str">
        <f t="shared" ref="N100" si="6">IF(B100="","",B100)</f>
        <v>LORENZO MIGUEL DA SILVA BERTTI</v>
      </c>
      <c r="O100" s="20">
        <f>IF(B100&lt;&gt;"",LARGE(M99:M101,2),"")</f>
        <v>1.002</v>
      </c>
      <c r="P100" s="20" t="str">
        <f>VLOOKUP(O100,M99:N101,2,0)</f>
        <v>LORENZO MIGUEL DA SILVA BERTTI</v>
      </c>
    </row>
    <row r="101" spans="2:16" ht="18" customHeight="1" x14ac:dyDescent="0.25">
      <c r="B101" s="33" t="s">
        <v>236</v>
      </c>
      <c r="C101" s="33" t="str">
        <f>IFERROR(IF(B101="","",VLOOKUP(B101,LISTAS!$F$5:$G$1004,2,0)),"0")</f>
        <v>COLÉGIO ENGENHEIRO SALVADOR ARENA</v>
      </c>
      <c r="D101" s="33" t="str">
        <f>IF(H99&lt;3,"",IF(H99=3,IF(D105&lt;&gt;"",IF(H105&lt;&gt;"",IF(D105&lt;&gt;H105,IF(D105&gt;H105,"D","V"),""),""),"")))</f>
        <v>D</v>
      </c>
      <c r="E101" s="33" t="str">
        <f>IF(H99&lt;3,"",IF(H99=3,IF(D106&lt;&gt;"",IF(H106&lt;&gt;"",IF(D106&lt;&gt;H106,IF(D106&gt;H106,"D","V"),""),""),"")))</f>
        <v>D</v>
      </c>
      <c r="F101" s="33" t="s">
        <v>81</v>
      </c>
      <c r="G101" s="33" t="s">
        <v>81</v>
      </c>
      <c r="H101" s="117"/>
      <c r="I101" s="33">
        <f>IF(B101&lt;&gt;"",3,"")</f>
        <v>3</v>
      </c>
      <c r="J101" s="33" t="str">
        <f>IF(I101&lt;&gt;"",P101,"")</f>
        <v>DAVI PATRÍCIO DOS SANTOS</v>
      </c>
      <c r="K101" s="33" t="str">
        <f>IFERROR(IF(J101="","",VLOOKUP(J101,LISTAS!$F$5:$G$1004,2,0)),"0")</f>
        <v>COLÉGIO ENGENHEIRO SALVADOR ARENA</v>
      </c>
      <c r="L101" s="130" t="str">
        <f>IF(H99=3,"BRONZE",IF(H99=4,"PRATA",IF(H99=5,"OURO","")))</f>
        <v>BRONZE</v>
      </c>
      <c r="M101" s="20">
        <f>IF(B101&lt;&gt;"",COUNTIF(D101:G101,"V")+(SUMIF(B105:B107,B101,D105:E107)/1000)+(SUMIF(J105:J107,B101,H105:I107)/1000)-(SUMIF(B105:B107,B101,H105:I107)/1000)-(SUMIF(J105:J107,B101,D105:E107)/1000)+0.001,"")</f>
        <v>-3.0000000000000001E-3</v>
      </c>
      <c r="N101" s="20" t="str">
        <f>IF(B101="","",B101)</f>
        <v>DAVI PATRÍCIO DOS SANTOS</v>
      </c>
      <c r="O101" s="20">
        <f>IF(B101&lt;&gt;"",LARGE(M99:M101,3),"")</f>
        <v>-3.0000000000000001E-3</v>
      </c>
      <c r="P101" s="20" t="str">
        <f>VLOOKUP(O101,M99:N101,2,0)</f>
        <v>DAVI PATRÍCIO DOS SANTOS</v>
      </c>
    </row>
    <row r="102" spans="2:16" ht="18" customHeight="1" x14ac:dyDescent="0.25">
      <c r="B102" s="79"/>
      <c r="C102" s="79"/>
      <c r="D102" s="79"/>
      <c r="E102" s="79"/>
      <c r="F102" s="79"/>
      <c r="G102" s="79"/>
      <c r="I102" s="80"/>
      <c r="J102" s="79"/>
      <c r="K102" s="81"/>
      <c r="L102" s="81"/>
    </row>
    <row r="103" spans="2:16" ht="23.25" customHeight="1" x14ac:dyDescent="0.25">
      <c r="B103" s="82" t="s">
        <v>40</v>
      </c>
      <c r="C103" s="79"/>
      <c r="D103" s="79"/>
      <c r="E103" s="79"/>
      <c r="F103" s="79"/>
      <c r="G103" s="79"/>
      <c r="H103" s="79"/>
      <c r="I103" s="79"/>
      <c r="J103" s="79"/>
      <c r="K103" s="79"/>
      <c r="L103" s="79"/>
    </row>
    <row r="104" spans="2:16" ht="18" customHeight="1" x14ac:dyDescent="0.25">
      <c r="B104" s="132" t="s">
        <v>15</v>
      </c>
      <c r="C104" s="132" t="s">
        <v>0</v>
      </c>
      <c r="D104" s="258" t="s">
        <v>41</v>
      </c>
      <c r="E104" s="259"/>
      <c r="F104" s="259"/>
      <c r="G104" s="259"/>
      <c r="H104" s="259"/>
      <c r="I104" s="260"/>
      <c r="J104" s="132" t="s">
        <v>15</v>
      </c>
      <c r="K104" s="132" t="s">
        <v>0</v>
      </c>
      <c r="L104" s="79"/>
    </row>
    <row r="105" spans="2:16" ht="18" customHeight="1" x14ac:dyDescent="0.25">
      <c r="B105" s="33" t="str">
        <f>IF(H99=3,B99,"")</f>
        <v>DANILO RICO ALVES REGINALDO</v>
      </c>
      <c r="C105" s="33" t="str">
        <f>IFERROR(IF(B105="","",VLOOKUP(B105,LISTAS!$F$5:$G$1004,2,0)),"0")</f>
        <v>ESCOLA VILLARE</v>
      </c>
      <c r="D105" s="253">
        <v>2</v>
      </c>
      <c r="E105" s="254"/>
      <c r="F105" s="253" t="s">
        <v>38</v>
      </c>
      <c r="G105" s="254"/>
      <c r="H105" s="253">
        <v>0</v>
      </c>
      <c r="I105" s="254"/>
      <c r="J105" s="111" t="str">
        <f>IF(H99=3,B101,"")</f>
        <v>DAVI PATRÍCIO DOS SANTOS</v>
      </c>
      <c r="K105" s="33" t="str">
        <f>IFERROR(IF(J105="","",VLOOKUP(J105,LISTAS!$F$5:$G$1004,2,0)),"0")</f>
        <v>COLÉGIO ENGENHEIRO SALVADOR ARENA</v>
      </c>
      <c r="L105" s="81"/>
    </row>
    <row r="106" spans="2:16" ht="18" customHeight="1" x14ac:dyDescent="0.25">
      <c r="B106" s="33" t="str">
        <f>IF(H99=3,B100,"")</f>
        <v>LORENZO MIGUEL DA SILVA BERTTI</v>
      </c>
      <c r="C106" s="33" t="str">
        <f>IFERROR(IF(B106="","",VLOOKUP(B106,LISTAS!$F$5:$G$1004,2,0)),"0")</f>
        <v>COLÉGIO ARBOS - UNIDADE SANTO ANDRÉ</v>
      </c>
      <c r="D106" s="253">
        <v>2</v>
      </c>
      <c r="E106" s="254"/>
      <c r="F106" s="253" t="s">
        <v>38</v>
      </c>
      <c r="G106" s="254"/>
      <c r="H106" s="253">
        <v>0</v>
      </c>
      <c r="I106" s="254"/>
      <c r="J106" s="111" t="str">
        <f>IF(H99=3,B101,"")</f>
        <v>DAVI PATRÍCIO DOS SANTOS</v>
      </c>
      <c r="K106" s="33" t="str">
        <f>IFERROR(IF(J106="","",VLOOKUP(J106,LISTAS!$F$5:$G$1004,2,0)),"0")</f>
        <v>COLÉGIO ENGENHEIRO SALVADOR ARENA</v>
      </c>
      <c r="L106" s="79"/>
    </row>
    <row r="107" spans="2:16" ht="18" customHeight="1" x14ac:dyDescent="0.25">
      <c r="B107" s="33" t="str">
        <f>IF(H99=3,B99,"")</f>
        <v>DANILO RICO ALVES REGINALDO</v>
      </c>
      <c r="C107" s="33" t="str">
        <f>IFERROR(IF(B107="","",VLOOKUP(B107,LISTAS!$F$5:$G$1004,2,0)),"0")</f>
        <v>ESCOLA VILLARE</v>
      </c>
      <c r="D107" s="253">
        <v>2</v>
      </c>
      <c r="E107" s="254"/>
      <c r="F107" s="253" t="s">
        <v>38</v>
      </c>
      <c r="G107" s="254"/>
      <c r="H107" s="253">
        <v>0</v>
      </c>
      <c r="I107" s="254"/>
      <c r="J107" s="111" t="str">
        <f>IF(H99=3,B100,"")</f>
        <v>LORENZO MIGUEL DA SILVA BERTTI</v>
      </c>
      <c r="K107" s="33" t="str">
        <f>IFERROR(IF(J107="","",VLOOKUP(J107,LISTAS!$F$5:$G$1004,2,0)),"0")</f>
        <v>COLÉGIO ARBOS - UNIDADE SANTO ANDRÉ</v>
      </c>
      <c r="L107" s="81"/>
    </row>
    <row r="110" spans="2:16" ht="30" customHeight="1" x14ac:dyDescent="0.25">
      <c r="B110" s="161" t="s">
        <v>52</v>
      </c>
      <c r="C110" s="79"/>
      <c r="D110" s="255" t="s">
        <v>42</v>
      </c>
      <c r="E110" s="256"/>
      <c r="F110" s="256"/>
      <c r="G110" s="257"/>
      <c r="H110" s="113"/>
      <c r="I110" s="255" t="s">
        <v>3</v>
      </c>
      <c r="J110" s="256"/>
      <c r="K110" s="256"/>
      <c r="L110" s="256"/>
    </row>
    <row r="111" spans="2:16" ht="18" customHeight="1" x14ac:dyDescent="0.25">
      <c r="B111" s="132" t="s">
        <v>15</v>
      </c>
      <c r="C111" s="132" t="s">
        <v>0</v>
      </c>
      <c r="D111" s="132" t="s">
        <v>43</v>
      </c>
      <c r="E111" s="132" t="s">
        <v>44</v>
      </c>
      <c r="F111" s="132" t="s">
        <v>77</v>
      </c>
      <c r="G111" s="132" t="s">
        <v>78</v>
      </c>
      <c r="H111" s="114"/>
      <c r="I111" s="132" t="s">
        <v>18</v>
      </c>
      <c r="J111" s="132" t="s">
        <v>15</v>
      </c>
      <c r="K111" s="132" t="s">
        <v>0</v>
      </c>
      <c r="L111" s="132" t="s">
        <v>45</v>
      </c>
    </row>
    <row r="112" spans="2:16" ht="18" customHeight="1" x14ac:dyDescent="0.25">
      <c r="B112" s="33" t="s">
        <v>364</v>
      </c>
      <c r="C112" s="33" t="str">
        <f>IFERROR(IF(B112="","",VLOOKUP(B112,LISTAS!$F$5:$G$1004,2,0)),"0")</f>
        <v>LICEU JARDIM</v>
      </c>
      <c r="D112" s="33" t="str">
        <f>IF(H112&lt;3,"",IF(H112=3,IF(D118&lt;&gt;"",IF(H118&lt;&gt;"",IF(D118&lt;&gt;H118,IF(D118&gt;H118,"V","D"),""),""),"")))</f>
        <v>D</v>
      </c>
      <c r="E112" s="33" t="str">
        <f>IF(H112&lt;3,"",IF(H112=3,IF(D120&lt;&gt;"",IF(H120&lt;&gt;"",IF(D120&lt;&gt;H120,IF(D120&gt;H120,"V","D"),""),""),"")))</f>
        <v>V</v>
      </c>
      <c r="F112" s="33" t="s">
        <v>81</v>
      </c>
      <c r="G112" s="33" t="s">
        <v>81</v>
      </c>
      <c r="H112" s="117">
        <f>COUNTA(B112:B114)</f>
        <v>3</v>
      </c>
      <c r="I112" s="33">
        <f>IF(B112&lt;&gt;"",1,"")</f>
        <v>1</v>
      </c>
      <c r="J112" s="33" t="str">
        <f>IF(I112&lt;&gt;"",P112,"")</f>
        <v>RICARDO SALVADOR DE MATTOS</v>
      </c>
      <c r="K112" s="33" t="str">
        <f>IFERROR(IF(J112="","",VLOOKUP(J112,LISTAS!$F$5:$G$1004,2,0)),"0")</f>
        <v>COLÉGIO ARBOS SÃO CAETANO DO SUL</v>
      </c>
      <c r="L112" s="130" t="str">
        <f>IF(H112=3,"OURO",IF(H112=4,"OURO",IF(H112=5,"OURO","")))</f>
        <v>OURO</v>
      </c>
      <c r="M112" s="20">
        <f>IF(B112&lt;&gt;"",COUNTIF(D112:G112,"V")+(SUMIF(B118:B120,B112,D118:E120)/1000)+(SUMIF(J118:J120,B112,H118:I120)/1000)-(SUMIF(B118:B120,B112,H118:I120)/1000)-(SUMIF(J118:J120,B112,D118:E120)/1000)+0.003,"")</f>
        <v>1.002</v>
      </c>
      <c r="N112" s="20" t="str">
        <f>IF(B112="","",B112)</f>
        <v>VÍTOR DE LANDABURU MONTESINOS COSTA</v>
      </c>
      <c r="O112" s="20">
        <f>IF(B112&lt;&gt;"",LARGE(M112:M114,1),"")</f>
        <v>2.0049999999999999</v>
      </c>
      <c r="P112" s="20" t="str">
        <f>VLOOKUP(O112,M112:N114,2,0)</f>
        <v>RICARDO SALVADOR DE MATTOS</v>
      </c>
    </row>
    <row r="113" spans="2:16" ht="18" customHeight="1" x14ac:dyDescent="0.25">
      <c r="B113" s="33" t="s">
        <v>268</v>
      </c>
      <c r="C113" s="33" t="str">
        <f>IFERROR(IF(B113="","",VLOOKUP(B113,LISTAS!$F$5:$G$1004,2,0)),"0")</f>
        <v>PEN LIFE</v>
      </c>
      <c r="D113" s="33" t="str">
        <f>IF(H112&lt;3,"",IF(H112=3,IF(D119&lt;&gt;"",IF(H119&lt;&gt;"",IF(D119&lt;&gt;H119,IF(D119&gt;H119,"V","D"),""),""),"")))</f>
        <v>D</v>
      </c>
      <c r="E113" s="33" t="str">
        <f>IF(H112&lt;3,"",IF(H112=3,IF(D120&lt;&gt;"",IF(H120&lt;&gt;"",IF(D120&lt;&gt;H120,IF(D120&gt;H120,"D","V"),""),""),"")))</f>
        <v>D</v>
      </c>
      <c r="F113" s="33" t="s">
        <v>81</v>
      </c>
      <c r="G113" s="33" t="s">
        <v>81</v>
      </c>
      <c r="H113" s="117"/>
      <c r="I113" s="33">
        <f>IF(B113&lt;&gt;"",2,"")</f>
        <v>2</v>
      </c>
      <c r="J113" s="33" t="str">
        <f>IF(I113&lt;&gt;"",P113,"")</f>
        <v>VÍTOR DE LANDABURU MONTESINOS COSTA</v>
      </c>
      <c r="K113" s="33" t="str">
        <f>IFERROR(IF(J113="","",VLOOKUP(J113,LISTAS!$F$5:$G$1004,2,0)),"0")</f>
        <v>LICEU JARDIM</v>
      </c>
      <c r="L113" s="130" t="str">
        <f>IF(H112=3,"PRATA",IF(H112=4,"OURO",IF(H112=5,"OURO","")))</f>
        <v>PRATA</v>
      </c>
      <c r="M113" s="20">
        <f>IF(B113&lt;&gt;"",COUNTIF(D113:G113,"V")+(SUMIF(B118:B120,B113,D118:E120)/1000)+(SUMIF(J118:J120,B113,H118:I120)/1000)-(SUMIF(B118:B120,B113,H118:I120)/1000)-(SUMIF(J118:J120,B113,D118:E120)/1000)+0.002,"")</f>
        <v>-1E-3</v>
      </c>
      <c r="N113" s="20" t="str">
        <f t="shared" ref="N113" si="7">IF(B113="","",B113)</f>
        <v>GUILHERME PEREIRA SORRENTINO</v>
      </c>
      <c r="O113" s="20">
        <f>IF(B113&lt;&gt;"",LARGE(M112:M114,2),"")</f>
        <v>1.002</v>
      </c>
      <c r="P113" s="20" t="str">
        <f>VLOOKUP(O113,M112:N114,2,0)</f>
        <v>VÍTOR DE LANDABURU MONTESINOS COSTA</v>
      </c>
    </row>
    <row r="114" spans="2:16" ht="18" customHeight="1" x14ac:dyDescent="0.25">
      <c r="B114" s="33" t="s">
        <v>352</v>
      </c>
      <c r="C114" s="33" t="str">
        <f>IFERROR(IF(B114="","",VLOOKUP(B114,LISTAS!$F$5:$G$1004,2,0)),"0")</f>
        <v>COLÉGIO ARBOS SÃO CAETANO DO SUL</v>
      </c>
      <c r="D114" s="33" t="str">
        <f>IF(H112&lt;3,"",IF(H112=3,IF(D118&lt;&gt;"",IF(H118&lt;&gt;"",IF(D118&lt;&gt;H118,IF(D118&gt;H118,"D","V"),""),""),"")))</f>
        <v>V</v>
      </c>
      <c r="E114" s="33" t="str">
        <f>IF(H112&lt;3,"",IF(H112=3,IF(D119&lt;&gt;"",IF(H119&lt;&gt;"",IF(D119&lt;&gt;H119,IF(D119&gt;H119,"D","V"),""),""),"")))</f>
        <v>V</v>
      </c>
      <c r="F114" s="33" t="s">
        <v>81</v>
      </c>
      <c r="G114" s="33" t="s">
        <v>81</v>
      </c>
      <c r="H114" s="117"/>
      <c r="I114" s="33">
        <f>IF(B114&lt;&gt;"",3,"")</f>
        <v>3</v>
      </c>
      <c r="J114" s="33" t="str">
        <f>IF(I114&lt;&gt;"",P114,"")</f>
        <v>GUILHERME PEREIRA SORRENTINO</v>
      </c>
      <c r="K114" s="33" t="str">
        <f>IFERROR(IF(J114="","",VLOOKUP(J114,LISTAS!$F$5:$G$1004,2,0)),"0")</f>
        <v>PEN LIFE</v>
      </c>
      <c r="L114" s="130" t="str">
        <f>IF(H112=3,"BRONZE",IF(H112=4,"PRATA",IF(H112=5,"OURO","")))</f>
        <v>BRONZE</v>
      </c>
      <c r="M114" s="20">
        <f>IF(B114&lt;&gt;"",COUNTIF(D114:G114,"V")+(SUMIF(B118:B120,B114,D118:E120)/1000)+(SUMIF(J118:J120,B114,H118:I120)/1000)-(SUMIF(B118:B120,B114,H118:I120)/1000)-(SUMIF(J118:J120,B114,D118:E120)/1000)+0.001,"")</f>
        <v>2.0049999999999999</v>
      </c>
      <c r="N114" s="20" t="str">
        <f>IF(B114="","",B114)</f>
        <v>RICARDO SALVADOR DE MATTOS</v>
      </c>
      <c r="O114" s="20">
        <f>IF(B114&lt;&gt;"",LARGE(M112:M114,3),"")</f>
        <v>-1E-3</v>
      </c>
      <c r="P114" s="20" t="str">
        <f>VLOOKUP(O114,M112:N114,2,0)</f>
        <v>GUILHERME PEREIRA SORRENTINO</v>
      </c>
    </row>
    <row r="115" spans="2:16" ht="18" customHeight="1" x14ac:dyDescent="0.25">
      <c r="B115" s="79"/>
      <c r="C115" s="79"/>
      <c r="D115" s="79"/>
      <c r="E115" s="79"/>
      <c r="F115" s="79"/>
      <c r="G115" s="79"/>
      <c r="I115" s="80"/>
      <c r="J115" s="79"/>
      <c r="K115" s="81"/>
      <c r="L115" s="81"/>
    </row>
    <row r="116" spans="2:16" ht="23.25" customHeight="1" x14ac:dyDescent="0.25">
      <c r="B116" s="82" t="s">
        <v>40</v>
      </c>
      <c r="C116" s="79"/>
      <c r="D116" s="79"/>
      <c r="E116" s="79"/>
      <c r="F116" s="79"/>
      <c r="G116" s="79"/>
      <c r="H116" s="79"/>
      <c r="I116" s="79"/>
      <c r="J116" s="79"/>
      <c r="K116" s="79"/>
      <c r="L116" s="79"/>
    </row>
    <row r="117" spans="2:16" ht="18" customHeight="1" x14ac:dyDescent="0.25">
      <c r="B117" s="132" t="s">
        <v>15</v>
      </c>
      <c r="C117" s="132" t="s">
        <v>0</v>
      </c>
      <c r="D117" s="258" t="s">
        <v>41</v>
      </c>
      <c r="E117" s="259"/>
      <c r="F117" s="259"/>
      <c r="G117" s="259"/>
      <c r="H117" s="259"/>
      <c r="I117" s="260"/>
      <c r="J117" s="132" t="s">
        <v>15</v>
      </c>
      <c r="K117" s="132" t="s">
        <v>0</v>
      </c>
      <c r="L117" s="79"/>
    </row>
    <row r="118" spans="2:16" ht="18" customHeight="1" x14ac:dyDescent="0.25">
      <c r="B118" s="33" t="str">
        <f>IF(H112=3,B112,"")</f>
        <v>VÍTOR DE LANDABURU MONTESINOS COSTA</v>
      </c>
      <c r="C118" s="33" t="str">
        <f>IFERROR(IF(B118="","",VLOOKUP(B118,LISTAS!$F$5:$G$1004,2,0)),"0")</f>
        <v>LICEU JARDIM</v>
      </c>
      <c r="D118" s="253">
        <v>0</v>
      </c>
      <c r="E118" s="254"/>
      <c r="F118" s="253" t="s">
        <v>38</v>
      </c>
      <c r="G118" s="254"/>
      <c r="H118" s="253">
        <v>2</v>
      </c>
      <c r="I118" s="254"/>
      <c r="J118" s="111" t="str">
        <f>IF(H112=3,B114,"")</f>
        <v>RICARDO SALVADOR DE MATTOS</v>
      </c>
      <c r="K118" s="33" t="str">
        <f>IFERROR(IF(J118="","",VLOOKUP(J118,LISTAS!$F$5:$G$1004,2,0)),"0")</f>
        <v>COLÉGIO ARBOS SÃO CAETANO DO SUL</v>
      </c>
      <c r="L118" s="81"/>
    </row>
    <row r="119" spans="2:16" ht="18" customHeight="1" x14ac:dyDescent="0.25">
      <c r="B119" s="33" t="str">
        <f>IF(H112=3,B113,"")</f>
        <v>GUILHERME PEREIRA SORRENTINO</v>
      </c>
      <c r="C119" s="33" t="str">
        <f>IFERROR(IF(B119="","",VLOOKUP(B119,LISTAS!$F$5:$G$1004,2,0)),"0")</f>
        <v>PEN LIFE</v>
      </c>
      <c r="D119" s="253">
        <v>0</v>
      </c>
      <c r="E119" s="254"/>
      <c r="F119" s="253" t="s">
        <v>38</v>
      </c>
      <c r="G119" s="254"/>
      <c r="H119" s="253">
        <v>2</v>
      </c>
      <c r="I119" s="254"/>
      <c r="J119" s="111" t="str">
        <f>IF(H112=3,B114,"")</f>
        <v>RICARDO SALVADOR DE MATTOS</v>
      </c>
      <c r="K119" s="33" t="str">
        <f>IFERROR(IF(J119="","",VLOOKUP(J119,LISTAS!$F$5:$G$1004,2,0)),"0")</f>
        <v>COLÉGIO ARBOS SÃO CAETANO DO SUL</v>
      </c>
      <c r="L119" s="79"/>
    </row>
    <row r="120" spans="2:16" ht="18" customHeight="1" x14ac:dyDescent="0.25">
      <c r="B120" s="33" t="str">
        <f>IF(H112=3,B112,"")</f>
        <v>VÍTOR DE LANDABURU MONTESINOS COSTA</v>
      </c>
      <c r="C120" s="33" t="str">
        <f>IFERROR(IF(B120="","",VLOOKUP(B120,LISTAS!$F$5:$G$1004,2,0)),"0")</f>
        <v>LICEU JARDIM</v>
      </c>
      <c r="D120" s="253">
        <v>2</v>
      </c>
      <c r="E120" s="254"/>
      <c r="F120" s="253" t="s">
        <v>38</v>
      </c>
      <c r="G120" s="254"/>
      <c r="H120" s="253">
        <v>1</v>
      </c>
      <c r="I120" s="254"/>
      <c r="J120" s="111" t="str">
        <f>IF(H112=3,B113,"")</f>
        <v>GUILHERME PEREIRA SORRENTINO</v>
      </c>
      <c r="K120" s="33" t="str">
        <f>IFERROR(IF(J120="","",VLOOKUP(J120,LISTAS!$F$5:$G$1004,2,0)),"0")</f>
        <v>PEN LIFE</v>
      </c>
      <c r="L120" s="81"/>
    </row>
    <row r="123" spans="2:16" ht="30" customHeight="1" x14ac:dyDescent="0.25">
      <c r="B123" s="161" t="s">
        <v>53</v>
      </c>
      <c r="C123" s="79"/>
      <c r="D123" s="255" t="s">
        <v>42</v>
      </c>
      <c r="E123" s="256"/>
      <c r="F123" s="256"/>
      <c r="G123" s="257"/>
      <c r="H123" s="113"/>
      <c r="I123" s="255" t="s">
        <v>3</v>
      </c>
      <c r="J123" s="256"/>
      <c r="K123" s="256"/>
      <c r="L123" s="256"/>
    </row>
    <row r="124" spans="2:16" ht="18" customHeight="1" x14ac:dyDescent="0.25">
      <c r="B124" s="132" t="s">
        <v>15</v>
      </c>
      <c r="C124" s="132" t="s">
        <v>0</v>
      </c>
      <c r="D124" s="132" t="s">
        <v>43</v>
      </c>
      <c r="E124" s="132" t="s">
        <v>44</v>
      </c>
      <c r="F124" s="132" t="s">
        <v>77</v>
      </c>
      <c r="G124" s="132" t="s">
        <v>78</v>
      </c>
      <c r="H124" s="114"/>
      <c r="I124" s="132" t="s">
        <v>18</v>
      </c>
      <c r="J124" s="132" t="s">
        <v>15</v>
      </c>
      <c r="K124" s="132" t="s">
        <v>0</v>
      </c>
      <c r="L124" s="132" t="s">
        <v>45</v>
      </c>
    </row>
    <row r="125" spans="2:16" ht="18" customHeight="1" x14ac:dyDescent="0.25">
      <c r="B125" s="33" t="s">
        <v>335</v>
      </c>
      <c r="C125" s="33" t="str">
        <f>IFERROR(IF(B125="","",VLOOKUP(B125,LISTAS!$F$5:$G$1004,2,0)),"0")</f>
        <v>COLÉGIO ARBOS SÃO CAETANO DO SUL</v>
      </c>
      <c r="D125" s="33" t="str">
        <f>IF(H125&lt;3,"",IF(H125=3,IF(D131&lt;&gt;"",IF(H131&lt;&gt;"",IF(D131&lt;&gt;H131,IF(D131&gt;H131,"V","D"),""),""),"")))</f>
        <v>V</v>
      </c>
      <c r="E125" s="33" t="str">
        <f>IF(H125&lt;3,"",IF(H125=3,IF(D133&lt;&gt;"",IF(H133&lt;&gt;"",IF(D133&lt;&gt;H133,IF(D133&gt;H133,"V","D"),""),""),"")))</f>
        <v>V</v>
      </c>
      <c r="F125" s="33" t="s">
        <v>81</v>
      </c>
      <c r="G125" s="33" t="s">
        <v>81</v>
      </c>
      <c r="H125" s="117">
        <f>COUNTA(B125:B127)</f>
        <v>3</v>
      </c>
      <c r="I125" s="33">
        <f>IF(B125&lt;&gt;"",1,"")</f>
        <v>1</v>
      </c>
      <c r="J125" s="33" t="str">
        <f>IF(I125&lt;&gt;"",P125,"")</f>
        <v>OTÁVIO RODRIGUES CARLI</v>
      </c>
      <c r="K125" s="33" t="str">
        <f>IFERROR(IF(J125="","",VLOOKUP(J125,LISTAS!$F$5:$G$1004,2,0)),"0")</f>
        <v>COLÉGIO ARBOS SÃO CAETANO DO SUL</v>
      </c>
      <c r="L125" s="130" t="str">
        <f>IF(H125=3,"OURO",IF(H125=4,"OURO",IF(H125=5,"OURO","")))</f>
        <v>OURO</v>
      </c>
      <c r="M125" s="20">
        <f>IF(B125&lt;&gt;"",COUNTIF(D125:G125,"V")+(SUMIF(B131:B133,B125,D131:E133)/1000)+(SUMIF(J131:J133,B125,H131:I133)/1000)-(SUMIF(B131:B133,B125,H131:I133)/1000)-(SUMIF(J131:J133,B125,D131:E133)/1000)+0.003,"")</f>
        <v>2.0070000000000001</v>
      </c>
      <c r="N125" s="20" t="str">
        <f>IF(B125="","",B125)</f>
        <v>OTÁVIO RODRIGUES CARLI</v>
      </c>
      <c r="O125" s="20">
        <f>IF(B125&lt;&gt;"",LARGE(M125:M127,1),"")</f>
        <v>2.0070000000000001</v>
      </c>
      <c r="P125" s="20" t="str">
        <f>VLOOKUP(O125,M125:N127,2,0)</f>
        <v>OTÁVIO RODRIGUES CARLI</v>
      </c>
    </row>
    <row r="126" spans="2:16" ht="18" customHeight="1" x14ac:dyDescent="0.25">
      <c r="B126" s="33" t="s">
        <v>601</v>
      </c>
      <c r="C126" s="33" t="str">
        <f>IFERROR(IF(B126="","",VLOOKUP(B126,LISTAS!$F$5:$G$1004,2,0)),"0")</f>
        <v>BYE</v>
      </c>
      <c r="D126" s="33" t="str">
        <f>IF(H125&lt;3,"",IF(H125=3,IF(D132&lt;&gt;"",IF(H132&lt;&gt;"",IF(D132&lt;&gt;H132,IF(D132&gt;H132,"V","D"),""),""),"")))</f>
        <v>D</v>
      </c>
      <c r="E126" s="33" t="str">
        <f>IF(H125&lt;3,"",IF(H125=3,IF(D133&lt;&gt;"",IF(H133&lt;&gt;"",IF(D133&lt;&gt;H133,IF(D133&gt;H133,"D","V"),""),""),"")))</f>
        <v>D</v>
      </c>
      <c r="F126" s="33" t="s">
        <v>81</v>
      </c>
      <c r="G126" s="33" t="s">
        <v>81</v>
      </c>
      <c r="H126" s="117"/>
      <c r="I126" s="33">
        <f>IF(B126&lt;&gt;"",2,"")</f>
        <v>2</v>
      </c>
      <c r="J126" s="33" t="str">
        <f>IF(I126&lt;&gt;"",P126,"")</f>
        <v>BERNARDO HISSA DOS SANTOS</v>
      </c>
      <c r="K126" s="33" t="str">
        <f>IFERROR(IF(J126="","",VLOOKUP(J126,LISTAS!$F$5:$G$1004,2,0)),"0")</f>
        <v>ABACO IPIRANGA</v>
      </c>
      <c r="L126" s="130" t="str">
        <f>IF(H125=3,"PRATA",IF(H125=4,"OURO",IF(H125=5,"OURO","")))</f>
        <v>PRATA</v>
      </c>
      <c r="M126" s="20">
        <f>IF(B126&lt;&gt;"",COUNTIF(D126:G126,"V")+(SUMIF(B131:B133,B126,D131:E133)/1000)+(SUMIF(J131:J133,B126,H131:I133)/1000)-(SUMIF(B131:B133,B126,H131:I133)/1000)-(SUMIF(J131:J133,B126,D131:E133)/1000)+0.002,"")</f>
        <v>-2E-3</v>
      </c>
      <c r="N126" s="20" t="str">
        <f t="shared" ref="N126" si="8">IF(B126="","",B126)</f>
        <v>BYE</v>
      </c>
      <c r="O126" s="20">
        <f>IF(B126&lt;&gt;"",LARGE(M125:M127,2),"")</f>
        <v>1.0009999999999999</v>
      </c>
      <c r="P126" s="20" t="str">
        <f>VLOOKUP(O126,M125:N127,2,0)</f>
        <v>BERNARDO HISSA DOS SANTOS</v>
      </c>
    </row>
    <row r="127" spans="2:16" ht="18" customHeight="1" x14ac:dyDescent="0.25">
      <c r="B127" s="33" t="s">
        <v>224</v>
      </c>
      <c r="C127" s="33" t="str">
        <f>IFERROR(IF(B127="","",VLOOKUP(B127,LISTAS!$F$5:$G$1004,2,0)),"0")</f>
        <v>ABACO IPIRANGA</v>
      </c>
      <c r="D127" s="33" t="str">
        <f>IF(H125&lt;3,"",IF(H125=3,IF(D131&lt;&gt;"",IF(H131&lt;&gt;"",IF(D131&lt;&gt;H131,IF(D131&gt;H131,"D","V"),""),""),"")))</f>
        <v>D</v>
      </c>
      <c r="E127" s="33" t="str">
        <f>IF(H125&lt;3,"",IF(H125=3,IF(D132&lt;&gt;"",IF(H132&lt;&gt;"",IF(D132&lt;&gt;H132,IF(D132&gt;H132,"D","V"),""),""),"")))</f>
        <v>V</v>
      </c>
      <c r="F127" s="33" t="s">
        <v>81</v>
      </c>
      <c r="G127" s="33" t="s">
        <v>81</v>
      </c>
      <c r="H127" s="117"/>
      <c r="I127" s="33">
        <f>IF(B127&lt;&gt;"",3,"")</f>
        <v>3</v>
      </c>
      <c r="J127" s="33" t="str">
        <f>IF(I127&lt;&gt;"",P127,"")</f>
        <v>BYE</v>
      </c>
      <c r="K127" s="33" t="str">
        <f>IFERROR(IF(J127="","",VLOOKUP(J127,LISTAS!$F$5:$G$1004,2,0)),"0")</f>
        <v>BYE</v>
      </c>
      <c r="L127" s="130" t="str">
        <f>IF(H125=3,"BRONZE",IF(H125=4,"PRATA",IF(H125=5,"OURO","")))</f>
        <v>BRONZE</v>
      </c>
      <c r="M127" s="20">
        <f>IF(B127&lt;&gt;"",COUNTIF(D127:G127,"V")+(SUMIF(B131:B133,B127,D131:E133)/1000)+(SUMIF(J131:J133,B127,H131:I133)/1000)-(SUMIF(B131:B133,B127,H131:I133)/1000)-(SUMIF(J131:J133,B127,D131:E133)/1000)+0.001,"")</f>
        <v>1.0009999999999999</v>
      </c>
      <c r="N127" s="20" t="str">
        <f>IF(B127="","",B127)</f>
        <v>BERNARDO HISSA DOS SANTOS</v>
      </c>
      <c r="O127" s="20">
        <f>IF(B127&lt;&gt;"",LARGE(M125:M127,3),"")</f>
        <v>-2E-3</v>
      </c>
      <c r="P127" s="20" t="str">
        <f>VLOOKUP(O127,M125:N127,2,0)</f>
        <v>BYE</v>
      </c>
    </row>
    <row r="128" spans="2:16" ht="18" customHeight="1" x14ac:dyDescent="0.25">
      <c r="B128" s="79"/>
      <c r="C128" s="79"/>
      <c r="D128" s="79"/>
      <c r="E128" s="79"/>
      <c r="F128" s="79"/>
      <c r="G128" s="79"/>
      <c r="I128" s="80"/>
      <c r="J128" s="79"/>
      <c r="K128" s="81"/>
      <c r="L128" s="81"/>
    </row>
    <row r="129" spans="2:16" ht="23.25" customHeight="1" x14ac:dyDescent="0.25">
      <c r="B129" s="82" t="s">
        <v>40</v>
      </c>
      <c r="C129" s="79"/>
      <c r="D129" s="79"/>
      <c r="E129" s="79"/>
      <c r="F129" s="79"/>
      <c r="G129" s="79"/>
      <c r="H129" s="79"/>
      <c r="I129" s="79"/>
      <c r="J129" s="79"/>
      <c r="K129" s="79"/>
      <c r="L129" s="79"/>
    </row>
    <row r="130" spans="2:16" ht="18" customHeight="1" x14ac:dyDescent="0.25">
      <c r="B130" s="132" t="s">
        <v>15</v>
      </c>
      <c r="C130" s="132" t="s">
        <v>0</v>
      </c>
      <c r="D130" s="258" t="s">
        <v>41</v>
      </c>
      <c r="E130" s="259"/>
      <c r="F130" s="259"/>
      <c r="G130" s="259"/>
      <c r="H130" s="259"/>
      <c r="I130" s="260"/>
      <c r="J130" s="132" t="s">
        <v>15</v>
      </c>
      <c r="K130" s="132" t="s">
        <v>0</v>
      </c>
      <c r="L130" s="79"/>
    </row>
    <row r="131" spans="2:16" ht="18" customHeight="1" x14ac:dyDescent="0.25">
      <c r="B131" s="33" t="str">
        <f>IF(H125=3,B125,"")</f>
        <v>OTÁVIO RODRIGUES CARLI</v>
      </c>
      <c r="C131" s="33" t="str">
        <f>IFERROR(IF(B131="","",VLOOKUP(B131,LISTAS!$F$5:$G$1004,2,0)),"0")</f>
        <v>COLÉGIO ARBOS SÃO CAETANO DO SUL</v>
      </c>
      <c r="D131" s="253">
        <v>2</v>
      </c>
      <c r="E131" s="254"/>
      <c r="F131" s="253" t="s">
        <v>38</v>
      </c>
      <c r="G131" s="254"/>
      <c r="H131" s="253">
        <v>0</v>
      </c>
      <c r="I131" s="254"/>
      <c r="J131" s="111" t="str">
        <f>IF(H125=3,B127,"")</f>
        <v>BERNARDO HISSA DOS SANTOS</v>
      </c>
      <c r="K131" s="33" t="str">
        <f>IFERROR(IF(J131="","",VLOOKUP(J131,LISTAS!$F$5:$G$1004,2,0)),"0")</f>
        <v>ABACO IPIRANGA</v>
      </c>
      <c r="L131" s="81"/>
    </row>
    <row r="132" spans="2:16" ht="18" customHeight="1" x14ac:dyDescent="0.25">
      <c r="B132" s="33" t="str">
        <f>IF(H125=3,B126,"")</f>
        <v>BYE</v>
      </c>
      <c r="C132" s="33" t="str">
        <f>IFERROR(IF(B132="","",VLOOKUP(B132,LISTAS!$F$5:$G$1004,2,0)),"0")</f>
        <v>BYE</v>
      </c>
      <c r="D132" s="253">
        <v>0</v>
      </c>
      <c r="E132" s="254"/>
      <c r="F132" s="253" t="s">
        <v>38</v>
      </c>
      <c r="G132" s="254"/>
      <c r="H132" s="253">
        <v>2</v>
      </c>
      <c r="I132" s="254"/>
      <c r="J132" s="111" t="str">
        <f>IF(H125=3,B127,"")</f>
        <v>BERNARDO HISSA DOS SANTOS</v>
      </c>
      <c r="K132" s="33" t="str">
        <f>IFERROR(IF(J132="","",VLOOKUP(J132,LISTAS!$F$5:$G$1004,2,0)),"0")</f>
        <v>ABACO IPIRANGA</v>
      </c>
      <c r="L132" s="79"/>
    </row>
    <row r="133" spans="2:16" ht="18" customHeight="1" x14ac:dyDescent="0.25">
      <c r="B133" s="33" t="str">
        <f>IF(H125=3,B125,"")</f>
        <v>OTÁVIO RODRIGUES CARLI</v>
      </c>
      <c r="C133" s="33" t="str">
        <f>IFERROR(IF(B133="","",VLOOKUP(B133,LISTAS!$F$5:$G$1004,2,0)),"0")</f>
        <v>COLÉGIO ARBOS SÃO CAETANO DO SUL</v>
      </c>
      <c r="D133" s="253">
        <v>2</v>
      </c>
      <c r="E133" s="254"/>
      <c r="F133" s="253" t="s">
        <v>38</v>
      </c>
      <c r="G133" s="254"/>
      <c r="H133" s="253">
        <v>0</v>
      </c>
      <c r="I133" s="254"/>
      <c r="J133" s="111" t="str">
        <f>IF(H125=3,B126,"")</f>
        <v>BYE</v>
      </c>
      <c r="K133" s="33" t="str">
        <f>IFERROR(IF(J133="","",VLOOKUP(J133,LISTAS!$F$5:$G$1004,2,0)),"0")</f>
        <v>BYE</v>
      </c>
      <c r="L133" s="81"/>
    </row>
    <row r="136" spans="2:16" ht="30" customHeight="1" x14ac:dyDescent="0.25">
      <c r="B136" s="161" t="s">
        <v>54</v>
      </c>
      <c r="C136" s="79"/>
      <c r="D136" s="255" t="s">
        <v>42</v>
      </c>
      <c r="E136" s="256"/>
      <c r="F136" s="256"/>
      <c r="G136" s="257"/>
      <c r="H136" s="113"/>
      <c r="I136" s="255" t="s">
        <v>3</v>
      </c>
      <c r="J136" s="256"/>
      <c r="K136" s="256"/>
      <c r="L136" s="256"/>
    </row>
    <row r="137" spans="2:16" ht="18" customHeight="1" x14ac:dyDescent="0.25">
      <c r="B137" s="132" t="s">
        <v>15</v>
      </c>
      <c r="C137" s="132" t="s">
        <v>0</v>
      </c>
      <c r="D137" s="132" t="s">
        <v>43</v>
      </c>
      <c r="E137" s="132" t="s">
        <v>44</v>
      </c>
      <c r="F137" s="132" t="s">
        <v>77</v>
      </c>
      <c r="G137" s="132" t="s">
        <v>78</v>
      </c>
      <c r="H137" s="114"/>
      <c r="I137" s="132" t="s">
        <v>18</v>
      </c>
      <c r="J137" s="132" t="s">
        <v>15</v>
      </c>
      <c r="K137" s="132" t="s">
        <v>0</v>
      </c>
      <c r="L137" s="132" t="s">
        <v>45</v>
      </c>
    </row>
    <row r="138" spans="2:16" ht="18" customHeight="1" x14ac:dyDescent="0.25">
      <c r="B138" s="33" t="s">
        <v>239</v>
      </c>
      <c r="C138" s="33" t="str">
        <f>IFERROR(IF(B138="","",VLOOKUP(B138,LISTAS!$F$5:$G$1004,2,0)),"0")</f>
        <v>ABACO IPIRANGA</v>
      </c>
      <c r="D138" s="33" t="str">
        <f>IF(H138&lt;3,"",IF(H138=3,IF(D144&lt;&gt;"",IF(H144&lt;&gt;"",IF(D144&lt;&gt;H144,IF(D144&gt;H144,"V","D"),""),""),"")))</f>
        <v>D</v>
      </c>
      <c r="E138" s="33" t="str">
        <f>IF(H138&lt;3,"",IF(H138=3,IF(D146&lt;&gt;"",IF(H146&lt;&gt;"",IF(D146&lt;&gt;H146,IF(D146&gt;H146,"V","D"),""),""),"")))</f>
        <v>D</v>
      </c>
      <c r="F138" s="33" t="s">
        <v>81</v>
      </c>
      <c r="G138" s="33" t="s">
        <v>81</v>
      </c>
      <c r="H138" s="117">
        <f>COUNTA(B138:B140)</f>
        <v>3</v>
      </c>
      <c r="I138" s="33">
        <f>IF(B138&lt;&gt;"",1,"")</f>
        <v>1</v>
      </c>
      <c r="J138" s="33" t="str">
        <f>IF(I138&lt;&gt;"",P138,"")</f>
        <v>CAIO SILVA RAMALHO OLIVEIRA</v>
      </c>
      <c r="K138" s="33" t="str">
        <f>IFERROR(IF(J138="","",VLOOKUP(J138,LISTAS!$F$5:$G$1004,2,0)),"0")</f>
        <v>COLÉGIO ARBOS - UNIDADE SANTO ANDRÉ</v>
      </c>
      <c r="L138" s="130" t="str">
        <f>IF(H138=3,"OURO",IF(H138=4,"OURO",IF(H138=5,"OURO","")))</f>
        <v>OURO</v>
      </c>
      <c r="M138" s="20">
        <f>IF(B138&lt;&gt;"",COUNTIF(D138:G138,"V")+(SUMIF(B144:B146,B138,D144:E146)/1000)+(SUMIF(J144:J146,B138,H144:I146)/1000)-(SUMIF(B144:B146,B138,H144:I146)/1000)-(SUMIF(J144:J146,B138,D144:E146)/1000)+0.003,"")</f>
        <v>0</v>
      </c>
      <c r="N138" s="20" t="str">
        <f>IF(B138="","",B138)</f>
        <v>ENRICO CABRIOTI DOS SANTOS MELGES</v>
      </c>
      <c r="O138" s="20">
        <f>IF(B138&lt;&gt;"",LARGE(M138:M140,1),"")</f>
        <v>2.0059999999999993</v>
      </c>
      <c r="P138" s="20" t="str">
        <f>VLOOKUP(O138,M138:N140,2,0)</f>
        <v>CAIO SILVA RAMALHO OLIVEIRA</v>
      </c>
    </row>
    <row r="139" spans="2:16" ht="18" customHeight="1" x14ac:dyDescent="0.25">
      <c r="B139" s="33" t="s">
        <v>227</v>
      </c>
      <c r="C139" s="33" t="str">
        <f>IFERROR(IF(B139="","",VLOOKUP(B139,LISTAS!$F$5:$G$1004,2,0)),"0")</f>
        <v>COLÉGIO ARBOS - UNIDADE SANTO ANDRÉ</v>
      </c>
      <c r="D139" s="33" t="str">
        <f>IF(H138&lt;3,"",IF(H138=3,IF(D145&lt;&gt;"",IF(H145&lt;&gt;"",IF(D145&lt;&gt;H145,IF(D145&gt;H145,"V","D"),""),""),"")))</f>
        <v>V</v>
      </c>
      <c r="E139" s="33" t="str">
        <f>IF(H138&lt;3,"",IF(H138=3,IF(D146&lt;&gt;"",IF(H146&lt;&gt;"",IF(D146&lt;&gt;H146,IF(D146&gt;H146,"D","V"),""),""),"")))</f>
        <v>V</v>
      </c>
      <c r="F139" s="33" t="s">
        <v>81</v>
      </c>
      <c r="G139" s="33" t="s">
        <v>81</v>
      </c>
      <c r="H139" s="117"/>
      <c r="I139" s="33">
        <f>IF(B139&lt;&gt;"",2,"")</f>
        <v>2</v>
      </c>
      <c r="J139" s="33" t="str">
        <f>IF(I139&lt;&gt;"",P139,"")</f>
        <v>PEDRO TIEZZI GARCIA</v>
      </c>
      <c r="K139" s="33" t="str">
        <f>IFERROR(IF(J139="","",VLOOKUP(J139,LISTAS!$F$5:$G$1004,2,0)),"0")</f>
        <v>COLEGIO PETROPOLIS</v>
      </c>
      <c r="L139" s="130" t="str">
        <f>IF(H138=3,"PRATA",IF(H138=4,"OURO",IF(H138=5,"OURO","")))</f>
        <v>PRATA</v>
      </c>
      <c r="M139" s="20">
        <f>IF(B139&lt;&gt;"",COUNTIF(D139:G139,"V")+(SUMIF(B144:B146,B139,D144:E146)/1000)+(SUMIF(J144:J146,B139,H144:I146)/1000)-(SUMIF(B144:B146,B139,H144:I146)/1000)-(SUMIF(J144:J146,B139,D144:E146)/1000)+0.002,"")</f>
        <v>2.0059999999999993</v>
      </c>
      <c r="N139" s="20" t="str">
        <f t="shared" ref="N139" si="9">IF(B139="","",B139)</f>
        <v>CAIO SILVA RAMALHO OLIVEIRA</v>
      </c>
      <c r="O139" s="20">
        <f>IF(B139&lt;&gt;"",LARGE(M138:M140,2),"")</f>
        <v>1</v>
      </c>
      <c r="P139" s="20" t="str">
        <f>VLOOKUP(O139,M138:N140,2,0)</f>
        <v>PEDRO TIEZZI GARCIA</v>
      </c>
    </row>
    <row r="140" spans="2:16" ht="18" customHeight="1" x14ac:dyDescent="0.25">
      <c r="B140" s="33" t="s">
        <v>347</v>
      </c>
      <c r="C140" s="33" t="str">
        <f>IFERROR(IF(B140="","",VLOOKUP(B140,LISTAS!$F$5:$G$1004,2,0)),"0")</f>
        <v>COLEGIO PETROPOLIS</v>
      </c>
      <c r="D140" s="33" t="str">
        <f>IF(H138&lt;3,"",IF(H138=3,IF(D144&lt;&gt;"",IF(H144&lt;&gt;"",IF(D144&lt;&gt;H144,IF(D144&gt;H144,"D","V"),""),""),"")))</f>
        <v>V</v>
      </c>
      <c r="E140" s="33" t="str">
        <f>IF(H138&lt;3,"",IF(H138=3,IF(D145&lt;&gt;"",IF(H145&lt;&gt;"",IF(D145&lt;&gt;H145,IF(D145&gt;H145,"D","V"),""),""),"")))</f>
        <v>D</v>
      </c>
      <c r="F140" s="33" t="s">
        <v>81</v>
      </c>
      <c r="G140" s="33" t="s">
        <v>81</v>
      </c>
      <c r="H140" s="117"/>
      <c r="I140" s="33">
        <f>IF(B140&lt;&gt;"",3,"")</f>
        <v>3</v>
      </c>
      <c r="J140" s="33" t="str">
        <f>IF(I140&lt;&gt;"",P140,"")</f>
        <v>ENRICO CABRIOTI DOS SANTOS MELGES</v>
      </c>
      <c r="K140" s="33" t="str">
        <f>IFERROR(IF(J140="","",VLOOKUP(J140,LISTAS!$F$5:$G$1004,2,0)),"0")</f>
        <v>ABACO IPIRANGA</v>
      </c>
      <c r="L140" s="130" t="str">
        <f>IF(H138=3,"BRONZE",IF(H138=4,"PRATA",IF(H138=5,"OURO","")))</f>
        <v>BRONZE</v>
      </c>
      <c r="M140" s="20">
        <f>IF(B140&lt;&gt;"",COUNTIF(D140:G140,"V")+(SUMIF(B144:B146,B140,D144:E146)/1000)+(SUMIF(J144:J146,B140,H144:I146)/1000)-(SUMIF(B144:B146,B140,H144:I146)/1000)-(SUMIF(J144:J146,B140,D144:E146)/1000)+0.001,"")</f>
        <v>1</v>
      </c>
      <c r="N140" s="20" t="str">
        <f>IF(B140="","",B140)</f>
        <v>PEDRO TIEZZI GARCIA</v>
      </c>
      <c r="O140" s="20">
        <f>IF(B140&lt;&gt;"",LARGE(M138:M140,3),"")</f>
        <v>0</v>
      </c>
      <c r="P140" s="20" t="str">
        <f>VLOOKUP(O140,M138:N140,2,0)</f>
        <v>ENRICO CABRIOTI DOS SANTOS MELGES</v>
      </c>
    </row>
    <row r="141" spans="2:16" ht="18" customHeight="1" x14ac:dyDescent="0.25">
      <c r="B141" s="79"/>
      <c r="C141" s="79"/>
      <c r="D141" s="79"/>
      <c r="E141" s="79"/>
      <c r="F141" s="79"/>
      <c r="G141" s="79"/>
      <c r="I141" s="80"/>
      <c r="J141" s="79"/>
      <c r="K141" s="81"/>
      <c r="L141" s="81"/>
    </row>
    <row r="142" spans="2:16" ht="23.25" customHeight="1" x14ac:dyDescent="0.25">
      <c r="B142" s="82" t="s">
        <v>40</v>
      </c>
      <c r="C142" s="79"/>
      <c r="D142" s="79"/>
      <c r="E142" s="79"/>
      <c r="F142" s="79"/>
      <c r="G142" s="79"/>
      <c r="H142" s="79"/>
      <c r="I142" s="79"/>
      <c r="J142" s="79"/>
      <c r="K142" s="79"/>
      <c r="L142" s="79"/>
    </row>
    <row r="143" spans="2:16" ht="18" customHeight="1" x14ac:dyDescent="0.25">
      <c r="B143" s="132" t="s">
        <v>15</v>
      </c>
      <c r="C143" s="132" t="s">
        <v>0</v>
      </c>
      <c r="D143" s="258" t="s">
        <v>41</v>
      </c>
      <c r="E143" s="259"/>
      <c r="F143" s="259"/>
      <c r="G143" s="259"/>
      <c r="H143" s="259"/>
      <c r="I143" s="260"/>
      <c r="J143" s="132" t="s">
        <v>15</v>
      </c>
      <c r="K143" s="132" t="s">
        <v>0</v>
      </c>
      <c r="L143" s="79"/>
    </row>
    <row r="144" spans="2:16" ht="18" customHeight="1" x14ac:dyDescent="0.25">
      <c r="B144" s="33" t="str">
        <f>IF(H138=3,B138,"")</f>
        <v>ENRICO CABRIOTI DOS SANTOS MELGES</v>
      </c>
      <c r="C144" s="33" t="str">
        <f>IFERROR(IF(B144="","",VLOOKUP(B144,LISTAS!$F$5:$G$1004,2,0)),"0")</f>
        <v>ABACO IPIRANGA</v>
      </c>
      <c r="D144" s="253">
        <v>1</v>
      </c>
      <c r="E144" s="254"/>
      <c r="F144" s="253" t="s">
        <v>38</v>
      </c>
      <c r="G144" s="254"/>
      <c r="H144" s="253">
        <v>2</v>
      </c>
      <c r="I144" s="254"/>
      <c r="J144" s="111" t="str">
        <f>IF(H138=3,B140,"")</f>
        <v>PEDRO TIEZZI GARCIA</v>
      </c>
      <c r="K144" s="33" t="str">
        <f>IFERROR(IF(J144="","",VLOOKUP(J144,LISTAS!$F$5:$G$1004,2,0)),"0")</f>
        <v>COLEGIO PETROPOLIS</v>
      </c>
      <c r="L144" s="81"/>
    </row>
    <row r="145" spans="2:16" ht="18" customHeight="1" x14ac:dyDescent="0.25">
      <c r="B145" s="33" t="str">
        <f>IF(H138=3,B139,"")</f>
        <v>CAIO SILVA RAMALHO OLIVEIRA</v>
      </c>
      <c r="C145" s="33" t="str">
        <f>IFERROR(IF(B145="","",VLOOKUP(B145,LISTAS!$F$5:$G$1004,2,0)),"0")</f>
        <v>COLÉGIO ARBOS - UNIDADE SANTO ANDRÉ</v>
      </c>
      <c r="D145" s="253">
        <v>2</v>
      </c>
      <c r="E145" s="254"/>
      <c r="F145" s="253" t="s">
        <v>38</v>
      </c>
      <c r="G145" s="254"/>
      <c r="H145" s="253">
        <v>0</v>
      </c>
      <c r="I145" s="254"/>
      <c r="J145" s="111" t="str">
        <f>IF(H138=3,B140,"")</f>
        <v>PEDRO TIEZZI GARCIA</v>
      </c>
      <c r="K145" s="33" t="str">
        <f>IFERROR(IF(J145="","",VLOOKUP(J145,LISTAS!$F$5:$G$1004,2,0)),"0")</f>
        <v>COLEGIO PETROPOLIS</v>
      </c>
      <c r="L145" s="79"/>
    </row>
    <row r="146" spans="2:16" ht="18" customHeight="1" x14ac:dyDescent="0.25">
      <c r="B146" s="33" t="str">
        <f>IF(H138=3,B138,"")</f>
        <v>ENRICO CABRIOTI DOS SANTOS MELGES</v>
      </c>
      <c r="C146" s="33" t="str">
        <f>IFERROR(IF(B146="","",VLOOKUP(B146,LISTAS!$F$5:$G$1004,2,0)),"0")</f>
        <v>ABACO IPIRANGA</v>
      </c>
      <c r="D146" s="253">
        <v>0</v>
      </c>
      <c r="E146" s="254"/>
      <c r="F146" s="253" t="s">
        <v>38</v>
      </c>
      <c r="G146" s="254"/>
      <c r="H146" s="253">
        <v>2</v>
      </c>
      <c r="I146" s="254"/>
      <c r="J146" s="111" t="str">
        <f>IF(H138=3,B139,"")</f>
        <v>CAIO SILVA RAMALHO OLIVEIRA</v>
      </c>
      <c r="K146" s="33" t="str">
        <f>IFERROR(IF(J146="","",VLOOKUP(J146,LISTAS!$F$5:$G$1004,2,0)),"0")</f>
        <v>COLÉGIO ARBOS - UNIDADE SANTO ANDRÉ</v>
      </c>
      <c r="L146" s="81"/>
    </row>
    <row r="149" spans="2:16" ht="30" customHeight="1" x14ac:dyDescent="0.25">
      <c r="B149" s="161" t="s">
        <v>55</v>
      </c>
      <c r="C149" s="79"/>
      <c r="D149" s="255" t="s">
        <v>42</v>
      </c>
      <c r="E149" s="256"/>
      <c r="F149" s="256"/>
      <c r="G149" s="257"/>
      <c r="H149" s="113"/>
      <c r="I149" s="255" t="s">
        <v>3</v>
      </c>
      <c r="J149" s="256"/>
      <c r="K149" s="256"/>
      <c r="L149" s="256"/>
    </row>
    <row r="150" spans="2:16" ht="18" customHeight="1" x14ac:dyDescent="0.25">
      <c r="B150" s="132" t="s">
        <v>15</v>
      </c>
      <c r="C150" s="132" t="s">
        <v>0</v>
      </c>
      <c r="D150" s="132" t="s">
        <v>43</v>
      </c>
      <c r="E150" s="132" t="s">
        <v>44</v>
      </c>
      <c r="F150" s="132" t="s">
        <v>77</v>
      </c>
      <c r="G150" s="132" t="s">
        <v>78</v>
      </c>
      <c r="H150" s="114"/>
      <c r="I150" s="132" t="s">
        <v>18</v>
      </c>
      <c r="J150" s="132" t="s">
        <v>15</v>
      </c>
      <c r="K150" s="132" t="s">
        <v>0</v>
      </c>
      <c r="L150" s="132" t="s">
        <v>45</v>
      </c>
    </row>
    <row r="151" spans="2:16" ht="18" customHeight="1" x14ac:dyDescent="0.25">
      <c r="B151" s="33" t="s">
        <v>338</v>
      </c>
      <c r="C151" s="33" t="str">
        <f>IFERROR(IF(B151="","",VLOOKUP(B151,LISTAS!$F$5:$G$1004,2,0)),"0")</f>
        <v>COLEGIO PETROPOLIS</v>
      </c>
      <c r="D151" s="33" t="str">
        <f>IF(H151&lt;3,"",IF(H151=3,IF(D157&lt;&gt;"",IF(H157&lt;&gt;"",IF(D157&lt;&gt;H157,IF(D157&gt;H157,"V","D"),""),""),"")))</f>
        <v>D</v>
      </c>
      <c r="E151" s="33" t="str">
        <f>IF(H151&lt;3,"",IF(H151=3,IF(D159&lt;&gt;"",IF(H159&lt;&gt;"",IF(D159&lt;&gt;H159,IF(D159&gt;H159,"V","D"),""),""),"")))</f>
        <v>D</v>
      </c>
      <c r="F151" s="33" t="s">
        <v>81</v>
      </c>
      <c r="G151" s="33" t="s">
        <v>81</v>
      </c>
      <c r="H151" s="117">
        <f>COUNTA(B151:B153)</f>
        <v>3</v>
      </c>
      <c r="I151" s="33">
        <f>IF(B151&lt;&gt;"",1,"")</f>
        <v>1</v>
      </c>
      <c r="J151" s="33" t="str">
        <f>IF(I151&lt;&gt;"",P151,"")</f>
        <v>LORENZO BELOTTI</v>
      </c>
      <c r="K151" s="33" t="str">
        <f>IFERROR(IF(J151="","",VLOOKUP(J151,LISTAS!$F$5:$G$1004,2,0)),"0")</f>
        <v>COLÉGIO MARCONI - GRU</v>
      </c>
      <c r="L151" s="130" t="str">
        <f>IF(H151=3,"OURO",IF(H151=4,"OURO",IF(H151=5,"OURO","")))</f>
        <v>OURO</v>
      </c>
      <c r="M151" s="20">
        <f>IF(B151&lt;&gt;"",COUNTIF(D151:G151,"V")+(SUMIF(B157:B159,B151,D157:E159)/1000)+(SUMIF(J157:J159,B151,H157:I159)/1000)-(SUMIF(B157:B159,B151,H157:I159)/1000)-(SUMIF(J157:J159,B151,D157:E159)/1000)+0.003,"")</f>
        <v>-1E-3</v>
      </c>
      <c r="N151" s="20" t="str">
        <f>IF(B151="","",B151)</f>
        <v>PEDRO DUARTE DE ALMEIDA</v>
      </c>
      <c r="O151" s="20">
        <f>IF(B151&lt;&gt;"",LARGE(M151:M153,1),"")</f>
        <v>2.0049999999999999</v>
      </c>
      <c r="P151" s="20" t="str">
        <f>VLOOKUP(O151,M151:N153,2,0)</f>
        <v>LORENZO BELOTTI</v>
      </c>
    </row>
    <row r="152" spans="2:16" ht="18" customHeight="1" x14ac:dyDescent="0.25">
      <c r="B152" s="33" t="s">
        <v>303</v>
      </c>
      <c r="C152" s="33" t="str">
        <f>IFERROR(IF(B152="","",VLOOKUP(B152,LISTAS!$F$5:$G$1004,2,0)),"0")</f>
        <v>COLÉGIO ARBOS SÃO CAETANO DO SUL</v>
      </c>
      <c r="D152" s="33" t="str">
        <f>IF(H151&lt;3,"",IF(H151=3,IF(D158&lt;&gt;"",IF(H158&lt;&gt;"",IF(D158&lt;&gt;H158,IF(D158&gt;H158,"V","D"),""),""),"")))</f>
        <v>D</v>
      </c>
      <c r="E152" s="33" t="str">
        <f>IF(H151&lt;3,"",IF(H151=3,IF(D159&lt;&gt;"",IF(H159&lt;&gt;"",IF(D159&lt;&gt;H159,IF(D159&gt;H159,"D","V"),""),""),"")))</f>
        <v>V</v>
      </c>
      <c r="F152" s="33" t="s">
        <v>81</v>
      </c>
      <c r="G152" s="33" t="s">
        <v>81</v>
      </c>
      <c r="H152" s="117"/>
      <c r="I152" s="33">
        <f>IF(B152&lt;&gt;"",2,"")</f>
        <v>2</v>
      </c>
      <c r="J152" s="33" t="str">
        <f>IF(I152&lt;&gt;"",P152,"")</f>
        <v>LUCAS FILGUEIRAS DA SILVA</v>
      </c>
      <c r="K152" s="33" t="str">
        <f>IFERROR(IF(J152="","",VLOOKUP(J152,LISTAS!$F$5:$G$1004,2,0)),"0")</f>
        <v>COLÉGIO ARBOS SÃO CAETANO DO SUL</v>
      </c>
      <c r="L152" s="130" t="str">
        <f>IF(H151=3,"PRATA",IF(H151=4,"OURO",IF(H151=5,"OURO","")))</f>
        <v>PRATA</v>
      </c>
      <c r="M152" s="20">
        <f>IF(B152&lt;&gt;"",COUNTIF(D152:G152,"V")+(SUMIF(B157:B159,B152,D157:E159)/1000)+(SUMIF(J157:J159,B152,H157:I159)/1000)-(SUMIF(B157:B159,B152,H157:I159)/1000)-(SUMIF(J157:J159,B152,D157:E159)/1000)+0.002,"")</f>
        <v>1.002</v>
      </c>
      <c r="N152" s="20" t="str">
        <f t="shared" ref="N152" si="10">IF(B152="","",B152)</f>
        <v>LUCAS FILGUEIRAS DA SILVA</v>
      </c>
      <c r="O152" s="20">
        <f>IF(B152&lt;&gt;"",LARGE(M151:M153,2),"")</f>
        <v>1.002</v>
      </c>
      <c r="P152" s="20" t="str">
        <f>VLOOKUP(O152,M151:N153,2,0)</f>
        <v>LUCAS FILGUEIRAS DA SILVA</v>
      </c>
    </row>
    <row r="153" spans="2:16" ht="18" customHeight="1" x14ac:dyDescent="0.25">
      <c r="B153" s="33" t="s">
        <v>297</v>
      </c>
      <c r="C153" s="33" t="str">
        <f>IFERROR(IF(B153="","",VLOOKUP(B153,LISTAS!$F$5:$G$1004,2,0)),"0")</f>
        <v>COLÉGIO MARCONI - GRU</v>
      </c>
      <c r="D153" s="33" t="str">
        <f>IF(H151&lt;3,"",IF(H151=3,IF(D157&lt;&gt;"",IF(H157&lt;&gt;"",IF(D157&lt;&gt;H157,IF(D157&gt;H157,"D","V"),""),""),"")))</f>
        <v>V</v>
      </c>
      <c r="E153" s="33" t="str">
        <f>IF(H151&lt;3,"",IF(H151=3,IF(D158&lt;&gt;"",IF(H158&lt;&gt;"",IF(D158&lt;&gt;H158,IF(D158&gt;H158,"D","V"),""),""),"")))</f>
        <v>V</v>
      </c>
      <c r="F153" s="33" t="s">
        <v>81</v>
      </c>
      <c r="G153" s="33" t="s">
        <v>81</v>
      </c>
      <c r="H153" s="117"/>
      <c r="I153" s="33">
        <f>IF(B153&lt;&gt;"",3,"")</f>
        <v>3</v>
      </c>
      <c r="J153" s="33" t="str">
        <f>IF(I153&lt;&gt;"",P153,"")</f>
        <v>PEDRO DUARTE DE ALMEIDA</v>
      </c>
      <c r="K153" s="33" t="str">
        <f>IFERROR(IF(J153="","",VLOOKUP(J153,LISTAS!$F$5:$G$1004,2,0)),"0")</f>
        <v>COLEGIO PETROPOLIS</v>
      </c>
      <c r="L153" s="130" t="str">
        <f>IF(H151=3,"BRONZE",IF(H151=4,"PRATA",IF(H151=5,"OURO","")))</f>
        <v>BRONZE</v>
      </c>
      <c r="M153" s="20">
        <f>IF(B153&lt;&gt;"",COUNTIF(D153:G153,"V")+(SUMIF(B157:B159,B153,D157:E159)/1000)+(SUMIF(J157:J159,B153,H157:I159)/1000)-(SUMIF(B157:B159,B153,H157:I159)/1000)-(SUMIF(J157:J159,B153,D157:E159)/1000)+0.001,"")</f>
        <v>2.0049999999999999</v>
      </c>
      <c r="N153" s="20" t="str">
        <f>IF(B153="","",B153)</f>
        <v>LORENZO BELOTTI</v>
      </c>
      <c r="O153" s="20">
        <f>IF(B153&lt;&gt;"",LARGE(M151:M153,3),"")</f>
        <v>-1E-3</v>
      </c>
      <c r="P153" s="20" t="str">
        <f>VLOOKUP(O153,M151:N153,2,0)</f>
        <v>PEDRO DUARTE DE ALMEIDA</v>
      </c>
    </row>
    <row r="154" spans="2:16" ht="18" customHeight="1" x14ac:dyDescent="0.25">
      <c r="B154" s="79"/>
      <c r="C154" s="79"/>
      <c r="D154" s="79"/>
      <c r="E154" s="79"/>
      <c r="F154" s="79"/>
      <c r="G154" s="79"/>
      <c r="I154" s="80"/>
      <c r="J154" s="79"/>
      <c r="K154" s="81"/>
      <c r="L154" s="81"/>
    </row>
    <row r="155" spans="2:16" ht="23.25" customHeight="1" x14ac:dyDescent="0.25">
      <c r="B155" s="82" t="s">
        <v>40</v>
      </c>
      <c r="C155" s="79"/>
      <c r="D155" s="79"/>
      <c r="E155" s="79"/>
      <c r="F155" s="79"/>
      <c r="G155" s="79"/>
      <c r="H155" s="79"/>
      <c r="I155" s="79"/>
      <c r="J155" s="79"/>
      <c r="K155" s="79"/>
      <c r="L155" s="79"/>
    </row>
    <row r="156" spans="2:16" ht="18" customHeight="1" x14ac:dyDescent="0.25">
      <c r="B156" s="132" t="s">
        <v>15</v>
      </c>
      <c r="C156" s="132" t="s">
        <v>0</v>
      </c>
      <c r="D156" s="258" t="s">
        <v>41</v>
      </c>
      <c r="E156" s="259"/>
      <c r="F156" s="259"/>
      <c r="G156" s="259"/>
      <c r="H156" s="259"/>
      <c r="I156" s="260"/>
      <c r="J156" s="132" t="s">
        <v>15</v>
      </c>
      <c r="K156" s="132" t="s">
        <v>0</v>
      </c>
      <c r="L156" s="79"/>
    </row>
    <row r="157" spans="2:16" ht="18" customHeight="1" x14ac:dyDescent="0.25">
      <c r="B157" s="33" t="str">
        <f>IF(H151=3,B151,"")</f>
        <v>PEDRO DUARTE DE ALMEIDA</v>
      </c>
      <c r="C157" s="33" t="str">
        <f>IFERROR(IF(B157="","",VLOOKUP(B157,LISTAS!$F$5:$G$1004,2,0)),"0")</f>
        <v>COLEGIO PETROPOLIS</v>
      </c>
      <c r="D157" s="253">
        <v>0</v>
      </c>
      <c r="E157" s="254"/>
      <c r="F157" s="253" t="s">
        <v>38</v>
      </c>
      <c r="G157" s="254"/>
      <c r="H157" s="253">
        <v>2</v>
      </c>
      <c r="I157" s="254"/>
      <c r="J157" s="111" t="str">
        <f>IF(H151=3,B153,"")</f>
        <v>LORENZO BELOTTI</v>
      </c>
      <c r="K157" s="33" t="str">
        <f>IFERROR(IF(J157="","",VLOOKUP(J157,LISTAS!$F$5:$G$1004,2,0)),"0")</f>
        <v>COLÉGIO MARCONI - GRU</v>
      </c>
      <c r="L157" s="81"/>
    </row>
    <row r="158" spans="2:16" ht="18" customHeight="1" x14ac:dyDescent="0.25">
      <c r="B158" s="33" t="str">
        <f>IF(H151=3,B152,"")</f>
        <v>LUCAS FILGUEIRAS DA SILVA</v>
      </c>
      <c r="C158" s="33" t="str">
        <f>IFERROR(IF(B158="","",VLOOKUP(B158,LISTAS!$F$5:$G$1004,2,0)),"0")</f>
        <v>COLÉGIO ARBOS SÃO CAETANO DO SUL</v>
      </c>
      <c r="D158" s="253">
        <v>0</v>
      </c>
      <c r="E158" s="254"/>
      <c r="F158" s="253" t="s">
        <v>38</v>
      </c>
      <c r="G158" s="254"/>
      <c r="H158" s="253">
        <v>2</v>
      </c>
      <c r="I158" s="254"/>
      <c r="J158" s="111" t="str">
        <f>IF(H151=3,B153,"")</f>
        <v>LORENZO BELOTTI</v>
      </c>
      <c r="K158" s="33" t="str">
        <f>IFERROR(IF(J158="","",VLOOKUP(J158,LISTAS!$F$5:$G$1004,2,0)),"0")</f>
        <v>COLÉGIO MARCONI - GRU</v>
      </c>
      <c r="L158" s="79"/>
    </row>
    <row r="159" spans="2:16" ht="18" customHeight="1" x14ac:dyDescent="0.25">
      <c r="B159" s="33" t="str">
        <f>IF(H151=3,B151,"")</f>
        <v>PEDRO DUARTE DE ALMEIDA</v>
      </c>
      <c r="C159" s="33" t="str">
        <f>IFERROR(IF(B159="","",VLOOKUP(B159,LISTAS!$F$5:$G$1004,2,0)),"0")</f>
        <v>COLEGIO PETROPOLIS</v>
      </c>
      <c r="D159" s="253">
        <v>0</v>
      </c>
      <c r="E159" s="254"/>
      <c r="F159" s="253" t="s">
        <v>38</v>
      </c>
      <c r="G159" s="254"/>
      <c r="H159" s="253">
        <v>2</v>
      </c>
      <c r="I159" s="254"/>
      <c r="J159" s="111" t="str">
        <f>IF(H151=3,B152,"")</f>
        <v>LUCAS FILGUEIRAS DA SILVA</v>
      </c>
      <c r="K159" s="33" t="str">
        <f>IFERROR(IF(J159="","",VLOOKUP(J159,LISTAS!$F$5:$G$1004,2,0)),"0")</f>
        <v>COLÉGIO ARBOS SÃO CAETANO DO SUL</v>
      </c>
      <c r="L159" s="81"/>
    </row>
    <row r="162" spans="2:16" ht="30" customHeight="1" x14ac:dyDescent="0.25">
      <c r="B162" s="161" t="s">
        <v>56</v>
      </c>
      <c r="C162" s="79"/>
      <c r="D162" s="255" t="s">
        <v>42</v>
      </c>
      <c r="E162" s="256"/>
      <c r="F162" s="256"/>
      <c r="G162" s="257"/>
      <c r="H162" s="113"/>
      <c r="I162" s="255" t="s">
        <v>3</v>
      </c>
      <c r="J162" s="256"/>
      <c r="K162" s="256"/>
      <c r="L162" s="256"/>
    </row>
    <row r="163" spans="2:16" ht="18" customHeight="1" x14ac:dyDescent="0.25">
      <c r="B163" s="132" t="s">
        <v>15</v>
      </c>
      <c r="C163" s="132" t="s">
        <v>0</v>
      </c>
      <c r="D163" s="132" t="s">
        <v>43</v>
      </c>
      <c r="E163" s="132" t="s">
        <v>44</v>
      </c>
      <c r="F163" s="132" t="s">
        <v>77</v>
      </c>
      <c r="G163" s="132" t="s">
        <v>78</v>
      </c>
      <c r="H163" s="114"/>
      <c r="I163" s="132" t="s">
        <v>18</v>
      </c>
      <c r="J163" s="132" t="s">
        <v>15</v>
      </c>
      <c r="K163" s="132" t="s">
        <v>0</v>
      </c>
      <c r="L163" s="132" t="s">
        <v>45</v>
      </c>
    </row>
    <row r="164" spans="2:16" ht="18" customHeight="1" x14ac:dyDescent="0.25">
      <c r="B164" s="33" t="s">
        <v>311</v>
      </c>
      <c r="C164" s="33" t="str">
        <f>IFERROR(IF(B164="","",VLOOKUP(B164,LISTAS!$F$5:$G$1004,2,0)),"0")</f>
        <v>COLÉGIO ARBOS - UNIDADE SANTO ANDRÉ</v>
      </c>
      <c r="D164" s="33" t="str">
        <f>IF(H164&lt;3,"",IF(H164=3,IF(D170&lt;&gt;"",IF(H170&lt;&gt;"",IF(D170&lt;&gt;H170,IF(D170&gt;H170,"V","D"),""),""),"")))</f>
        <v>D</v>
      </c>
      <c r="E164" s="33" t="str">
        <f>IF(H164&lt;3,"",IF(H164=3,IF(D172&lt;&gt;"",IF(H172&lt;&gt;"",IF(D172&lt;&gt;H172,IF(D172&gt;H172,"V","D"),""),""),"")))</f>
        <v>D</v>
      </c>
      <c r="F164" s="33" t="s">
        <v>81</v>
      </c>
      <c r="G164" s="33" t="s">
        <v>81</v>
      </c>
      <c r="H164" s="117">
        <f>COUNTA(B164:B166)</f>
        <v>3</v>
      </c>
      <c r="I164" s="33">
        <f>IF(B164&lt;&gt;"",1,"")</f>
        <v>1</v>
      </c>
      <c r="J164" s="33" t="str">
        <f>IF(I164&lt;&gt;"",P164,"")</f>
        <v>DAVI MAIA SANTICIOLI</v>
      </c>
      <c r="K164" s="33" t="str">
        <f>IFERROR(IF(J164="","",VLOOKUP(J164,LISTAS!$F$5:$G$1004,2,0)),"0")</f>
        <v>ESCOLA VILLARE</v>
      </c>
      <c r="L164" s="130" t="str">
        <f>IF(H164=3,"OURO",IF(H164=4,"OURO",IF(H164=5,"OURO","")))</f>
        <v>OURO</v>
      </c>
      <c r="M164" s="20">
        <f>IF(B164&lt;&gt;"",COUNTIF(D164:G164,"V")+(SUMIF(B170:B172,B164,D170:E172)/1000)+(SUMIF(J170:J172,B164,H170:I172)/1000)-(SUMIF(B170:B172,B164,H170:I172)/1000)-(SUMIF(J170:J172,B164,D170:E172)/1000)+0.003,"")</f>
        <v>-1E-3</v>
      </c>
      <c r="N164" s="20" t="str">
        <f>IF(B164="","",B164)</f>
        <v>LUIGI LOPES PERUGINO CANUTO</v>
      </c>
      <c r="O164" s="20">
        <f>IF(B164&lt;&gt;"",LARGE(M164:M166,1),"")</f>
        <v>2.0049999999999999</v>
      </c>
      <c r="P164" s="20" t="str">
        <f>VLOOKUP(O164,M164:N166,2,0)</f>
        <v>DAVI MAIA SANTICIOLI</v>
      </c>
    </row>
    <row r="165" spans="2:16" ht="18" customHeight="1" x14ac:dyDescent="0.25">
      <c r="B165" s="33" t="s">
        <v>306</v>
      </c>
      <c r="C165" s="33" t="str">
        <f>IFERROR(IF(B165="","",VLOOKUP(B165,LISTAS!$F$5:$G$1004,2,0)),"0")</f>
        <v>COLEGIO PETROPOLIS</v>
      </c>
      <c r="D165" s="33" t="str">
        <f>IF(H164&lt;3,"",IF(H164=3,IF(D171&lt;&gt;"",IF(H171&lt;&gt;"",IF(D171&lt;&gt;H171,IF(D171&gt;H171,"V","D"),""),""),"")))</f>
        <v>D</v>
      </c>
      <c r="E165" s="33" t="str">
        <f>IF(H164&lt;3,"",IF(H164=3,IF(D172&lt;&gt;"",IF(H172&lt;&gt;"",IF(D172&lt;&gt;H172,IF(D172&gt;H172,"D","V"),""),""),"")))</f>
        <v>V</v>
      </c>
      <c r="F165" s="33" t="s">
        <v>81</v>
      </c>
      <c r="G165" s="33" t="s">
        <v>81</v>
      </c>
      <c r="H165" s="117"/>
      <c r="I165" s="33">
        <f>IF(B165&lt;&gt;"",2,"")</f>
        <v>2</v>
      </c>
      <c r="J165" s="33" t="str">
        <f>IF(I165&lt;&gt;"",P165,"")</f>
        <v>LUCCA CAPUCHO DOS S SANCHO'</v>
      </c>
      <c r="K165" s="33" t="str">
        <f>IFERROR(IF(J165="","",VLOOKUP(J165,LISTAS!$F$5:$G$1004,2,0)),"0")</f>
        <v>COLEGIO PETROPOLIS</v>
      </c>
      <c r="L165" s="130" t="str">
        <f>IF(H164=3,"PRATA",IF(H164=4,"OURO",IF(H164=5,"OURO","")))</f>
        <v>PRATA</v>
      </c>
      <c r="M165" s="20">
        <f>IF(B165&lt;&gt;"",COUNTIF(D165:G165,"V")+(SUMIF(B170:B172,B165,D170:E172)/1000)+(SUMIF(J170:J172,B165,H170:I172)/1000)-(SUMIF(B170:B172,B165,H170:I172)/1000)-(SUMIF(J170:J172,B165,D170:E172)/1000)+0.002,"")</f>
        <v>1.002</v>
      </c>
      <c r="N165" s="20" t="str">
        <f t="shared" ref="N165" si="11">IF(B165="","",B165)</f>
        <v>LUCCA CAPUCHO DOS S SANCHO'</v>
      </c>
      <c r="O165" s="20">
        <f>IF(B165&lt;&gt;"",LARGE(M164:M166,2),"")</f>
        <v>1.002</v>
      </c>
      <c r="P165" s="20" t="str">
        <f>VLOOKUP(O165,M164:N166,2,0)</f>
        <v>LUCCA CAPUCHO DOS S SANCHO'</v>
      </c>
    </row>
    <row r="166" spans="2:16" ht="18" customHeight="1" x14ac:dyDescent="0.25">
      <c r="B166" s="33" t="s">
        <v>235</v>
      </c>
      <c r="C166" s="33" t="str">
        <f>IFERROR(IF(B166="","",VLOOKUP(B166,LISTAS!$F$5:$G$1004,2,0)),"0")</f>
        <v>ESCOLA VILLARE</v>
      </c>
      <c r="D166" s="33" t="str">
        <f>IF(H164&lt;3,"",IF(H164=3,IF(D170&lt;&gt;"",IF(H170&lt;&gt;"",IF(D170&lt;&gt;H170,IF(D170&gt;H170,"D","V"),""),""),"")))</f>
        <v>V</v>
      </c>
      <c r="E166" s="33" t="str">
        <f>IF(H164&lt;3,"",IF(H164=3,IF(D171&lt;&gt;"",IF(H171&lt;&gt;"",IF(D171&lt;&gt;H171,IF(D171&gt;H171,"D","V"),""),""),"")))</f>
        <v>V</v>
      </c>
      <c r="F166" s="33" t="s">
        <v>81</v>
      </c>
      <c r="G166" s="33" t="s">
        <v>81</v>
      </c>
      <c r="H166" s="117"/>
      <c r="I166" s="33">
        <f>IF(B166&lt;&gt;"",3,"")</f>
        <v>3</v>
      </c>
      <c r="J166" s="33" t="str">
        <f>IF(I166&lt;&gt;"",P166,"")</f>
        <v>LUIGI LOPES PERUGINO CANUTO</v>
      </c>
      <c r="K166" s="33" t="str">
        <f>IFERROR(IF(J166="","",VLOOKUP(J166,LISTAS!$F$5:$G$1004,2,0)),"0")</f>
        <v>COLÉGIO ARBOS - UNIDADE SANTO ANDRÉ</v>
      </c>
      <c r="L166" s="130" t="str">
        <f>IF(H164=3,"BRONZE",IF(H164=4,"PRATA",IF(H164=5,"OURO","")))</f>
        <v>BRONZE</v>
      </c>
      <c r="M166" s="20">
        <f>IF(B166&lt;&gt;"",COUNTIF(D166:G166,"V")+(SUMIF(B170:B172,B166,D170:E172)/1000)+(SUMIF(J170:J172,B166,H170:I172)/1000)-(SUMIF(B170:B172,B166,H170:I172)/1000)-(SUMIF(J170:J172,B166,D170:E172)/1000)+0.001,"")</f>
        <v>2.0049999999999999</v>
      </c>
      <c r="N166" s="20" t="str">
        <f>IF(B166="","",B166)</f>
        <v>DAVI MAIA SANTICIOLI</v>
      </c>
      <c r="O166" s="20">
        <f>IF(B166&lt;&gt;"",LARGE(M164:M166,3),"")</f>
        <v>-1E-3</v>
      </c>
      <c r="P166" s="20" t="str">
        <f>VLOOKUP(O166,M164:N166,2,0)</f>
        <v>LUIGI LOPES PERUGINO CANUTO</v>
      </c>
    </row>
    <row r="167" spans="2:16" ht="18" customHeight="1" x14ac:dyDescent="0.25">
      <c r="B167" s="79"/>
      <c r="C167" s="79"/>
      <c r="D167" s="79"/>
      <c r="E167" s="79"/>
      <c r="F167" s="79"/>
      <c r="G167" s="79"/>
      <c r="I167" s="80"/>
      <c r="J167" s="79"/>
      <c r="K167" s="81"/>
      <c r="L167" s="81"/>
    </row>
    <row r="168" spans="2:16" ht="23.25" customHeight="1" x14ac:dyDescent="0.25">
      <c r="B168" s="82" t="s">
        <v>40</v>
      </c>
      <c r="C168" s="79"/>
      <c r="D168" s="79"/>
      <c r="E168" s="79"/>
      <c r="F168" s="79"/>
      <c r="G168" s="79"/>
      <c r="H168" s="79"/>
      <c r="I168" s="79"/>
      <c r="J168" s="79"/>
      <c r="K168" s="79"/>
      <c r="L168" s="79"/>
    </row>
    <row r="169" spans="2:16" ht="18" customHeight="1" x14ac:dyDescent="0.25">
      <c r="B169" s="132" t="s">
        <v>15</v>
      </c>
      <c r="C169" s="132" t="s">
        <v>0</v>
      </c>
      <c r="D169" s="258" t="s">
        <v>41</v>
      </c>
      <c r="E169" s="259"/>
      <c r="F169" s="259"/>
      <c r="G169" s="259"/>
      <c r="H169" s="259"/>
      <c r="I169" s="260"/>
      <c r="J169" s="132" t="s">
        <v>15</v>
      </c>
      <c r="K169" s="132" t="s">
        <v>0</v>
      </c>
      <c r="L169" s="79"/>
    </row>
    <row r="170" spans="2:16" ht="18" customHeight="1" x14ac:dyDescent="0.25">
      <c r="B170" s="33" t="str">
        <f>IF(H164=3,B164,"")</f>
        <v>LUIGI LOPES PERUGINO CANUTO</v>
      </c>
      <c r="C170" s="33" t="str">
        <f>IFERROR(IF(B170="","",VLOOKUP(B170,LISTAS!$F$5:$G$1004,2,0)),"0")</f>
        <v>COLÉGIO ARBOS - UNIDADE SANTO ANDRÉ</v>
      </c>
      <c r="D170" s="253">
        <v>0</v>
      </c>
      <c r="E170" s="254"/>
      <c r="F170" s="253" t="s">
        <v>38</v>
      </c>
      <c r="G170" s="254"/>
      <c r="H170" s="253">
        <v>2</v>
      </c>
      <c r="I170" s="254"/>
      <c r="J170" s="111" t="str">
        <f>IF(H164=3,B166,"")</f>
        <v>DAVI MAIA SANTICIOLI</v>
      </c>
      <c r="K170" s="33" t="str">
        <f>IFERROR(IF(J170="","",VLOOKUP(J170,LISTAS!$F$5:$G$1004,2,0)),"0")</f>
        <v>ESCOLA VILLARE</v>
      </c>
      <c r="L170" s="81"/>
    </row>
    <row r="171" spans="2:16" ht="18" customHeight="1" x14ac:dyDescent="0.25">
      <c r="B171" s="33" t="str">
        <f>IF(H164=3,B165,"")</f>
        <v>LUCCA CAPUCHO DOS S SANCHO'</v>
      </c>
      <c r="C171" s="33" t="str">
        <f>IFERROR(IF(B171="","",VLOOKUP(B171,LISTAS!$F$5:$G$1004,2,0)),"0")</f>
        <v>COLEGIO PETROPOLIS</v>
      </c>
      <c r="D171" s="253">
        <v>0</v>
      </c>
      <c r="E171" s="254"/>
      <c r="F171" s="253" t="s">
        <v>38</v>
      </c>
      <c r="G171" s="254"/>
      <c r="H171" s="253">
        <v>2</v>
      </c>
      <c r="I171" s="254"/>
      <c r="J171" s="111" t="str">
        <f>IF(H164=3,B166,"")</f>
        <v>DAVI MAIA SANTICIOLI</v>
      </c>
      <c r="K171" s="33" t="str">
        <f>IFERROR(IF(J171="","",VLOOKUP(J171,LISTAS!$F$5:$G$1004,2,0)),"0")</f>
        <v>ESCOLA VILLARE</v>
      </c>
      <c r="L171" s="79"/>
    </row>
    <row r="172" spans="2:16" ht="18" customHeight="1" x14ac:dyDescent="0.25">
      <c r="B172" s="33" t="str">
        <f>IF(H164=3,B164,"")</f>
        <v>LUIGI LOPES PERUGINO CANUTO</v>
      </c>
      <c r="C172" s="33" t="str">
        <f>IFERROR(IF(B172="","",VLOOKUP(B172,LISTAS!$F$5:$G$1004,2,0)),"0")</f>
        <v>COLÉGIO ARBOS - UNIDADE SANTO ANDRÉ</v>
      </c>
      <c r="D172" s="253">
        <v>0</v>
      </c>
      <c r="E172" s="254"/>
      <c r="F172" s="253" t="s">
        <v>38</v>
      </c>
      <c r="G172" s="254"/>
      <c r="H172" s="253">
        <v>2</v>
      </c>
      <c r="I172" s="254"/>
      <c r="J172" s="111" t="str">
        <f>IF(H164=3,B165,"")</f>
        <v>LUCCA CAPUCHO DOS S SANCHO'</v>
      </c>
      <c r="K172" s="33" t="str">
        <f>IFERROR(IF(J172="","",VLOOKUP(J172,LISTAS!$F$5:$G$1004,2,0)),"0")</f>
        <v>COLEGIO PETROPOLIS</v>
      </c>
      <c r="L172" s="81"/>
    </row>
    <row r="175" spans="2:16" ht="30" customHeight="1" x14ac:dyDescent="0.25">
      <c r="B175" s="161" t="s">
        <v>57</v>
      </c>
      <c r="C175" s="79"/>
      <c r="D175" s="255" t="s">
        <v>42</v>
      </c>
      <c r="E175" s="256"/>
      <c r="F175" s="256"/>
      <c r="G175" s="257"/>
      <c r="H175" s="113"/>
      <c r="I175" s="255" t="s">
        <v>3</v>
      </c>
      <c r="J175" s="256"/>
      <c r="K175" s="256"/>
      <c r="L175" s="256"/>
    </row>
    <row r="176" spans="2:16" ht="18" customHeight="1" x14ac:dyDescent="0.25">
      <c r="B176" s="132" t="s">
        <v>15</v>
      </c>
      <c r="C176" s="132" t="s">
        <v>0</v>
      </c>
      <c r="D176" s="132" t="s">
        <v>43</v>
      </c>
      <c r="E176" s="132" t="s">
        <v>44</v>
      </c>
      <c r="F176" s="132" t="s">
        <v>77</v>
      </c>
      <c r="G176" s="132" t="s">
        <v>78</v>
      </c>
      <c r="H176" s="114"/>
      <c r="I176" s="132" t="s">
        <v>18</v>
      </c>
      <c r="J176" s="132" t="s">
        <v>15</v>
      </c>
      <c r="K176" s="132" t="s">
        <v>0</v>
      </c>
      <c r="L176" s="132" t="s">
        <v>45</v>
      </c>
    </row>
    <row r="177" spans="2:16" ht="18" customHeight="1" x14ac:dyDescent="0.25">
      <c r="B177" s="33" t="s">
        <v>255</v>
      </c>
      <c r="C177" s="33" t="str">
        <f>IFERROR(IF(B177="","",VLOOKUP(B177,LISTAS!$F$5:$G$1004,2,0)),"0")</f>
        <v>ESCOLA VILLARE</v>
      </c>
      <c r="D177" s="33" t="str">
        <f>IF(H177&lt;3,"",IF(H177=3,IF(D183&lt;&gt;"",IF(H183&lt;&gt;"",IF(D183&lt;&gt;H183,IF(D183&gt;H183,"V","D"),""),""),"")))</f>
        <v>D</v>
      </c>
      <c r="E177" s="33" t="str">
        <f>IF(H177&lt;3,"",IF(H177=3,IF(D185&lt;&gt;"",IF(H185&lt;&gt;"",IF(D185&lt;&gt;H185,IF(D185&gt;H185,"V","D"),""),""),"")))</f>
        <v>D</v>
      </c>
      <c r="F177" s="33" t="s">
        <v>81</v>
      </c>
      <c r="G177" s="33" t="s">
        <v>81</v>
      </c>
      <c r="H177" s="117">
        <f>COUNTA(B177:B179)</f>
        <v>3</v>
      </c>
      <c r="I177" s="33">
        <f>IF(B177&lt;&gt;"",1,"")</f>
        <v>1</v>
      </c>
      <c r="J177" s="33" t="str">
        <f>IF(I177&lt;&gt;"",P177,"")</f>
        <v>CESAR TRIGLIA</v>
      </c>
      <c r="K177" s="33" t="str">
        <f>IFERROR(IF(J177="","",VLOOKUP(J177,LISTAS!$F$5:$G$1004,2,0)),"0")</f>
        <v>COLÉGIO MARCONI - GRU</v>
      </c>
      <c r="L177" s="130" t="str">
        <f>IF(H177=3,"OURO",IF(H177=4,"OURO",IF(H177=5,"OURO","")))</f>
        <v>OURO</v>
      </c>
      <c r="M177" s="20">
        <f>IF(B177&lt;&gt;"",COUNTIF(D177:G177,"V")+(SUMIF(B183:B185,B177,D183:E185)/1000)+(SUMIF(J183:J185,B177,H183:I185)/1000)-(SUMIF(B183:B185,B177,H183:I185)/1000)-(SUMIF(J183:J185,B177,D183:E185)/1000)+0.003,"")</f>
        <v>-1E-3</v>
      </c>
      <c r="N177" s="20" t="str">
        <f>IF(B177="","",B177)</f>
        <v>FERNANDO IORI TORRES</v>
      </c>
      <c r="O177" s="20">
        <f>IF(B177&lt;&gt;"",LARGE(M177:M179,1),"")</f>
        <v>2.0059999999999993</v>
      </c>
      <c r="P177" s="20" t="str">
        <f>VLOOKUP(O177,M177:N179,2,0)</f>
        <v>CESAR TRIGLIA</v>
      </c>
    </row>
    <row r="178" spans="2:16" ht="18" customHeight="1" x14ac:dyDescent="0.25">
      <c r="B178" s="33" t="s">
        <v>230</v>
      </c>
      <c r="C178" s="33" t="str">
        <f>IFERROR(IF(B178="","",VLOOKUP(B178,LISTAS!$F$5:$G$1004,2,0)),"0")</f>
        <v>COLÉGIO MARCONI - GRU</v>
      </c>
      <c r="D178" s="33" t="str">
        <f>IF(H177&lt;3,"",IF(H177=3,IF(D184&lt;&gt;"",IF(H184&lt;&gt;"",IF(D184&lt;&gt;H184,IF(D184&gt;H184,"V","D"),""),""),"")))</f>
        <v>V</v>
      </c>
      <c r="E178" s="33" t="str">
        <f>IF(H177&lt;3,"",IF(H177=3,IF(D185&lt;&gt;"",IF(H185&lt;&gt;"",IF(D185&lt;&gt;H185,IF(D185&gt;H185,"D","V"),""),""),"")))</f>
        <v>V</v>
      </c>
      <c r="F178" s="33" t="s">
        <v>81</v>
      </c>
      <c r="G178" s="33" t="s">
        <v>81</v>
      </c>
      <c r="H178" s="117"/>
      <c r="I178" s="33">
        <f>IF(B178&lt;&gt;"",2,"")</f>
        <v>2</v>
      </c>
      <c r="J178" s="33" t="str">
        <f>IF(I178&lt;&gt;"",P178,"")</f>
        <v>DANIEL QUADRINI AROCA</v>
      </c>
      <c r="K178" s="33" t="str">
        <f>IFERROR(IF(J178="","",VLOOKUP(J178,LISTAS!$F$5:$G$1004,2,0)),"0")</f>
        <v>COLÉGIO SÃO JOSÉ</v>
      </c>
      <c r="L178" s="130" t="str">
        <f>IF(H177=3,"PRATA",IF(H177=4,"OURO",IF(H177=5,"OURO","")))</f>
        <v>PRATA</v>
      </c>
      <c r="M178" s="20">
        <f>IF(B178&lt;&gt;"",COUNTIF(D178:G178,"V")+(SUMIF(B183:B185,B178,D183:E185)/1000)+(SUMIF(J183:J185,B178,H183:I185)/1000)-(SUMIF(B183:B185,B178,H183:I185)/1000)-(SUMIF(J183:J185,B178,D183:E185)/1000)+0.002,"")</f>
        <v>2.0059999999999993</v>
      </c>
      <c r="N178" s="20" t="str">
        <f t="shared" ref="N178" si="12">IF(B178="","",B178)</f>
        <v>CESAR TRIGLIA</v>
      </c>
      <c r="O178" s="20">
        <f>IF(B178&lt;&gt;"",LARGE(M177:M179,2),"")</f>
        <v>1.0009999999999999</v>
      </c>
      <c r="P178" s="20" t="str">
        <f>VLOOKUP(O178,M177:N179,2,0)</f>
        <v>DANIEL QUADRINI AROCA</v>
      </c>
    </row>
    <row r="179" spans="2:16" ht="18" customHeight="1" x14ac:dyDescent="0.25">
      <c r="B179" s="33" t="s">
        <v>231</v>
      </c>
      <c r="C179" s="33" t="str">
        <f>IFERROR(IF(B179="","",VLOOKUP(B179,LISTAS!$F$5:$G$1004,2,0)),"0")</f>
        <v>COLÉGIO SÃO JOSÉ</v>
      </c>
      <c r="D179" s="33" t="str">
        <f>IF(H177&lt;3,"",IF(H177=3,IF(D183&lt;&gt;"",IF(H183&lt;&gt;"",IF(D183&lt;&gt;H183,IF(D183&gt;H183,"D","V"),""),""),"")))</f>
        <v>V</v>
      </c>
      <c r="E179" s="33" t="str">
        <f>IF(H177&lt;3,"",IF(H177=3,IF(D184&lt;&gt;"",IF(H184&lt;&gt;"",IF(D184&lt;&gt;H184,IF(D184&gt;H184,"D","V"),""),""),"")))</f>
        <v>D</v>
      </c>
      <c r="F179" s="33" t="s">
        <v>81</v>
      </c>
      <c r="G179" s="33" t="s">
        <v>81</v>
      </c>
      <c r="H179" s="117"/>
      <c r="I179" s="33">
        <f>IF(B179&lt;&gt;"",3,"")</f>
        <v>3</v>
      </c>
      <c r="J179" s="33" t="str">
        <f>IF(I179&lt;&gt;"",P179,"")</f>
        <v>FERNANDO IORI TORRES</v>
      </c>
      <c r="K179" s="33" t="str">
        <f>IFERROR(IF(J179="","",VLOOKUP(J179,LISTAS!$F$5:$G$1004,2,0)),"0")</f>
        <v>ESCOLA VILLARE</v>
      </c>
      <c r="L179" s="130" t="str">
        <f>IF(H177=3,"BRONZE",IF(H177=4,"PRATA",IF(H177=5,"OURO","")))</f>
        <v>BRONZE</v>
      </c>
      <c r="M179" s="20">
        <f>IF(B179&lt;&gt;"",COUNTIF(D179:G179,"V")+(SUMIF(B183:B185,B179,D183:E185)/1000)+(SUMIF(J183:J185,B179,H183:I185)/1000)-(SUMIF(B183:B185,B179,H183:I185)/1000)-(SUMIF(J183:J185,B179,D183:E185)/1000)+0.001,"")</f>
        <v>1.0009999999999999</v>
      </c>
      <c r="N179" s="20" t="str">
        <f>IF(B179="","",B179)</f>
        <v>DANIEL QUADRINI AROCA</v>
      </c>
      <c r="O179" s="20">
        <f>IF(B179&lt;&gt;"",LARGE(M177:M179,3),"")</f>
        <v>-1E-3</v>
      </c>
      <c r="P179" s="20" t="str">
        <f>VLOOKUP(O179,M177:N179,2,0)</f>
        <v>FERNANDO IORI TORRES</v>
      </c>
    </row>
    <row r="180" spans="2:16" ht="18" customHeight="1" x14ac:dyDescent="0.25">
      <c r="B180" s="79"/>
      <c r="C180" s="79"/>
      <c r="D180" s="79"/>
      <c r="E180" s="79"/>
      <c r="F180" s="79"/>
      <c r="G180" s="79"/>
      <c r="I180" s="80"/>
      <c r="J180" s="79"/>
      <c r="K180" s="81"/>
      <c r="L180" s="81"/>
    </row>
    <row r="181" spans="2:16" ht="23.25" customHeight="1" x14ac:dyDescent="0.25">
      <c r="B181" s="82" t="s">
        <v>40</v>
      </c>
      <c r="C181" s="79"/>
      <c r="D181" s="79"/>
      <c r="E181" s="79"/>
      <c r="F181" s="79"/>
      <c r="G181" s="79"/>
      <c r="H181" s="79"/>
      <c r="I181" s="79"/>
      <c r="J181" s="79"/>
      <c r="K181" s="79"/>
      <c r="L181" s="79"/>
    </row>
    <row r="182" spans="2:16" ht="18" customHeight="1" x14ac:dyDescent="0.25">
      <c r="B182" s="132" t="s">
        <v>15</v>
      </c>
      <c r="C182" s="132" t="s">
        <v>0</v>
      </c>
      <c r="D182" s="258" t="s">
        <v>41</v>
      </c>
      <c r="E182" s="259"/>
      <c r="F182" s="259"/>
      <c r="G182" s="259"/>
      <c r="H182" s="259"/>
      <c r="I182" s="260"/>
      <c r="J182" s="132" t="s">
        <v>15</v>
      </c>
      <c r="K182" s="132" t="s">
        <v>0</v>
      </c>
      <c r="L182" s="79"/>
    </row>
    <row r="183" spans="2:16" ht="18" customHeight="1" x14ac:dyDescent="0.25">
      <c r="B183" s="33" t="str">
        <f>IF(H177=3,B177,"")</f>
        <v>FERNANDO IORI TORRES</v>
      </c>
      <c r="C183" s="33" t="str">
        <f>IFERROR(IF(B183="","",VLOOKUP(B183,LISTAS!$F$5:$G$1004,2,0)),"0")</f>
        <v>ESCOLA VILLARE</v>
      </c>
      <c r="D183" s="253">
        <v>0</v>
      </c>
      <c r="E183" s="254"/>
      <c r="F183" s="253" t="s">
        <v>38</v>
      </c>
      <c r="G183" s="254"/>
      <c r="H183" s="253">
        <v>2</v>
      </c>
      <c r="I183" s="254"/>
      <c r="J183" s="111" t="str">
        <f>IF(H177=3,B179,"")</f>
        <v>DANIEL QUADRINI AROCA</v>
      </c>
      <c r="K183" s="33" t="str">
        <f>IFERROR(IF(J183="","",VLOOKUP(J183,LISTAS!$F$5:$G$1004,2,0)),"0")</f>
        <v>COLÉGIO SÃO JOSÉ</v>
      </c>
      <c r="L183" s="81"/>
    </row>
    <row r="184" spans="2:16" ht="18" customHeight="1" x14ac:dyDescent="0.25">
      <c r="B184" s="33" t="str">
        <f>IF(H177=3,B178,"")</f>
        <v>CESAR TRIGLIA</v>
      </c>
      <c r="C184" s="33" t="str">
        <f>IFERROR(IF(B184="","",VLOOKUP(B184,LISTAS!$F$5:$G$1004,2,0)),"0")</f>
        <v>COLÉGIO MARCONI - GRU</v>
      </c>
      <c r="D184" s="253">
        <v>2</v>
      </c>
      <c r="E184" s="254"/>
      <c r="F184" s="253" t="s">
        <v>38</v>
      </c>
      <c r="G184" s="254"/>
      <c r="H184" s="253">
        <v>0</v>
      </c>
      <c r="I184" s="254"/>
      <c r="J184" s="111" t="str">
        <f>IF(H177=3,B179,"")</f>
        <v>DANIEL QUADRINI AROCA</v>
      </c>
      <c r="K184" s="33" t="str">
        <f>IFERROR(IF(J184="","",VLOOKUP(J184,LISTAS!$F$5:$G$1004,2,0)),"0")</f>
        <v>COLÉGIO SÃO JOSÉ</v>
      </c>
      <c r="L184" s="79"/>
    </row>
    <row r="185" spans="2:16" ht="18" customHeight="1" x14ac:dyDescent="0.25">
      <c r="B185" s="33" t="str">
        <f>IF(H177=3,B177,"")</f>
        <v>FERNANDO IORI TORRES</v>
      </c>
      <c r="C185" s="33" t="str">
        <f>IFERROR(IF(B185="","",VLOOKUP(B185,LISTAS!$F$5:$G$1004,2,0)),"0")</f>
        <v>ESCOLA VILLARE</v>
      </c>
      <c r="D185" s="253">
        <v>0</v>
      </c>
      <c r="E185" s="254"/>
      <c r="F185" s="253" t="s">
        <v>38</v>
      </c>
      <c r="G185" s="254"/>
      <c r="H185" s="253">
        <v>2</v>
      </c>
      <c r="I185" s="254"/>
      <c r="J185" s="111" t="str">
        <f>IF(H177=3,B178,"")</f>
        <v>CESAR TRIGLIA</v>
      </c>
      <c r="K185" s="33" t="str">
        <f>IFERROR(IF(J185="","",VLOOKUP(J185,LISTAS!$F$5:$G$1004,2,0)),"0")</f>
        <v>COLÉGIO MARCONI - GRU</v>
      </c>
      <c r="L185" s="81"/>
    </row>
    <row r="188" spans="2:16" ht="30" customHeight="1" x14ac:dyDescent="0.25">
      <c r="B188" s="161" t="s">
        <v>58</v>
      </c>
      <c r="C188" s="79"/>
      <c r="D188" s="255" t="s">
        <v>42</v>
      </c>
      <c r="E188" s="256"/>
      <c r="F188" s="256"/>
      <c r="G188" s="257"/>
      <c r="H188" s="113"/>
      <c r="I188" s="255" t="s">
        <v>3</v>
      </c>
      <c r="J188" s="256"/>
      <c r="K188" s="256"/>
      <c r="L188" s="256"/>
    </row>
    <row r="189" spans="2:16" ht="18" customHeight="1" x14ac:dyDescent="0.25">
      <c r="B189" s="132" t="s">
        <v>15</v>
      </c>
      <c r="C189" s="132" t="s">
        <v>0</v>
      </c>
      <c r="D189" s="132" t="s">
        <v>43</v>
      </c>
      <c r="E189" s="132" t="s">
        <v>44</v>
      </c>
      <c r="F189" s="132" t="s">
        <v>77</v>
      </c>
      <c r="G189" s="132" t="s">
        <v>78</v>
      </c>
      <c r="H189" s="114"/>
      <c r="I189" s="132" t="s">
        <v>18</v>
      </c>
      <c r="J189" s="132" t="s">
        <v>15</v>
      </c>
      <c r="K189" s="132" t="s">
        <v>0</v>
      </c>
      <c r="L189" s="132" t="s">
        <v>45</v>
      </c>
    </row>
    <row r="190" spans="2:16" ht="18" customHeight="1" x14ac:dyDescent="0.25">
      <c r="B190" s="33" t="s">
        <v>323</v>
      </c>
      <c r="C190" s="33" t="str">
        <f>IFERROR(IF(B190="","",VLOOKUP(B190,LISTAS!$F$5:$G$1004,2,0)),"0")</f>
        <v>COLÉGIO SÃO JOSÉ</v>
      </c>
      <c r="D190" s="33" t="str">
        <f>IF(H190&lt;3,"",IF(H190=3,IF(D196&lt;&gt;"",IF(H196&lt;&gt;"",IF(D196&lt;&gt;H196,IF(D196&gt;H196,"V","D"),""),""),"")))</f>
        <v>V</v>
      </c>
      <c r="E190" s="33" t="str">
        <f>IF(H190&lt;3,"",IF(H190=3,IF(D198&lt;&gt;"",IF(H198&lt;&gt;"",IF(D198&lt;&gt;H198,IF(D198&gt;H198,"V","D"),""),""),"")))</f>
        <v>V</v>
      </c>
      <c r="F190" s="33" t="s">
        <v>81</v>
      </c>
      <c r="G190" s="33" t="s">
        <v>81</v>
      </c>
      <c r="H190" s="117">
        <f>COUNTA(B190:B192)</f>
        <v>3</v>
      </c>
      <c r="I190" s="33">
        <f>IF(B190&lt;&gt;"",1,"")</f>
        <v>1</v>
      </c>
      <c r="J190" s="33" t="str">
        <f>IF(I190&lt;&gt;"",P190,"")</f>
        <v>MIGUEL MELO LOPES</v>
      </c>
      <c r="K190" s="33" t="str">
        <f>IFERROR(IF(J190="","",VLOOKUP(J190,LISTAS!$F$5:$G$1004,2,0)),"0")</f>
        <v>COLÉGIO SÃO JOSÉ</v>
      </c>
      <c r="L190" s="130" t="str">
        <f>IF(H190=3,"OURO",IF(H190=4,"OURO",IF(H190=5,"OURO","")))</f>
        <v>OURO</v>
      </c>
      <c r="M190" s="20">
        <f>IF(B190&lt;&gt;"",COUNTIF(D190:G190,"V")+(SUMIF(B196:B198,B190,D196:E198)/1000)+(SUMIF(J196:J198,B190,H196:I198)/1000)-(SUMIF(B196:B198,B190,H196:I198)/1000)-(SUMIF(J196:J198,B190,D196:E198)/1000)+0.003,"")</f>
        <v>2.0070000000000001</v>
      </c>
      <c r="N190" s="20" t="str">
        <f>IF(B190="","",B190)</f>
        <v>MIGUEL MELO LOPES</v>
      </c>
      <c r="O190" s="20">
        <f>IF(B190&lt;&gt;"",LARGE(M190:M192,1),"")</f>
        <v>2.0070000000000001</v>
      </c>
      <c r="P190" s="20" t="str">
        <f>VLOOKUP(O190,M190:N192,2,0)</f>
        <v>MIGUEL MELO LOPES</v>
      </c>
    </row>
    <row r="191" spans="2:16" ht="18" customHeight="1" x14ac:dyDescent="0.25">
      <c r="B191" s="33" t="s">
        <v>349</v>
      </c>
      <c r="C191" s="33" t="str">
        <f>IFERROR(IF(B191="","",VLOOKUP(B191,LISTAS!$F$5:$G$1004,2,0)),"0")</f>
        <v>COLÉGIO ARBOS DE SÃO BERNARDO DO CAMPO</v>
      </c>
      <c r="D191" s="33" t="str">
        <f>IF(H190&lt;3,"",IF(H190=3,IF(D197&lt;&gt;"",IF(H197&lt;&gt;"",IF(D197&lt;&gt;H197,IF(D197&gt;H197,"V","D"),""),""),"")))</f>
        <v>V</v>
      </c>
      <c r="E191" s="33" t="str">
        <f>IF(H190&lt;3,"",IF(H190=3,IF(D198&lt;&gt;"",IF(H198&lt;&gt;"",IF(D198&lt;&gt;H198,IF(D198&gt;H198,"D","V"),""),""),"")))</f>
        <v>D</v>
      </c>
      <c r="F191" s="33" t="s">
        <v>81</v>
      </c>
      <c r="G191" s="33" t="s">
        <v>81</v>
      </c>
      <c r="H191" s="117"/>
      <c r="I191" s="33">
        <f>IF(B191&lt;&gt;"",2,"")</f>
        <v>2</v>
      </c>
      <c r="J191" s="33" t="str">
        <f>IF(I191&lt;&gt;"",P191,"")</f>
        <v>RAFAEL PIETTA COSTA</v>
      </c>
      <c r="K191" s="33" t="str">
        <f>IFERROR(IF(J191="","",VLOOKUP(J191,LISTAS!$F$5:$G$1004,2,0)),"0")</f>
        <v>COLÉGIO ARBOS DE SÃO BERNARDO DO CAMPO</v>
      </c>
      <c r="L191" s="130" t="str">
        <f>IF(H190=3,"PRATA",IF(H190=4,"OURO",IF(H190=5,"OURO","")))</f>
        <v>PRATA</v>
      </c>
      <c r="M191" s="20">
        <f>IF(B191&lt;&gt;"",COUNTIF(D191:G191,"V")+(SUMIF(B196:B198,B191,D196:E198)/1000)+(SUMIF(J196:J198,B191,H196:I198)/1000)-(SUMIF(B196:B198,B191,H196:I198)/1000)-(SUMIF(J196:J198,B191,D196:E198)/1000)+0.002,"")</f>
        <v>1.002</v>
      </c>
      <c r="N191" s="20" t="str">
        <f t="shared" ref="N191" si="13">IF(B191="","",B191)</f>
        <v>RAFAEL PIETTA COSTA</v>
      </c>
      <c r="O191" s="20">
        <f>IF(B191&lt;&gt;"",LARGE(M190:M192,2),"")</f>
        <v>1.002</v>
      </c>
      <c r="P191" s="20" t="str">
        <f>VLOOKUP(O191,M190:N192,2,0)</f>
        <v>RAFAEL PIETTA COSTA</v>
      </c>
    </row>
    <row r="192" spans="2:16" ht="18" customHeight="1" x14ac:dyDescent="0.25">
      <c r="B192" s="33" t="s">
        <v>241</v>
      </c>
      <c r="C192" s="33" t="str">
        <f>IFERROR(IF(B192="","",VLOOKUP(B192,LISTAS!$F$5:$G$1004,2,0)),"0")</f>
        <v>ABACO IPIRANGA</v>
      </c>
      <c r="D192" s="33" t="str">
        <f>IF(H190&lt;3,"",IF(H190=3,IF(D196&lt;&gt;"",IF(H196&lt;&gt;"",IF(D196&lt;&gt;H196,IF(D196&gt;H196,"D","V"),""),""),"")))</f>
        <v>D</v>
      </c>
      <c r="E192" s="33" t="str">
        <f>IF(H190&lt;3,"",IF(H190=3,IF(D197&lt;&gt;"",IF(H197&lt;&gt;"",IF(D197&lt;&gt;H197,IF(D197&gt;H197,"D","V"),""),""),"")))</f>
        <v>D</v>
      </c>
      <c r="F192" s="33" t="s">
        <v>81</v>
      </c>
      <c r="G192" s="33" t="s">
        <v>81</v>
      </c>
      <c r="H192" s="117"/>
      <c r="I192" s="33">
        <f>IF(B192&lt;&gt;"",3,"")</f>
        <v>3</v>
      </c>
      <c r="J192" s="33" t="str">
        <f>IF(I192&lt;&gt;"",P192,"")</f>
        <v>ENZO FROEMMING MINEMATSU</v>
      </c>
      <c r="K192" s="33" t="str">
        <f>IFERROR(IF(J192="","",VLOOKUP(J192,LISTAS!$F$5:$G$1004,2,0)),"0")</f>
        <v>ABACO IPIRANGA</v>
      </c>
      <c r="L192" s="130" t="str">
        <f>IF(H190=3,"BRONZE",IF(H190=4,"PRATA",IF(H190=5,"OURO","")))</f>
        <v>BRONZE</v>
      </c>
      <c r="M192" s="20">
        <f>IF(B192&lt;&gt;"",COUNTIF(D192:G192,"V")+(SUMIF(B196:B198,B192,D196:E198)/1000)+(SUMIF(J196:J198,B192,H196:I198)/1000)-(SUMIF(B196:B198,B192,H196:I198)/1000)-(SUMIF(J196:J198,B192,D196:E198)/1000)+0.001,"")</f>
        <v>-3.0000000000000001E-3</v>
      </c>
      <c r="N192" s="20" t="str">
        <f>IF(B192="","",B192)</f>
        <v>ENZO FROEMMING MINEMATSU</v>
      </c>
      <c r="O192" s="20">
        <f>IF(B192&lt;&gt;"",LARGE(M190:M192,3),"")</f>
        <v>-3.0000000000000001E-3</v>
      </c>
      <c r="P192" s="20" t="str">
        <f>VLOOKUP(O192,M190:N192,2,0)</f>
        <v>ENZO FROEMMING MINEMATSU</v>
      </c>
    </row>
    <row r="193" spans="2:16" ht="18" customHeight="1" x14ac:dyDescent="0.25">
      <c r="B193" s="79"/>
      <c r="C193" s="79"/>
      <c r="D193" s="79"/>
      <c r="E193" s="79"/>
      <c r="F193" s="79"/>
      <c r="G193" s="79"/>
      <c r="I193" s="80"/>
      <c r="J193" s="79"/>
      <c r="K193" s="81"/>
      <c r="L193" s="81"/>
    </row>
    <row r="194" spans="2:16" ht="23.25" customHeight="1" x14ac:dyDescent="0.25">
      <c r="B194" s="82" t="s">
        <v>40</v>
      </c>
      <c r="C194" s="79"/>
      <c r="D194" s="79"/>
      <c r="E194" s="79"/>
      <c r="F194" s="79"/>
      <c r="G194" s="79"/>
      <c r="H194" s="79"/>
      <c r="I194" s="79"/>
      <c r="J194" s="79"/>
      <c r="K194" s="79"/>
      <c r="L194" s="79"/>
    </row>
    <row r="195" spans="2:16" ht="18" customHeight="1" x14ac:dyDescent="0.25">
      <c r="B195" s="132" t="s">
        <v>15</v>
      </c>
      <c r="C195" s="132" t="s">
        <v>0</v>
      </c>
      <c r="D195" s="258" t="s">
        <v>41</v>
      </c>
      <c r="E195" s="259"/>
      <c r="F195" s="259"/>
      <c r="G195" s="259"/>
      <c r="H195" s="259"/>
      <c r="I195" s="260"/>
      <c r="J195" s="132" t="s">
        <v>15</v>
      </c>
      <c r="K195" s="132" t="s">
        <v>0</v>
      </c>
      <c r="L195" s="79"/>
    </row>
    <row r="196" spans="2:16" ht="18" customHeight="1" x14ac:dyDescent="0.25">
      <c r="B196" s="33" t="str">
        <f>IF(H190=3,B190,"")</f>
        <v>MIGUEL MELO LOPES</v>
      </c>
      <c r="C196" s="33" t="str">
        <f>IFERROR(IF(B196="","",VLOOKUP(B196,LISTAS!$F$5:$G$1004,2,0)),"0")</f>
        <v>COLÉGIO SÃO JOSÉ</v>
      </c>
      <c r="D196" s="253">
        <v>2</v>
      </c>
      <c r="E196" s="254"/>
      <c r="F196" s="253" t="s">
        <v>38</v>
      </c>
      <c r="G196" s="254"/>
      <c r="H196" s="253">
        <v>0</v>
      </c>
      <c r="I196" s="254"/>
      <c r="J196" s="111" t="str">
        <f>IF(H190=3,B192,"")</f>
        <v>ENZO FROEMMING MINEMATSU</v>
      </c>
      <c r="K196" s="33" t="str">
        <f>IFERROR(IF(J196="","",VLOOKUP(J196,LISTAS!$F$5:$G$1004,2,0)),"0")</f>
        <v>ABACO IPIRANGA</v>
      </c>
      <c r="L196" s="81"/>
    </row>
    <row r="197" spans="2:16" ht="18" customHeight="1" x14ac:dyDescent="0.25">
      <c r="B197" s="33" t="str">
        <f>IF(H190=3,B191,"")</f>
        <v>RAFAEL PIETTA COSTA</v>
      </c>
      <c r="C197" s="33" t="str">
        <f>IFERROR(IF(B197="","",VLOOKUP(B197,LISTAS!$F$5:$G$1004,2,0)),"0")</f>
        <v>COLÉGIO ARBOS DE SÃO BERNARDO DO CAMPO</v>
      </c>
      <c r="D197" s="253">
        <v>2</v>
      </c>
      <c r="E197" s="254"/>
      <c r="F197" s="253" t="s">
        <v>38</v>
      </c>
      <c r="G197" s="254"/>
      <c r="H197" s="253">
        <v>0</v>
      </c>
      <c r="I197" s="254"/>
      <c r="J197" s="111" t="str">
        <f>IF(H190=3,B192,"")</f>
        <v>ENZO FROEMMING MINEMATSU</v>
      </c>
      <c r="K197" s="33" t="str">
        <f>IFERROR(IF(J197="","",VLOOKUP(J197,LISTAS!$F$5:$G$1004,2,0)),"0")</f>
        <v>ABACO IPIRANGA</v>
      </c>
      <c r="L197" s="79"/>
    </row>
    <row r="198" spans="2:16" ht="18" customHeight="1" x14ac:dyDescent="0.25">
      <c r="B198" s="33" t="str">
        <f>IF(H190=3,B190,"")</f>
        <v>MIGUEL MELO LOPES</v>
      </c>
      <c r="C198" s="33" t="str">
        <f>IFERROR(IF(B198="","",VLOOKUP(B198,LISTAS!$F$5:$G$1004,2,0)),"0")</f>
        <v>COLÉGIO SÃO JOSÉ</v>
      </c>
      <c r="D198" s="253">
        <v>2</v>
      </c>
      <c r="E198" s="254"/>
      <c r="F198" s="253" t="s">
        <v>38</v>
      </c>
      <c r="G198" s="254"/>
      <c r="H198" s="253">
        <v>0</v>
      </c>
      <c r="I198" s="254"/>
      <c r="J198" s="111" t="str">
        <f>IF(H190=3,B191,"")</f>
        <v>RAFAEL PIETTA COSTA</v>
      </c>
      <c r="K198" s="33" t="str">
        <f>IFERROR(IF(J198="","",VLOOKUP(J198,LISTAS!$F$5:$G$1004,2,0)),"0")</f>
        <v>COLÉGIO ARBOS DE SÃO BERNARDO DO CAMPO</v>
      </c>
      <c r="L198" s="81"/>
    </row>
    <row r="201" spans="2:16" ht="30" customHeight="1" x14ac:dyDescent="0.25">
      <c r="B201" s="161" t="s">
        <v>59</v>
      </c>
      <c r="C201" s="79"/>
      <c r="D201" s="255" t="s">
        <v>42</v>
      </c>
      <c r="E201" s="256"/>
      <c r="F201" s="256"/>
      <c r="G201" s="257"/>
      <c r="H201" s="113"/>
      <c r="I201" s="255" t="s">
        <v>3</v>
      </c>
      <c r="J201" s="256"/>
      <c r="K201" s="256"/>
      <c r="L201" s="256"/>
    </row>
    <row r="202" spans="2:16" ht="18" customHeight="1" x14ac:dyDescent="0.25">
      <c r="B202" s="132" t="s">
        <v>15</v>
      </c>
      <c r="C202" s="132" t="s">
        <v>0</v>
      </c>
      <c r="D202" s="132" t="s">
        <v>43</v>
      </c>
      <c r="E202" s="132" t="s">
        <v>44</v>
      </c>
      <c r="F202" s="132" t="s">
        <v>77</v>
      </c>
      <c r="G202" s="132" t="s">
        <v>78</v>
      </c>
      <c r="H202" s="114"/>
      <c r="I202" s="132" t="s">
        <v>18</v>
      </c>
      <c r="J202" s="132" t="s">
        <v>15</v>
      </c>
      <c r="K202" s="132" t="s">
        <v>0</v>
      </c>
      <c r="L202" s="132" t="s">
        <v>45</v>
      </c>
    </row>
    <row r="203" spans="2:16" ht="18" customHeight="1" x14ac:dyDescent="0.25">
      <c r="B203" s="33" t="s">
        <v>601</v>
      </c>
      <c r="C203" s="33" t="str">
        <f>IFERROR(IF(B203="","",VLOOKUP(B203,LISTAS!$F$5:$G$1004,2,0)),"0")</f>
        <v>BYE</v>
      </c>
      <c r="D203" s="33" t="str">
        <f>IF(H203&lt;3,"",IF(H203=3,IF(D209&lt;&gt;"",IF(H209&lt;&gt;"",IF(D209&lt;&gt;H209,IF(D209&gt;H209,"V","D"),""),""),"")))</f>
        <v>D</v>
      </c>
      <c r="E203" s="33" t="str">
        <f>IF(H203&lt;3,"",IF(H203=3,IF(D211&lt;&gt;"",IF(H211&lt;&gt;"",IF(D211&lt;&gt;H211,IF(D211&gt;H211,"V","D"),""),""),"")))</f>
        <v>D</v>
      </c>
      <c r="F203" s="33" t="s">
        <v>81</v>
      </c>
      <c r="G203" s="33" t="s">
        <v>81</v>
      </c>
      <c r="H203" s="117">
        <f>COUNTA(B203:B205)</f>
        <v>3</v>
      </c>
      <c r="I203" s="33">
        <f>IF(B203&lt;&gt;"",1,"")</f>
        <v>1</v>
      </c>
      <c r="J203" s="33" t="str">
        <f>IF(I203&lt;&gt;"",P203,"")</f>
        <v>BRUNO PEREZ MARTIN BIANCO</v>
      </c>
      <c r="K203" s="33" t="str">
        <f>IFERROR(IF(J203="","",VLOOKUP(J203,LISTAS!$F$5:$G$1004,2,0)),"0")</f>
        <v>IEBURIX -SBC</v>
      </c>
      <c r="L203" s="130" t="str">
        <f>IF(H203=3,"OURO",IF(H203=4,"OURO",IF(H203=5,"OURO","")))</f>
        <v>OURO</v>
      </c>
      <c r="M203" s="20">
        <f>IF(B203&lt;&gt;"",COUNTIF(D203:G203,"V")+(SUMIF(B209:B211,B203,D209:E211)/1000)+(SUMIF(J209:J211,B203,H209:I211)/1000)-(SUMIF(B209:B211,B203,H209:I211)/1000)-(SUMIF(J209:J211,B203,D209:E211)/1000)+0.003,"")</f>
        <v>-1E-3</v>
      </c>
      <c r="N203" s="20" t="str">
        <f>IF(B203="","",B203)</f>
        <v>BYE</v>
      </c>
      <c r="O203" s="20">
        <f>IF(B203&lt;&gt;"",LARGE(M203:M205,1),"")</f>
        <v>2.0049999999999999</v>
      </c>
      <c r="P203" s="20" t="str">
        <f>VLOOKUP(O203,M203:N205,2,0)</f>
        <v>BRUNO PEREZ MARTIN BIANCO</v>
      </c>
    </row>
    <row r="204" spans="2:16" ht="18" customHeight="1" x14ac:dyDescent="0.25">
      <c r="B204" s="33" t="s">
        <v>302</v>
      </c>
      <c r="C204" s="33" t="str">
        <f>IFERROR(IF(B204="","",VLOOKUP(B204,LISTAS!$F$5:$G$1004,2,0)),"0")</f>
        <v>COLEGIO PETROPOLIS</v>
      </c>
      <c r="D204" s="33" t="str">
        <f>IF(H203&lt;3,"",IF(H203=3,IF(D210&lt;&gt;"",IF(H210&lt;&gt;"",IF(D210&lt;&gt;H210,IF(D210&gt;H210,"V","D"),""),""),"")))</f>
        <v>D</v>
      </c>
      <c r="E204" s="33" t="str">
        <f>IF(H203&lt;3,"",IF(H203=3,IF(D211&lt;&gt;"",IF(H211&lt;&gt;"",IF(D211&lt;&gt;H211,IF(D211&gt;H211,"D","V"),""),""),"")))</f>
        <v>V</v>
      </c>
      <c r="F204" s="33" t="s">
        <v>81</v>
      </c>
      <c r="G204" s="33" t="s">
        <v>81</v>
      </c>
      <c r="H204" s="117"/>
      <c r="I204" s="33">
        <f>IF(B204&lt;&gt;"",2,"")</f>
        <v>2</v>
      </c>
      <c r="J204" s="33" t="str">
        <f>IF(I204&lt;&gt;"",P204,"")</f>
        <v>LUCA YUJI VOLPE FUGITA</v>
      </c>
      <c r="K204" s="33" t="str">
        <f>IFERROR(IF(J204="","",VLOOKUP(J204,LISTAS!$F$5:$G$1004,2,0)),"0")</f>
        <v>COLEGIO PETROPOLIS</v>
      </c>
      <c r="L204" s="130" t="str">
        <f>IF(H203=3,"PRATA",IF(H203=4,"OURO",IF(H203=5,"OURO","")))</f>
        <v>PRATA</v>
      </c>
      <c r="M204" s="20">
        <f>IF(B204&lt;&gt;"",COUNTIF(D204:G204,"V")+(SUMIF(B209:B211,B204,D209:E211)/1000)+(SUMIF(J209:J211,B204,H209:I211)/1000)-(SUMIF(B209:B211,B204,H209:I211)/1000)-(SUMIF(J209:J211,B204,D209:E211)/1000)+0.002,"")</f>
        <v>1.002</v>
      </c>
      <c r="N204" s="20" t="str">
        <f t="shared" ref="N204" si="14">IF(B204="","",B204)</f>
        <v>LUCA YUJI VOLPE FUGITA</v>
      </c>
      <c r="O204" s="20">
        <f>IF(B204&lt;&gt;"",LARGE(M203:M205,2),"")</f>
        <v>1.002</v>
      </c>
      <c r="P204" s="20" t="str">
        <f>VLOOKUP(O204,M203:N205,2,0)</f>
        <v>LUCA YUJI VOLPE FUGITA</v>
      </c>
    </row>
    <row r="205" spans="2:16" ht="18" customHeight="1" x14ac:dyDescent="0.25">
      <c r="B205" s="33" t="s">
        <v>225</v>
      </c>
      <c r="C205" s="33" t="str">
        <f>IFERROR(IF(B205="","",VLOOKUP(B205,LISTAS!$F$5:$G$1004,2,0)),"0")</f>
        <v>IEBURIX -SBC</v>
      </c>
      <c r="D205" s="33" t="str">
        <f>IF(H203&lt;3,"",IF(H203=3,IF(D209&lt;&gt;"",IF(H209&lt;&gt;"",IF(D209&lt;&gt;H209,IF(D209&gt;H209,"D","V"),""),""),"")))</f>
        <v>V</v>
      </c>
      <c r="E205" s="33" t="str">
        <f>IF(H203&lt;3,"",IF(H203=3,IF(D210&lt;&gt;"",IF(H210&lt;&gt;"",IF(D210&lt;&gt;H210,IF(D210&gt;H210,"D","V"),""),""),"")))</f>
        <v>V</v>
      </c>
      <c r="F205" s="33" t="s">
        <v>81</v>
      </c>
      <c r="G205" s="33" t="s">
        <v>81</v>
      </c>
      <c r="H205" s="117"/>
      <c r="I205" s="33">
        <f>IF(B205&lt;&gt;"",3,"")</f>
        <v>3</v>
      </c>
      <c r="J205" s="33" t="str">
        <f>IF(I205&lt;&gt;"",P205,"")</f>
        <v>BYE</v>
      </c>
      <c r="K205" s="33" t="str">
        <f>IFERROR(IF(J205="","",VLOOKUP(J205,LISTAS!$F$5:$G$1004,2,0)),"0")</f>
        <v>BYE</v>
      </c>
      <c r="L205" s="130" t="str">
        <f>IF(H203=3,"BRONZE",IF(H203=4,"PRATA",IF(H203=5,"OURO","")))</f>
        <v>BRONZE</v>
      </c>
      <c r="M205" s="20">
        <f>IF(B205&lt;&gt;"",COUNTIF(D205:G205,"V")+(SUMIF(B209:B211,B205,D209:E211)/1000)+(SUMIF(J209:J211,B205,H209:I211)/1000)-(SUMIF(B209:B211,B205,H209:I211)/1000)-(SUMIF(J209:J211,B205,D209:E211)/1000)+0.001,"")</f>
        <v>2.0049999999999999</v>
      </c>
      <c r="N205" s="20" t="str">
        <f>IF(B205="","",B205)</f>
        <v>BRUNO PEREZ MARTIN BIANCO</v>
      </c>
      <c r="O205" s="20">
        <f>IF(B205&lt;&gt;"",LARGE(M203:M205,3),"")</f>
        <v>-1E-3</v>
      </c>
      <c r="P205" s="20" t="str">
        <f>VLOOKUP(O205,M203:N205,2,0)</f>
        <v>BYE</v>
      </c>
    </row>
    <row r="206" spans="2:16" ht="18" customHeight="1" x14ac:dyDescent="0.25">
      <c r="B206" s="79"/>
      <c r="C206" s="79"/>
      <c r="D206" s="79"/>
      <c r="E206" s="79"/>
      <c r="F206" s="79"/>
      <c r="G206" s="79"/>
      <c r="I206" s="80"/>
      <c r="J206" s="79"/>
      <c r="K206" s="81"/>
      <c r="L206" s="81"/>
    </row>
    <row r="207" spans="2:16" ht="23.25" customHeight="1" x14ac:dyDescent="0.25">
      <c r="B207" s="82" t="s">
        <v>40</v>
      </c>
      <c r="C207" s="79"/>
      <c r="D207" s="79"/>
      <c r="E207" s="79"/>
      <c r="F207" s="79"/>
      <c r="G207" s="79"/>
      <c r="H207" s="79"/>
      <c r="I207" s="79"/>
      <c r="J207" s="79"/>
      <c r="K207" s="79"/>
      <c r="L207" s="79"/>
    </row>
    <row r="208" spans="2:16" ht="18" customHeight="1" x14ac:dyDescent="0.25">
      <c r="B208" s="132" t="s">
        <v>15</v>
      </c>
      <c r="C208" s="132" t="s">
        <v>0</v>
      </c>
      <c r="D208" s="258" t="s">
        <v>41</v>
      </c>
      <c r="E208" s="259"/>
      <c r="F208" s="259"/>
      <c r="G208" s="259"/>
      <c r="H208" s="259"/>
      <c r="I208" s="260"/>
      <c r="J208" s="132" t="s">
        <v>15</v>
      </c>
      <c r="K208" s="132" t="s">
        <v>0</v>
      </c>
      <c r="L208" s="79"/>
    </row>
    <row r="209" spans="2:16" ht="18" customHeight="1" x14ac:dyDescent="0.25">
      <c r="B209" s="33" t="str">
        <f>IF(H203=3,B203,"")</f>
        <v>BYE</v>
      </c>
      <c r="C209" s="33" t="str">
        <f>IFERROR(IF(B209="","",VLOOKUP(B209,LISTAS!$F$5:$G$1004,2,0)),"0")</f>
        <v>BYE</v>
      </c>
      <c r="D209" s="253">
        <v>0</v>
      </c>
      <c r="E209" s="254"/>
      <c r="F209" s="253" t="s">
        <v>38</v>
      </c>
      <c r="G209" s="254"/>
      <c r="H209" s="253">
        <v>2</v>
      </c>
      <c r="I209" s="254"/>
      <c r="J209" s="111" t="str">
        <f>IF(H203=3,B205,"")</f>
        <v>BRUNO PEREZ MARTIN BIANCO</v>
      </c>
      <c r="K209" s="33" t="str">
        <f>IFERROR(IF(J209="","",VLOOKUP(J209,LISTAS!$F$5:$G$1004,2,0)),"0")</f>
        <v>IEBURIX -SBC</v>
      </c>
      <c r="L209" s="81"/>
    </row>
    <row r="210" spans="2:16" ht="18" customHeight="1" x14ac:dyDescent="0.25">
      <c r="B210" s="33" t="str">
        <f>IF(H203=3,B204,"")</f>
        <v>LUCA YUJI VOLPE FUGITA</v>
      </c>
      <c r="C210" s="33" t="str">
        <f>IFERROR(IF(B210="","",VLOOKUP(B210,LISTAS!$F$5:$G$1004,2,0)),"0")</f>
        <v>COLEGIO PETROPOLIS</v>
      </c>
      <c r="D210" s="253">
        <v>0</v>
      </c>
      <c r="E210" s="254"/>
      <c r="F210" s="253" t="s">
        <v>38</v>
      </c>
      <c r="G210" s="254"/>
      <c r="H210" s="253">
        <v>2</v>
      </c>
      <c r="I210" s="254"/>
      <c r="J210" s="111" t="str">
        <f>IF(H203=3,B205,"")</f>
        <v>BRUNO PEREZ MARTIN BIANCO</v>
      </c>
      <c r="K210" s="33" t="str">
        <f>IFERROR(IF(J210="","",VLOOKUP(J210,LISTAS!$F$5:$G$1004,2,0)),"0")</f>
        <v>IEBURIX -SBC</v>
      </c>
      <c r="L210" s="79"/>
    </row>
    <row r="211" spans="2:16" ht="18" customHeight="1" x14ac:dyDescent="0.25">
      <c r="B211" s="33" t="str">
        <f>IF(H203=3,B203,"")</f>
        <v>BYE</v>
      </c>
      <c r="C211" s="33" t="str">
        <f>IFERROR(IF(B211="","",VLOOKUP(B211,LISTAS!$F$5:$G$1004,2,0)),"0")</f>
        <v>BYE</v>
      </c>
      <c r="D211" s="253">
        <v>0</v>
      </c>
      <c r="E211" s="254"/>
      <c r="F211" s="253" t="s">
        <v>38</v>
      </c>
      <c r="G211" s="254"/>
      <c r="H211" s="253">
        <v>2</v>
      </c>
      <c r="I211" s="254"/>
      <c r="J211" s="111" t="str">
        <f>IF(H203=3,B204,"")</f>
        <v>LUCA YUJI VOLPE FUGITA</v>
      </c>
      <c r="K211" s="33" t="str">
        <f>IFERROR(IF(J211="","",VLOOKUP(J211,LISTAS!$F$5:$G$1004,2,0)),"0")</f>
        <v>COLEGIO PETROPOLIS</v>
      </c>
      <c r="L211" s="81"/>
    </row>
    <row r="214" spans="2:16" ht="30" customHeight="1" x14ac:dyDescent="0.25">
      <c r="B214" s="161" t="s">
        <v>60</v>
      </c>
      <c r="C214" s="79"/>
      <c r="D214" s="255" t="s">
        <v>42</v>
      </c>
      <c r="E214" s="256"/>
      <c r="F214" s="256"/>
      <c r="G214" s="257"/>
      <c r="H214" s="113"/>
      <c r="I214" s="255" t="s">
        <v>3</v>
      </c>
      <c r="J214" s="256"/>
      <c r="K214" s="256"/>
      <c r="L214" s="256"/>
    </row>
    <row r="215" spans="2:16" ht="18" customHeight="1" x14ac:dyDescent="0.25">
      <c r="B215" s="132" t="s">
        <v>15</v>
      </c>
      <c r="C215" s="132" t="s">
        <v>0</v>
      </c>
      <c r="D215" s="132" t="s">
        <v>43</v>
      </c>
      <c r="E215" s="132" t="s">
        <v>44</v>
      </c>
      <c r="F215" s="132" t="s">
        <v>77</v>
      </c>
      <c r="G215" s="132" t="s">
        <v>78</v>
      </c>
      <c r="H215" s="114"/>
      <c r="I215" s="132" t="s">
        <v>18</v>
      </c>
      <c r="J215" s="132" t="s">
        <v>15</v>
      </c>
      <c r="K215" s="132" t="s">
        <v>0</v>
      </c>
      <c r="L215" s="132" t="s">
        <v>45</v>
      </c>
    </row>
    <row r="216" spans="2:16" ht="18" customHeight="1" x14ac:dyDescent="0.25">
      <c r="B216" s="33" t="s">
        <v>359</v>
      </c>
      <c r="C216" s="33" t="str">
        <f>IFERROR(IF(B216="","",VLOOKUP(B216,LISTAS!$F$5:$G$1004,2,0)),"0")</f>
        <v>EXTERNATO SANTO ANTONIO</v>
      </c>
      <c r="D216" s="33" t="str">
        <f>IF(H216&lt;3,"",IF(H216=3,IF(D222&lt;&gt;"",IF(H222&lt;&gt;"",IF(D222&lt;&gt;H222,IF(D222&gt;H222,"V","D"),""),""),"")))</f>
        <v>V</v>
      </c>
      <c r="E216" s="33" t="str">
        <f>IF(H216&lt;3,"",IF(H216=3,IF(D224&lt;&gt;"",IF(H224&lt;&gt;"",IF(D224&lt;&gt;H224,IF(D224&gt;H224,"V","D"),""),""),"")))</f>
        <v>D</v>
      </c>
      <c r="F216" s="33" t="s">
        <v>81</v>
      </c>
      <c r="G216" s="33" t="s">
        <v>81</v>
      </c>
      <c r="H216" s="117">
        <f>COUNTA(B216:B218)</f>
        <v>3</v>
      </c>
      <c r="I216" s="33">
        <f>IF(B216&lt;&gt;"",1,"")</f>
        <v>1</v>
      </c>
      <c r="J216" s="33" t="str">
        <f>IF(I216&lt;&gt;"",P216,"")</f>
        <v>BENÍCIO PEPINELI MOLERO</v>
      </c>
      <c r="K216" s="33" t="str">
        <f>IFERROR(IF(J216="","",VLOOKUP(J216,LISTAS!$F$5:$G$1004,2,0)),"0")</f>
        <v>LICEU JARDIM</v>
      </c>
      <c r="L216" s="130" t="str">
        <f>IF(H216=3,"OURO",IF(H216=4,"OURO",IF(H216=5,"OURO","")))</f>
        <v>OURO</v>
      </c>
      <c r="M216" s="20">
        <f>IF(B216&lt;&gt;"",COUNTIF(D216:G216,"V")+(SUMIF(B222:B224,B216,D222:E224)/1000)+(SUMIF(J222:J224,B216,H222:I224)/1000)-(SUMIF(B222:B224,B216,H222:I224)/1000)-(SUMIF(J222:J224,B216,D222:E224)/1000)+0.003,"")</f>
        <v>1.0029999999999999</v>
      </c>
      <c r="N216" s="20" t="str">
        <f>IF(B216="","",B216)</f>
        <v>THEO GUEDES RIBEIRO</v>
      </c>
      <c r="O216" s="20">
        <f>IF(B216&lt;&gt;"",LARGE(M216:M218,1),"")</f>
        <v>2.0059999999999993</v>
      </c>
      <c r="P216" s="20" t="str">
        <f>VLOOKUP(O216,M216:N218,2,0)</f>
        <v>BENÍCIO PEPINELI MOLERO</v>
      </c>
    </row>
    <row r="217" spans="2:16" ht="18" customHeight="1" x14ac:dyDescent="0.25">
      <c r="B217" s="33" t="s">
        <v>220</v>
      </c>
      <c r="C217" s="33" t="str">
        <f>IFERROR(IF(B217="","",VLOOKUP(B217,LISTAS!$F$5:$G$1004,2,0)),"0")</f>
        <v>LICEU JARDIM</v>
      </c>
      <c r="D217" s="33" t="str">
        <f>IF(H216&lt;3,"",IF(H216=3,IF(D223&lt;&gt;"",IF(H223&lt;&gt;"",IF(D223&lt;&gt;H223,IF(D223&gt;H223,"V","D"),""),""),"")))</f>
        <v>V</v>
      </c>
      <c r="E217" s="33" t="str">
        <f>IF(H216&lt;3,"",IF(H216=3,IF(D224&lt;&gt;"",IF(H224&lt;&gt;"",IF(D224&lt;&gt;H224,IF(D224&gt;H224,"D","V"),""),""),"")))</f>
        <v>V</v>
      </c>
      <c r="F217" s="33" t="s">
        <v>81</v>
      </c>
      <c r="G217" s="33" t="s">
        <v>81</v>
      </c>
      <c r="H217" s="117"/>
      <c r="I217" s="33">
        <f>IF(B217&lt;&gt;"",2,"")</f>
        <v>2</v>
      </c>
      <c r="J217" s="33" t="str">
        <f>IF(I217&lt;&gt;"",P217,"")</f>
        <v>THEO GUEDES RIBEIRO</v>
      </c>
      <c r="K217" s="33" t="str">
        <f>IFERROR(IF(J217="","",VLOOKUP(J217,LISTAS!$F$5:$G$1004,2,0)),"0")</f>
        <v>EXTERNATO SANTO ANTONIO</v>
      </c>
      <c r="L217" s="130" t="str">
        <f>IF(H216=3,"PRATA",IF(H216=4,"OURO",IF(H216=5,"OURO","")))</f>
        <v>PRATA</v>
      </c>
      <c r="M217" s="20">
        <f>IF(B217&lt;&gt;"",COUNTIF(D217:G217,"V")+(SUMIF(B222:B224,B217,D222:E224)/1000)+(SUMIF(J222:J224,B217,H222:I224)/1000)-(SUMIF(B222:B224,B217,H222:I224)/1000)-(SUMIF(J222:J224,B217,D222:E224)/1000)+0.002,"")</f>
        <v>2.0059999999999993</v>
      </c>
      <c r="N217" s="20" t="str">
        <f t="shared" ref="N217" si="15">IF(B217="","",B217)</f>
        <v>BENÍCIO PEPINELI MOLERO</v>
      </c>
      <c r="O217" s="20">
        <f>IF(B217&lt;&gt;"",LARGE(M216:M218,2),"")</f>
        <v>1.0029999999999999</v>
      </c>
      <c r="P217" s="20" t="str">
        <f>VLOOKUP(O217,M216:N218,2,0)</f>
        <v>THEO GUEDES RIBEIRO</v>
      </c>
    </row>
    <row r="218" spans="2:16" ht="18" customHeight="1" x14ac:dyDescent="0.25">
      <c r="B218" s="33" t="s">
        <v>245</v>
      </c>
      <c r="C218" s="33" t="str">
        <f>IFERROR(IF(B218="","",VLOOKUP(B218,LISTAS!$F$5:$G$1004,2,0)),"0")</f>
        <v>ABACO IPIRANGA</v>
      </c>
      <c r="D218" s="33" t="str">
        <f>IF(H216&lt;3,"",IF(H216=3,IF(D222&lt;&gt;"",IF(H222&lt;&gt;"",IF(D222&lt;&gt;H222,IF(D222&gt;H222,"D","V"),""),""),"")))</f>
        <v>D</v>
      </c>
      <c r="E218" s="33" t="str">
        <f>IF(H216&lt;3,"",IF(H216=3,IF(D223&lt;&gt;"",IF(H223&lt;&gt;"",IF(D223&lt;&gt;H223,IF(D223&gt;H223,"D","V"),""),""),"")))</f>
        <v>D</v>
      </c>
      <c r="F218" s="33" t="s">
        <v>81</v>
      </c>
      <c r="G218" s="33" t="s">
        <v>81</v>
      </c>
      <c r="H218" s="117"/>
      <c r="I218" s="33">
        <f>IF(B218&lt;&gt;"",3,"")</f>
        <v>3</v>
      </c>
      <c r="J218" s="33" t="str">
        <f>IF(I218&lt;&gt;"",P218,"")</f>
        <v>ENZO ROCHA TAKUMA</v>
      </c>
      <c r="K218" s="33" t="str">
        <f>IFERROR(IF(J218="","",VLOOKUP(J218,LISTAS!$F$5:$G$1004,2,0)),"0")</f>
        <v>ABACO IPIRANGA</v>
      </c>
      <c r="L218" s="130" t="str">
        <f>IF(H216=3,"BRONZE",IF(H216=4,"PRATA",IF(H216=5,"OURO","")))</f>
        <v>BRONZE</v>
      </c>
      <c r="M218" s="20">
        <f>IF(B218&lt;&gt;"",COUNTIF(D218:G218,"V")+(SUMIF(B222:B224,B218,D222:E224)/1000)+(SUMIF(J222:J224,B218,H222:I224)/1000)-(SUMIF(B222:B224,B218,H222:I224)/1000)-(SUMIF(J222:J224,B218,D222:E224)/1000)+0.001,"")</f>
        <v>-3.0000000000000001E-3</v>
      </c>
      <c r="N218" s="20" t="str">
        <f>IF(B218="","",B218)</f>
        <v>ENZO ROCHA TAKUMA</v>
      </c>
      <c r="O218" s="20">
        <f>IF(B218&lt;&gt;"",LARGE(M216:M218,3),"")</f>
        <v>-3.0000000000000001E-3</v>
      </c>
      <c r="P218" s="20" t="str">
        <f>VLOOKUP(O218,M216:N218,2,0)</f>
        <v>ENZO ROCHA TAKUMA</v>
      </c>
    </row>
    <row r="219" spans="2:16" ht="18" customHeight="1" x14ac:dyDescent="0.25">
      <c r="B219" s="79"/>
      <c r="C219" s="79"/>
      <c r="D219" s="79"/>
      <c r="E219" s="79"/>
      <c r="F219" s="79"/>
      <c r="G219" s="79"/>
      <c r="I219" s="80"/>
      <c r="J219" s="79"/>
      <c r="K219" s="81"/>
      <c r="L219" s="81"/>
    </row>
    <row r="220" spans="2:16" ht="23.25" customHeight="1" x14ac:dyDescent="0.25">
      <c r="B220" s="82" t="s">
        <v>40</v>
      </c>
      <c r="C220" s="79"/>
      <c r="D220" s="79"/>
      <c r="E220" s="79"/>
      <c r="F220" s="79"/>
      <c r="G220" s="79"/>
      <c r="H220" s="79"/>
      <c r="I220" s="79"/>
      <c r="J220" s="79"/>
      <c r="K220" s="79"/>
      <c r="L220" s="79"/>
    </row>
    <row r="221" spans="2:16" ht="18" customHeight="1" x14ac:dyDescent="0.25">
      <c r="B221" s="132" t="s">
        <v>15</v>
      </c>
      <c r="C221" s="132" t="s">
        <v>0</v>
      </c>
      <c r="D221" s="258" t="s">
        <v>41</v>
      </c>
      <c r="E221" s="259"/>
      <c r="F221" s="259"/>
      <c r="G221" s="259"/>
      <c r="H221" s="259"/>
      <c r="I221" s="260"/>
      <c r="J221" s="132" t="s">
        <v>15</v>
      </c>
      <c r="K221" s="132" t="s">
        <v>0</v>
      </c>
      <c r="L221" s="79"/>
    </row>
    <row r="222" spans="2:16" ht="18" customHeight="1" x14ac:dyDescent="0.25">
      <c r="B222" s="33" t="str">
        <f>IF(H216=3,B216,"")</f>
        <v>THEO GUEDES RIBEIRO</v>
      </c>
      <c r="C222" s="33" t="str">
        <f>IFERROR(IF(B222="","",VLOOKUP(B222,LISTAS!$F$5:$G$1004,2,0)),"0")</f>
        <v>EXTERNATO SANTO ANTONIO</v>
      </c>
      <c r="D222" s="253">
        <v>2</v>
      </c>
      <c r="E222" s="254"/>
      <c r="F222" s="253" t="s">
        <v>38</v>
      </c>
      <c r="G222" s="254"/>
      <c r="H222" s="253">
        <v>0</v>
      </c>
      <c r="I222" s="254"/>
      <c r="J222" s="111" t="str">
        <f>IF(H216=3,B218,"")</f>
        <v>ENZO ROCHA TAKUMA</v>
      </c>
      <c r="K222" s="33" t="str">
        <f>IFERROR(IF(J222="","",VLOOKUP(J222,LISTAS!$F$5:$G$1004,2,0)),"0")</f>
        <v>ABACO IPIRANGA</v>
      </c>
      <c r="L222" s="81"/>
    </row>
    <row r="223" spans="2:16" ht="18" customHeight="1" x14ac:dyDescent="0.25">
      <c r="B223" s="33" t="str">
        <f>IF(H216=3,B217,"")</f>
        <v>BENÍCIO PEPINELI MOLERO</v>
      </c>
      <c r="C223" s="33" t="str">
        <f>IFERROR(IF(B223="","",VLOOKUP(B223,LISTAS!$F$5:$G$1004,2,0)),"0")</f>
        <v>LICEU JARDIM</v>
      </c>
      <c r="D223" s="253">
        <v>2</v>
      </c>
      <c r="E223" s="254"/>
      <c r="F223" s="253" t="s">
        <v>38</v>
      </c>
      <c r="G223" s="254"/>
      <c r="H223" s="253">
        <v>0</v>
      </c>
      <c r="I223" s="254"/>
      <c r="J223" s="111" t="str">
        <f>IF(H216=3,B218,"")</f>
        <v>ENZO ROCHA TAKUMA</v>
      </c>
      <c r="K223" s="33" t="str">
        <f>IFERROR(IF(J223="","",VLOOKUP(J223,LISTAS!$F$5:$G$1004,2,0)),"0")</f>
        <v>ABACO IPIRANGA</v>
      </c>
      <c r="L223" s="79"/>
    </row>
    <row r="224" spans="2:16" ht="18" customHeight="1" x14ac:dyDescent="0.25">
      <c r="B224" s="33" t="str">
        <f>IF(H216=3,B216,"")</f>
        <v>THEO GUEDES RIBEIRO</v>
      </c>
      <c r="C224" s="33" t="str">
        <f>IFERROR(IF(B224="","",VLOOKUP(B224,LISTAS!$F$5:$G$1004,2,0)),"0")</f>
        <v>EXTERNATO SANTO ANTONIO</v>
      </c>
      <c r="D224" s="253">
        <v>0</v>
      </c>
      <c r="E224" s="254"/>
      <c r="F224" s="253" t="s">
        <v>38</v>
      </c>
      <c r="G224" s="254"/>
      <c r="H224" s="253">
        <v>2</v>
      </c>
      <c r="I224" s="254"/>
      <c r="J224" s="111" t="str">
        <f>IF(H216=3,B217,"")</f>
        <v>BENÍCIO PEPINELI MOLERO</v>
      </c>
      <c r="K224" s="33" t="str">
        <f>IFERROR(IF(J224="","",VLOOKUP(J224,LISTAS!$F$5:$G$1004,2,0)),"0")</f>
        <v>LICEU JARDIM</v>
      </c>
      <c r="L224" s="81"/>
    </row>
    <row r="227" spans="2:16" ht="30" customHeight="1" x14ac:dyDescent="0.25">
      <c r="B227" s="161" t="s">
        <v>61</v>
      </c>
      <c r="C227" s="79"/>
      <c r="D227" s="255" t="s">
        <v>42</v>
      </c>
      <c r="E227" s="256"/>
      <c r="F227" s="256"/>
      <c r="G227" s="257"/>
      <c r="H227" s="113"/>
      <c r="I227" s="255" t="s">
        <v>3</v>
      </c>
      <c r="J227" s="256"/>
      <c r="K227" s="256"/>
      <c r="L227" s="256"/>
    </row>
    <row r="228" spans="2:16" ht="18" customHeight="1" x14ac:dyDescent="0.25">
      <c r="B228" s="132" t="s">
        <v>15</v>
      </c>
      <c r="C228" s="132" t="s">
        <v>0</v>
      </c>
      <c r="D228" s="132" t="s">
        <v>43</v>
      </c>
      <c r="E228" s="132" t="s">
        <v>44</v>
      </c>
      <c r="F228" s="132" t="s">
        <v>77</v>
      </c>
      <c r="G228" s="132" t="s">
        <v>78</v>
      </c>
      <c r="H228" s="114"/>
      <c r="I228" s="132" t="s">
        <v>18</v>
      </c>
      <c r="J228" s="132" t="s">
        <v>15</v>
      </c>
      <c r="K228" s="132" t="s">
        <v>0</v>
      </c>
      <c r="L228" s="132" t="s">
        <v>45</v>
      </c>
    </row>
    <row r="229" spans="2:16" ht="18" customHeight="1" x14ac:dyDescent="0.25">
      <c r="B229" s="33" t="s">
        <v>343</v>
      </c>
      <c r="C229" s="33" t="str">
        <f>IFERROR(IF(B229="","",VLOOKUP(B229,LISTAS!$F$5:$G$1004,2,0)),"0")</f>
        <v>COLÉGIO SÃO JOSÉ</v>
      </c>
      <c r="D229" s="33" t="str">
        <f>IF(H229&lt;3,"",IF(H229=3,IF(D235&lt;&gt;"",IF(H235&lt;&gt;"",IF(D235&lt;&gt;H235,IF(D235&gt;H235,"V","D"),""),""),"")))</f>
        <v>V</v>
      </c>
      <c r="E229" s="33" t="str">
        <f>IF(H229&lt;3,"",IF(H229=3,IF(D237&lt;&gt;"",IF(H237&lt;&gt;"",IF(D237&lt;&gt;H237,IF(D237&gt;H237,"V","D"),""),""),"")))</f>
        <v>V</v>
      </c>
      <c r="F229" s="33" t="s">
        <v>81</v>
      </c>
      <c r="G229" s="33" t="s">
        <v>81</v>
      </c>
      <c r="H229" s="117">
        <f>COUNTA(B229:B231)</f>
        <v>3</v>
      </c>
      <c r="I229" s="33">
        <f>IF(B229&lt;&gt;"",1,"")</f>
        <v>1</v>
      </c>
      <c r="J229" s="33" t="str">
        <f>IF(I229&lt;&gt;"",P229,"")</f>
        <v>PEDRO MELO LOPES</v>
      </c>
      <c r="K229" s="33" t="str">
        <f>IFERROR(IF(J229="","",VLOOKUP(J229,LISTAS!$F$5:$G$1004,2,0)),"0")</f>
        <v>COLÉGIO SÃO JOSÉ</v>
      </c>
      <c r="L229" s="130" t="str">
        <f>IF(H229=3,"OURO",IF(H229=4,"OURO",IF(H229=5,"OURO","")))</f>
        <v>OURO</v>
      </c>
      <c r="M229" s="20">
        <f>IF(B229&lt;&gt;"",COUNTIF(D229:G229,"V")+(SUMIF(B235:B237,B229,D235:E237)/1000)+(SUMIF(J235:J237,B229,H235:I237)/1000)-(SUMIF(B235:B237,B229,H235:I237)/1000)-(SUMIF(J235:J237,B229,D235:E237)/1000)+0.003,"")</f>
        <v>2.0070000000000001</v>
      </c>
      <c r="N229" s="20" t="str">
        <f>IF(B229="","",B229)</f>
        <v>PEDRO MELO LOPES</v>
      </c>
      <c r="O229" s="20">
        <f>IF(B229&lt;&gt;"",LARGE(M229:M231,1),"")</f>
        <v>2.0070000000000001</v>
      </c>
      <c r="P229" s="20" t="str">
        <f>VLOOKUP(O229,M229:N231,2,0)</f>
        <v>PEDRO MELO LOPES</v>
      </c>
    </row>
    <row r="230" spans="2:16" ht="18" customHeight="1" x14ac:dyDescent="0.25">
      <c r="B230" s="33" t="s">
        <v>601</v>
      </c>
      <c r="C230" s="33" t="str">
        <f>IFERROR(IF(B230="","",VLOOKUP(B230,LISTAS!$F$5:$G$1004,2,0)),"0")</f>
        <v>BYE</v>
      </c>
      <c r="D230" s="33" t="str">
        <f>IF(H229&lt;3,"",IF(H229=3,IF(D236&lt;&gt;"",IF(H236&lt;&gt;"",IF(D236&lt;&gt;H236,IF(D236&gt;H236,"V","D"),""),""),"")))</f>
        <v>D</v>
      </c>
      <c r="E230" s="33" t="str">
        <f>IF(H229&lt;3,"",IF(H229=3,IF(D237&lt;&gt;"",IF(H237&lt;&gt;"",IF(D237&lt;&gt;H237,IF(D237&gt;H237,"D","V"),""),""),"")))</f>
        <v>D</v>
      </c>
      <c r="F230" s="33" t="s">
        <v>81</v>
      </c>
      <c r="G230" s="33" t="s">
        <v>81</v>
      </c>
      <c r="H230" s="117"/>
      <c r="I230" s="33">
        <f>IF(B230&lt;&gt;"",2,"")</f>
        <v>2</v>
      </c>
      <c r="J230" s="33" t="str">
        <f>IF(I230&lt;&gt;"",P230,"")</f>
        <v>GABRIEL ANDRADE DE MELO</v>
      </c>
      <c r="K230" s="33" t="str">
        <f>IFERROR(IF(J230="","",VLOOKUP(J230,LISTAS!$F$5:$G$1004,2,0)),"0")</f>
        <v>COLÉGIO ARBOS - UNIDADE SANTO ANDRÉ</v>
      </c>
      <c r="L230" s="130" t="str">
        <f>IF(H229=3,"PRATA",IF(H229=4,"OURO",IF(H229=5,"OURO","")))</f>
        <v>PRATA</v>
      </c>
      <c r="M230" s="20">
        <f>IF(B230&lt;&gt;"",COUNTIF(D230:G230,"V")+(SUMIF(B235:B237,B230,D235:E237)/1000)+(SUMIF(J235:J237,B230,H235:I237)/1000)-(SUMIF(B235:B237,B230,H235:I237)/1000)-(SUMIF(J235:J237,B230,D235:E237)/1000)+0.002,"")</f>
        <v>-2E-3</v>
      </c>
      <c r="N230" s="20" t="str">
        <f t="shared" ref="N230" si="16">IF(B230="","",B230)</f>
        <v>BYE</v>
      </c>
      <c r="O230" s="20">
        <f>IF(B230&lt;&gt;"",LARGE(M229:M231,2),"")</f>
        <v>1.0009999999999999</v>
      </c>
      <c r="P230" s="20" t="str">
        <f>VLOOKUP(O230,M229:N231,2,0)</f>
        <v>GABRIEL ANDRADE DE MELO</v>
      </c>
    </row>
    <row r="231" spans="2:16" ht="18" customHeight="1" x14ac:dyDescent="0.25">
      <c r="B231" s="33" t="s">
        <v>257</v>
      </c>
      <c r="C231" s="33" t="str">
        <f>IFERROR(IF(B231="","",VLOOKUP(B231,LISTAS!$F$5:$G$1004,2,0)),"0")</f>
        <v>COLÉGIO ARBOS - UNIDADE SANTO ANDRÉ</v>
      </c>
      <c r="D231" s="33" t="str">
        <f>IF(H229&lt;3,"",IF(H229=3,IF(D235&lt;&gt;"",IF(H235&lt;&gt;"",IF(D235&lt;&gt;H235,IF(D235&gt;H235,"D","V"),""),""),"")))</f>
        <v>D</v>
      </c>
      <c r="E231" s="33" t="str">
        <f>IF(H229&lt;3,"",IF(H229=3,IF(D236&lt;&gt;"",IF(H236&lt;&gt;"",IF(D236&lt;&gt;H236,IF(D236&gt;H236,"D","V"),""),""),"")))</f>
        <v>V</v>
      </c>
      <c r="F231" s="33" t="s">
        <v>81</v>
      </c>
      <c r="G231" s="33" t="s">
        <v>81</v>
      </c>
      <c r="H231" s="117"/>
      <c r="I231" s="33">
        <f>IF(B231&lt;&gt;"",3,"")</f>
        <v>3</v>
      </c>
      <c r="J231" s="33" t="str">
        <f>IF(I231&lt;&gt;"",P231,"")</f>
        <v>BYE</v>
      </c>
      <c r="K231" s="33" t="str">
        <f>IFERROR(IF(J231="","",VLOOKUP(J231,LISTAS!$F$5:$G$1004,2,0)),"0")</f>
        <v>BYE</v>
      </c>
      <c r="L231" s="130" t="str">
        <f>IF(H229=3,"BRONZE",IF(H229=4,"PRATA",IF(H229=5,"OURO","")))</f>
        <v>BRONZE</v>
      </c>
      <c r="M231" s="20">
        <f>IF(B231&lt;&gt;"",COUNTIF(D231:G231,"V")+(SUMIF(B235:B237,B231,D235:E237)/1000)+(SUMIF(J235:J237,B231,H235:I237)/1000)-(SUMIF(B235:B237,B231,H235:I237)/1000)-(SUMIF(J235:J237,B231,D235:E237)/1000)+0.001,"")</f>
        <v>1.0009999999999999</v>
      </c>
      <c r="N231" s="20" t="str">
        <f>IF(B231="","",B231)</f>
        <v>GABRIEL ANDRADE DE MELO</v>
      </c>
      <c r="O231" s="20">
        <f>IF(B231&lt;&gt;"",LARGE(M229:M231,3),"")</f>
        <v>-2E-3</v>
      </c>
      <c r="P231" s="20" t="str">
        <f>VLOOKUP(O231,M229:N231,2,0)</f>
        <v>BYE</v>
      </c>
    </row>
    <row r="232" spans="2:16" ht="18" customHeight="1" x14ac:dyDescent="0.25">
      <c r="B232" s="79"/>
      <c r="C232" s="79"/>
      <c r="D232" s="79"/>
      <c r="E232" s="79"/>
      <c r="F232" s="79"/>
      <c r="G232" s="79"/>
      <c r="I232" s="80"/>
      <c r="J232" s="79"/>
      <c r="K232" s="81"/>
      <c r="L232" s="81"/>
    </row>
    <row r="233" spans="2:16" ht="23.25" customHeight="1" x14ac:dyDescent="0.25">
      <c r="B233" s="82" t="s">
        <v>40</v>
      </c>
      <c r="C233" s="79"/>
      <c r="D233" s="79"/>
      <c r="E233" s="79"/>
      <c r="F233" s="79"/>
      <c r="G233" s="79"/>
      <c r="H233" s="79"/>
      <c r="I233" s="79"/>
      <c r="J233" s="79"/>
      <c r="K233" s="79"/>
      <c r="L233" s="79"/>
    </row>
    <row r="234" spans="2:16" ht="18" customHeight="1" x14ac:dyDescent="0.25">
      <c r="B234" s="132" t="s">
        <v>15</v>
      </c>
      <c r="C234" s="132" t="s">
        <v>0</v>
      </c>
      <c r="D234" s="258" t="s">
        <v>41</v>
      </c>
      <c r="E234" s="259"/>
      <c r="F234" s="259"/>
      <c r="G234" s="259"/>
      <c r="H234" s="259"/>
      <c r="I234" s="260"/>
      <c r="J234" s="132" t="s">
        <v>15</v>
      </c>
      <c r="K234" s="132" t="s">
        <v>0</v>
      </c>
      <c r="L234" s="79"/>
    </row>
    <row r="235" spans="2:16" ht="18" customHeight="1" x14ac:dyDescent="0.25">
      <c r="B235" s="33" t="str">
        <f>IF(H229=3,B229,"")</f>
        <v>PEDRO MELO LOPES</v>
      </c>
      <c r="C235" s="33" t="str">
        <f>IFERROR(IF(B235="","",VLOOKUP(B235,LISTAS!$F$5:$G$1004,2,0)),"0")</f>
        <v>COLÉGIO SÃO JOSÉ</v>
      </c>
      <c r="D235" s="253">
        <v>2</v>
      </c>
      <c r="E235" s="254"/>
      <c r="F235" s="253" t="s">
        <v>38</v>
      </c>
      <c r="G235" s="254"/>
      <c r="H235" s="253">
        <v>0</v>
      </c>
      <c r="I235" s="254"/>
      <c r="J235" s="111" t="str">
        <f>IF(H229=3,B231,"")</f>
        <v>GABRIEL ANDRADE DE MELO</v>
      </c>
      <c r="K235" s="33" t="str">
        <f>IFERROR(IF(J235="","",VLOOKUP(J235,LISTAS!$F$5:$G$1004,2,0)),"0")</f>
        <v>COLÉGIO ARBOS - UNIDADE SANTO ANDRÉ</v>
      </c>
      <c r="L235" s="81"/>
    </row>
    <row r="236" spans="2:16" ht="18" customHeight="1" x14ac:dyDescent="0.25">
      <c r="B236" s="33" t="str">
        <f>IF(H229=3,B230,"")</f>
        <v>BYE</v>
      </c>
      <c r="C236" s="33" t="str">
        <f>IFERROR(IF(B236="","",VLOOKUP(B236,LISTAS!$F$5:$G$1004,2,0)),"0")</f>
        <v>BYE</v>
      </c>
      <c r="D236" s="253">
        <v>0</v>
      </c>
      <c r="E236" s="254"/>
      <c r="F236" s="253" t="s">
        <v>38</v>
      </c>
      <c r="G236" s="254"/>
      <c r="H236" s="253">
        <v>2</v>
      </c>
      <c r="I236" s="254"/>
      <c r="J236" s="111" t="str">
        <f>IF(H229=3,B231,"")</f>
        <v>GABRIEL ANDRADE DE MELO</v>
      </c>
      <c r="K236" s="33" t="str">
        <f>IFERROR(IF(J236="","",VLOOKUP(J236,LISTAS!$F$5:$G$1004,2,0)),"0")</f>
        <v>COLÉGIO ARBOS - UNIDADE SANTO ANDRÉ</v>
      </c>
      <c r="L236" s="79"/>
    </row>
    <row r="237" spans="2:16" ht="18" customHeight="1" x14ac:dyDescent="0.25">
      <c r="B237" s="33" t="str">
        <f>IF(H229=3,B229,"")</f>
        <v>PEDRO MELO LOPES</v>
      </c>
      <c r="C237" s="33" t="str">
        <f>IFERROR(IF(B237="","",VLOOKUP(B237,LISTAS!$F$5:$G$1004,2,0)),"0")</f>
        <v>COLÉGIO SÃO JOSÉ</v>
      </c>
      <c r="D237" s="253">
        <v>2</v>
      </c>
      <c r="E237" s="254"/>
      <c r="F237" s="253" t="s">
        <v>38</v>
      </c>
      <c r="G237" s="254"/>
      <c r="H237" s="253">
        <v>0</v>
      </c>
      <c r="I237" s="254"/>
      <c r="J237" s="111" t="str">
        <f>IF(H229=3,B230,"")</f>
        <v>BYE</v>
      </c>
      <c r="K237" s="33" t="str">
        <f>IFERROR(IF(J237="","",VLOOKUP(J237,LISTAS!$F$5:$G$1004,2,0)),"0")</f>
        <v>BYE</v>
      </c>
      <c r="L237" s="81"/>
    </row>
    <row r="240" spans="2:16" ht="30" customHeight="1" x14ac:dyDescent="0.25">
      <c r="B240" s="161" t="s">
        <v>62</v>
      </c>
      <c r="C240" s="79"/>
      <c r="D240" s="255" t="s">
        <v>42</v>
      </c>
      <c r="E240" s="256"/>
      <c r="F240" s="256"/>
      <c r="G240" s="257"/>
      <c r="H240" s="113"/>
      <c r="I240" s="255" t="s">
        <v>3</v>
      </c>
      <c r="J240" s="256"/>
      <c r="K240" s="256"/>
      <c r="L240" s="256"/>
    </row>
    <row r="241" spans="2:16" ht="18" customHeight="1" x14ac:dyDescent="0.25">
      <c r="B241" s="132" t="s">
        <v>15</v>
      </c>
      <c r="C241" s="132" t="s">
        <v>0</v>
      </c>
      <c r="D241" s="132" t="s">
        <v>43</v>
      </c>
      <c r="E241" s="132" t="s">
        <v>44</v>
      </c>
      <c r="F241" s="132" t="s">
        <v>77</v>
      </c>
      <c r="G241" s="132" t="s">
        <v>78</v>
      </c>
      <c r="H241" s="114"/>
      <c r="I241" s="132" t="s">
        <v>18</v>
      </c>
      <c r="J241" s="132" t="s">
        <v>15</v>
      </c>
      <c r="K241" s="132" t="s">
        <v>0</v>
      </c>
      <c r="L241" s="132" t="s">
        <v>45</v>
      </c>
    </row>
    <row r="242" spans="2:16" ht="18" customHeight="1" x14ac:dyDescent="0.25">
      <c r="B242" s="33" t="s">
        <v>242</v>
      </c>
      <c r="C242" s="33" t="str">
        <f>IFERROR(IF(B242="","",VLOOKUP(B242,LISTAS!$F$5:$G$1004,2,0)),"0")</f>
        <v>COLÉGIO ARBOS - UNIDADE SANTO ANDRÉ</v>
      </c>
      <c r="D242" s="33" t="str">
        <f>IF(H242&lt;3,"",IF(H242=3,IF(D248&lt;&gt;"",IF(H248&lt;&gt;"",IF(D248&lt;&gt;H248,IF(D248&gt;H248,"V","D"),""),""),"")))</f>
        <v>V</v>
      </c>
      <c r="E242" s="33" t="str">
        <f>IF(H242&lt;3,"",IF(H242=3,IF(D250&lt;&gt;"",IF(H250&lt;&gt;"",IF(D250&lt;&gt;H250,IF(D250&gt;H250,"V","D"),""),""),"")))</f>
        <v>V</v>
      </c>
      <c r="F242" s="33" t="s">
        <v>81</v>
      </c>
      <c r="G242" s="33" t="s">
        <v>81</v>
      </c>
      <c r="H242" s="117">
        <f>COUNTA(B242:B244)</f>
        <v>3</v>
      </c>
      <c r="I242" s="33">
        <f>IF(B242&lt;&gt;"",1,"")</f>
        <v>1</v>
      </c>
      <c r="J242" s="33" t="str">
        <f>IF(I242&lt;&gt;"",P242,"")</f>
        <v>ENZO KAZUO YSHIKAWA</v>
      </c>
      <c r="K242" s="33" t="str">
        <f>IFERROR(IF(J242="","",VLOOKUP(J242,LISTAS!$F$5:$G$1004,2,0)),"0")</f>
        <v>COLÉGIO ARBOS - UNIDADE SANTO ANDRÉ</v>
      </c>
      <c r="L242" s="130" t="str">
        <f>IF(H242=3,"OURO",IF(H242=4,"OURO",IF(H242=5,"OURO","")))</f>
        <v>OURO</v>
      </c>
      <c r="M242" s="20">
        <f>IF(B242&lt;&gt;"",COUNTIF(D242:G242,"V")+(SUMIF(B248:B250,B242,D248:E250)/1000)+(SUMIF(J248:J250,B242,H248:I250)/1000)-(SUMIF(B248:B250,B242,H248:I250)/1000)-(SUMIF(J248:J250,B242,D248:E250)/1000)+0.003,"")</f>
        <v>2.0070000000000001</v>
      </c>
      <c r="N242" s="20" t="str">
        <f>IF(B242="","",B242)</f>
        <v>ENZO KAZUO YSHIKAWA</v>
      </c>
      <c r="O242" s="20">
        <f>IF(B242&lt;&gt;"",LARGE(M242:M244,1),"")</f>
        <v>2.0070000000000001</v>
      </c>
      <c r="P242" s="20" t="str">
        <f>VLOOKUP(O242,M242:N244,2,0)</f>
        <v>ENZO KAZUO YSHIKAWA</v>
      </c>
    </row>
    <row r="243" spans="2:16" ht="18" customHeight="1" x14ac:dyDescent="0.25">
      <c r="B243" s="39" t="s">
        <v>686</v>
      </c>
      <c r="C243" s="33" t="str">
        <f>IFERROR(IF(B243="","",VLOOKUP(B243,LISTAS!$F$5:$G$1004,2,0)),"0")</f>
        <v>ESCOLA VILLARE</v>
      </c>
      <c r="D243" s="33" t="str">
        <f>IF(H242&lt;3,"",IF(H242=3,IF(D249&lt;&gt;"",IF(H249&lt;&gt;"",IF(D249&lt;&gt;H249,IF(D249&gt;H249,"V","D"),""),""),"")))</f>
        <v>D</v>
      </c>
      <c r="E243" s="33" t="str">
        <f>IF(H242&lt;3,"",IF(H242=3,IF(D250&lt;&gt;"",IF(H250&lt;&gt;"",IF(D250&lt;&gt;H250,IF(D250&gt;H250,"D","V"),""),""),"")))</f>
        <v>D</v>
      </c>
      <c r="F243" s="33" t="s">
        <v>81</v>
      </c>
      <c r="G243" s="33" t="s">
        <v>81</v>
      </c>
      <c r="H243" s="117"/>
      <c r="I243" s="33">
        <f>IF(B243&lt;&gt;"",2,"")</f>
        <v>2</v>
      </c>
      <c r="J243" s="33" t="str">
        <f>IF(I243&lt;&gt;"",P243,"")</f>
        <v>MATTEO CESAR COSTA</v>
      </c>
      <c r="K243" s="33" t="str">
        <f>IFERROR(IF(J243="","",VLOOKUP(J243,LISTAS!$F$5:$G$1004,2,0)),"0")</f>
        <v>LICEU JARDIM</v>
      </c>
      <c r="L243" s="130" t="str">
        <f>IF(H242=3,"PRATA",IF(H242=4,"OURO",IF(H242=5,"OURO","")))</f>
        <v>PRATA</v>
      </c>
      <c r="M243" s="20">
        <f>IF(B243&lt;&gt;"",COUNTIF(D243:G243,"V")+(SUMIF(B248:B250,B243,D248:E250)/1000)+(SUMIF(J248:J250,B243,H248:I250)/1000)-(SUMIF(B248:B250,B243,H248:I250)/1000)-(SUMIF(J248:J250,B243,D248:E250)/1000)+0.002,"")</f>
        <v>-2E-3</v>
      </c>
      <c r="N243" s="20" t="str">
        <f t="shared" ref="N243" si="17">IF(B243="","",B243)</f>
        <v>PEDRO GOMES</v>
      </c>
      <c r="O243" s="20">
        <f>IF(B243&lt;&gt;"",LARGE(M242:M244,2),"")</f>
        <v>1.0009999999999999</v>
      </c>
      <c r="P243" s="20" t="str">
        <f>VLOOKUP(O243,M242:N244,2,0)</f>
        <v>MATTEO CESAR COSTA</v>
      </c>
    </row>
    <row r="244" spans="2:16" ht="18" customHeight="1" x14ac:dyDescent="0.25">
      <c r="B244" s="33" t="s">
        <v>320</v>
      </c>
      <c r="C244" s="33" t="str">
        <f>IFERROR(IF(B244="","",VLOOKUP(B244,LISTAS!$F$5:$G$1004,2,0)),"0")</f>
        <v>LICEU JARDIM</v>
      </c>
      <c r="D244" s="33" t="str">
        <f>IF(H242&lt;3,"",IF(H242=3,IF(D248&lt;&gt;"",IF(H248&lt;&gt;"",IF(D248&lt;&gt;H248,IF(D248&gt;H248,"D","V"),""),""),"")))</f>
        <v>D</v>
      </c>
      <c r="E244" s="33" t="str">
        <f>IF(H242&lt;3,"",IF(H242=3,IF(D249&lt;&gt;"",IF(H249&lt;&gt;"",IF(D249&lt;&gt;H249,IF(D249&gt;H249,"D","V"),""),""),"")))</f>
        <v>V</v>
      </c>
      <c r="F244" s="33" t="s">
        <v>81</v>
      </c>
      <c r="G244" s="33" t="s">
        <v>81</v>
      </c>
      <c r="H244" s="117"/>
      <c r="I244" s="33">
        <f>IF(B244&lt;&gt;"",3,"")</f>
        <v>3</v>
      </c>
      <c r="J244" s="33" t="str">
        <f>IF(I244&lt;&gt;"",P244,"")</f>
        <v>PEDRO GOMES</v>
      </c>
      <c r="K244" s="33" t="str">
        <f>IFERROR(IF(J244="","",VLOOKUP(J244,LISTAS!$F$5:$G$1004,2,0)),"0")</f>
        <v>ESCOLA VILLARE</v>
      </c>
      <c r="L244" s="130" t="str">
        <f>IF(H242=3,"BRONZE",IF(H242=4,"PRATA",IF(H242=5,"OURO","")))</f>
        <v>BRONZE</v>
      </c>
      <c r="M244" s="20">
        <f>IF(B244&lt;&gt;"",COUNTIF(D244:G244,"V")+(SUMIF(B248:B250,B244,D248:E250)/1000)+(SUMIF(J248:J250,B244,H248:I250)/1000)-(SUMIF(B248:B250,B244,H248:I250)/1000)-(SUMIF(J248:J250,B244,D248:E250)/1000)+0.001,"")</f>
        <v>1.0009999999999999</v>
      </c>
      <c r="N244" s="20" t="str">
        <f>IF(B244="","",B244)</f>
        <v>MATTEO CESAR COSTA</v>
      </c>
      <c r="O244" s="20">
        <f>IF(B244&lt;&gt;"",LARGE(M242:M244,3),"")</f>
        <v>-2E-3</v>
      </c>
      <c r="P244" s="20" t="str">
        <f>VLOOKUP(O244,M242:N244,2,0)</f>
        <v>PEDRO GOMES</v>
      </c>
    </row>
    <row r="245" spans="2:16" ht="18" customHeight="1" x14ac:dyDescent="0.25">
      <c r="B245" s="79"/>
      <c r="C245" s="79"/>
      <c r="D245" s="79"/>
      <c r="E245" s="79"/>
      <c r="F245" s="79"/>
      <c r="G245" s="79"/>
      <c r="I245" s="80"/>
      <c r="J245" s="79"/>
      <c r="K245" s="81"/>
      <c r="L245" s="81"/>
    </row>
    <row r="246" spans="2:16" ht="23.25" customHeight="1" x14ac:dyDescent="0.25">
      <c r="B246" s="82" t="s">
        <v>40</v>
      </c>
      <c r="C246" s="79"/>
      <c r="D246" s="79"/>
      <c r="E246" s="79"/>
      <c r="F246" s="79"/>
      <c r="G246" s="79"/>
      <c r="H246" s="79"/>
      <c r="I246" s="79"/>
      <c r="J246" s="79"/>
      <c r="K246" s="79"/>
      <c r="L246" s="79"/>
    </row>
    <row r="247" spans="2:16" ht="18" customHeight="1" x14ac:dyDescent="0.25">
      <c r="B247" s="132" t="s">
        <v>15</v>
      </c>
      <c r="C247" s="132" t="s">
        <v>0</v>
      </c>
      <c r="D247" s="258" t="s">
        <v>41</v>
      </c>
      <c r="E247" s="259"/>
      <c r="F247" s="259"/>
      <c r="G247" s="259"/>
      <c r="H247" s="259"/>
      <c r="I247" s="260"/>
      <c r="J247" s="132" t="s">
        <v>15</v>
      </c>
      <c r="K247" s="132" t="s">
        <v>0</v>
      </c>
      <c r="L247" s="79"/>
    </row>
    <row r="248" spans="2:16" ht="18" customHeight="1" x14ac:dyDescent="0.25">
      <c r="B248" s="33" t="str">
        <f>IF(H242=3,B242,"")</f>
        <v>ENZO KAZUO YSHIKAWA</v>
      </c>
      <c r="C248" s="33" t="str">
        <f>IFERROR(IF(B248="","",VLOOKUP(B248,LISTAS!$F$5:$G$1004,2,0)),"0")</f>
        <v>COLÉGIO ARBOS - UNIDADE SANTO ANDRÉ</v>
      </c>
      <c r="D248" s="253">
        <v>2</v>
      </c>
      <c r="E248" s="254"/>
      <c r="F248" s="253" t="s">
        <v>38</v>
      </c>
      <c r="G248" s="254"/>
      <c r="H248" s="253">
        <v>0</v>
      </c>
      <c r="I248" s="254"/>
      <c r="J248" s="111" t="str">
        <f>IF(H242=3,B244,"")</f>
        <v>MATTEO CESAR COSTA</v>
      </c>
      <c r="K248" s="33" t="str">
        <f>IFERROR(IF(J248="","",VLOOKUP(J248,LISTAS!$F$5:$G$1004,2,0)),"0")</f>
        <v>LICEU JARDIM</v>
      </c>
      <c r="L248" s="81"/>
    </row>
    <row r="249" spans="2:16" ht="18" customHeight="1" x14ac:dyDescent="0.25">
      <c r="B249" s="33" t="str">
        <f>IF(H242=3,B243,"")</f>
        <v>PEDRO GOMES</v>
      </c>
      <c r="C249" s="33" t="str">
        <f>IFERROR(IF(B249="","",VLOOKUP(B249,LISTAS!$F$5:$G$1004,2,0)),"0")</f>
        <v>ESCOLA VILLARE</v>
      </c>
      <c r="D249" s="253">
        <v>0</v>
      </c>
      <c r="E249" s="254"/>
      <c r="F249" s="253" t="s">
        <v>38</v>
      </c>
      <c r="G249" s="254"/>
      <c r="H249" s="253">
        <v>2</v>
      </c>
      <c r="I249" s="254"/>
      <c r="J249" s="111" t="str">
        <f>IF(H242=3,B244,"")</f>
        <v>MATTEO CESAR COSTA</v>
      </c>
      <c r="K249" s="33" t="str">
        <f>IFERROR(IF(J249="","",VLOOKUP(J249,LISTAS!$F$5:$G$1004,2,0)),"0")</f>
        <v>LICEU JARDIM</v>
      </c>
      <c r="L249" s="79"/>
    </row>
    <row r="250" spans="2:16" ht="18" customHeight="1" x14ac:dyDescent="0.25">
      <c r="B250" s="33" t="str">
        <f>IF(H242=3,B242,"")</f>
        <v>ENZO KAZUO YSHIKAWA</v>
      </c>
      <c r="C250" s="33" t="str">
        <f>IFERROR(IF(B250="","",VLOOKUP(B250,LISTAS!$F$5:$G$1004,2,0)),"0")</f>
        <v>COLÉGIO ARBOS - UNIDADE SANTO ANDRÉ</v>
      </c>
      <c r="D250" s="253">
        <v>2</v>
      </c>
      <c r="E250" s="254"/>
      <c r="F250" s="253" t="s">
        <v>38</v>
      </c>
      <c r="G250" s="254"/>
      <c r="H250" s="253">
        <v>0</v>
      </c>
      <c r="I250" s="254"/>
      <c r="J250" s="111" t="str">
        <f>IF(H242=3,B243,"")</f>
        <v>PEDRO GOMES</v>
      </c>
      <c r="K250" s="33" t="str">
        <f>IFERROR(IF(J250="","",VLOOKUP(J250,LISTAS!$F$5:$G$1004,2,0)),"0")</f>
        <v>ESCOLA VILLARE</v>
      </c>
      <c r="L250" s="81"/>
    </row>
    <row r="253" spans="2:16" ht="30" customHeight="1" x14ac:dyDescent="0.25">
      <c r="B253" s="161" t="s">
        <v>63</v>
      </c>
      <c r="C253" s="79"/>
      <c r="D253" s="255" t="s">
        <v>42</v>
      </c>
      <c r="E253" s="256"/>
      <c r="F253" s="256"/>
      <c r="G253" s="257"/>
      <c r="H253" s="113"/>
      <c r="I253" s="255" t="s">
        <v>3</v>
      </c>
      <c r="J253" s="256"/>
      <c r="K253" s="256"/>
      <c r="L253" s="256"/>
    </row>
    <row r="254" spans="2:16" ht="18" customHeight="1" x14ac:dyDescent="0.25">
      <c r="B254" s="132" t="s">
        <v>15</v>
      </c>
      <c r="C254" s="132" t="s">
        <v>0</v>
      </c>
      <c r="D254" s="132" t="s">
        <v>43</v>
      </c>
      <c r="E254" s="132" t="s">
        <v>44</v>
      </c>
      <c r="F254" s="132" t="s">
        <v>77</v>
      </c>
      <c r="G254" s="132" t="s">
        <v>78</v>
      </c>
      <c r="H254" s="114"/>
      <c r="I254" s="132" t="s">
        <v>18</v>
      </c>
      <c r="J254" s="132" t="s">
        <v>15</v>
      </c>
      <c r="K254" s="132" t="s">
        <v>0</v>
      </c>
      <c r="L254" s="132" t="s">
        <v>45</v>
      </c>
    </row>
    <row r="255" spans="2:16" ht="18" customHeight="1" x14ac:dyDescent="0.25">
      <c r="B255" s="33" t="s">
        <v>310</v>
      </c>
      <c r="C255" s="33" t="str">
        <f>IFERROR(IF(B255="","",VLOOKUP(B255,LISTAS!$F$5:$G$1004,2,0)),"0")</f>
        <v>COLÉGIO ENGENHEIRO SALVADOR ARENA</v>
      </c>
      <c r="D255" s="33" t="str">
        <f>IF(H255&lt;3,"",IF(H255=3,IF(D261&lt;&gt;"",IF(H261&lt;&gt;"",IF(D261&lt;&gt;H261,IF(D261&gt;H261,"V","D"),""),""),"")))</f>
        <v>V</v>
      </c>
      <c r="E255" s="33" t="str">
        <f>IF(H255&lt;3,"",IF(H255=3,IF(D263&lt;&gt;"",IF(H263&lt;&gt;"",IF(D263&lt;&gt;H263,IF(D263&gt;H263,"V","D"),""),""),"")))</f>
        <v>V</v>
      </c>
      <c r="F255" s="33" t="s">
        <v>81</v>
      </c>
      <c r="G255" s="33" t="s">
        <v>81</v>
      </c>
      <c r="H255" s="117">
        <f>COUNTA(B255:B257)</f>
        <v>3</v>
      </c>
      <c r="I255" s="33">
        <f>IF(B255&lt;&gt;"",1,"")</f>
        <v>1</v>
      </c>
      <c r="J255" s="33" t="str">
        <f>IF(I255&lt;&gt;"",P255,"")</f>
        <v>LUCCA PONCE SANTOS</v>
      </c>
      <c r="K255" s="33" t="str">
        <f>IFERROR(IF(J255="","",VLOOKUP(J255,LISTAS!$F$5:$G$1004,2,0)),"0")</f>
        <v>COLÉGIO ENGENHEIRO SALVADOR ARENA</v>
      </c>
      <c r="L255" s="130" t="str">
        <f>IF(H255=3,"OURO",IF(H255=4,"OURO",IF(H255=5,"OURO","")))</f>
        <v>OURO</v>
      </c>
      <c r="M255" s="20">
        <f>IF(B255&lt;&gt;"",COUNTIF(D255:G255,"V")+(SUMIF(B261:B263,B255,D261:E263)/1000)+(SUMIF(J261:J263,B255,H261:I263)/1000)-(SUMIF(B261:B263,B255,H261:I263)/1000)-(SUMIF(J261:J263,B255,D261:E263)/1000)+0.003,"")</f>
        <v>2.0060000000000002</v>
      </c>
      <c r="N255" s="20" t="str">
        <f>IF(B255="","",B255)</f>
        <v>LUCCA PONCE SANTOS</v>
      </c>
      <c r="O255" s="20">
        <f>IF(B255&lt;&gt;"",LARGE(M255:M257,1),"")</f>
        <v>2.0060000000000002</v>
      </c>
      <c r="P255" s="20" t="str">
        <f>VLOOKUP(O255,M255:N257,2,0)</f>
        <v>LUCCA PONCE SANTOS</v>
      </c>
    </row>
    <row r="256" spans="2:16" ht="18" customHeight="1" x14ac:dyDescent="0.25">
      <c r="B256" s="33" t="s">
        <v>601</v>
      </c>
      <c r="C256" s="33" t="str">
        <f>IFERROR(IF(B256="","",VLOOKUP(B256,LISTAS!$F$5:$G$1004,2,0)),"0")</f>
        <v>BYE</v>
      </c>
      <c r="D256" s="33" t="str">
        <f>IF(H255&lt;3,"",IF(H255=3,IF(D262&lt;&gt;"",IF(H262&lt;&gt;"",IF(D262&lt;&gt;H262,IF(D262&gt;H262,"V","D"),""),""),"")))</f>
        <v>D</v>
      </c>
      <c r="E256" s="33" t="str">
        <f>IF(H255&lt;3,"",IF(H255=3,IF(D263&lt;&gt;"",IF(H263&lt;&gt;"",IF(D263&lt;&gt;H263,IF(D263&gt;H263,"D","V"),""),""),"")))</f>
        <v>D</v>
      </c>
      <c r="F256" s="33" t="s">
        <v>81</v>
      </c>
      <c r="G256" s="33" t="s">
        <v>81</v>
      </c>
      <c r="H256" s="117"/>
      <c r="I256" s="33">
        <f>IF(B256&lt;&gt;"",2,"")</f>
        <v>2</v>
      </c>
      <c r="J256" s="33" t="str">
        <f>IF(I256&lt;&gt;"",P256,"")</f>
        <v>MIGUEL LUIZ TEIXEIRA</v>
      </c>
      <c r="K256" s="33" t="str">
        <f>IFERROR(IF(J256="","",VLOOKUP(J256,LISTAS!$F$5:$G$1004,2,0)),"0")</f>
        <v>COLÉGIO SÃO MAURO</v>
      </c>
      <c r="L256" s="130" t="str">
        <f>IF(H255=3,"PRATA",IF(H255=4,"OURO",IF(H255=5,"OURO","")))</f>
        <v>PRATA</v>
      </c>
      <c r="M256" s="20">
        <f>IF(B256&lt;&gt;"",COUNTIF(D256:G256,"V")+(SUMIF(B261:B263,B256,D261:E263)/1000)+(SUMIF(J261:J263,B256,H261:I263)/1000)-(SUMIF(B261:B263,B256,H261:I263)/1000)-(SUMIF(J261:J263,B256,D261:E263)/1000)+0.002,"")</f>
        <v>-2E-3</v>
      </c>
      <c r="N256" s="20" t="str">
        <f t="shared" ref="N256" si="18">IF(B256="","",B256)</f>
        <v>BYE</v>
      </c>
      <c r="O256" s="20">
        <f>IF(B256&lt;&gt;"",LARGE(M255:M257,2),"")</f>
        <v>1.0019999999999998</v>
      </c>
      <c r="P256" s="20" t="str">
        <f>VLOOKUP(O256,M255:N257,2,0)</f>
        <v>MIGUEL LUIZ TEIXEIRA</v>
      </c>
    </row>
    <row r="257" spans="2:16" ht="18" customHeight="1" x14ac:dyDescent="0.25">
      <c r="B257" s="33" t="s">
        <v>322</v>
      </c>
      <c r="C257" s="33" t="str">
        <f>IFERROR(IF(B257="","",VLOOKUP(B257,LISTAS!$F$5:$G$1004,2,0)),"0")</f>
        <v>COLÉGIO SÃO MAURO</v>
      </c>
      <c r="D257" s="33" t="str">
        <f>IF(H255&lt;3,"",IF(H255=3,IF(D261&lt;&gt;"",IF(H261&lt;&gt;"",IF(D261&lt;&gt;H261,IF(D261&gt;H261,"D","V"),""),""),"")))</f>
        <v>D</v>
      </c>
      <c r="E257" s="33" t="str">
        <f>IF(H255&lt;3,"",IF(H255=3,IF(D262&lt;&gt;"",IF(H262&lt;&gt;"",IF(D262&lt;&gt;H262,IF(D262&gt;H262,"D","V"),""),""),"")))</f>
        <v>V</v>
      </c>
      <c r="F257" s="33" t="s">
        <v>81</v>
      </c>
      <c r="G257" s="33" t="s">
        <v>81</v>
      </c>
      <c r="H257" s="117"/>
      <c r="I257" s="33">
        <f>IF(B257&lt;&gt;"",3,"")</f>
        <v>3</v>
      </c>
      <c r="J257" s="33" t="str">
        <f>IF(I257&lt;&gt;"",P257,"")</f>
        <v>BYE</v>
      </c>
      <c r="K257" s="33" t="str">
        <f>IFERROR(IF(J257="","",VLOOKUP(J257,LISTAS!$F$5:$G$1004,2,0)),"0")</f>
        <v>BYE</v>
      </c>
      <c r="L257" s="130" t="str">
        <f>IF(H255=3,"BRONZE",IF(H255=4,"PRATA",IF(H255=5,"OURO","")))</f>
        <v>BRONZE</v>
      </c>
      <c r="M257" s="20">
        <f>IF(B257&lt;&gt;"",COUNTIF(D257:G257,"V")+(SUMIF(B261:B263,B257,D261:E263)/1000)+(SUMIF(J261:J263,B257,H261:I263)/1000)-(SUMIF(B261:B263,B257,H261:I263)/1000)-(SUMIF(J261:J263,B257,D261:E263)/1000)+0.001,"")</f>
        <v>1.0019999999999998</v>
      </c>
      <c r="N257" s="20" t="str">
        <f>IF(B257="","",B257)</f>
        <v>MIGUEL LUIZ TEIXEIRA</v>
      </c>
      <c r="O257" s="20">
        <f>IF(B257&lt;&gt;"",LARGE(M255:M257,3),"")</f>
        <v>-2E-3</v>
      </c>
      <c r="P257" s="20" t="str">
        <f>VLOOKUP(O257,M255:N257,2,0)</f>
        <v>BYE</v>
      </c>
    </row>
    <row r="258" spans="2:16" ht="18" customHeight="1" x14ac:dyDescent="0.25">
      <c r="B258" s="79"/>
      <c r="C258" s="79"/>
      <c r="D258" s="79"/>
      <c r="E258" s="79"/>
      <c r="F258" s="79"/>
      <c r="G258" s="79"/>
      <c r="I258" s="80"/>
      <c r="J258" s="79"/>
      <c r="K258" s="81"/>
      <c r="L258" s="81"/>
    </row>
    <row r="259" spans="2:16" ht="23.25" customHeight="1" x14ac:dyDescent="0.25">
      <c r="B259" s="82" t="s">
        <v>40</v>
      </c>
      <c r="C259" s="79"/>
      <c r="D259" s="79"/>
      <c r="E259" s="79"/>
      <c r="F259" s="79"/>
      <c r="G259" s="79"/>
      <c r="H259" s="79"/>
      <c r="I259" s="79"/>
      <c r="J259" s="79"/>
      <c r="K259" s="79"/>
      <c r="L259" s="79"/>
    </row>
    <row r="260" spans="2:16" ht="18" customHeight="1" x14ac:dyDescent="0.25">
      <c r="B260" s="132" t="s">
        <v>15</v>
      </c>
      <c r="C260" s="132" t="s">
        <v>0</v>
      </c>
      <c r="D260" s="258" t="s">
        <v>41</v>
      </c>
      <c r="E260" s="259"/>
      <c r="F260" s="259"/>
      <c r="G260" s="259"/>
      <c r="H260" s="259"/>
      <c r="I260" s="260"/>
      <c r="J260" s="132" t="s">
        <v>15</v>
      </c>
      <c r="K260" s="132" t="s">
        <v>0</v>
      </c>
      <c r="L260" s="79"/>
    </row>
    <row r="261" spans="2:16" ht="18" customHeight="1" x14ac:dyDescent="0.25">
      <c r="B261" s="33" t="str">
        <f>IF(H255=3,B255,"")</f>
        <v>LUCCA PONCE SANTOS</v>
      </c>
      <c r="C261" s="33" t="str">
        <f>IFERROR(IF(B261="","",VLOOKUP(B261,LISTAS!$F$5:$G$1004,2,0)),"0")</f>
        <v>COLÉGIO ENGENHEIRO SALVADOR ARENA</v>
      </c>
      <c r="D261" s="253">
        <v>2</v>
      </c>
      <c r="E261" s="254"/>
      <c r="F261" s="253" t="s">
        <v>38</v>
      </c>
      <c r="G261" s="254"/>
      <c r="H261" s="253">
        <v>1</v>
      </c>
      <c r="I261" s="254"/>
      <c r="J261" s="111" t="str">
        <f>IF(H255=3,B257,"")</f>
        <v>MIGUEL LUIZ TEIXEIRA</v>
      </c>
      <c r="K261" s="33" t="str">
        <f>IFERROR(IF(J261="","",VLOOKUP(J261,LISTAS!$F$5:$G$1004,2,0)),"0")</f>
        <v>COLÉGIO SÃO MAURO</v>
      </c>
      <c r="L261" s="81"/>
    </row>
    <row r="262" spans="2:16" ht="18" customHeight="1" x14ac:dyDescent="0.25">
      <c r="B262" s="33" t="str">
        <f>IF(H255=3,B256,"")</f>
        <v>BYE</v>
      </c>
      <c r="C262" s="33" t="str">
        <f>IFERROR(IF(B262="","",VLOOKUP(B262,LISTAS!$F$5:$G$1004,2,0)),"0")</f>
        <v>BYE</v>
      </c>
      <c r="D262" s="253">
        <v>0</v>
      </c>
      <c r="E262" s="254"/>
      <c r="F262" s="253" t="s">
        <v>38</v>
      </c>
      <c r="G262" s="254"/>
      <c r="H262" s="253">
        <v>2</v>
      </c>
      <c r="I262" s="254"/>
      <c r="J262" s="111" t="str">
        <f>IF(H255=3,B257,"")</f>
        <v>MIGUEL LUIZ TEIXEIRA</v>
      </c>
      <c r="K262" s="33" t="str">
        <f>IFERROR(IF(J262="","",VLOOKUP(J262,LISTAS!$F$5:$G$1004,2,0)),"0")</f>
        <v>COLÉGIO SÃO MAURO</v>
      </c>
      <c r="L262" s="79"/>
    </row>
    <row r="263" spans="2:16" ht="18" customHeight="1" x14ac:dyDescent="0.25">
      <c r="B263" s="33" t="str">
        <f>IF(H255=3,B255,"")</f>
        <v>LUCCA PONCE SANTOS</v>
      </c>
      <c r="C263" s="33" t="str">
        <f>IFERROR(IF(B263="","",VLOOKUP(B263,LISTAS!$F$5:$G$1004,2,0)),"0")</f>
        <v>COLÉGIO ENGENHEIRO SALVADOR ARENA</v>
      </c>
      <c r="D263" s="253">
        <v>2</v>
      </c>
      <c r="E263" s="254"/>
      <c r="F263" s="253" t="s">
        <v>38</v>
      </c>
      <c r="G263" s="254"/>
      <c r="H263" s="253">
        <v>0</v>
      </c>
      <c r="I263" s="254"/>
      <c r="J263" s="111" t="str">
        <f>IF(H255=3,B256,"")</f>
        <v>BYE</v>
      </c>
      <c r="K263" s="33" t="str">
        <f>IFERROR(IF(J263="","",VLOOKUP(J263,LISTAS!$F$5:$G$1004,2,0)),"0")</f>
        <v>BYE</v>
      </c>
      <c r="L263" s="81"/>
    </row>
    <row r="266" spans="2:16" ht="30" customHeight="1" x14ac:dyDescent="0.25">
      <c r="B266" s="161" t="s">
        <v>64</v>
      </c>
      <c r="C266" s="79"/>
      <c r="D266" s="255" t="s">
        <v>42</v>
      </c>
      <c r="E266" s="256"/>
      <c r="F266" s="256"/>
      <c r="G266" s="257"/>
      <c r="H266" s="113"/>
      <c r="I266" s="255" t="s">
        <v>3</v>
      </c>
      <c r="J266" s="256"/>
      <c r="K266" s="256"/>
      <c r="L266" s="256"/>
    </row>
    <row r="267" spans="2:16" ht="18" customHeight="1" x14ac:dyDescent="0.25">
      <c r="B267" s="132" t="s">
        <v>15</v>
      </c>
      <c r="C267" s="132" t="s">
        <v>0</v>
      </c>
      <c r="D267" s="132" t="s">
        <v>43</v>
      </c>
      <c r="E267" s="132" t="s">
        <v>44</v>
      </c>
      <c r="F267" s="132" t="s">
        <v>77</v>
      </c>
      <c r="G267" s="132" t="s">
        <v>78</v>
      </c>
      <c r="H267" s="114"/>
      <c r="I267" s="132" t="s">
        <v>18</v>
      </c>
      <c r="J267" s="132" t="s">
        <v>15</v>
      </c>
      <c r="K267" s="132" t="s">
        <v>0</v>
      </c>
      <c r="L267" s="132" t="s">
        <v>45</v>
      </c>
    </row>
    <row r="268" spans="2:16" ht="18" customHeight="1" x14ac:dyDescent="0.25">
      <c r="B268" s="33" t="s">
        <v>250</v>
      </c>
      <c r="C268" s="33" t="str">
        <f>IFERROR(IF(B268="","",VLOOKUP(B268,LISTAS!$F$5:$G$1004,2,0)),"0")</f>
        <v>ABACO IPIRANGA</v>
      </c>
      <c r="D268" s="33" t="str">
        <f>IF(H268&lt;3,"",IF(H268=3,IF(D274&lt;&gt;"",IF(H274&lt;&gt;"",IF(D274&lt;&gt;H274,IF(D274&gt;H274,"V","D"),""),""),"")))</f>
        <v>V</v>
      </c>
      <c r="E268" s="33" t="str">
        <f>IF(H268&lt;3,"",IF(H268=3,IF(D276&lt;&gt;"",IF(H276&lt;&gt;"",IF(D276&lt;&gt;H276,IF(D276&gt;H276,"V","D"),""),""),"")))</f>
        <v>V</v>
      </c>
      <c r="F268" s="33" t="s">
        <v>81</v>
      </c>
      <c r="G268" s="33" t="s">
        <v>81</v>
      </c>
      <c r="H268" s="117">
        <f>COUNTA(B268:B270)</f>
        <v>3</v>
      </c>
      <c r="I268" s="33">
        <f>IF(B268&lt;&gt;"",1,"")</f>
        <v>1</v>
      </c>
      <c r="J268" s="33" t="str">
        <f>IF(I268&lt;&gt;"",P268,"")</f>
        <v>FELIPE JARDIM FERRARI</v>
      </c>
      <c r="K268" s="33" t="str">
        <f>IFERROR(IF(J268="","",VLOOKUP(J268,LISTAS!$F$5:$G$1004,2,0)),"0")</f>
        <v>ABACO IPIRANGA</v>
      </c>
      <c r="L268" s="130" t="str">
        <f>IF(H268=3,"OURO",IF(H268=4,"OURO",IF(H268=5,"OURO","")))</f>
        <v>OURO</v>
      </c>
      <c r="M268" s="20">
        <f>IF(B268&lt;&gt;"",COUNTIF(D268:G268,"V")+(SUMIF(B274:B276,B268,D274:E276)/1000)+(SUMIF(J274:J276,B268,H274:I276)/1000)-(SUMIF(B274:B276,B268,H274:I276)/1000)-(SUMIF(J274:J276,B268,D274:E276)/1000)+0.003,"")</f>
        <v>2.0070000000000001</v>
      </c>
      <c r="N268" s="20" t="str">
        <f>IF(B268="","",B268)</f>
        <v>FELIPE JARDIM FERRARI</v>
      </c>
      <c r="O268" s="20">
        <f>IF(B268&lt;&gt;"",LARGE(M268:M270,1),"")</f>
        <v>2.0070000000000001</v>
      </c>
      <c r="P268" s="20" t="str">
        <f>VLOOKUP(O268,M268:N270,2,0)</f>
        <v>FELIPE JARDIM FERRARI</v>
      </c>
    </row>
    <row r="269" spans="2:16" ht="18" customHeight="1" x14ac:dyDescent="0.25">
      <c r="B269" s="33" t="s">
        <v>237</v>
      </c>
      <c r="C269" s="33" t="str">
        <f>IFERROR(IF(B269="","",VLOOKUP(B269,LISTAS!$F$5:$G$1004,2,0)),"0")</f>
        <v>COLÉGIO ARBOS - UNIDADE SANTO ANDRÉ</v>
      </c>
      <c r="D269" s="33" t="str">
        <f>IF(H268&lt;3,"",IF(H268=3,IF(D275&lt;&gt;"",IF(H275&lt;&gt;"",IF(D275&lt;&gt;H275,IF(D275&gt;H275,"V","D"),""),""),"")))</f>
        <v>D</v>
      </c>
      <c r="E269" s="33" t="str">
        <f>IF(H268&lt;3,"",IF(H268=3,IF(D276&lt;&gt;"",IF(H276&lt;&gt;"",IF(D276&lt;&gt;H276,IF(D276&gt;H276,"D","V"),""),""),"")))</f>
        <v>D</v>
      </c>
      <c r="F269" s="33" t="s">
        <v>81</v>
      </c>
      <c r="G269" s="33" t="s">
        <v>81</v>
      </c>
      <c r="H269" s="117"/>
      <c r="I269" s="33">
        <f>IF(B269&lt;&gt;"",2,"")</f>
        <v>2</v>
      </c>
      <c r="J269" s="33" t="str">
        <f>IF(I269&lt;&gt;"",P269,"")</f>
        <v>ENZO MAIA DENTE</v>
      </c>
      <c r="K269" s="33" t="str">
        <f>IFERROR(IF(J269="","",VLOOKUP(J269,LISTAS!$F$5:$G$1004,2,0)),"0")</f>
        <v>COLÉGIO ATENEU</v>
      </c>
      <c r="L269" s="130" t="str">
        <f>IF(H268=3,"PRATA",IF(H268=4,"OURO",IF(H268=5,"OURO","")))</f>
        <v>PRATA</v>
      </c>
      <c r="M269" s="20">
        <f>IF(B269&lt;&gt;"",COUNTIF(D269:G269,"V")+(SUMIF(B274:B276,B269,D274:E276)/1000)+(SUMIF(J274:J276,B269,H274:I276)/1000)-(SUMIF(B274:B276,B269,H274:I276)/1000)-(SUMIF(J274:J276,B269,D274:E276)/1000)+0.002,"")</f>
        <v>-2E-3</v>
      </c>
      <c r="N269" s="20" t="str">
        <f t="shared" ref="N269" si="19">IF(B269="","",B269)</f>
        <v>DAVI VALLS GARBIN</v>
      </c>
      <c r="O269" s="20">
        <f>IF(B269&lt;&gt;"",LARGE(M268:M270,2),"")</f>
        <v>1.0009999999999999</v>
      </c>
      <c r="P269" s="20" t="str">
        <f>VLOOKUP(O269,M268:N270,2,0)</f>
        <v>ENZO MAIA DENTE</v>
      </c>
    </row>
    <row r="270" spans="2:16" ht="18" customHeight="1" x14ac:dyDescent="0.25">
      <c r="B270" s="33" t="s">
        <v>243</v>
      </c>
      <c r="C270" s="33" t="str">
        <f>IFERROR(IF(B270="","",VLOOKUP(B270,LISTAS!$F$5:$G$1004,2,0)),"0")</f>
        <v>COLÉGIO ATENEU</v>
      </c>
      <c r="D270" s="33" t="str">
        <f>IF(H268&lt;3,"",IF(H268=3,IF(D274&lt;&gt;"",IF(H274&lt;&gt;"",IF(D274&lt;&gt;H274,IF(D274&gt;H274,"D","V"),""),""),"")))</f>
        <v>D</v>
      </c>
      <c r="E270" s="33" t="str">
        <f>IF(H268&lt;3,"",IF(H268=3,IF(D275&lt;&gt;"",IF(H275&lt;&gt;"",IF(D275&lt;&gt;H275,IF(D275&gt;H275,"D","V"),""),""),"")))</f>
        <v>V</v>
      </c>
      <c r="F270" s="33" t="s">
        <v>81</v>
      </c>
      <c r="G270" s="33" t="s">
        <v>81</v>
      </c>
      <c r="H270" s="117"/>
      <c r="I270" s="33">
        <f>IF(B270&lt;&gt;"",3,"")</f>
        <v>3</v>
      </c>
      <c r="J270" s="33" t="str">
        <f>IF(I270&lt;&gt;"",P270,"")</f>
        <v>DAVI VALLS GARBIN</v>
      </c>
      <c r="K270" s="33" t="str">
        <f>IFERROR(IF(J270="","",VLOOKUP(J270,LISTAS!$F$5:$G$1004,2,0)),"0")</f>
        <v>COLÉGIO ARBOS - UNIDADE SANTO ANDRÉ</v>
      </c>
      <c r="L270" s="130" t="str">
        <f>IF(H268=3,"BRONZE",IF(H268=4,"PRATA",IF(H268=5,"OURO","")))</f>
        <v>BRONZE</v>
      </c>
      <c r="M270" s="20">
        <f>IF(B270&lt;&gt;"",COUNTIF(D270:G270,"V")+(SUMIF(B274:B276,B270,D274:E276)/1000)+(SUMIF(J274:J276,B270,H274:I276)/1000)-(SUMIF(B274:B276,B270,H274:I276)/1000)-(SUMIF(J274:J276,B270,D274:E276)/1000)+0.001,"")</f>
        <v>1.0009999999999999</v>
      </c>
      <c r="N270" s="20" t="str">
        <f>IF(B270="","",B270)</f>
        <v>ENZO MAIA DENTE</v>
      </c>
      <c r="O270" s="20">
        <f>IF(B270&lt;&gt;"",LARGE(M268:M270,3),"")</f>
        <v>-2E-3</v>
      </c>
      <c r="P270" s="20" t="str">
        <f>VLOOKUP(O270,M268:N270,2,0)</f>
        <v>DAVI VALLS GARBIN</v>
      </c>
    </row>
    <row r="271" spans="2:16" ht="18" customHeight="1" x14ac:dyDescent="0.25">
      <c r="B271" s="79"/>
      <c r="C271" s="79"/>
      <c r="D271" s="79"/>
      <c r="E271" s="79"/>
      <c r="F271" s="79"/>
      <c r="G271" s="79"/>
      <c r="I271" s="80"/>
      <c r="J271" s="79"/>
      <c r="K271" s="81"/>
      <c r="L271" s="81"/>
    </row>
    <row r="272" spans="2:16" ht="23.25" customHeight="1" x14ac:dyDescent="0.25">
      <c r="B272" s="82" t="s">
        <v>40</v>
      </c>
      <c r="C272" s="79"/>
      <c r="D272" s="79"/>
      <c r="E272" s="79"/>
      <c r="F272" s="79"/>
      <c r="G272" s="79"/>
      <c r="H272" s="79"/>
      <c r="I272" s="79"/>
      <c r="J272" s="79"/>
      <c r="K272" s="79"/>
      <c r="L272" s="79"/>
    </row>
    <row r="273" spans="2:16" ht="18" customHeight="1" x14ac:dyDescent="0.25">
      <c r="B273" s="132" t="s">
        <v>15</v>
      </c>
      <c r="C273" s="132" t="s">
        <v>0</v>
      </c>
      <c r="D273" s="258" t="s">
        <v>41</v>
      </c>
      <c r="E273" s="259"/>
      <c r="F273" s="259"/>
      <c r="G273" s="259"/>
      <c r="H273" s="259"/>
      <c r="I273" s="260"/>
      <c r="J273" s="132" t="s">
        <v>15</v>
      </c>
      <c r="K273" s="132" t="s">
        <v>0</v>
      </c>
      <c r="L273" s="79"/>
    </row>
    <row r="274" spans="2:16" ht="18" customHeight="1" x14ac:dyDescent="0.25">
      <c r="B274" s="33" t="str">
        <f>IF(H268=3,B268,"")</f>
        <v>FELIPE JARDIM FERRARI</v>
      </c>
      <c r="C274" s="33" t="str">
        <f>IFERROR(IF(B274="","",VLOOKUP(B274,LISTAS!$F$5:$G$1004,2,0)),"0")</f>
        <v>ABACO IPIRANGA</v>
      </c>
      <c r="D274" s="253">
        <v>2</v>
      </c>
      <c r="E274" s="254"/>
      <c r="F274" s="253" t="s">
        <v>38</v>
      </c>
      <c r="G274" s="254"/>
      <c r="H274" s="253">
        <v>0</v>
      </c>
      <c r="I274" s="254"/>
      <c r="J274" s="111" t="str">
        <f>IF(H268=3,B270,"")</f>
        <v>ENZO MAIA DENTE</v>
      </c>
      <c r="K274" s="33" t="str">
        <f>IFERROR(IF(J274="","",VLOOKUP(J274,LISTAS!$F$5:$G$1004,2,0)),"0")</f>
        <v>COLÉGIO ATENEU</v>
      </c>
      <c r="L274" s="81"/>
    </row>
    <row r="275" spans="2:16" ht="18" customHeight="1" x14ac:dyDescent="0.25">
      <c r="B275" s="33" t="str">
        <f>IF(H268=3,B269,"")</f>
        <v>DAVI VALLS GARBIN</v>
      </c>
      <c r="C275" s="33" t="str">
        <f>IFERROR(IF(B275="","",VLOOKUP(B275,LISTAS!$F$5:$G$1004,2,0)),"0")</f>
        <v>COLÉGIO ARBOS - UNIDADE SANTO ANDRÉ</v>
      </c>
      <c r="D275" s="253">
        <v>0</v>
      </c>
      <c r="E275" s="254"/>
      <c r="F275" s="253" t="s">
        <v>38</v>
      </c>
      <c r="G275" s="254"/>
      <c r="H275" s="253">
        <v>2</v>
      </c>
      <c r="I275" s="254"/>
      <c r="J275" s="111" t="str">
        <f>IF(H268=3,B270,"")</f>
        <v>ENZO MAIA DENTE</v>
      </c>
      <c r="K275" s="33" t="str">
        <f>IFERROR(IF(J275="","",VLOOKUP(J275,LISTAS!$F$5:$G$1004,2,0)),"0")</f>
        <v>COLÉGIO ATENEU</v>
      </c>
      <c r="L275" s="79"/>
    </row>
    <row r="276" spans="2:16" ht="18" customHeight="1" x14ac:dyDescent="0.25">
      <c r="B276" s="33" t="str">
        <f>IF(H268=3,B268,"")</f>
        <v>FELIPE JARDIM FERRARI</v>
      </c>
      <c r="C276" s="33" t="str">
        <f>IFERROR(IF(B276="","",VLOOKUP(B276,LISTAS!$F$5:$G$1004,2,0)),"0")</f>
        <v>ABACO IPIRANGA</v>
      </c>
      <c r="D276" s="253">
        <v>2</v>
      </c>
      <c r="E276" s="254"/>
      <c r="F276" s="253" t="s">
        <v>38</v>
      </c>
      <c r="G276" s="254"/>
      <c r="H276" s="253">
        <v>0</v>
      </c>
      <c r="I276" s="254"/>
      <c r="J276" s="111" t="str">
        <f>IF(H268=3,B269,"")</f>
        <v>DAVI VALLS GARBIN</v>
      </c>
      <c r="K276" s="33" t="str">
        <f>IFERROR(IF(J276="","",VLOOKUP(J276,LISTAS!$F$5:$G$1004,2,0)),"0")</f>
        <v>COLÉGIO ARBOS - UNIDADE SANTO ANDRÉ</v>
      </c>
      <c r="L276" s="81"/>
    </row>
    <row r="279" spans="2:16" ht="30" customHeight="1" x14ac:dyDescent="0.25">
      <c r="B279" s="161" t="s">
        <v>65</v>
      </c>
      <c r="C279" s="79"/>
      <c r="D279" s="255" t="s">
        <v>42</v>
      </c>
      <c r="E279" s="256"/>
      <c r="F279" s="256"/>
      <c r="G279" s="257"/>
      <c r="H279" s="113"/>
      <c r="I279" s="255" t="s">
        <v>3</v>
      </c>
      <c r="J279" s="256"/>
      <c r="K279" s="256"/>
      <c r="L279" s="256"/>
    </row>
    <row r="280" spans="2:16" ht="18" customHeight="1" x14ac:dyDescent="0.25">
      <c r="B280" s="132" t="s">
        <v>15</v>
      </c>
      <c r="C280" s="132" t="s">
        <v>0</v>
      </c>
      <c r="D280" s="132" t="s">
        <v>43</v>
      </c>
      <c r="E280" s="132" t="s">
        <v>44</v>
      </c>
      <c r="F280" s="132" t="s">
        <v>77</v>
      </c>
      <c r="G280" s="132" t="s">
        <v>78</v>
      </c>
      <c r="H280" s="114"/>
      <c r="I280" s="132" t="s">
        <v>18</v>
      </c>
      <c r="J280" s="132" t="s">
        <v>15</v>
      </c>
      <c r="K280" s="132" t="s">
        <v>0</v>
      </c>
      <c r="L280" s="132" t="s">
        <v>45</v>
      </c>
    </row>
    <row r="281" spans="2:16" ht="18" customHeight="1" x14ac:dyDescent="0.25">
      <c r="B281" s="33" t="s">
        <v>601</v>
      </c>
      <c r="C281" s="33" t="str">
        <f>IFERROR(IF(B281="","",VLOOKUP(B281,LISTAS!$F$5:$G$1004,2,0)),"0")</f>
        <v>BYE</v>
      </c>
      <c r="D281" s="33" t="str">
        <f>IF(H281&lt;3,"",IF(H281=3,IF(D287&lt;&gt;"",IF(H287&lt;&gt;"",IF(D287&lt;&gt;H287,IF(D287&gt;H287,"V","D"),""),""),"")))</f>
        <v>D</v>
      </c>
      <c r="E281" s="33" t="str">
        <f>IF(H281&lt;3,"",IF(H281=3,IF(D289&lt;&gt;"",IF(H289&lt;&gt;"",IF(D289&lt;&gt;H289,IF(D289&gt;H289,"V","D"),""),""),"")))</f>
        <v>D</v>
      </c>
      <c r="F281" s="33" t="s">
        <v>81</v>
      </c>
      <c r="G281" s="33" t="s">
        <v>81</v>
      </c>
      <c r="H281" s="117">
        <f>COUNTA(B281:B283)</f>
        <v>3</v>
      </c>
      <c r="I281" s="33">
        <f>IF(B281&lt;&gt;"",1,"")</f>
        <v>1</v>
      </c>
      <c r="J281" s="33" t="str">
        <f>IF(I281&lt;&gt;"",P281,"")</f>
        <v>BENÍCIO BEDUSCHI BUCCERONI</v>
      </c>
      <c r="K281" s="33" t="str">
        <f>IFERROR(IF(J281="","",VLOOKUP(J281,LISTAS!$F$5:$G$1004,2,0)),"0")</f>
        <v>COLÉGIO ARBOS SÃO CAETANO DO SUL</v>
      </c>
      <c r="L281" s="130" t="str">
        <f>IF(H281=3,"OURO",IF(H281=4,"OURO",IF(H281=5,"OURO","")))</f>
        <v>OURO</v>
      </c>
      <c r="M281" s="20">
        <f>IF(B281&lt;&gt;"",COUNTIF(D281:G281,"V")+(SUMIF(B287:B289,B281,D287:E289)/1000)+(SUMIF(J287:J289,B281,H287:I289)/1000)-(SUMIF(B287:B289,B281,H287:I289)/1000)-(SUMIF(J287:J289,B281,D287:E289)/1000)+0.003,"")</f>
        <v>-1E-3</v>
      </c>
      <c r="N281" s="20" t="str">
        <f>IF(B281="","",B281)</f>
        <v>BYE</v>
      </c>
      <c r="O281" s="20">
        <f>IF(B281&lt;&gt;"",LARGE(M281:M283,1),"")</f>
        <v>2.0049999999999999</v>
      </c>
      <c r="P281" s="20" t="str">
        <f>VLOOKUP(O281,M281:N283,2,0)</f>
        <v>BENÍCIO BEDUSCHI BUCCERONI</v>
      </c>
    </row>
    <row r="282" spans="2:16" ht="18" customHeight="1" x14ac:dyDescent="0.25">
      <c r="B282" s="33" t="s">
        <v>254</v>
      </c>
      <c r="C282" s="33" t="str">
        <f>IFERROR(IF(B282="","",VLOOKUP(B282,LISTAS!$F$5:$G$1004,2,0)),"0")</f>
        <v>ABACO IPIRANGA</v>
      </c>
      <c r="D282" s="33" t="str">
        <f>IF(H281&lt;3,"",IF(H281=3,IF(D288&lt;&gt;"",IF(H288&lt;&gt;"",IF(D288&lt;&gt;H288,IF(D288&gt;H288,"V","D"),""),""),"")))</f>
        <v>D</v>
      </c>
      <c r="E282" s="33" t="str">
        <f>IF(H281&lt;3,"",IF(H281=3,IF(D289&lt;&gt;"",IF(H289&lt;&gt;"",IF(D289&lt;&gt;H289,IF(D289&gt;H289,"D","V"),""),""),"")))</f>
        <v>V</v>
      </c>
      <c r="F282" s="33" t="s">
        <v>81</v>
      </c>
      <c r="G282" s="33" t="s">
        <v>81</v>
      </c>
      <c r="H282" s="117"/>
      <c r="I282" s="33">
        <f>IF(B282&lt;&gt;"",2,"")</f>
        <v>2</v>
      </c>
      <c r="J282" s="33" t="str">
        <f>IF(I282&lt;&gt;"",P282,"")</f>
        <v>FERNANDO CONSTANTINO DE SANTI MARTINI</v>
      </c>
      <c r="K282" s="33" t="str">
        <f>IFERROR(IF(J282="","",VLOOKUP(J282,LISTAS!$F$5:$G$1004,2,0)),"0")</f>
        <v>ABACO IPIRANGA</v>
      </c>
      <c r="L282" s="130" t="str">
        <f>IF(H281=3,"PRATA",IF(H281=4,"OURO",IF(H281=5,"OURO","")))</f>
        <v>PRATA</v>
      </c>
      <c r="M282" s="20">
        <f>IF(B282&lt;&gt;"",COUNTIF(D282:G282,"V")+(SUMIF(B287:B289,B282,D287:E289)/1000)+(SUMIF(J287:J289,B282,H287:I289)/1000)-(SUMIF(B287:B289,B282,H287:I289)/1000)-(SUMIF(J287:J289,B282,D287:E289)/1000)+0.002,"")</f>
        <v>1.002</v>
      </c>
      <c r="N282" s="20" t="str">
        <f t="shared" ref="N282" si="20">IF(B282="","",B282)</f>
        <v>FERNANDO CONSTANTINO DE SANTI MARTINI</v>
      </c>
      <c r="O282" s="20">
        <f>IF(B282&lt;&gt;"",LARGE(M281:M283,2),"")</f>
        <v>1.002</v>
      </c>
      <c r="P282" s="20" t="str">
        <f>VLOOKUP(O282,M281:N283,2,0)</f>
        <v>FERNANDO CONSTANTINO DE SANTI MARTINI</v>
      </c>
    </row>
    <row r="283" spans="2:16" ht="18" customHeight="1" x14ac:dyDescent="0.25">
      <c r="B283" s="33" t="s">
        <v>218</v>
      </c>
      <c r="C283" s="33" t="str">
        <f>IFERROR(IF(B283="","",VLOOKUP(B283,LISTAS!$F$5:$G$1004,2,0)),"0")</f>
        <v>COLÉGIO ARBOS SÃO CAETANO DO SUL</v>
      </c>
      <c r="D283" s="33" t="str">
        <f>IF(H281&lt;3,"",IF(H281=3,IF(D287&lt;&gt;"",IF(H287&lt;&gt;"",IF(D287&lt;&gt;H287,IF(D287&gt;H287,"D","V"),""),""),"")))</f>
        <v>V</v>
      </c>
      <c r="E283" s="33" t="str">
        <f>IF(H281&lt;3,"",IF(H281=3,IF(D288&lt;&gt;"",IF(H288&lt;&gt;"",IF(D288&lt;&gt;H288,IF(D288&gt;H288,"D","V"),""),""),"")))</f>
        <v>V</v>
      </c>
      <c r="F283" s="33" t="s">
        <v>81</v>
      </c>
      <c r="G283" s="33" t="s">
        <v>81</v>
      </c>
      <c r="H283" s="117"/>
      <c r="I283" s="33">
        <f>IF(B283&lt;&gt;"",3,"")</f>
        <v>3</v>
      </c>
      <c r="J283" s="33" t="str">
        <f>IF(I283&lt;&gt;"",P283,"")</f>
        <v>BYE</v>
      </c>
      <c r="K283" s="33" t="str">
        <f>IFERROR(IF(J283="","",VLOOKUP(J283,LISTAS!$F$5:$G$1004,2,0)),"0")</f>
        <v>BYE</v>
      </c>
      <c r="L283" s="130" t="str">
        <f>IF(H281=3,"BRONZE",IF(H281=4,"PRATA",IF(H281=5,"OURO","")))</f>
        <v>BRONZE</v>
      </c>
      <c r="M283" s="20">
        <f>IF(B283&lt;&gt;"",COUNTIF(D283:G283,"V")+(SUMIF(B287:B289,B283,D287:E289)/1000)+(SUMIF(J287:J289,B283,H287:I289)/1000)-(SUMIF(B287:B289,B283,H287:I289)/1000)-(SUMIF(J287:J289,B283,D287:E289)/1000)+0.001,"")</f>
        <v>2.0049999999999999</v>
      </c>
      <c r="N283" s="20" t="str">
        <f>IF(B283="","",B283)</f>
        <v>BENÍCIO BEDUSCHI BUCCERONI</v>
      </c>
      <c r="O283" s="20">
        <f>IF(B283&lt;&gt;"",LARGE(M281:M283,3),"")</f>
        <v>-1E-3</v>
      </c>
      <c r="P283" s="20" t="str">
        <f>VLOOKUP(O283,M281:N283,2,0)</f>
        <v>BYE</v>
      </c>
    </row>
    <row r="284" spans="2:16" ht="18" customHeight="1" x14ac:dyDescent="0.25">
      <c r="B284" s="79"/>
      <c r="C284" s="79"/>
      <c r="D284" s="79"/>
      <c r="E284" s="79"/>
      <c r="F284" s="79"/>
      <c r="G284" s="79"/>
      <c r="I284" s="80"/>
      <c r="J284" s="79"/>
      <c r="K284" s="81"/>
      <c r="L284" s="81"/>
    </row>
    <row r="285" spans="2:16" ht="23.25" customHeight="1" x14ac:dyDescent="0.25">
      <c r="B285" s="82" t="s">
        <v>40</v>
      </c>
      <c r="C285" s="79"/>
      <c r="D285" s="79"/>
      <c r="E285" s="79"/>
      <c r="F285" s="79"/>
      <c r="G285" s="79"/>
      <c r="H285" s="79"/>
      <c r="I285" s="79"/>
      <c r="J285" s="79"/>
      <c r="K285" s="79"/>
      <c r="L285" s="79"/>
    </row>
    <row r="286" spans="2:16" ht="18" customHeight="1" x14ac:dyDescent="0.25">
      <c r="B286" s="132" t="s">
        <v>15</v>
      </c>
      <c r="C286" s="132" t="s">
        <v>0</v>
      </c>
      <c r="D286" s="258" t="s">
        <v>41</v>
      </c>
      <c r="E286" s="259"/>
      <c r="F286" s="259"/>
      <c r="G286" s="259"/>
      <c r="H286" s="259"/>
      <c r="I286" s="260"/>
      <c r="J286" s="132" t="s">
        <v>15</v>
      </c>
      <c r="K286" s="132" t="s">
        <v>0</v>
      </c>
      <c r="L286" s="79"/>
    </row>
    <row r="287" spans="2:16" ht="18" customHeight="1" x14ac:dyDescent="0.25">
      <c r="B287" s="33" t="str">
        <f>IF(H281=3,B281,"")</f>
        <v>BYE</v>
      </c>
      <c r="C287" s="33" t="str">
        <f>IFERROR(IF(B287="","",VLOOKUP(B287,LISTAS!$F$5:$G$1004,2,0)),"0")</f>
        <v>BYE</v>
      </c>
      <c r="D287" s="253">
        <v>0</v>
      </c>
      <c r="E287" s="254"/>
      <c r="F287" s="253" t="s">
        <v>38</v>
      </c>
      <c r="G287" s="254"/>
      <c r="H287" s="253">
        <v>2</v>
      </c>
      <c r="I287" s="254"/>
      <c r="J287" s="111" t="str">
        <f>IF(H281=3,B283,"")</f>
        <v>BENÍCIO BEDUSCHI BUCCERONI</v>
      </c>
      <c r="K287" s="33" t="str">
        <f>IFERROR(IF(J287="","",VLOOKUP(J287,LISTAS!$F$5:$G$1004,2,0)),"0")</f>
        <v>COLÉGIO ARBOS SÃO CAETANO DO SUL</v>
      </c>
      <c r="L287" s="81"/>
    </row>
    <row r="288" spans="2:16" ht="18" customHeight="1" x14ac:dyDescent="0.25">
      <c r="B288" s="33" t="str">
        <f>IF(H281=3,B282,"")</f>
        <v>FERNANDO CONSTANTINO DE SANTI MARTINI</v>
      </c>
      <c r="C288" s="33" t="str">
        <f>IFERROR(IF(B288="","",VLOOKUP(B288,LISTAS!$F$5:$G$1004,2,0)),"0")</f>
        <v>ABACO IPIRANGA</v>
      </c>
      <c r="D288" s="253">
        <v>0</v>
      </c>
      <c r="E288" s="254"/>
      <c r="F288" s="253" t="s">
        <v>38</v>
      </c>
      <c r="G288" s="254"/>
      <c r="H288" s="253">
        <v>2</v>
      </c>
      <c r="I288" s="254"/>
      <c r="J288" s="111" t="str">
        <f>IF(H281=3,B283,"")</f>
        <v>BENÍCIO BEDUSCHI BUCCERONI</v>
      </c>
      <c r="K288" s="33" t="str">
        <f>IFERROR(IF(J288="","",VLOOKUP(J288,LISTAS!$F$5:$G$1004,2,0)),"0")</f>
        <v>COLÉGIO ARBOS SÃO CAETANO DO SUL</v>
      </c>
      <c r="L288" s="79"/>
    </row>
    <row r="289" spans="2:16" ht="18" customHeight="1" x14ac:dyDescent="0.25">
      <c r="B289" s="33" t="str">
        <f>IF(H281=3,B281,"")</f>
        <v>BYE</v>
      </c>
      <c r="C289" s="33" t="str">
        <f>IFERROR(IF(B289="","",VLOOKUP(B289,LISTAS!$F$5:$G$1004,2,0)),"0")</f>
        <v>BYE</v>
      </c>
      <c r="D289" s="253">
        <v>0</v>
      </c>
      <c r="E289" s="254"/>
      <c r="F289" s="253" t="s">
        <v>38</v>
      </c>
      <c r="G289" s="254"/>
      <c r="H289" s="253">
        <v>2</v>
      </c>
      <c r="I289" s="254"/>
      <c r="J289" s="111" t="str">
        <f>IF(H281=3,B282,"")</f>
        <v>FERNANDO CONSTANTINO DE SANTI MARTINI</v>
      </c>
      <c r="K289" s="33" t="str">
        <f>IFERROR(IF(J289="","",VLOOKUP(J289,LISTAS!$F$5:$G$1004,2,0)),"0")</f>
        <v>ABACO IPIRANGA</v>
      </c>
      <c r="L289" s="81"/>
    </row>
    <row r="292" spans="2:16" ht="30" customHeight="1" x14ac:dyDescent="0.25">
      <c r="B292" s="161" t="s">
        <v>66</v>
      </c>
      <c r="C292" s="79"/>
      <c r="D292" s="255" t="s">
        <v>42</v>
      </c>
      <c r="E292" s="256"/>
      <c r="F292" s="256"/>
      <c r="G292" s="257"/>
      <c r="H292" s="113"/>
      <c r="I292" s="255" t="s">
        <v>3</v>
      </c>
      <c r="J292" s="256"/>
      <c r="K292" s="256"/>
      <c r="L292" s="256"/>
    </row>
    <row r="293" spans="2:16" ht="18" customHeight="1" x14ac:dyDescent="0.25">
      <c r="B293" s="132" t="s">
        <v>15</v>
      </c>
      <c r="C293" s="132" t="s">
        <v>0</v>
      </c>
      <c r="D293" s="132" t="s">
        <v>43</v>
      </c>
      <c r="E293" s="132" t="s">
        <v>44</v>
      </c>
      <c r="F293" s="132" t="s">
        <v>77</v>
      </c>
      <c r="G293" s="132" t="s">
        <v>78</v>
      </c>
      <c r="H293" s="114"/>
      <c r="I293" s="132" t="s">
        <v>18</v>
      </c>
      <c r="J293" s="132" t="s">
        <v>15</v>
      </c>
      <c r="K293" s="132" t="s">
        <v>0</v>
      </c>
      <c r="L293" s="132" t="s">
        <v>45</v>
      </c>
    </row>
    <row r="294" spans="2:16" ht="18" customHeight="1" x14ac:dyDescent="0.25">
      <c r="B294" s="33" t="s">
        <v>253</v>
      </c>
      <c r="C294" s="33" t="str">
        <f>IFERROR(IF(B294="","",VLOOKUP(B294,LISTAS!$F$5:$G$1004,2,0)),"0")</f>
        <v>COLÉGIO ARBOS SÃO CAETANO DO SUL</v>
      </c>
      <c r="D294" s="33" t="str">
        <f>IF(H294&lt;3,"",IF(H294=3,IF(D300&lt;&gt;"",IF(H300&lt;&gt;"",IF(D300&lt;&gt;H300,IF(D300&gt;H300,"V","D"),""),""),"")))</f>
        <v>D</v>
      </c>
      <c r="E294" s="33" t="str">
        <f>IF(H294&lt;3,"",IF(H294=3,IF(D302&lt;&gt;"",IF(H302&lt;&gt;"",IF(D302&lt;&gt;H302,IF(D302&gt;H302,"V","D"),""),""),"")))</f>
        <v>D</v>
      </c>
      <c r="F294" s="33" t="s">
        <v>81</v>
      </c>
      <c r="G294" s="33" t="s">
        <v>81</v>
      </c>
      <c r="H294" s="117">
        <f>COUNTA(B294:B296)</f>
        <v>3</v>
      </c>
      <c r="I294" s="33">
        <f>IF(B294&lt;&gt;"",1,"")</f>
        <v>1</v>
      </c>
      <c r="J294" s="33" t="str">
        <f>IF(I294&lt;&gt;"",P294,"")</f>
        <v>LUCAS YUJI UEHARA</v>
      </c>
      <c r="K294" s="33" t="str">
        <f>IFERROR(IF(J294="","",VLOOKUP(J294,LISTAS!$F$5:$G$1004,2,0)),"0")</f>
        <v>PEN LIFE</v>
      </c>
      <c r="L294" s="130" t="str">
        <f>IF(H294=3,"OURO",IF(H294=4,"OURO",IF(H294=5,"OURO","")))</f>
        <v>OURO</v>
      </c>
      <c r="M294" s="20">
        <f>IF(B294&lt;&gt;"",COUNTIF(D294:G294,"V")+(SUMIF(B300:B302,B294,D300:E302)/1000)+(SUMIF(J300:J302,B294,H300:I302)/1000)-(SUMIF(B300:B302,B294,H300:I302)/1000)-(SUMIF(J300:J302,B294,D300:E302)/1000)+0.003,"")</f>
        <v>-1E-3</v>
      </c>
      <c r="N294" s="20" t="str">
        <f>IF(B294="","",B294)</f>
        <v>FELIPE VENEROSO SILVA</v>
      </c>
      <c r="O294" s="20">
        <f>IF(B294&lt;&gt;"",LARGE(M294:M296,1),"")</f>
        <v>2.0059999999999993</v>
      </c>
      <c r="P294" s="20" t="str">
        <f>VLOOKUP(O294,M294:N296,2,0)</f>
        <v>LUCAS YUJI UEHARA</v>
      </c>
    </row>
    <row r="295" spans="2:16" ht="18" customHeight="1" x14ac:dyDescent="0.25">
      <c r="B295" s="33" t="s">
        <v>305</v>
      </c>
      <c r="C295" s="33" t="str">
        <f>IFERROR(IF(B295="","",VLOOKUP(B295,LISTAS!$F$5:$G$1004,2,0)),"0")</f>
        <v>PEN LIFE</v>
      </c>
      <c r="D295" s="33" t="str">
        <f>IF(H294&lt;3,"",IF(H294=3,IF(D301&lt;&gt;"",IF(H301&lt;&gt;"",IF(D301&lt;&gt;H301,IF(D301&gt;H301,"V","D"),""),""),"")))</f>
        <v>V</v>
      </c>
      <c r="E295" s="33" t="str">
        <f>IF(H294&lt;3,"",IF(H294=3,IF(D302&lt;&gt;"",IF(H302&lt;&gt;"",IF(D302&lt;&gt;H302,IF(D302&gt;H302,"D","V"),""),""),"")))</f>
        <v>V</v>
      </c>
      <c r="F295" s="33" t="s">
        <v>81</v>
      </c>
      <c r="G295" s="33" t="s">
        <v>81</v>
      </c>
      <c r="H295" s="117"/>
      <c r="I295" s="33">
        <f>IF(B295&lt;&gt;"",2,"")</f>
        <v>2</v>
      </c>
      <c r="J295" s="33" t="str">
        <f>IF(I295&lt;&gt;"",P295,"")</f>
        <v>GABRIEL BISCHOFF LOIOLA</v>
      </c>
      <c r="K295" s="33" t="str">
        <f>IFERROR(IF(J295="","",VLOOKUP(J295,LISTAS!$F$5:$G$1004,2,0)),"0")</f>
        <v>ABACO IPIRANGA</v>
      </c>
      <c r="L295" s="130" t="str">
        <f>IF(H294=3,"PRATA",IF(H294=4,"OURO",IF(H294=5,"OURO","")))</f>
        <v>PRATA</v>
      </c>
      <c r="M295" s="20">
        <f>IF(B295&lt;&gt;"",COUNTIF(D295:G295,"V")+(SUMIF(B300:B302,B295,D300:E302)/1000)+(SUMIF(J300:J302,B295,H300:I302)/1000)-(SUMIF(B300:B302,B295,H300:I302)/1000)-(SUMIF(J300:J302,B295,D300:E302)/1000)+0.002,"")</f>
        <v>2.0059999999999993</v>
      </c>
      <c r="N295" s="20" t="str">
        <f t="shared" ref="N295" si="21">IF(B295="","",B295)</f>
        <v>LUCAS YUJI UEHARA</v>
      </c>
      <c r="O295" s="20">
        <f>IF(B295&lt;&gt;"",LARGE(M294:M296,2),"")</f>
        <v>1.0009999999999999</v>
      </c>
      <c r="P295" s="20" t="str">
        <f>VLOOKUP(O295,M294:N296,2,0)</f>
        <v>GABRIEL BISCHOFF LOIOLA</v>
      </c>
    </row>
    <row r="296" spans="2:16" ht="18" customHeight="1" x14ac:dyDescent="0.25">
      <c r="B296" s="33" t="s">
        <v>258</v>
      </c>
      <c r="C296" s="33" t="str">
        <f>IFERROR(IF(B296="","",VLOOKUP(B296,LISTAS!$F$5:$G$1004,2,0)),"0")</f>
        <v>ABACO IPIRANGA</v>
      </c>
      <c r="D296" s="33" t="str">
        <f>IF(H294&lt;3,"",IF(H294=3,IF(D300&lt;&gt;"",IF(H300&lt;&gt;"",IF(D300&lt;&gt;H300,IF(D300&gt;H300,"D","V"),""),""),"")))</f>
        <v>V</v>
      </c>
      <c r="E296" s="33" t="str">
        <f>IF(H294&lt;3,"",IF(H294=3,IF(D301&lt;&gt;"",IF(H301&lt;&gt;"",IF(D301&lt;&gt;H301,IF(D301&gt;H301,"D","V"),""),""),"")))</f>
        <v>D</v>
      </c>
      <c r="F296" s="33" t="s">
        <v>81</v>
      </c>
      <c r="G296" s="33" t="s">
        <v>81</v>
      </c>
      <c r="H296" s="117"/>
      <c r="I296" s="33">
        <f>IF(B296&lt;&gt;"",3,"")</f>
        <v>3</v>
      </c>
      <c r="J296" s="33" t="str">
        <f>IF(I296&lt;&gt;"",P296,"")</f>
        <v>FELIPE VENEROSO SILVA</v>
      </c>
      <c r="K296" s="33" t="str">
        <f>IFERROR(IF(J296="","",VLOOKUP(J296,LISTAS!$F$5:$G$1004,2,0)),"0")</f>
        <v>COLÉGIO ARBOS SÃO CAETANO DO SUL</v>
      </c>
      <c r="L296" s="130" t="str">
        <f>IF(H294=3,"BRONZE",IF(H294=4,"PRATA",IF(H294=5,"OURO","")))</f>
        <v>BRONZE</v>
      </c>
      <c r="M296" s="20">
        <f>IF(B296&lt;&gt;"",COUNTIF(D296:G296,"V")+(SUMIF(B300:B302,B296,D300:E302)/1000)+(SUMIF(J300:J302,B296,H300:I302)/1000)-(SUMIF(B300:B302,B296,H300:I302)/1000)-(SUMIF(J300:J302,B296,D300:E302)/1000)+0.001,"")</f>
        <v>1.0009999999999999</v>
      </c>
      <c r="N296" s="20" t="str">
        <f>IF(B296="","",B296)</f>
        <v>GABRIEL BISCHOFF LOIOLA</v>
      </c>
      <c r="O296" s="20">
        <f>IF(B296&lt;&gt;"",LARGE(M294:M296,3),"")</f>
        <v>-1E-3</v>
      </c>
      <c r="P296" s="20" t="str">
        <f>VLOOKUP(O296,M294:N296,2,0)</f>
        <v>FELIPE VENEROSO SILVA</v>
      </c>
    </row>
    <row r="297" spans="2:16" ht="18" customHeight="1" x14ac:dyDescent="0.25">
      <c r="B297" s="79"/>
      <c r="C297" s="79"/>
      <c r="D297" s="79"/>
      <c r="E297" s="79"/>
      <c r="F297" s="79"/>
      <c r="G297" s="79"/>
      <c r="I297" s="80"/>
      <c r="J297" s="79"/>
      <c r="K297" s="81"/>
      <c r="L297" s="81"/>
    </row>
    <row r="298" spans="2:16" ht="23.25" customHeight="1" x14ac:dyDescent="0.25">
      <c r="B298" s="82" t="s">
        <v>40</v>
      </c>
      <c r="C298" s="79"/>
      <c r="D298" s="79"/>
      <c r="E298" s="79"/>
      <c r="F298" s="79"/>
      <c r="G298" s="79"/>
      <c r="H298" s="79"/>
      <c r="I298" s="79"/>
      <c r="J298" s="79"/>
      <c r="K298" s="79"/>
      <c r="L298" s="79"/>
    </row>
    <row r="299" spans="2:16" ht="18" customHeight="1" x14ac:dyDescent="0.25">
      <c r="B299" s="132" t="s">
        <v>15</v>
      </c>
      <c r="C299" s="132" t="s">
        <v>0</v>
      </c>
      <c r="D299" s="258" t="s">
        <v>41</v>
      </c>
      <c r="E299" s="259"/>
      <c r="F299" s="259"/>
      <c r="G299" s="259"/>
      <c r="H299" s="259"/>
      <c r="I299" s="260"/>
      <c r="J299" s="132" t="s">
        <v>15</v>
      </c>
      <c r="K299" s="132" t="s">
        <v>0</v>
      </c>
      <c r="L299" s="79"/>
    </row>
    <row r="300" spans="2:16" ht="18" customHeight="1" x14ac:dyDescent="0.25">
      <c r="B300" s="33" t="str">
        <f>IF(H294=3,B294,"")</f>
        <v>FELIPE VENEROSO SILVA</v>
      </c>
      <c r="C300" s="33" t="str">
        <f>IFERROR(IF(B300="","",VLOOKUP(B300,LISTAS!$F$5:$G$1004,2,0)),"0")</f>
        <v>COLÉGIO ARBOS SÃO CAETANO DO SUL</v>
      </c>
      <c r="D300" s="253">
        <v>0</v>
      </c>
      <c r="E300" s="254"/>
      <c r="F300" s="253" t="s">
        <v>38</v>
      </c>
      <c r="G300" s="254"/>
      <c r="H300" s="253">
        <v>2</v>
      </c>
      <c r="I300" s="254"/>
      <c r="J300" s="111" t="str">
        <f>IF(H294=3,B296,"")</f>
        <v>GABRIEL BISCHOFF LOIOLA</v>
      </c>
      <c r="K300" s="33" t="str">
        <f>IFERROR(IF(J300="","",VLOOKUP(J300,LISTAS!$F$5:$G$1004,2,0)),"0")</f>
        <v>ABACO IPIRANGA</v>
      </c>
      <c r="L300" s="81"/>
    </row>
    <row r="301" spans="2:16" ht="18" customHeight="1" x14ac:dyDescent="0.25">
      <c r="B301" s="33" t="str">
        <f>IF(H294=3,B295,"")</f>
        <v>LUCAS YUJI UEHARA</v>
      </c>
      <c r="C301" s="33" t="str">
        <f>IFERROR(IF(B301="","",VLOOKUP(B301,LISTAS!$F$5:$G$1004,2,0)),"0")</f>
        <v>PEN LIFE</v>
      </c>
      <c r="D301" s="253">
        <v>2</v>
      </c>
      <c r="E301" s="254"/>
      <c r="F301" s="253" t="s">
        <v>38</v>
      </c>
      <c r="G301" s="254"/>
      <c r="H301" s="253">
        <v>0</v>
      </c>
      <c r="I301" s="254"/>
      <c r="J301" s="111" t="str">
        <f>IF(H294=3,B296,"")</f>
        <v>GABRIEL BISCHOFF LOIOLA</v>
      </c>
      <c r="K301" s="33" t="str">
        <f>IFERROR(IF(J301="","",VLOOKUP(J301,LISTAS!$F$5:$G$1004,2,0)),"0")</f>
        <v>ABACO IPIRANGA</v>
      </c>
      <c r="L301" s="79"/>
    </row>
    <row r="302" spans="2:16" ht="18" customHeight="1" x14ac:dyDescent="0.25">
      <c r="B302" s="33" t="str">
        <f>IF(H294=3,B294,"")</f>
        <v>FELIPE VENEROSO SILVA</v>
      </c>
      <c r="C302" s="33" t="str">
        <f>IFERROR(IF(B302="","",VLOOKUP(B302,LISTAS!$F$5:$G$1004,2,0)),"0")</f>
        <v>COLÉGIO ARBOS SÃO CAETANO DO SUL</v>
      </c>
      <c r="D302" s="253">
        <v>0</v>
      </c>
      <c r="E302" s="254"/>
      <c r="F302" s="253" t="s">
        <v>38</v>
      </c>
      <c r="G302" s="254"/>
      <c r="H302" s="253">
        <v>2</v>
      </c>
      <c r="I302" s="254"/>
      <c r="J302" s="111" t="str">
        <f>IF(H294=3,B295,"")</f>
        <v>LUCAS YUJI UEHARA</v>
      </c>
      <c r="K302" s="33" t="str">
        <f>IFERROR(IF(J302="","",VLOOKUP(J302,LISTAS!$F$5:$G$1004,2,0)),"0")</f>
        <v>PEN LIFE</v>
      </c>
      <c r="L302" s="81"/>
    </row>
    <row r="305" spans="2:16" ht="30" customHeight="1" x14ac:dyDescent="0.25">
      <c r="B305" s="161" t="s">
        <v>67</v>
      </c>
      <c r="C305" s="79"/>
      <c r="D305" s="255" t="s">
        <v>42</v>
      </c>
      <c r="E305" s="256"/>
      <c r="F305" s="256"/>
      <c r="G305" s="257"/>
      <c r="H305" s="113"/>
      <c r="I305" s="255" t="s">
        <v>3</v>
      </c>
      <c r="J305" s="256"/>
      <c r="K305" s="256"/>
      <c r="L305" s="256"/>
    </row>
    <row r="306" spans="2:16" ht="18" customHeight="1" x14ac:dyDescent="0.25">
      <c r="B306" s="132" t="s">
        <v>15</v>
      </c>
      <c r="C306" s="132" t="s">
        <v>0</v>
      </c>
      <c r="D306" s="132" t="s">
        <v>43</v>
      </c>
      <c r="E306" s="132" t="s">
        <v>44</v>
      </c>
      <c r="F306" s="132" t="s">
        <v>77</v>
      </c>
      <c r="G306" s="132" t="s">
        <v>78</v>
      </c>
      <c r="H306" s="114"/>
      <c r="I306" s="132" t="s">
        <v>18</v>
      </c>
      <c r="J306" s="132" t="s">
        <v>15</v>
      </c>
      <c r="K306" s="132" t="s">
        <v>0</v>
      </c>
      <c r="L306" s="132" t="s">
        <v>45</v>
      </c>
    </row>
    <row r="307" spans="2:16" ht="18" customHeight="1" x14ac:dyDescent="0.25">
      <c r="B307" s="33" t="s">
        <v>319</v>
      </c>
      <c r="C307" s="33" t="str">
        <f>IFERROR(IF(B307="","",VLOOKUP(B307,LISTAS!$F$5:$G$1004,2,0)),"0")</f>
        <v>LICEU JARDIM</v>
      </c>
      <c r="D307" s="33" t="str">
        <f>IF(H307&lt;3,"",IF(H307=3,IF(D313&lt;&gt;"",IF(H313&lt;&gt;"",IF(D313&lt;&gt;H313,IF(D313&gt;H313,"V","D"),""),""),"")))</f>
        <v>V</v>
      </c>
      <c r="E307" s="33" t="str">
        <f>IF(H307&lt;3,"",IF(H307=3,IF(D315&lt;&gt;"",IF(H315&lt;&gt;"",IF(D315&lt;&gt;H315,IF(D315&gt;H315,"V","D"),""),""),"")))</f>
        <v>D</v>
      </c>
      <c r="F307" s="33" t="s">
        <v>81</v>
      </c>
      <c r="G307" s="33" t="s">
        <v>81</v>
      </c>
      <c r="H307" s="117">
        <f>COUNTA(B307:B309)</f>
        <v>3</v>
      </c>
      <c r="I307" s="33">
        <f>IF(B307&lt;&gt;"",1,"")</f>
        <v>1</v>
      </c>
      <c r="J307" s="33" t="str">
        <f>IF(I307&lt;&gt;"",P307,"")</f>
        <v>GABRIEL STRACHINO BARBALHO</v>
      </c>
      <c r="K307" s="33" t="str">
        <f>IFERROR(IF(J307="","",VLOOKUP(J307,LISTAS!$F$5:$G$1004,2,0)),"0")</f>
        <v>ABACO IPIRANGA</v>
      </c>
      <c r="L307" s="130" t="str">
        <f>IF(H307=3,"OURO",IF(H307=4,"OURO",IF(H307=5,"OURO","")))</f>
        <v>OURO</v>
      </c>
      <c r="M307" s="20">
        <f>IF(B307&lt;&gt;"",COUNTIF(D307:G307,"V")+(SUMIF(B313:B315,B307,D313:E315)/1000)+(SUMIF(J313:J315,B307,H313:I315)/1000)-(SUMIF(B313:B315,B307,H313:I315)/1000)-(SUMIF(J313:J315,B307,D313:E315)/1000)+0.003,"")</f>
        <v>1.0029999999999999</v>
      </c>
      <c r="N307" s="20" t="str">
        <f>IF(B307="","",B307)</f>
        <v>MATHEUS SILVA PINTO</v>
      </c>
      <c r="O307" s="20">
        <f>IF(B307&lt;&gt;"",LARGE(M307:M309,1),"")</f>
        <v>2.0049999999999994</v>
      </c>
      <c r="P307" s="20" t="str">
        <f>VLOOKUP(O307,M307:N309,2,0)</f>
        <v>GABRIEL STRACHINO BARBALHO</v>
      </c>
    </row>
    <row r="308" spans="2:16" ht="18" customHeight="1" x14ac:dyDescent="0.25">
      <c r="B308" s="33" t="s">
        <v>259</v>
      </c>
      <c r="C308" s="33" t="str">
        <f>IFERROR(IF(B308="","",VLOOKUP(B308,LISTAS!$F$5:$G$1004,2,0)),"0")</f>
        <v>ABACO IPIRANGA</v>
      </c>
      <c r="D308" s="33" t="str">
        <f>IF(H307&lt;3,"",IF(H307=3,IF(D314&lt;&gt;"",IF(H314&lt;&gt;"",IF(D314&lt;&gt;H314,IF(D314&gt;H314,"V","D"),""),""),"")))</f>
        <v>V</v>
      </c>
      <c r="E308" s="33" t="str">
        <f>IF(H307&lt;3,"",IF(H307=3,IF(D315&lt;&gt;"",IF(H315&lt;&gt;"",IF(D315&lt;&gt;H315,IF(D315&gt;H315,"D","V"),""),""),"")))</f>
        <v>V</v>
      </c>
      <c r="F308" s="33" t="s">
        <v>81</v>
      </c>
      <c r="G308" s="33" t="s">
        <v>81</v>
      </c>
      <c r="H308" s="117"/>
      <c r="I308" s="33">
        <f>IF(B308&lt;&gt;"",2,"")</f>
        <v>2</v>
      </c>
      <c r="J308" s="33" t="str">
        <f>IF(I308&lt;&gt;"",P308,"")</f>
        <v>MATHEUS SILVA PINTO</v>
      </c>
      <c r="K308" s="33" t="str">
        <f>IFERROR(IF(J308="","",VLOOKUP(J308,LISTAS!$F$5:$G$1004,2,0)),"0")</f>
        <v>LICEU JARDIM</v>
      </c>
      <c r="L308" s="130" t="str">
        <f>IF(H307=3,"PRATA",IF(H307=4,"OURO",IF(H307=5,"OURO","")))</f>
        <v>PRATA</v>
      </c>
      <c r="M308" s="20">
        <f>IF(B308&lt;&gt;"",COUNTIF(D308:G308,"V")+(SUMIF(B313:B315,B308,D313:E315)/1000)+(SUMIF(J313:J315,B308,H313:I315)/1000)-(SUMIF(B313:B315,B308,H313:I315)/1000)-(SUMIF(J313:J315,B308,D313:E315)/1000)+0.002,"")</f>
        <v>2.0049999999999994</v>
      </c>
      <c r="N308" s="20" t="str">
        <f t="shared" ref="N308" si="22">IF(B308="","",B308)</f>
        <v>GABRIEL STRACHINO BARBALHO</v>
      </c>
      <c r="O308" s="20">
        <f>IF(B308&lt;&gt;"",LARGE(M307:M309,2),"")</f>
        <v>1.0029999999999999</v>
      </c>
      <c r="P308" s="20" t="str">
        <f>VLOOKUP(O308,M307:N309,2,0)</f>
        <v>MATHEUS SILVA PINTO</v>
      </c>
    </row>
    <row r="309" spans="2:16" ht="18" customHeight="1" x14ac:dyDescent="0.25">
      <c r="B309" s="33" t="s">
        <v>318</v>
      </c>
      <c r="C309" s="33" t="str">
        <f>IFERROR(IF(B309="","",VLOOKUP(B309,LISTAS!$F$5:$G$1004,2,0)),"0")</f>
        <v>AMERICAN ACADEMY SCHOOL SBC</v>
      </c>
      <c r="D309" s="33" t="str">
        <f>IF(H307&lt;3,"",IF(H307=3,IF(D313&lt;&gt;"",IF(H313&lt;&gt;"",IF(D313&lt;&gt;H313,IF(D313&gt;H313,"D","V"),""),""),"")))</f>
        <v>D</v>
      </c>
      <c r="E309" s="33" t="str">
        <f>IF(H307&lt;3,"",IF(H307=3,IF(D314&lt;&gt;"",IF(H314&lt;&gt;"",IF(D314&lt;&gt;H314,IF(D314&gt;H314,"D","V"),""),""),"")))</f>
        <v>D</v>
      </c>
      <c r="F309" s="33" t="s">
        <v>81</v>
      </c>
      <c r="G309" s="33" t="s">
        <v>81</v>
      </c>
      <c r="H309" s="117"/>
      <c r="I309" s="33">
        <f>IF(B309&lt;&gt;"",3,"")</f>
        <v>3</v>
      </c>
      <c r="J309" s="33" t="str">
        <f>IF(I309&lt;&gt;"",P309,"")</f>
        <v>MATHEUS FELIZ SANCHES</v>
      </c>
      <c r="K309" s="33" t="str">
        <f>IFERROR(IF(J309="","",VLOOKUP(J309,LISTAS!$F$5:$G$1004,2,0)),"0")</f>
        <v>AMERICAN ACADEMY SCHOOL SBC</v>
      </c>
      <c r="L309" s="130" t="str">
        <f>IF(H307=3,"BRONZE",IF(H307=4,"PRATA",IF(H307=5,"OURO","")))</f>
        <v>BRONZE</v>
      </c>
      <c r="M309" s="20">
        <f>IF(B309&lt;&gt;"",COUNTIF(D309:G309,"V")+(SUMIF(B313:B315,B309,D313:E315)/1000)+(SUMIF(J313:J315,B309,H313:I315)/1000)-(SUMIF(B313:B315,B309,H313:I315)/1000)-(SUMIF(J313:J315,B309,D313:E315)/1000)+0.001,"")</f>
        <v>-2E-3</v>
      </c>
      <c r="N309" s="20" t="str">
        <f>IF(B309="","",B309)</f>
        <v>MATHEUS FELIZ SANCHES</v>
      </c>
      <c r="O309" s="20">
        <f>IF(B309&lt;&gt;"",LARGE(M307:M309,3),"")</f>
        <v>-2E-3</v>
      </c>
      <c r="P309" s="20" t="str">
        <f>VLOOKUP(O309,M307:N309,2,0)</f>
        <v>MATHEUS FELIZ SANCHES</v>
      </c>
    </row>
    <row r="310" spans="2:16" ht="18" customHeight="1" x14ac:dyDescent="0.25">
      <c r="B310" s="79"/>
      <c r="C310" s="79"/>
      <c r="D310" s="79"/>
      <c r="E310" s="79"/>
      <c r="F310" s="79"/>
      <c r="G310" s="79"/>
      <c r="I310" s="80"/>
      <c r="J310" s="79"/>
      <c r="K310" s="81"/>
      <c r="L310" s="81"/>
    </row>
    <row r="311" spans="2:16" ht="23.25" customHeight="1" x14ac:dyDescent="0.25">
      <c r="B311" s="82" t="s">
        <v>40</v>
      </c>
      <c r="C311" s="79"/>
      <c r="D311" s="79"/>
      <c r="E311" s="79"/>
      <c r="F311" s="79"/>
      <c r="G311" s="79"/>
      <c r="H311" s="79"/>
      <c r="I311" s="79"/>
      <c r="J311" s="79"/>
      <c r="K311" s="79"/>
      <c r="L311" s="79"/>
    </row>
    <row r="312" spans="2:16" ht="18" customHeight="1" x14ac:dyDescent="0.25">
      <c r="B312" s="132" t="s">
        <v>15</v>
      </c>
      <c r="C312" s="132" t="s">
        <v>0</v>
      </c>
      <c r="D312" s="258" t="s">
        <v>41</v>
      </c>
      <c r="E312" s="259"/>
      <c r="F312" s="259"/>
      <c r="G312" s="259"/>
      <c r="H312" s="259"/>
      <c r="I312" s="260"/>
      <c r="J312" s="132" t="s">
        <v>15</v>
      </c>
      <c r="K312" s="132" t="s">
        <v>0</v>
      </c>
      <c r="L312" s="79"/>
    </row>
    <row r="313" spans="2:16" ht="18" customHeight="1" x14ac:dyDescent="0.25">
      <c r="B313" s="33" t="str">
        <f>IF(H307=3,B307,"")</f>
        <v>MATHEUS SILVA PINTO</v>
      </c>
      <c r="C313" s="33" t="str">
        <f>IF(B313="","",VLOOKUP(B313,LISTAS!$F$5:$G$964,2,0))</f>
        <v>LICEU JARDIM</v>
      </c>
      <c r="D313" s="253">
        <v>2</v>
      </c>
      <c r="E313" s="254"/>
      <c r="F313" s="253" t="s">
        <v>38</v>
      </c>
      <c r="G313" s="254"/>
      <c r="H313" s="253">
        <v>0</v>
      </c>
      <c r="I313" s="254"/>
      <c r="J313" s="111" t="str">
        <f>IF(H307=3,B309,"")</f>
        <v>MATHEUS FELIZ SANCHES</v>
      </c>
      <c r="K313" s="33" t="str">
        <f>IF(J313="","",VLOOKUP(B313,LISTAS!$F$5:$G$964,2,0))</f>
        <v>LICEU JARDIM</v>
      </c>
      <c r="L313" s="81"/>
    </row>
    <row r="314" spans="2:16" ht="18" customHeight="1" x14ac:dyDescent="0.25">
      <c r="B314" s="33" t="str">
        <f>IF(H307=3,B308,"")</f>
        <v>GABRIEL STRACHINO BARBALHO</v>
      </c>
      <c r="C314" s="33" t="str">
        <f>IF(B314="","",VLOOKUP(B314,LISTAS!$F$5:$G$964,2,0))</f>
        <v>ABACO IPIRANGA</v>
      </c>
      <c r="D314" s="253">
        <v>2</v>
      </c>
      <c r="E314" s="254"/>
      <c r="F314" s="253" t="s">
        <v>38</v>
      </c>
      <c r="G314" s="254"/>
      <c r="H314" s="253">
        <v>1</v>
      </c>
      <c r="I314" s="254"/>
      <c r="J314" s="111" t="str">
        <f>IF(H307=3,B309,"")</f>
        <v>MATHEUS FELIZ SANCHES</v>
      </c>
      <c r="K314" s="33" t="str">
        <f>IF(J314="","",VLOOKUP(B314,LISTAS!$F$5:$G$964,2,0))</f>
        <v>ABACO IPIRANGA</v>
      </c>
      <c r="L314" s="79"/>
    </row>
    <row r="315" spans="2:16" ht="18" customHeight="1" x14ac:dyDescent="0.25">
      <c r="B315" s="33" t="str">
        <f>IF(H307=3,B307,"")</f>
        <v>MATHEUS SILVA PINTO</v>
      </c>
      <c r="C315" s="33" t="str">
        <f>IF(B315="","",VLOOKUP(B315,LISTAS!$F$5:$G$964,2,0))</f>
        <v>LICEU JARDIM</v>
      </c>
      <c r="D315" s="253">
        <v>0</v>
      </c>
      <c r="E315" s="254"/>
      <c r="F315" s="253" t="s">
        <v>38</v>
      </c>
      <c r="G315" s="254"/>
      <c r="H315" s="253">
        <v>2</v>
      </c>
      <c r="I315" s="254"/>
      <c r="J315" s="111" t="str">
        <f>IF(H307=3,B308,"")</f>
        <v>GABRIEL STRACHINO BARBALHO</v>
      </c>
      <c r="K315" s="33" t="str">
        <f>IF(J315="","",VLOOKUP(B315,LISTAS!$F$5:$G$964,2,0))</f>
        <v>LICEU JARDIM</v>
      </c>
      <c r="L315" s="81"/>
    </row>
    <row r="318" spans="2:16" ht="30" customHeight="1" x14ac:dyDescent="0.25">
      <c r="B318" s="161" t="s">
        <v>68</v>
      </c>
      <c r="C318" s="79"/>
      <c r="D318" s="255" t="s">
        <v>42</v>
      </c>
      <c r="E318" s="256"/>
      <c r="F318" s="256"/>
      <c r="G318" s="257"/>
      <c r="H318" s="113"/>
      <c r="I318" s="255" t="s">
        <v>3</v>
      </c>
      <c r="J318" s="256"/>
      <c r="K318" s="256"/>
      <c r="L318" s="256"/>
    </row>
    <row r="319" spans="2:16" ht="18" customHeight="1" x14ac:dyDescent="0.25">
      <c r="B319" s="132" t="s">
        <v>15</v>
      </c>
      <c r="C319" s="132" t="s">
        <v>0</v>
      </c>
      <c r="D319" s="132" t="s">
        <v>43</v>
      </c>
      <c r="E319" s="132" t="s">
        <v>44</v>
      </c>
      <c r="F319" s="132" t="s">
        <v>77</v>
      </c>
      <c r="G319" s="132" t="s">
        <v>78</v>
      </c>
      <c r="H319" s="114"/>
      <c r="I319" s="132" t="s">
        <v>18</v>
      </c>
      <c r="J319" s="132" t="s">
        <v>15</v>
      </c>
      <c r="K319" s="132" t="s">
        <v>0</v>
      </c>
      <c r="L319" s="132" t="s">
        <v>45</v>
      </c>
    </row>
    <row r="320" spans="2:16" ht="18" customHeight="1" x14ac:dyDescent="0.25">
      <c r="B320" s="33" t="s">
        <v>215</v>
      </c>
      <c r="C320" s="33" t="str">
        <f>IFERROR(IF(B320="","",VLOOKUP(B320,LISTAS!$F$5:$G$1004,2,0)),"0")</f>
        <v>COLEGIO PETROPOLIS</v>
      </c>
      <c r="D320" s="33" t="str">
        <f>IF(H320&lt;3,"",IF(H320=3,IF(D326&lt;&gt;"",IF(H326&lt;&gt;"",IF(D326&lt;&gt;H326,IF(D326&gt;H326,"V","D"),""),""),"")))</f>
        <v>D</v>
      </c>
      <c r="E320" s="33" t="str">
        <f>IF(H320&lt;3,"",IF(H320=3,IF(D328&lt;&gt;"",IF(H328&lt;&gt;"",IF(D328&lt;&gt;H328,IF(D328&gt;H328,"V","D"),""),""),"")))</f>
        <v>V</v>
      </c>
      <c r="F320" s="33" t="s">
        <v>81</v>
      </c>
      <c r="G320" s="33" t="s">
        <v>81</v>
      </c>
      <c r="H320" s="117">
        <f>COUNTA(B320:B322)</f>
        <v>3</v>
      </c>
      <c r="I320" s="33">
        <f>IF(B320&lt;&gt;"",1,"")</f>
        <v>1</v>
      </c>
      <c r="J320" s="33" t="str">
        <f>IF(I320&lt;&gt;"",P320,"")</f>
        <v>BERNARDO TOME</v>
      </c>
      <c r="K320" s="33" t="str">
        <f>IFERROR(IF(J320="","",VLOOKUP(J320,LISTAS!$F$5:$G$1004,2,0)),"0")</f>
        <v>PEN LIFE</v>
      </c>
      <c r="L320" s="130" t="str">
        <f>IF(H320=3,"OURO",IF(H320=4,"OURO",IF(H320=5,"OURO","")))</f>
        <v>OURO</v>
      </c>
      <c r="M320" s="20">
        <f>IF(B320&lt;&gt;"",COUNTIF(D320:G320,"V")+(SUMIF(B326:B328,B320,D326:E328)/1000)+(SUMIF(J326:J328,B320,H326:I328)/1000)-(SUMIF(B326:B328,B320,H326:I328)/1000)-(SUMIF(J326:J328,B320,D326:E328)/1000)+0.003,"")</f>
        <v>1.002</v>
      </c>
      <c r="N320" s="20" t="str">
        <f>IF(B320="","",B320)</f>
        <v>ARTHUR DE PAULA MULLER</v>
      </c>
      <c r="O320" s="20">
        <f>IF(B320&lt;&gt;"",LARGE(M320:M322,1),"")</f>
        <v>2.0049999999999999</v>
      </c>
      <c r="P320" s="20" t="str">
        <f>VLOOKUP(O320,M320:N322,2,0)</f>
        <v>BERNARDO TOME</v>
      </c>
    </row>
    <row r="321" spans="2:16" ht="18" customHeight="1" x14ac:dyDescent="0.25">
      <c r="B321" s="33" t="s">
        <v>300</v>
      </c>
      <c r="C321" s="33" t="str">
        <f>IFERROR(IF(B321="","",VLOOKUP(B321,LISTAS!$F$5:$G$1004,2,0)),"0")</f>
        <v>ABACO IPIRANGA</v>
      </c>
      <c r="D321" s="33" t="str">
        <f>IF(H320&lt;3,"",IF(H320=3,IF(D327&lt;&gt;"",IF(H327&lt;&gt;"",IF(D327&lt;&gt;H327,IF(D327&gt;H327,"V","D"),""),""),"")))</f>
        <v>D</v>
      </c>
      <c r="E321" s="33" t="str">
        <f>IF(H320&lt;3,"",IF(H320=3,IF(D328&lt;&gt;"",IF(H328&lt;&gt;"",IF(D328&lt;&gt;H328,IF(D328&gt;H328,"D","V"),""),""),"")))</f>
        <v>D</v>
      </c>
      <c r="F321" s="33" t="s">
        <v>81</v>
      </c>
      <c r="G321" s="33" t="s">
        <v>81</v>
      </c>
      <c r="H321" s="117"/>
      <c r="I321" s="33">
        <f>IF(B321&lt;&gt;"",2,"")</f>
        <v>2</v>
      </c>
      <c r="J321" s="33" t="str">
        <f>IF(I321&lt;&gt;"",P321,"")</f>
        <v>ARTHUR DE PAULA MULLER</v>
      </c>
      <c r="K321" s="33" t="str">
        <f>IFERROR(IF(J321="","",VLOOKUP(J321,LISTAS!$F$5:$G$1004,2,0)),"0")</f>
        <v>COLEGIO PETROPOLIS</v>
      </c>
      <c r="L321" s="130" t="str">
        <f>IF(H320=3,"PRATA",IF(H320=4,"OURO",IF(H320=5,"OURO","")))</f>
        <v>PRATA</v>
      </c>
      <c r="M321" s="20">
        <f>IF(B321&lt;&gt;"",COUNTIF(D321:G321,"V")+(SUMIF(B326:B328,B321,D326:E328)/1000)+(SUMIF(J326:J328,B321,H326:I328)/1000)-(SUMIF(B326:B328,B321,H326:I328)/1000)-(SUMIF(J326:J328,B321,D326:E328)/1000)+0.002,"")</f>
        <v>-1E-3</v>
      </c>
      <c r="N321" s="20" t="str">
        <f t="shared" ref="N321" si="23">IF(B321="","",B321)</f>
        <v>LORENZO LUPINARI PALERMO</v>
      </c>
      <c r="O321" s="20">
        <f>IF(B321&lt;&gt;"",LARGE(M320:M322,2),"")</f>
        <v>1.002</v>
      </c>
      <c r="P321" s="20" t="str">
        <f>VLOOKUP(O321,M320:N322,2,0)</f>
        <v>ARTHUR DE PAULA MULLER</v>
      </c>
    </row>
    <row r="322" spans="2:16" ht="18" customHeight="1" x14ac:dyDescent="0.25">
      <c r="B322" s="39" t="s">
        <v>687</v>
      </c>
      <c r="C322" s="33" t="str">
        <f>IFERROR(IF(B322="","",VLOOKUP(B322,LISTAS!$F$5:$G$1004,2,0)),"0")</f>
        <v>PEN LIFE</v>
      </c>
      <c r="D322" s="33" t="str">
        <f>IF(H320&lt;3,"",IF(H320=3,IF(D326&lt;&gt;"",IF(H326&lt;&gt;"",IF(D326&lt;&gt;H326,IF(D326&gt;H326,"D","V"),""),""),"")))</f>
        <v>V</v>
      </c>
      <c r="E322" s="33" t="str">
        <f>IF(H320&lt;3,"",IF(H320=3,IF(D327&lt;&gt;"",IF(H327&lt;&gt;"",IF(D327&lt;&gt;H327,IF(D327&gt;H327,"D","V"),""),""),"")))</f>
        <v>V</v>
      </c>
      <c r="F322" s="33" t="s">
        <v>81</v>
      </c>
      <c r="G322" s="33" t="s">
        <v>81</v>
      </c>
      <c r="H322" s="117"/>
      <c r="I322" s="33">
        <f>IF(B322&lt;&gt;"",3,"")</f>
        <v>3</v>
      </c>
      <c r="J322" s="33" t="str">
        <f>IF(I322&lt;&gt;"",P322,"")</f>
        <v>LORENZO LUPINARI PALERMO</v>
      </c>
      <c r="K322" s="33" t="str">
        <f>IFERROR(IF(J322="","",VLOOKUP(J322,LISTAS!$F$5:$G$1004,2,0)),"0")</f>
        <v>ABACO IPIRANGA</v>
      </c>
      <c r="L322" s="130" t="str">
        <f>IF(H320=3,"BRONZE",IF(H320=4,"PRATA",IF(H320=5,"OURO","")))</f>
        <v>BRONZE</v>
      </c>
      <c r="M322" s="20">
        <f>IF(B322&lt;&gt;"",COUNTIF(D322:G322,"V")+(SUMIF(B326:B328,B322,D326:E328)/1000)+(SUMIF(J326:J328,B322,H326:I328)/1000)-(SUMIF(B326:B328,B322,H326:I328)/1000)-(SUMIF(J326:J328,B322,D326:E328)/1000)+0.001,"")</f>
        <v>2.0049999999999999</v>
      </c>
      <c r="N322" s="20" t="str">
        <f>IF(B322="","",B322)</f>
        <v>BERNARDO TOME</v>
      </c>
      <c r="O322" s="20">
        <f>IF(B322&lt;&gt;"",LARGE(M320:M322,3),"")</f>
        <v>-1E-3</v>
      </c>
      <c r="P322" s="20" t="str">
        <f>VLOOKUP(O322,M320:N322,2,0)</f>
        <v>LORENZO LUPINARI PALERMO</v>
      </c>
    </row>
    <row r="323" spans="2:16" ht="18" customHeight="1" x14ac:dyDescent="0.25">
      <c r="B323" s="79"/>
      <c r="C323" s="79"/>
      <c r="D323" s="79"/>
      <c r="E323" s="79"/>
      <c r="F323" s="79"/>
      <c r="G323" s="79"/>
      <c r="I323" s="80"/>
      <c r="J323" s="79"/>
      <c r="K323" s="81"/>
      <c r="L323" s="81"/>
    </row>
    <row r="324" spans="2:16" ht="23.25" customHeight="1" x14ac:dyDescent="0.25">
      <c r="B324" s="82" t="s">
        <v>40</v>
      </c>
      <c r="C324" s="79"/>
      <c r="D324" s="79"/>
      <c r="E324" s="79"/>
      <c r="F324" s="79"/>
      <c r="G324" s="79"/>
      <c r="H324" s="79"/>
      <c r="I324" s="79"/>
      <c r="J324" s="79"/>
      <c r="K324" s="79"/>
      <c r="L324" s="79"/>
    </row>
    <row r="325" spans="2:16" ht="18" customHeight="1" x14ac:dyDescent="0.25">
      <c r="B325" s="132" t="s">
        <v>15</v>
      </c>
      <c r="C325" s="132" t="s">
        <v>0</v>
      </c>
      <c r="D325" s="258" t="s">
        <v>41</v>
      </c>
      <c r="E325" s="259"/>
      <c r="F325" s="259"/>
      <c r="G325" s="259"/>
      <c r="H325" s="259"/>
      <c r="I325" s="260"/>
      <c r="J325" s="132" t="s">
        <v>15</v>
      </c>
      <c r="K325" s="132" t="s">
        <v>0</v>
      </c>
      <c r="L325" s="79"/>
    </row>
    <row r="326" spans="2:16" ht="18" customHeight="1" x14ac:dyDescent="0.25">
      <c r="B326" s="33" t="str">
        <f>IF(H320=3,B320,"")</f>
        <v>ARTHUR DE PAULA MULLER</v>
      </c>
      <c r="C326" s="33" t="str">
        <f>IFERROR(IF(B326="","",VLOOKUP(B326,LISTAS!$F$5:$G$1004,2,0)),"0")</f>
        <v>COLEGIO PETROPOLIS</v>
      </c>
      <c r="D326" s="253">
        <v>0</v>
      </c>
      <c r="E326" s="254"/>
      <c r="F326" s="253" t="s">
        <v>38</v>
      </c>
      <c r="G326" s="254"/>
      <c r="H326" s="253">
        <v>2</v>
      </c>
      <c r="I326" s="254"/>
      <c r="J326" s="111" t="str">
        <f>IF(H320=3,B322,"")</f>
        <v>BERNARDO TOME</v>
      </c>
      <c r="K326" s="33" t="str">
        <f>IFERROR(IF(J326="","",VLOOKUP(J326,LISTAS!$F$5:$G$1004,2,0)),"0")</f>
        <v>PEN LIFE</v>
      </c>
      <c r="L326" s="81"/>
    </row>
    <row r="327" spans="2:16" ht="18" customHeight="1" x14ac:dyDescent="0.25">
      <c r="B327" s="33" t="str">
        <f>IF(H320=3,B321,"")</f>
        <v>LORENZO LUPINARI PALERMO</v>
      </c>
      <c r="C327" s="33" t="str">
        <f>IFERROR(IF(B327="","",VLOOKUP(B327,LISTAS!$F$5:$G$1004,2,0)),"0")</f>
        <v>ABACO IPIRANGA</v>
      </c>
      <c r="D327" s="253">
        <v>0</v>
      </c>
      <c r="E327" s="254"/>
      <c r="F327" s="253" t="s">
        <v>38</v>
      </c>
      <c r="G327" s="254"/>
      <c r="H327" s="253">
        <v>2</v>
      </c>
      <c r="I327" s="254"/>
      <c r="J327" s="111" t="str">
        <f>IF(H320=3,B322,"")</f>
        <v>BERNARDO TOME</v>
      </c>
      <c r="K327" s="33" t="str">
        <f>IFERROR(IF(J327="","",VLOOKUP(J327,LISTAS!$F$5:$G$1004,2,0)),"0")</f>
        <v>PEN LIFE</v>
      </c>
      <c r="L327" s="79"/>
    </row>
    <row r="328" spans="2:16" ht="18" customHeight="1" x14ac:dyDescent="0.25">
      <c r="B328" s="33" t="str">
        <f>IF(H320=3,B320,"")</f>
        <v>ARTHUR DE PAULA MULLER</v>
      </c>
      <c r="C328" s="33" t="str">
        <f>IFERROR(IF(B328="","",VLOOKUP(B328,LISTAS!$F$5:$G$1004,2,0)),"0")</f>
        <v>COLEGIO PETROPOLIS</v>
      </c>
      <c r="D328" s="253">
        <v>2</v>
      </c>
      <c r="E328" s="254"/>
      <c r="F328" s="253" t="s">
        <v>38</v>
      </c>
      <c r="G328" s="254"/>
      <c r="H328" s="253">
        <v>1</v>
      </c>
      <c r="I328" s="254"/>
      <c r="J328" s="111" t="str">
        <f>IF(H320=3,B321,"")</f>
        <v>LORENZO LUPINARI PALERMO</v>
      </c>
      <c r="K328" s="33" t="str">
        <f>IFERROR(IF(J328="","",VLOOKUP(J328,LISTAS!$F$5:$G$1004,2,0)),"0")</f>
        <v>ABACO IPIRANGA</v>
      </c>
      <c r="L328" s="81"/>
    </row>
    <row r="331" spans="2:16" ht="30" customHeight="1" x14ac:dyDescent="0.25">
      <c r="B331" s="161" t="s">
        <v>69</v>
      </c>
      <c r="C331" s="79"/>
      <c r="D331" s="255" t="s">
        <v>42</v>
      </c>
      <c r="E331" s="256"/>
      <c r="F331" s="256"/>
      <c r="G331" s="257"/>
      <c r="H331" s="113"/>
      <c r="I331" s="255" t="s">
        <v>3</v>
      </c>
      <c r="J331" s="256"/>
      <c r="K331" s="256"/>
      <c r="L331" s="256"/>
    </row>
    <row r="332" spans="2:16" ht="18" customHeight="1" x14ac:dyDescent="0.25">
      <c r="B332" s="132" t="s">
        <v>15</v>
      </c>
      <c r="C332" s="132" t="s">
        <v>0</v>
      </c>
      <c r="D332" s="132" t="s">
        <v>43</v>
      </c>
      <c r="E332" s="132" t="s">
        <v>44</v>
      </c>
      <c r="F332" s="132" t="s">
        <v>77</v>
      </c>
      <c r="G332" s="132" t="s">
        <v>78</v>
      </c>
      <c r="H332" s="114"/>
      <c r="I332" s="132" t="s">
        <v>18</v>
      </c>
      <c r="J332" s="132" t="s">
        <v>15</v>
      </c>
      <c r="K332" s="132" t="s">
        <v>0</v>
      </c>
      <c r="L332" s="132" t="s">
        <v>45</v>
      </c>
    </row>
    <row r="333" spans="2:16" ht="18" customHeight="1" x14ac:dyDescent="0.25">
      <c r="B333" s="33" t="s">
        <v>309</v>
      </c>
      <c r="C333" s="33" t="str">
        <f>IFERROR(IF(B333="","",VLOOKUP(B333,LISTAS!$F$5:$G$1004,2,0)),"0")</f>
        <v>ESCOLA VILLARE</v>
      </c>
      <c r="D333" s="33" t="str">
        <f>IF(H333&lt;3,"",IF(H333=3,IF(D339&lt;&gt;"",IF(H339&lt;&gt;"",IF(D339&lt;&gt;H339,IF(D339&gt;H339,"V","D"),""),""),"")))</f>
        <v>V</v>
      </c>
      <c r="E333" s="33" t="str">
        <f>IF(H333&lt;3,"",IF(H333=3,IF(D341&lt;&gt;"",IF(H341&lt;&gt;"",IF(D341&lt;&gt;H341,IF(D341&gt;H341,"V","D"),""),""),"")))</f>
        <v>D</v>
      </c>
      <c r="F333" s="33" t="s">
        <v>81</v>
      </c>
      <c r="G333" s="33" t="s">
        <v>81</v>
      </c>
      <c r="H333" s="117">
        <f>COUNTA(B333:B335)</f>
        <v>3</v>
      </c>
      <c r="I333" s="33">
        <f>IF(B333&lt;&gt;"",1,"")</f>
        <v>1</v>
      </c>
      <c r="J333" s="33" t="str">
        <f>IF(I333&lt;&gt;"",P333,"")</f>
        <v>NICOLAS KOU</v>
      </c>
      <c r="K333" s="33" t="str">
        <f>IFERROR(IF(J333="","",VLOOKUP(J333,LISTAS!$F$5:$G$1004,2,0)),"0")</f>
        <v>COLÉGIO ARBOS - UNIDADE SANTO ANDRÉ</v>
      </c>
      <c r="L333" s="130" t="str">
        <f>IF(H333=3,"OURO",IF(H333=4,"OURO",IF(H333=5,"OURO","")))</f>
        <v>OURO</v>
      </c>
      <c r="M333" s="20">
        <f>IF(B333&lt;&gt;"",COUNTIF(D333:G333,"V")+(SUMIF(B339:B341,B333,D339:E341)/1000)+(SUMIF(J339:J341,B333,H339:I341)/1000)-(SUMIF(B339:B341,B333,H339:I341)/1000)-(SUMIF(J339:J341,B333,D339:E341)/1000)+0.003,"")</f>
        <v>1.0029999999999999</v>
      </c>
      <c r="N333" s="20" t="str">
        <f>IF(B333="","",B333)</f>
        <v>LUCCA MAFRA THEODORO</v>
      </c>
      <c r="O333" s="20">
        <f>IF(B333&lt;&gt;"",LARGE(M333:M335,1),"")</f>
        <v>2.0059999999999993</v>
      </c>
      <c r="P333" s="20" t="str">
        <f>VLOOKUP(O333,M333:N335,2,0)</f>
        <v>NICOLAS KOU</v>
      </c>
    </row>
    <row r="334" spans="2:16" ht="18" customHeight="1" x14ac:dyDescent="0.25">
      <c r="B334" s="33" t="s">
        <v>330</v>
      </c>
      <c r="C334" s="33" t="str">
        <f>IFERROR(IF(B334="","",VLOOKUP(B334,LISTAS!$F$5:$G$1004,2,0)),"0")</f>
        <v>COLÉGIO ARBOS - UNIDADE SANTO ANDRÉ</v>
      </c>
      <c r="D334" s="33" t="str">
        <f>IF(H333&lt;3,"",IF(H333=3,IF(D340&lt;&gt;"",IF(H340&lt;&gt;"",IF(D340&lt;&gt;H340,IF(D340&gt;H340,"V","D"),""),""),"")))</f>
        <v>V</v>
      </c>
      <c r="E334" s="33" t="str">
        <f>IF(H333&lt;3,"",IF(H333=3,IF(D341&lt;&gt;"",IF(H341&lt;&gt;"",IF(D341&lt;&gt;H341,IF(D341&gt;H341,"D","V"),""),""),"")))</f>
        <v>V</v>
      </c>
      <c r="F334" s="33" t="s">
        <v>81</v>
      </c>
      <c r="G334" s="33" t="s">
        <v>81</v>
      </c>
      <c r="H334" s="117"/>
      <c r="I334" s="33">
        <f>IF(B334&lt;&gt;"",2,"")</f>
        <v>2</v>
      </c>
      <c r="J334" s="33" t="str">
        <f>IF(I334&lt;&gt;"",P334,"")</f>
        <v>LUCCA MAFRA THEODORO</v>
      </c>
      <c r="K334" s="33" t="str">
        <f>IFERROR(IF(J334="","",VLOOKUP(J334,LISTAS!$F$5:$G$1004,2,0)),"0")</f>
        <v>ESCOLA VILLARE</v>
      </c>
      <c r="L334" s="130" t="str">
        <f>IF(H333=3,"PRATA",IF(H333=4,"OURO",IF(H333=5,"OURO","")))</f>
        <v>PRATA</v>
      </c>
      <c r="M334" s="20">
        <f>IF(B334&lt;&gt;"",COUNTIF(D334:G334,"V")+(SUMIF(B339:B341,B334,D339:E341)/1000)+(SUMIF(J339:J341,B334,H339:I341)/1000)-(SUMIF(B339:B341,B334,H339:I341)/1000)-(SUMIF(J339:J341,B334,D339:E341)/1000)+0.002,"")</f>
        <v>2.0059999999999993</v>
      </c>
      <c r="N334" s="20" t="str">
        <f t="shared" ref="N334" si="24">IF(B334="","",B334)</f>
        <v>NICOLAS KOU</v>
      </c>
      <c r="O334" s="20">
        <f>IF(B334&lt;&gt;"",LARGE(M333:M335,2),"")</f>
        <v>1.0029999999999999</v>
      </c>
      <c r="P334" s="20" t="str">
        <f>VLOOKUP(O334,M333:N335,2,0)</f>
        <v>LUCCA MAFRA THEODORO</v>
      </c>
    </row>
    <row r="335" spans="2:16" ht="18" customHeight="1" x14ac:dyDescent="0.25">
      <c r="B335" s="33" t="s">
        <v>262</v>
      </c>
      <c r="C335" s="33" t="str">
        <f>IFERROR(IF(B335="","",VLOOKUP(B335,LISTAS!$F$5:$G$1004,2,0)),"0")</f>
        <v>COLÉGIO ATENEU</v>
      </c>
      <c r="D335" s="33" t="str">
        <f>IF(H333&lt;3,"",IF(H333=3,IF(D339&lt;&gt;"",IF(H339&lt;&gt;"",IF(D339&lt;&gt;H339,IF(D339&gt;H339,"D","V"),""),""),"")))</f>
        <v>D</v>
      </c>
      <c r="E335" s="33" t="str">
        <f>IF(H333&lt;3,"",IF(H333=3,IF(D340&lt;&gt;"",IF(H340&lt;&gt;"",IF(D340&lt;&gt;H340,IF(D340&gt;H340,"D","V"),""),""),"")))</f>
        <v>D</v>
      </c>
      <c r="F335" s="33" t="s">
        <v>81</v>
      </c>
      <c r="G335" s="33" t="s">
        <v>81</v>
      </c>
      <c r="H335" s="117"/>
      <c r="I335" s="33">
        <f>IF(B335&lt;&gt;"",3,"")</f>
        <v>3</v>
      </c>
      <c r="J335" s="33" t="str">
        <f>IF(I335&lt;&gt;"",P335,"")</f>
        <v>GAEL LEANDRINI PASCHOAL</v>
      </c>
      <c r="K335" s="33" t="str">
        <f>IFERROR(IF(J335="","",VLOOKUP(J335,LISTAS!$F$5:$G$1004,2,0)),"0")</f>
        <v>COLÉGIO ATENEU</v>
      </c>
      <c r="L335" s="130" t="str">
        <f>IF(H333=3,"BRONZE",IF(H333=4,"PRATA",IF(H333=5,"OURO","")))</f>
        <v>BRONZE</v>
      </c>
      <c r="M335" s="20">
        <f>IF(B335&lt;&gt;"",COUNTIF(D335:G335,"V")+(SUMIF(B339:B341,B335,D339:E341)/1000)+(SUMIF(J339:J341,B335,H339:I341)/1000)-(SUMIF(B339:B341,B335,H339:I341)/1000)-(SUMIF(J339:J341,B335,D339:E341)/1000)+0.001,"")</f>
        <v>-3.0000000000000001E-3</v>
      </c>
      <c r="N335" s="20" t="str">
        <f>IF(B335="","",B335)</f>
        <v>GAEL LEANDRINI PASCHOAL</v>
      </c>
      <c r="O335" s="20">
        <f>IF(B335&lt;&gt;"",LARGE(M333:M335,3),"")</f>
        <v>-3.0000000000000001E-3</v>
      </c>
      <c r="P335" s="20" t="str">
        <f>VLOOKUP(O335,M333:N335,2,0)</f>
        <v>GAEL LEANDRINI PASCHOAL</v>
      </c>
    </row>
    <row r="336" spans="2:16" ht="18" customHeight="1" x14ac:dyDescent="0.25">
      <c r="B336" s="79"/>
      <c r="C336" s="79"/>
      <c r="D336" s="79"/>
      <c r="E336" s="79"/>
      <c r="F336" s="79"/>
      <c r="G336" s="79"/>
      <c r="I336" s="80"/>
      <c r="J336" s="79"/>
      <c r="K336" s="81"/>
      <c r="L336" s="81"/>
    </row>
    <row r="337" spans="2:16" ht="23.25" customHeight="1" x14ac:dyDescent="0.25">
      <c r="B337" s="82" t="s">
        <v>40</v>
      </c>
      <c r="C337" s="79"/>
      <c r="D337" s="79"/>
      <c r="E337" s="79"/>
      <c r="F337" s="79"/>
      <c r="G337" s="79"/>
      <c r="H337" s="79"/>
      <c r="I337" s="79"/>
      <c r="J337" s="79"/>
      <c r="K337" s="79"/>
      <c r="L337" s="79"/>
    </row>
    <row r="338" spans="2:16" ht="18" customHeight="1" x14ac:dyDescent="0.25">
      <c r="B338" s="132" t="s">
        <v>15</v>
      </c>
      <c r="C338" s="132" t="s">
        <v>0</v>
      </c>
      <c r="D338" s="258" t="s">
        <v>41</v>
      </c>
      <c r="E338" s="259"/>
      <c r="F338" s="259"/>
      <c r="G338" s="259"/>
      <c r="H338" s="259"/>
      <c r="I338" s="260"/>
      <c r="J338" s="132" t="s">
        <v>15</v>
      </c>
      <c r="K338" s="132" t="s">
        <v>0</v>
      </c>
      <c r="L338" s="79"/>
    </row>
    <row r="339" spans="2:16" ht="18" customHeight="1" x14ac:dyDescent="0.25">
      <c r="B339" s="33" t="str">
        <f>IF(H333=3,B333,"")</f>
        <v>LUCCA MAFRA THEODORO</v>
      </c>
      <c r="C339" s="33" t="str">
        <f>IFERROR(IF(B339="","",VLOOKUP(B339,LISTAS!$F$5:$G$1004,2,0)),"0")</f>
        <v>ESCOLA VILLARE</v>
      </c>
      <c r="D339" s="253">
        <v>2</v>
      </c>
      <c r="E339" s="254"/>
      <c r="F339" s="253" t="s">
        <v>38</v>
      </c>
      <c r="G339" s="254"/>
      <c r="H339" s="253">
        <v>0</v>
      </c>
      <c r="I339" s="254"/>
      <c r="J339" s="111" t="str">
        <f>IF(H333=3,B335,"")</f>
        <v>GAEL LEANDRINI PASCHOAL</v>
      </c>
      <c r="K339" s="33" t="str">
        <f>IFERROR(IF(J339="","",VLOOKUP(J339,LISTAS!$F$5:$G$1004,2,0)),"0")</f>
        <v>COLÉGIO ATENEU</v>
      </c>
      <c r="L339" s="81"/>
    </row>
    <row r="340" spans="2:16" ht="18" customHeight="1" x14ac:dyDescent="0.25">
      <c r="B340" s="33" t="str">
        <f>IF(H333=3,B334,"")</f>
        <v>NICOLAS KOU</v>
      </c>
      <c r="C340" s="33" t="str">
        <f>IFERROR(IF(B340="","",VLOOKUP(B340,LISTAS!$F$5:$G$1004,2,0)),"0")</f>
        <v>COLÉGIO ARBOS - UNIDADE SANTO ANDRÉ</v>
      </c>
      <c r="D340" s="253">
        <v>2</v>
      </c>
      <c r="E340" s="254"/>
      <c r="F340" s="253" t="s">
        <v>38</v>
      </c>
      <c r="G340" s="254"/>
      <c r="H340" s="253">
        <v>0</v>
      </c>
      <c r="I340" s="254"/>
      <c r="J340" s="111" t="str">
        <f>IF(H333=3,B335,"")</f>
        <v>GAEL LEANDRINI PASCHOAL</v>
      </c>
      <c r="K340" s="33" t="str">
        <f>IFERROR(IF(J340="","",VLOOKUP(J340,LISTAS!$F$5:$G$1004,2,0)),"0")</f>
        <v>COLÉGIO ATENEU</v>
      </c>
      <c r="L340" s="79"/>
    </row>
    <row r="341" spans="2:16" ht="18" customHeight="1" x14ac:dyDescent="0.25">
      <c r="B341" s="33" t="str">
        <f>IF(H333=3,B333,"")</f>
        <v>LUCCA MAFRA THEODORO</v>
      </c>
      <c r="C341" s="33" t="str">
        <f>IFERROR(IF(B341="","",VLOOKUP(B341,LISTAS!$F$5:$G$1004,2,0)),"0")</f>
        <v>ESCOLA VILLARE</v>
      </c>
      <c r="D341" s="253">
        <v>0</v>
      </c>
      <c r="E341" s="254"/>
      <c r="F341" s="253" t="s">
        <v>38</v>
      </c>
      <c r="G341" s="254"/>
      <c r="H341" s="253">
        <v>2</v>
      </c>
      <c r="I341" s="254"/>
      <c r="J341" s="111" t="str">
        <f>IF(H333=3,B334,"")</f>
        <v>NICOLAS KOU</v>
      </c>
      <c r="K341" s="33" t="str">
        <f>IFERROR(IF(J341="","",VLOOKUP(J341,LISTAS!$F$5:$G$1004,2,0)),"0")</f>
        <v>COLÉGIO ARBOS - UNIDADE SANTO ANDRÉ</v>
      </c>
      <c r="L341" s="81"/>
    </row>
    <row r="344" spans="2:16" ht="30" customHeight="1" x14ac:dyDescent="0.25">
      <c r="B344" s="161" t="s">
        <v>70</v>
      </c>
      <c r="C344" s="79"/>
      <c r="D344" s="255" t="s">
        <v>42</v>
      </c>
      <c r="E344" s="256"/>
      <c r="F344" s="256"/>
      <c r="G344" s="257"/>
      <c r="H344" s="113"/>
      <c r="I344" s="255" t="s">
        <v>3</v>
      </c>
      <c r="J344" s="256"/>
      <c r="K344" s="256"/>
      <c r="L344" s="256"/>
    </row>
    <row r="345" spans="2:16" ht="18" customHeight="1" x14ac:dyDescent="0.25">
      <c r="B345" s="132" t="s">
        <v>15</v>
      </c>
      <c r="C345" s="132" t="s">
        <v>0</v>
      </c>
      <c r="D345" s="132" t="s">
        <v>43</v>
      </c>
      <c r="E345" s="132" t="s">
        <v>44</v>
      </c>
      <c r="F345" s="132" t="s">
        <v>77</v>
      </c>
      <c r="G345" s="132" t="s">
        <v>78</v>
      </c>
      <c r="H345" s="114"/>
      <c r="I345" s="132" t="s">
        <v>18</v>
      </c>
      <c r="J345" s="132" t="s">
        <v>15</v>
      </c>
      <c r="K345" s="132" t="s">
        <v>0</v>
      </c>
      <c r="L345" s="132" t="s">
        <v>45</v>
      </c>
    </row>
    <row r="346" spans="2:16" ht="18" customHeight="1" x14ac:dyDescent="0.25">
      <c r="B346" s="33" t="s">
        <v>619</v>
      </c>
      <c r="C346" s="33" t="str">
        <f>IFERROR(IF(B346="","",VLOOKUP(B346,LISTAS!$F$5:$G$1004,2,0)),"0")</f>
        <v>ESCOLA IL SOLE</v>
      </c>
      <c r="D346" s="33" t="str">
        <f>IF(H346&lt;3,"",IF(H346=3,IF(D352&lt;&gt;"",IF(H352&lt;&gt;"",IF(D352&lt;&gt;H352,IF(D352&gt;H352,"V","D"),""),""),"")))</f>
        <v>D</v>
      </c>
      <c r="E346" s="33" t="str">
        <f>IF(H346&lt;3,"",IF(H346=3,IF(D354&lt;&gt;"",IF(H354&lt;&gt;"",IF(D354&lt;&gt;H354,IF(D354&gt;H354,"V","D"),""),""),"")))</f>
        <v>D</v>
      </c>
      <c r="F346" s="33" t="s">
        <v>81</v>
      </c>
      <c r="G346" s="33" t="s">
        <v>81</v>
      </c>
      <c r="H346" s="117">
        <f>COUNTA(B346:B348)</f>
        <v>3</v>
      </c>
      <c r="I346" s="33">
        <f>IF(B346&lt;&gt;"",1,"")</f>
        <v>1</v>
      </c>
      <c r="J346" s="33" t="str">
        <f>IF(I346&lt;&gt;"",P346,"")</f>
        <v>MURILO XAVIER OLIVEIRA ALBUQUERQUE</v>
      </c>
      <c r="K346" s="33" t="str">
        <f>IFERROR(IF(J346="","",VLOOKUP(J346,LISTAS!$F$5:$G$1004,2,0)),"0")</f>
        <v>ESCOLA VILLARE</v>
      </c>
      <c r="L346" s="130" t="str">
        <f>IF(H346=3,"OURO",IF(H346=4,"OURO",IF(H346=5,"OURO","")))</f>
        <v>OURO</v>
      </c>
      <c r="M346" s="20">
        <f>IF(B346&lt;&gt;"",COUNTIF(D346:G346,"V")+(SUMIF(B352:B354,B346,D352:E354)/1000)+(SUMIF(J352:J354,B346,H352:I354)/1000)-(SUMIF(B352:B354,B346,H352:I354)/1000)-(SUMIF(J352:J354,B346,D352:E354)/1000)+0.003,"")</f>
        <v>-1E-3</v>
      </c>
      <c r="N346" s="20" t="str">
        <f>IF(B346="","",B346)</f>
        <v>GABRIEL JARDIM CASSI</v>
      </c>
      <c r="O346" s="20">
        <f>IF(B346&lt;&gt;"",LARGE(M346:M348,1),"")</f>
        <v>2.004</v>
      </c>
      <c r="P346" s="20" t="str">
        <f>VLOOKUP(O346,M346:N348,2,0)</f>
        <v>MURILO XAVIER OLIVEIRA ALBUQUERQUE</v>
      </c>
    </row>
    <row r="347" spans="2:16" ht="18" customHeight="1" x14ac:dyDescent="0.25">
      <c r="B347" s="33" t="s">
        <v>346</v>
      </c>
      <c r="C347" s="33" t="str">
        <f>IFERROR(IF(B347="","",VLOOKUP(B347,LISTAS!$F$5:$G$1004,2,0)),"0")</f>
        <v>COLÉGIO SINGULAR SÃO CAETANO</v>
      </c>
      <c r="D347" s="33" t="str">
        <f>IF(H346&lt;3,"",IF(H346=3,IF(D353&lt;&gt;"",IF(H353&lt;&gt;"",IF(D353&lt;&gt;H353,IF(D353&gt;H353,"V","D"),""),""),"")))</f>
        <v>D</v>
      </c>
      <c r="E347" s="33" t="str">
        <f>IF(H346&lt;3,"",IF(H346=3,IF(D354&lt;&gt;"",IF(H354&lt;&gt;"",IF(D354&lt;&gt;H354,IF(D354&gt;H354,"D","V"),""),""),"")))</f>
        <v>V</v>
      </c>
      <c r="F347" s="33" t="s">
        <v>81</v>
      </c>
      <c r="G347" s="33" t="s">
        <v>81</v>
      </c>
      <c r="H347" s="117"/>
      <c r="I347" s="33">
        <f>IF(B347&lt;&gt;"",2,"")</f>
        <v>2</v>
      </c>
      <c r="J347" s="33" t="str">
        <f>IF(I347&lt;&gt;"",P347,"")</f>
        <v>PEDRO PICHELLI ZUCHETTO</v>
      </c>
      <c r="K347" s="33" t="str">
        <f>IFERROR(IF(J347="","",VLOOKUP(J347,LISTAS!$F$5:$G$1004,2,0)),"0")</f>
        <v>COLÉGIO SINGULAR SÃO CAETANO</v>
      </c>
      <c r="L347" s="130" t="str">
        <f>IF(H346=3,"PRATA",IF(H346=4,"OURO",IF(H346=5,"OURO","")))</f>
        <v>PRATA</v>
      </c>
      <c r="M347" s="20">
        <f>IF(B347&lt;&gt;"",COUNTIF(D347:G347,"V")+(SUMIF(B352:B354,B347,D352:E354)/1000)+(SUMIF(J352:J354,B347,H352:I354)/1000)-(SUMIF(B352:B354,B347,H352:I354)/1000)-(SUMIF(J352:J354,B347,D352:E354)/1000)+0.002,"")</f>
        <v>1.0029999999999999</v>
      </c>
      <c r="N347" s="20" t="str">
        <f>IF(B347="","",B347)</f>
        <v>PEDRO PICHELLI ZUCHETTO</v>
      </c>
      <c r="O347" s="20">
        <f>IF(B347&lt;&gt;"",LARGE(M346:M348,2),"")</f>
        <v>1.0029999999999999</v>
      </c>
      <c r="P347" s="20" t="str">
        <f>VLOOKUP(O347,M346:N348,2,0)</f>
        <v>PEDRO PICHELLI ZUCHETTO</v>
      </c>
    </row>
    <row r="348" spans="2:16" ht="18" customHeight="1" x14ac:dyDescent="0.25">
      <c r="B348" s="33" t="s">
        <v>328</v>
      </c>
      <c r="C348" s="33" t="str">
        <f>IFERROR(IF(B348="","",VLOOKUP(B348,LISTAS!$F$5:$G$1004,2,0)),"0")</f>
        <v>ESCOLA VILLARE</v>
      </c>
      <c r="D348" s="33" t="str">
        <f>IF(H346&lt;3,"",IF(H346=3,IF(D352&lt;&gt;"",IF(H352&lt;&gt;"",IF(D352&lt;&gt;H352,IF(D352&gt;H352,"D","V"),""),""),"")))</f>
        <v>V</v>
      </c>
      <c r="E348" s="33" t="str">
        <f>IF(H346&lt;3,"",IF(H346=3,IF(D353&lt;&gt;"",IF(H353&lt;&gt;"",IF(D353&lt;&gt;H353,IF(D353&gt;H353,"D","V"),""),""),"")))</f>
        <v>V</v>
      </c>
      <c r="F348" s="33" t="s">
        <v>81</v>
      </c>
      <c r="G348" s="33" t="s">
        <v>81</v>
      </c>
      <c r="H348" s="117"/>
      <c r="I348" s="33">
        <f>IF(B348&lt;&gt;"",3,"")</f>
        <v>3</v>
      </c>
      <c r="J348" s="33" t="str">
        <f>IF(I348&lt;&gt;"",P348,"")</f>
        <v>GABRIEL JARDIM CASSI</v>
      </c>
      <c r="K348" s="33" t="str">
        <f>IFERROR(IF(J348="","",VLOOKUP(J348,LISTAS!$F$5:$G$1004,2,0)),"0")</f>
        <v>ESCOLA IL SOLE</v>
      </c>
      <c r="L348" s="130" t="str">
        <f>IF(H346=3,"BRONZE",IF(H346=4,"PRATA",IF(H346=5,"OURO","")))</f>
        <v>BRONZE</v>
      </c>
      <c r="M348" s="20">
        <f>IF(B348&lt;&gt;"",COUNTIF(D348:G348,"V")+(SUMIF(B352:B354,B348,D352:E354)/1000)+(SUMIF(J352:J354,B348,H352:I354)/1000)-(SUMIF(B352:B354,B348,H352:I354)/1000)-(SUMIF(J352:J354,B348,D352:E354)/1000)+0.001,"")</f>
        <v>2.004</v>
      </c>
      <c r="N348" s="20" t="str">
        <f>IF(B348="","",B348)</f>
        <v>MURILO XAVIER OLIVEIRA ALBUQUERQUE</v>
      </c>
      <c r="O348" s="20">
        <f>IF(B348&lt;&gt;"",LARGE(M346:M348,3),"")</f>
        <v>-1E-3</v>
      </c>
      <c r="P348" s="20" t="str">
        <f>VLOOKUP(O348,M346:N348,2,0)</f>
        <v>GABRIEL JARDIM CASSI</v>
      </c>
    </row>
    <row r="349" spans="2:16" ht="18" customHeight="1" x14ac:dyDescent="0.25">
      <c r="B349" s="79"/>
      <c r="C349" s="79"/>
      <c r="D349" s="79"/>
      <c r="E349" s="79"/>
      <c r="F349" s="79"/>
      <c r="G349" s="79"/>
      <c r="I349" s="80"/>
      <c r="J349" s="79"/>
      <c r="K349" s="81"/>
      <c r="L349" s="81"/>
    </row>
    <row r="350" spans="2:16" ht="23.25" customHeight="1" x14ac:dyDescent="0.25">
      <c r="B350" s="82" t="s">
        <v>40</v>
      </c>
      <c r="C350" s="79"/>
      <c r="D350" s="79"/>
      <c r="E350" s="79"/>
      <c r="F350" s="79"/>
      <c r="G350" s="79"/>
      <c r="H350" s="79"/>
      <c r="I350" s="79"/>
      <c r="J350" s="79"/>
      <c r="K350" s="79"/>
      <c r="L350" s="79"/>
    </row>
    <row r="351" spans="2:16" ht="18" customHeight="1" x14ac:dyDescent="0.25">
      <c r="B351" s="132" t="s">
        <v>15</v>
      </c>
      <c r="C351" s="132" t="s">
        <v>0</v>
      </c>
      <c r="D351" s="258" t="s">
        <v>41</v>
      </c>
      <c r="E351" s="259"/>
      <c r="F351" s="259"/>
      <c r="G351" s="259"/>
      <c r="H351" s="259"/>
      <c r="I351" s="260"/>
      <c r="J351" s="132" t="s">
        <v>15</v>
      </c>
      <c r="K351" s="132" t="s">
        <v>0</v>
      </c>
      <c r="L351" s="79"/>
    </row>
    <row r="352" spans="2:16" ht="18" customHeight="1" x14ac:dyDescent="0.25">
      <c r="B352" s="33" t="str">
        <f>IF(H346=3,B346,"")</f>
        <v>GABRIEL JARDIM CASSI</v>
      </c>
      <c r="C352" s="33" t="str">
        <f>IFERROR(IF(B352="","",VLOOKUP(B352,LISTAS!$F$5:$G$1004,2,0)),"0")</f>
        <v>ESCOLA IL SOLE</v>
      </c>
      <c r="D352" s="253">
        <v>0</v>
      </c>
      <c r="E352" s="254"/>
      <c r="F352" s="253" t="s">
        <v>38</v>
      </c>
      <c r="G352" s="254"/>
      <c r="H352" s="253">
        <v>2</v>
      </c>
      <c r="I352" s="254"/>
      <c r="J352" s="111" t="str">
        <f>IF(H346=3,B348,"")</f>
        <v>MURILO XAVIER OLIVEIRA ALBUQUERQUE</v>
      </c>
      <c r="K352" s="33" t="str">
        <f>IFERROR(IF(J352="","",VLOOKUP(J352,LISTAS!$F$5:$G$1004,2,0)),"0")</f>
        <v>ESCOLA VILLARE</v>
      </c>
      <c r="L352" s="81"/>
    </row>
    <row r="353" spans="2:16" ht="18" customHeight="1" x14ac:dyDescent="0.25">
      <c r="B353" s="33" t="str">
        <f>IF(H346=3,B347,"")</f>
        <v>PEDRO PICHELLI ZUCHETTO</v>
      </c>
      <c r="C353" s="33" t="str">
        <f>IFERROR(IF(B353="","",VLOOKUP(B353,LISTAS!$F$5:$G$1004,2,0)),"0")</f>
        <v>COLÉGIO SINGULAR SÃO CAETANO</v>
      </c>
      <c r="D353" s="253">
        <v>1</v>
      </c>
      <c r="E353" s="254"/>
      <c r="F353" s="253" t="s">
        <v>38</v>
      </c>
      <c r="G353" s="254"/>
      <c r="H353" s="253">
        <v>2</v>
      </c>
      <c r="I353" s="254"/>
      <c r="J353" s="111" t="str">
        <f>IF(H346=3,B348,"")</f>
        <v>MURILO XAVIER OLIVEIRA ALBUQUERQUE</v>
      </c>
      <c r="K353" s="33" t="str">
        <f>IFERROR(IF(J353="","",VLOOKUP(J353,LISTAS!$F$5:$G$1004,2,0)),"0")</f>
        <v>ESCOLA VILLARE</v>
      </c>
      <c r="L353" s="79"/>
    </row>
    <row r="354" spans="2:16" ht="18" customHeight="1" x14ac:dyDescent="0.25">
      <c r="B354" s="33" t="str">
        <f>IF(H346=3,B346,"")</f>
        <v>GABRIEL JARDIM CASSI</v>
      </c>
      <c r="C354" s="33" t="str">
        <f>IFERROR(IF(B354="","",VLOOKUP(B354,LISTAS!$F$5:$G$1004,2,0)),"0")</f>
        <v>ESCOLA IL SOLE</v>
      </c>
      <c r="D354" s="253">
        <v>0</v>
      </c>
      <c r="E354" s="254"/>
      <c r="F354" s="253" t="s">
        <v>38</v>
      </c>
      <c r="G354" s="254"/>
      <c r="H354" s="253">
        <v>2</v>
      </c>
      <c r="I354" s="254"/>
      <c r="J354" s="111" t="str">
        <f>IF(H346=3,B347,"")</f>
        <v>PEDRO PICHELLI ZUCHETTO</v>
      </c>
      <c r="K354" s="33" t="str">
        <f>IFERROR(IF(J354="","",VLOOKUP(J354,LISTAS!$F$5:$G$1004,2,0)),"0")</f>
        <v>COLÉGIO SINGULAR SÃO CAETANO</v>
      </c>
      <c r="L354" s="81"/>
    </row>
    <row r="357" spans="2:16" ht="30" customHeight="1" x14ac:dyDescent="0.25">
      <c r="B357" s="161" t="s">
        <v>71</v>
      </c>
      <c r="C357" s="79"/>
      <c r="D357" s="255" t="s">
        <v>42</v>
      </c>
      <c r="E357" s="256"/>
      <c r="F357" s="256"/>
      <c r="G357" s="257"/>
      <c r="H357" s="113"/>
      <c r="I357" s="255" t="s">
        <v>3</v>
      </c>
      <c r="J357" s="256"/>
      <c r="K357" s="256"/>
      <c r="L357" s="256"/>
    </row>
    <row r="358" spans="2:16" ht="18" customHeight="1" x14ac:dyDescent="0.25">
      <c r="B358" s="132" t="s">
        <v>15</v>
      </c>
      <c r="C358" s="132" t="s">
        <v>0</v>
      </c>
      <c r="D358" s="132" t="s">
        <v>43</v>
      </c>
      <c r="E358" s="132" t="s">
        <v>44</v>
      </c>
      <c r="F358" s="132" t="s">
        <v>77</v>
      </c>
      <c r="G358" s="132" t="s">
        <v>78</v>
      </c>
      <c r="H358" s="114"/>
      <c r="I358" s="132" t="s">
        <v>18</v>
      </c>
      <c r="J358" s="132" t="s">
        <v>15</v>
      </c>
      <c r="K358" s="132" t="s">
        <v>0</v>
      </c>
      <c r="L358" s="132" t="s">
        <v>45</v>
      </c>
    </row>
    <row r="359" spans="2:16" ht="18" customHeight="1" x14ac:dyDescent="0.25">
      <c r="B359" s="33" t="s">
        <v>342</v>
      </c>
      <c r="C359" s="33" t="str">
        <f>IFERROR(IF(B359="","",VLOOKUP(B359,LISTAS!$F$5:$G$1004,2,0)),"0")</f>
        <v>ABACO IPIRANGA</v>
      </c>
      <c r="D359" s="33" t="str">
        <f>IF(H359&lt;3,"",IF(H359=3,IF(D365&lt;&gt;"",IF(H365&lt;&gt;"",IF(D365&lt;&gt;H365,IF(D365&gt;H365,"V","D"),""),""),"")))</f>
        <v>D</v>
      </c>
      <c r="E359" s="33" t="str">
        <f>IF(H359&lt;3,"",IF(H359=3,IF(D367&lt;&gt;"",IF(H367&lt;&gt;"",IF(D367&lt;&gt;H367,IF(D367&gt;H367,"V","D"),""),""),"")))</f>
        <v>D</v>
      </c>
      <c r="F359" s="33" t="s">
        <v>81</v>
      </c>
      <c r="G359" s="33" t="s">
        <v>81</v>
      </c>
      <c r="H359" s="117">
        <f>COUNTA(B359:B361)</f>
        <v>3</v>
      </c>
      <c r="I359" s="33">
        <f>IF(B359&lt;&gt;"",1,"")</f>
        <v>1</v>
      </c>
      <c r="J359" s="33" t="str">
        <f>IF(I359&lt;&gt;"",P359,"")</f>
        <v>OLYNTHO VOLTARELLI</v>
      </c>
      <c r="K359" s="33" t="str">
        <f>IFERROR(IF(J359="","",VLOOKUP(J359,LISTAS!$F$5:$G$1004,2,0)),"0")</f>
        <v>ESCOLA VILLARE</v>
      </c>
      <c r="L359" s="130" t="str">
        <f>IF(H359=3,"OURO",IF(H359=4,"OURO",IF(H359=5,"OURO","")))</f>
        <v>OURO</v>
      </c>
      <c r="M359" s="20">
        <f>IF(B359&lt;&gt;"",COUNTIF(D359:G359,"V")+(SUMIF(B365:B367,B359,D365:E367)/1000)+(SUMIF(J365:J367,B359,H365:I367)/1000)-(SUMIF(B365:B367,B359,H365:I367)/1000)-(SUMIF(J365:J367,B359,D365:E367)/1000)+0.003,"")</f>
        <v>0</v>
      </c>
      <c r="N359" s="20" t="str">
        <f>IF(B359="","",B359)</f>
        <v>PEDRO JUN REIS MURATA</v>
      </c>
      <c r="O359" s="20">
        <f>IF(B359&lt;&gt;"",LARGE(M359:M361,1),"")</f>
        <v>2.0059999999999993</v>
      </c>
      <c r="P359" s="20" t="str">
        <f>VLOOKUP(O359,M359:N361,2,0)</f>
        <v>OLYNTHO VOLTARELLI</v>
      </c>
    </row>
    <row r="360" spans="2:16" ht="18" customHeight="1" x14ac:dyDescent="0.25">
      <c r="B360" s="33" t="s">
        <v>333</v>
      </c>
      <c r="C360" s="33" t="str">
        <f>IFERROR(IF(B360="","",VLOOKUP(B360,LISTAS!$F$5:$G$1004,2,0)),"0")</f>
        <v>ESCOLA VILLARE</v>
      </c>
      <c r="D360" s="33" t="str">
        <f>IF(H359&lt;3,"",IF(H359=3,IF(D366&lt;&gt;"",IF(H366&lt;&gt;"",IF(D366&lt;&gt;H366,IF(D366&gt;H366,"V","D"),""),""),"")))</f>
        <v>V</v>
      </c>
      <c r="E360" s="33" t="str">
        <f>IF(H359&lt;3,"",IF(H359=3,IF(D367&lt;&gt;"",IF(H367&lt;&gt;"",IF(D367&lt;&gt;H367,IF(D367&gt;H367,"D","V"),""),""),"")))</f>
        <v>V</v>
      </c>
      <c r="F360" s="33" t="s">
        <v>81</v>
      </c>
      <c r="G360" s="33" t="s">
        <v>81</v>
      </c>
      <c r="H360" s="117"/>
      <c r="I360" s="33">
        <f>IF(B360&lt;&gt;"",2,"")</f>
        <v>2</v>
      </c>
      <c r="J360" s="33" t="str">
        <f>IF(I360&lt;&gt;"",P360,"")</f>
        <v>PEDRO OLIVEIRA MACHADO</v>
      </c>
      <c r="K360" s="33" t="str">
        <f>IFERROR(IF(J360="","",VLOOKUP(J360,LISTAS!$F$5:$G$1004,2,0)),"0")</f>
        <v>COLÉGIO ARBOS - UNIDADE SANTO ANDRÉ</v>
      </c>
      <c r="L360" s="130" t="str">
        <f>IF(H359=3,"PRATA",IF(H359=4,"OURO",IF(H359=5,"OURO","")))</f>
        <v>PRATA</v>
      </c>
      <c r="M360" s="20">
        <f>IF(B360&lt;&gt;"",COUNTIF(D360:G360,"V")+(SUMIF(B365:B367,B360,D365:E367)/1000)+(SUMIF(J365:J367,B360,H365:I367)/1000)-(SUMIF(B365:B367,B360,H365:I367)/1000)-(SUMIF(J365:J367,B360,D365:E367)/1000)+0.002,"")</f>
        <v>2.0059999999999993</v>
      </c>
      <c r="N360" s="20" t="str">
        <f t="shared" ref="N360" si="25">IF(B360="","",B360)</f>
        <v>OLYNTHO VOLTARELLI</v>
      </c>
      <c r="O360" s="20">
        <f>IF(B360&lt;&gt;"",LARGE(M359:M361,2),"")</f>
        <v>1</v>
      </c>
      <c r="P360" s="20" t="str">
        <f>VLOOKUP(O360,M359:N361,2,0)</f>
        <v>PEDRO OLIVEIRA MACHADO</v>
      </c>
    </row>
    <row r="361" spans="2:16" ht="18" customHeight="1" x14ac:dyDescent="0.25">
      <c r="B361" s="33" t="s">
        <v>344</v>
      </c>
      <c r="C361" s="33" t="str">
        <f>IFERROR(IF(B361="","",VLOOKUP(B361,LISTAS!$F$5:$G$1004,2,0)),"0")</f>
        <v>COLÉGIO ARBOS - UNIDADE SANTO ANDRÉ</v>
      </c>
      <c r="D361" s="33" t="str">
        <f>IF(H359&lt;3,"",IF(H359=3,IF(D365&lt;&gt;"",IF(H365&lt;&gt;"",IF(D365&lt;&gt;H365,IF(D365&gt;H365,"D","V"),""),""),"")))</f>
        <v>V</v>
      </c>
      <c r="E361" s="33" t="str">
        <f>IF(H359&lt;3,"",IF(H359=3,IF(D366&lt;&gt;"",IF(H366&lt;&gt;"",IF(D366&lt;&gt;H366,IF(D366&gt;H366,"D","V"),""),""),"")))</f>
        <v>D</v>
      </c>
      <c r="F361" s="33" t="s">
        <v>81</v>
      </c>
      <c r="G361" s="33" t="s">
        <v>81</v>
      </c>
      <c r="H361" s="117"/>
      <c r="I361" s="33">
        <f>IF(B361&lt;&gt;"",3,"")</f>
        <v>3</v>
      </c>
      <c r="J361" s="33" t="str">
        <f>IF(I361&lt;&gt;"",P361,"")</f>
        <v>PEDRO JUN REIS MURATA</v>
      </c>
      <c r="K361" s="33" t="str">
        <f>IFERROR(IF(J361="","",VLOOKUP(J361,LISTAS!$F$5:$G$1004,2,0)),"0")</f>
        <v>ABACO IPIRANGA</v>
      </c>
      <c r="L361" s="130" t="str">
        <f>IF(H359=3,"BRONZE",IF(H359=4,"PRATA",IF(H359=5,"OURO","")))</f>
        <v>BRONZE</v>
      </c>
      <c r="M361" s="20">
        <f>IF(B361&lt;&gt;"",COUNTIF(D361:G361,"V")+(SUMIF(B365:B367,B361,D365:E367)/1000)+(SUMIF(J365:J367,B361,H365:I367)/1000)-(SUMIF(B365:B367,B361,H365:I367)/1000)-(SUMIF(J365:J367,B361,D365:E367)/1000)+0.001,"")</f>
        <v>1</v>
      </c>
      <c r="N361" s="20" t="str">
        <f>IF(B361="","",B361)</f>
        <v>PEDRO OLIVEIRA MACHADO</v>
      </c>
      <c r="O361" s="20">
        <f>IF(B361&lt;&gt;"",LARGE(M359:M361,3),"")</f>
        <v>0</v>
      </c>
      <c r="P361" s="20" t="str">
        <f>VLOOKUP(O361,M359:N361,2,0)</f>
        <v>PEDRO JUN REIS MURATA</v>
      </c>
    </row>
    <row r="362" spans="2:16" ht="18" customHeight="1" x14ac:dyDescent="0.25">
      <c r="B362" s="79"/>
      <c r="C362" s="79"/>
      <c r="D362" s="79"/>
      <c r="E362" s="79"/>
      <c r="F362" s="79"/>
      <c r="G362" s="79"/>
      <c r="I362" s="80"/>
      <c r="J362" s="79"/>
      <c r="K362" s="81"/>
      <c r="L362" s="81"/>
    </row>
    <row r="363" spans="2:16" ht="23.25" customHeight="1" x14ac:dyDescent="0.25">
      <c r="B363" s="82" t="s">
        <v>40</v>
      </c>
      <c r="C363" s="79"/>
      <c r="D363" s="79"/>
      <c r="E363" s="79"/>
      <c r="F363" s="79"/>
      <c r="G363" s="79"/>
      <c r="H363" s="79"/>
      <c r="I363" s="79"/>
      <c r="J363" s="79"/>
      <c r="K363" s="79"/>
      <c r="L363" s="79"/>
    </row>
    <row r="364" spans="2:16" ht="18" customHeight="1" x14ac:dyDescent="0.25">
      <c r="B364" s="132" t="s">
        <v>15</v>
      </c>
      <c r="C364" s="132" t="s">
        <v>0</v>
      </c>
      <c r="D364" s="258" t="s">
        <v>41</v>
      </c>
      <c r="E364" s="259"/>
      <c r="F364" s="259"/>
      <c r="G364" s="259"/>
      <c r="H364" s="259"/>
      <c r="I364" s="260"/>
      <c r="J364" s="132" t="s">
        <v>15</v>
      </c>
      <c r="K364" s="132" t="s">
        <v>0</v>
      </c>
      <c r="L364" s="79"/>
    </row>
    <row r="365" spans="2:16" ht="18" customHeight="1" x14ac:dyDescent="0.25">
      <c r="B365" s="33" t="str">
        <f>IF(H359=3,B359,"")</f>
        <v>PEDRO JUN REIS MURATA</v>
      </c>
      <c r="C365" s="33" t="str">
        <f>IFERROR(IF(B365="","",VLOOKUP(B365,LISTAS!$F$5:$G$1004,2,0)),"0")</f>
        <v>ABACO IPIRANGA</v>
      </c>
      <c r="D365" s="253">
        <v>1</v>
      </c>
      <c r="E365" s="254"/>
      <c r="F365" s="253" t="s">
        <v>38</v>
      </c>
      <c r="G365" s="254"/>
      <c r="H365" s="253">
        <v>2</v>
      </c>
      <c r="I365" s="254"/>
      <c r="J365" s="111" t="str">
        <f>IF(H359=3,B361,"")</f>
        <v>PEDRO OLIVEIRA MACHADO</v>
      </c>
      <c r="K365" s="33" t="str">
        <f>IFERROR(IF(J365="","",VLOOKUP(J365,LISTAS!$F$5:$G$1004,2,0)),"0")</f>
        <v>COLÉGIO ARBOS - UNIDADE SANTO ANDRÉ</v>
      </c>
      <c r="L365" s="81"/>
    </row>
    <row r="366" spans="2:16" ht="18" customHeight="1" x14ac:dyDescent="0.25">
      <c r="B366" s="33" t="str">
        <f>IF(H359=3,B360,"")</f>
        <v>OLYNTHO VOLTARELLI</v>
      </c>
      <c r="C366" s="33" t="str">
        <f>IFERROR(IF(B366="","",VLOOKUP(B366,LISTAS!$F$5:$G$1004,2,0)),"0")</f>
        <v>ESCOLA VILLARE</v>
      </c>
      <c r="D366" s="253">
        <v>2</v>
      </c>
      <c r="E366" s="254"/>
      <c r="F366" s="253" t="s">
        <v>38</v>
      </c>
      <c r="G366" s="254"/>
      <c r="H366" s="253">
        <v>0</v>
      </c>
      <c r="I366" s="254"/>
      <c r="J366" s="111" t="str">
        <f>IF(H359=3,B361,"")</f>
        <v>PEDRO OLIVEIRA MACHADO</v>
      </c>
      <c r="K366" s="33" t="str">
        <f>IFERROR(IF(J366="","",VLOOKUP(J366,LISTAS!$F$5:$G$1004,2,0)),"0")</f>
        <v>COLÉGIO ARBOS - UNIDADE SANTO ANDRÉ</v>
      </c>
      <c r="L366" s="79"/>
    </row>
    <row r="367" spans="2:16" ht="18" customHeight="1" x14ac:dyDescent="0.25">
      <c r="B367" s="33" t="str">
        <f>IF(H359=3,B359,"")</f>
        <v>PEDRO JUN REIS MURATA</v>
      </c>
      <c r="C367" s="33" t="str">
        <f>IFERROR(IF(B367="","",VLOOKUP(B367,LISTAS!$F$5:$G$1004,2,0)),"0")</f>
        <v>ABACO IPIRANGA</v>
      </c>
      <c r="D367" s="253">
        <v>0</v>
      </c>
      <c r="E367" s="254"/>
      <c r="F367" s="253" t="s">
        <v>38</v>
      </c>
      <c r="G367" s="254"/>
      <c r="H367" s="253">
        <v>2</v>
      </c>
      <c r="I367" s="254"/>
      <c r="J367" s="111" t="str">
        <f>IF(H359=3,B360,"")</f>
        <v>OLYNTHO VOLTARELLI</v>
      </c>
      <c r="K367" s="33" t="str">
        <f>IFERROR(IF(J367="","",VLOOKUP(J367,LISTAS!$F$5:$G$1004,2,0)),"0")</f>
        <v>ESCOLA VILLARE</v>
      </c>
      <c r="L367" s="81"/>
    </row>
    <row r="370" spans="2:16" ht="30" customHeight="1" x14ac:dyDescent="0.25">
      <c r="B370" s="161" t="s">
        <v>72</v>
      </c>
      <c r="C370" s="79"/>
      <c r="D370" s="255" t="s">
        <v>42</v>
      </c>
      <c r="E370" s="256"/>
      <c r="F370" s="256"/>
      <c r="G370" s="257"/>
      <c r="H370" s="113"/>
      <c r="I370" s="255" t="s">
        <v>3</v>
      </c>
      <c r="J370" s="256"/>
      <c r="K370" s="256"/>
      <c r="L370" s="256"/>
    </row>
    <row r="371" spans="2:16" ht="18" customHeight="1" x14ac:dyDescent="0.25">
      <c r="B371" s="132" t="s">
        <v>15</v>
      </c>
      <c r="C371" s="132" t="s">
        <v>0</v>
      </c>
      <c r="D371" s="132" t="s">
        <v>43</v>
      </c>
      <c r="E371" s="132" t="s">
        <v>44</v>
      </c>
      <c r="F371" s="132" t="s">
        <v>77</v>
      </c>
      <c r="G371" s="132" t="s">
        <v>78</v>
      </c>
      <c r="H371" s="114"/>
      <c r="I371" s="132" t="s">
        <v>18</v>
      </c>
      <c r="J371" s="132" t="s">
        <v>15</v>
      </c>
      <c r="K371" s="132" t="s">
        <v>0</v>
      </c>
      <c r="L371" s="132" t="s">
        <v>45</v>
      </c>
    </row>
    <row r="372" spans="2:16" ht="18" customHeight="1" x14ac:dyDescent="0.25">
      <c r="B372" s="33" t="s">
        <v>334</v>
      </c>
      <c r="C372" s="33" t="str">
        <f>IFERROR(IF(B372="","",VLOOKUP(B372,LISTAS!$F$5:$G$1004,2,0)),"0")</f>
        <v>COLÉGIO ARBOS DE SÃO BERNARDO DO CAMPO</v>
      </c>
      <c r="D372" s="33" t="str">
        <f>IF(H372&lt;3,"",IF(H372=3,IF(D378&lt;&gt;"",IF(H378&lt;&gt;"",IF(D378&lt;&gt;H378,IF(D378&gt;H378,"V","D"),""),""),"")))</f>
        <v>V</v>
      </c>
      <c r="E372" s="33" t="str">
        <f>IF(H372&lt;3,"",IF(H372=3,IF(D380&lt;&gt;"",IF(H380&lt;&gt;"",IF(D380&lt;&gt;H380,IF(D380&gt;H380,"V","D"),""),""),"")))</f>
        <v>D</v>
      </c>
      <c r="F372" s="33" t="s">
        <v>81</v>
      </c>
      <c r="G372" s="33" t="s">
        <v>81</v>
      </c>
      <c r="H372" s="117">
        <f>COUNTA(B372:B374)</f>
        <v>3</v>
      </c>
      <c r="I372" s="33">
        <f>IF(B372&lt;&gt;"",1,"")</f>
        <v>1</v>
      </c>
      <c r="J372" s="33" t="str">
        <f>IF(I372&lt;&gt;"",P372,"")</f>
        <v>GUSTAVO RICCI MORISHITA</v>
      </c>
      <c r="K372" s="33" t="str">
        <f>IFERROR(IF(J372="","",VLOOKUP(J372,LISTAS!$F$5:$G$1004,2,0)),"0")</f>
        <v>COLÉGIO ATENEU</v>
      </c>
      <c r="L372" s="130" t="str">
        <f>IF(H372=3,"OURO",IF(H372=4,"OURO",IF(H372=5,"OURO","")))</f>
        <v>OURO</v>
      </c>
      <c r="M372" s="20">
        <f>IF(B372&lt;&gt;"",COUNTIF(D372:G372,"V")+(SUMIF(B378:B380,B372,D378:E380)/1000)+(SUMIF(J378:J380,B372,H378:I380)/1000)-(SUMIF(B378:B380,B372,H378:I380)/1000)-(SUMIF(J378:J380,B372,D378:E380)/1000)+0.003,"")</f>
        <v>1.0029999999999999</v>
      </c>
      <c r="N372" s="20" t="str">
        <f>IF(B372="","",B372)</f>
        <v>OTÁVIO PAGLERANI MONTEIRO DE ANDRADE</v>
      </c>
      <c r="O372" s="20">
        <f>IF(B372&lt;&gt;"",LARGE(M372:M374,1),"")</f>
        <v>2.0059999999999993</v>
      </c>
      <c r="P372" s="20" t="str">
        <f>VLOOKUP(O372,M372:N374,2,0)</f>
        <v>GUSTAVO RICCI MORISHITA</v>
      </c>
    </row>
    <row r="373" spans="2:16" ht="18" customHeight="1" x14ac:dyDescent="0.25">
      <c r="B373" s="33" t="s">
        <v>270</v>
      </c>
      <c r="C373" s="33" t="str">
        <f>IFERROR(IF(B373="","",VLOOKUP(B373,LISTAS!$F$5:$G$1004,2,0)),"0")</f>
        <v>COLÉGIO ATENEU</v>
      </c>
      <c r="D373" s="33" t="str">
        <f>IF(H372&lt;3,"",IF(H372=3,IF(D379&lt;&gt;"",IF(H379&lt;&gt;"",IF(D379&lt;&gt;H379,IF(D379&gt;H379,"V","D"),""),""),"")))</f>
        <v>V</v>
      </c>
      <c r="E373" s="33" t="str">
        <f>IF(H372&lt;3,"",IF(H372=3,IF(D380&lt;&gt;"",IF(H380&lt;&gt;"",IF(D380&lt;&gt;H380,IF(D380&gt;H380,"D","V"),""),""),"")))</f>
        <v>V</v>
      </c>
      <c r="F373" s="33" t="s">
        <v>81</v>
      </c>
      <c r="G373" s="33" t="s">
        <v>81</v>
      </c>
      <c r="H373" s="117"/>
      <c r="I373" s="33">
        <f>IF(B373&lt;&gt;"",2,"")</f>
        <v>2</v>
      </c>
      <c r="J373" s="33" t="str">
        <f>IF(I373&lt;&gt;"",P373,"")</f>
        <v>OTÁVIO PAGLERANI MONTEIRO DE ANDRADE</v>
      </c>
      <c r="K373" s="33" t="str">
        <f>IFERROR(IF(J373="","",VLOOKUP(J373,LISTAS!$F$5:$G$1004,2,0)),"0")</f>
        <v>COLÉGIO ARBOS DE SÃO BERNARDO DO CAMPO</v>
      </c>
      <c r="L373" s="130" t="str">
        <f>IF(H372=3,"PRATA",IF(H372=4,"OURO",IF(H372=5,"OURO","")))</f>
        <v>PRATA</v>
      </c>
      <c r="M373" s="20">
        <f>IF(B373&lt;&gt;"",COUNTIF(D373:G373,"V")+(SUMIF(B378:B380,B373,D378:E380)/1000)+(SUMIF(J378:J380,B373,H378:I380)/1000)-(SUMIF(B378:B380,B373,H378:I380)/1000)-(SUMIF(J378:J380,B373,D378:E380)/1000)+0.002,"")</f>
        <v>2.0059999999999993</v>
      </c>
      <c r="N373" s="20" t="str">
        <f t="shared" ref="N373" si="26">IF(B373="","",B373)</f>
        <v>GUSTAVO RICCI MORISHITA</v>
      </c>
      <c r="O373" s="20">
        <f>IF(B373&lt;&gt;"",LARGE(M372:M374,2),"")</f>
        <v>1.0029999999999999</v>
      </c>
      <c r="P373" s="20" t="str">
        <f>VLOOKUP(O373,M372:N374,2,0)</f>
        <v>OTÁVIO PAGLERANI MONTEIRO DE ANDRADE</v>
      </c>
    </row>
    <row r="374" spans="2:16" ht="18" customHeight="1" x14ac:dyDescent="0.25">
      <c r="B374" s="33" t="s">
        <v>337</v>
      </c>
      <c r="C374" s="33" t="str">
        <f>IFERROR(IF(B374="","",VLOOKUP(B374,LISTAS!$F$5:$G$1004,2,0)),"0")</f>
        <v>COLÉGIO ENGENHEIRO SALVADOR ARENA</v>
      </c>
      <c r="D374" s="33" t="str">
        <f>IF(H372&lt;3,"",IF(H372=3,IF(D378&lt;&gt;"",IF(H378&lt;&gt;"",IF(D378&lt;&gt;H378,IF(D378&gt;H378,"D","V"),""),""),"")))</f>
        <v>D</v>
      </c>
      <c r="E374" s="33" t="str">
        <f>IF(H372&lt;3,"",IF(H372=3,IF(D379&lt;&gt;"",IF(H379&lt;&gt;"",IF(D379&lt;&gt;H379,IF(D379&gt;H379,"D","V"),""),""),"")))</f>
        <v>D</v>
      </c>
      <c r="F374" s="33" t="s">
        <v>81</v>
      </c>
      <c r="G374" s="33" t="s">
        <v>81</v>
      </c>
      <c r="H374" s="117"/>
      <c r="I374" s="33">
        <f>IF(B374&lt;&gt;"",3,"")</f>
        <v>3</v>
      </c>
      <c r="J374" s="33" t="str">
        <f>IF(I374&lt;&gt;"",P374,"")</f>
        <v>PEDRO DAMASCENO PIMENTEL</v>
      </c>
      <c r="K374" s="33" t="str">
        <f>IFERROR(IF(J374="","",VLOOKUP(J374,LISTAS!$F$5:$G$1004,2,0)),"0")</f>
        <v>COLÉGIO ENGENHEIRO SALVADOR ARENA</v>
      </c>
      <c r="L374" s="130" t="str">
        <f>IF(H372=3,"BRONZE",IF(H372=4,"PRATA",IF(H372=5,"OURO","")))</f>
        <v>BRONZE</v>
      </c>
      <c r="M374" s="20">
        <f>IF(B374&lt;&gt;"",COUNTIF(D374:G374,"V")+(SUMIF(B378:B380,B374,D378:E380)/1000)+(SUMIF(J378:J380,B374,H378:I380)/1000)-(SUMIF(B378:B380,B374,H378:I380)/1000)-(SUMIF(J378:J380,B374,D378:E380)/1000)+0.001,"")</f>
        <v>-3.0000000000000001E-3</v>
      </c>
      <c r="N374" s="20" t="str">
        <f>IF(B374="","",B374)</f>
        <v>PEDRO DAMASCENO PIMENTEL</v>
      </c>
      <c r="O374" s="20">
        <f>IF(B374&lt;&gt;"",LARGE(M372:M374,3),"")</f>
        <v>-3.0000000000000001E-3</v>
      </c>
      <c r="P374" s="20" t="str">
        <f>VLOOKUP(O374,M372:N374,2,0)</f>
        <v>PEDRO DAMASCENO PIMENTEL</v>
      </c>
    </row>
    <row r="375" spans="2:16" ht="18" customHeight="1" x14ac:dyDescent="0.25">
      <c r="B375" s="79"/>
      <c r="C375" s="79"/>
      <c r="D375" s="79"/>
      <c r="E375" s="79"/>
      <c r="F375" s="79"/>
      <c r="G375" s="79"/>
      <c r="I375" s="80"/>
      <c r="J375" s="79"/>
      <c r="K375" s="81"/>
      <c r="L375" s="81"/>
    </row>
    <row r="376" spans="2:16" ht="23.25" customHeight="1" x14ac:dyDescent="0.25">
      <c r="B376" s="82" t="s">
        <v>40</v>
      </c>
      <c r="C376" s="79"/>
      <c r="D376" s="79"/>
      <c r="E376" s="79"/>
      <c r="F376" s="79"/>
      <c r="G376" s="79"/>
      <c r="H376" s="79"/>
      <c r="I376" s="79"/>
      <c r="J376" s="79"/>
      <c r="K376" s="79"/>
      <c r="L376" s="79"/>
    </row>
    <row r="377" spans="2:16" ht="18" customHeight="1" x14ac:dyDescent="0.25">
      <c r="B377" s="132" t="s">
        <v>15</v>
      </c>
      <c r="C377" s="132" t="s">
        <v>0</v>
      </c>
      <c r="D377" s="258" t="s">
        <v>41</v>
      </c>
      <c r="E377" s="259"/>
      <c r="F377" s="259"/>
      <c r="G377" s="259"/>
      <c r="H377" s="259"/>
      <c r="I377" s="260"/>
      <c r="J377" s="132" t="s">
        <v>15</v>
      </c>
      <c r="K377" s="132" t="s">
        <v>0</v>
      </c>
      <c r="L377" s="79"/>
    </row>
    <row r="378" spans="2:16" ht="18" customHeight="1" x14ac:dyDescent="0.25">
      <c r="B378" s="33" t="str">
        <f>IF(H372=3,B372,"")</f>
        <v>OTÁVIO PAGLERANI MONTEIRO DE ANDRADE</v>
      </c>
      <c r="C378" s="33" t="str">
        <f>IFERROR(IF(B378="","",VLOOKUP(B378,LISTAS!$F$5:$G$1004,2,0)),"0")</f>
        <v>COLÉGIO ARBOS DE SÃO BERNARDO DO CAMPO</v>
      </c>
      <c r="D378" s="253">
        <v>2</v>
      </c>
      <c r="E378" s="254"/>
      <c r="F378" s="253" t="s">
        <v>38</v>
      </c>
      <c r="G378" s="254"/>
      <c r="H378" s="253">
        <v>0</v>
      </c>
      <c r="I378" s="254"/>
      <c r="J378" s="111" t="str">
        <f>IF(H372=3,B374,"")</f>
        <v>PEDRO DAMASCENO PIMENTEL</v>
      </c>
      <c r="K378" s="33" t="str">
        <f>IFERROR(IF(J378="","",VLOOKUP(J378,LISTAS!$F$5:$G$1004,2,0)),"0")</f>
        <v>COLÉGIO ENGENHEIRO SALVADOR ARENA</v>
      </c>
      <c r="L378" s="81"/>
    </row>
    <row r="379" spans="2:16" ht="18" customHeight="1" x14ac:dyDescent="0.25">
      <c r="B379" s="33" t="str">
        <f>IF(H372=3,B373,"")</f>
        <v>GUSTAVO RICCI MORISHITA</v>
      </c>
      <c r="C379" s="33" t="str">
        <f>IFERROR(IF(B379="","",VLOOKUP(B379,LISTAS!$F$5:$G$1004,2,0)),"0")</f>
        <v>COLÉGIO ATENEU</v>
      </c>
      <c r="D379" s="253">
        <v>2</v>
      </c>
      <c r="E379" s="254"/>
      <c r="F379" s="253" t="s">
        <v>38</v>
      </c>
      <c r="G379" s="254"/>
      <c r="H379" s="253">
        <v>0</v>
      </c>
      <c r="I379" s="254"/>
      <c r="J379" s="111" t="str">
        <f>IF(H372=3,B374,"")</f>
        <v>PEDRO DAMASCENO PIMENTEL</v>
      </c>
      <c r="K379" s="33" t="str">
        <f>IFERROR(IF(J379="","",VLOOKUP(J379,LISTAS!$F$5:$G$1004,2,0)),"0")</f>
        <v>COLÉGIO ENGENHEIRO SALVADOR ARENA</v>
      </c>
      <c r="L379" s="79"/>
    </row>
    <row r="380" spans="2:16" ht="18" customHeight="1" x14ac:dyDescent="0.25">
      <c r="B380" s="33" t="str">
        <f>IF(H372=3,B372,"")</f>
        <v>OTÁVIO PAGLERANI MONTEIRO DE ANDRADE</v>
      </c>
      <c r="C380" s="33" t="str">
        <f>IFERROR(IF(B380="","",VLOOKUP(B380,LISTAS!$F$5:$G$1004,2,0)),"0")</f>
        <v>COLÉGIO ARBOS DE SÃO BERNARDO DO CAMPO</v>
      </c>
      <c r="D380" s="253">
        <v>0</v>
      </c>
      <c r="E380" s="254"/>
      <c r="F380" s="253" t="s">
        <v>38</v>
      </c>
      <c r="G380" s="254"/>
      <c r="H380" s="253">
        <v>2</v>
      </c>
      <c r="I380" s="254"/>
      <c r="J380" s="111" t="str">
        <f>IF(H372=3,B373,"")</f>
        <v>GUSTAVO RICCI MORISHITA</v>
      </c>
      <c r="K380" s="33" t="str">
        <f>IFERROR(IF(J380="","",VLOOKUP(J380,LISTAS!$F$5:$G$1004,2,0)),"0")</f>
        <v>COLÉGIO ATENEU</v>
      </c>
      <c r="L380" s="81"/>
    </row>
    <row r="383" spans="2:16" ht="30" customHeight="1" x14ac:dyDescent="0.25">
      <c r="B383" s="161" t="s">
        <v>73</v>
      </c>
      <c r="C383" s="79"/>
      <c r="D383" s="255" t="s">
        <v>42</v>
      </c>
      <c r="E383" s="256"/>
      <c r="F383" s="256"/>
      <c r="G383" s="257"/>
      <c r="H383" s="113"/>
      <c r="I383" s="255" t="s">
        <v>3</v>
      </c>
      <c r="J383" s="256"/>
      <c r="K383" s="256"/>
      <c r="L383" s="256"/>
    </row>
    <row r="384" spans="2:16" ht="18" customHeight="1" x14ac:dyDescent="0.25">
      <c r="B384" s="132" t="s">
        <v>15</v>
      </c>
      <c r="C384" s="132" t="s">
        <v>0</v>
      </c>
      <c r="D384" s="132" t="s">
        <v>43</v>
      </c>
      <c r="E384" s="132" t="s">
        <v>44</v>
      </c>
      <c r="F384" s="132" t="s">
        <v>77</v>
      </c>
      <c r="G384" s="132" t="s">
        <v>78</v>
      </c>
      <c r="H384" s="114"/>
      <c r="I384" s="132" t="s">
        <v>18</v>
      </c>
      <c r="J384" s="132" t="s">
        <v>15</v>
      </c>
      <c r="K384" s="132" t="s">
        <v>0</v>
      </c>
      <c r="L384" s="132" t="s">
        <v>45</v>
      </c>
    </row>
    <row r="385" spans="2:16" ht="18" customHeight="1" x14ac:dyDescent="0.25">
      <c r="B385" s="33" t="s">
        <v>213</v>
      </c>
      <c r="C385" s="33" t="str">
        <f>IFERROR(IF(B385="","",VLOOKUP(B385,LISTAS!$F$5:$G$1004,2,0)),"0")</f>
        <v>ESCOLA IL SOLE</v>
      </c>
      <c r="D385" s="33" t="str">
        <f>IF(H385&lt;3,"",IF(H385=3,IF(D391&lt;&gt;"",IF(H391&lt;&gt;"",IF(D391&lt;&gt;H391,IF(D391&gt;H391,"V","D"),""),""),"")))</f>
        <v>V</v>
      </c>
      <c r="E385" s="33" t="str">
        <f>IF(H385&lt;3,"",IF(H385=3,IF(D393&lt;&gt;"",IF(H393&lt;&gt;"",IF(D393&lt;&gt;H393,IF(D393&gt;H393,"V","D"),""),""),"")))</f>
        <v>D</v>
      </c>
      <c r="F385" s="33" t="s">
        <v>81</v>
      </c>
      <c r="G385" s="33" t="s">
        <v>81</v>
      </c>
      <c r="H385" s="117">
        <f>COUNTA(B385:B387)</f>
        <v>3</v>
      </c>
      <c r="I385" s="33">
        <f>IF(B385&lt;&gt;"",1,"")</f>
        <v>1</v>
      </c>
      <c r="J385" s="33" t="str">
        <f>IF(I385&lt;&gt;"",P385,"")</f>
        <v>PEDRO PEREIRA  DAMÁSIO</v>
      </c>
      <c r="K385" s="33" t="str">
        <f>IFERROR(IF(J385="","",VLOOKUP(J385,LISTAS!$F$5:$G$1004,2,0)),"0")</f>
        <v>ABACO IPIRANGA</v>
      </c>
      <c r="L385" s="130" t="str">
        <f>IF(H385=3,"OURO",IF(H385=4,"OURO",IF(H385=5,"OURO","")))</f>
        <v>OURO</v>
      </c>
      <c r="M385" s="20">
        <f>IF(B385&lt;&gt;"",COUNTIF(D385:G385,"V")+(SUMIF(B391:B393,B385,D391:E393)/1000)+(SUMIF(J391:J393,B385,H391:I393)/1000)-(SUMIF(B391:B393,B385,H391:I393)/1000)-(SUMIF(J391:J393,B385,D391:E393)/1000)+0.003,"")</f>
        <v>1.0029999999999999</v>
      </c>
      <c r="N385" s="20" t="str">
        <f>IF(B385="","",B385)</f>
        <v>ARTHUR BERTINI ZANCHETA</v>
      </c>
      <c r="O385" s="20">
        <f>IF(B385&lt;&gt;"",LARGE(M385:M387,1),"")</f>
        <v>2.0059999999999993</v>
      </c>
      <c r="P385" s="20" t="str">
        <f>VLOOKUP(O385,M385:N387,2,0)</f>
        <v>PEDRO PEREIRA  DAMÁSIO</v>
      </c>
    </row>
    <row r="386" spans="2:16" ht="18" customHeight="1" x14ac:dyDescent="0.25">
      <c r="B386" s="33" t="s">
        <v>345</v>
      </c>
      <c r="C386" s="33" t="str">
        <f>IFERROR(IF(B386="","",VLOOKUP(B386,LISTAS!$F$5:$G$1004,2,0)),"0")</f>
        <v>ABACO IPIRANGA</v>
      </c>
      <c r="D386" s="33" t="str">
        <f>IF(H385&lt;3,"",IF(H385=3,IF(D392&lt;&gt;"",IF(H392&lt;&gt;"",IF(D392&lt;&gt;H392,IF(D392&gt;H392,"V","D"),""),""),"")))</f>
        <v>V</v>
      </c>
      <c r="E386" s="33" t="str">
        <f>IF(H385&lt;3,"",IF(H385=3,IF(D393&lt;&gt;"",IF(H393&lt;&gt;"",IF(D393&lt;&gt;H393,IF(D393&gt;H393,"D","V"),""),""),"")))</f>
        <v>V</v>
      </c>
      <c r="F386" s="33" t="s">
        <v>81</v>
      </c>
      <c r="G386" s="33" t="s">
        <v>81</v>
      </c>
      <c r="H386" s="117"/>
      <c r="I386" s="33">
        <f>IF(B386&lt;&gt;"",2,"")</f>
        <v>2</v>
      </c>
      <c r="J386" s="33" t="str">
        <f>IF(I386&lt;&gt;"",P386,"")</f>
        <v>ARTHUR BERTINI ZANCHETA</v>
      </c>
      <c r="K386" s="33" t="str">
        <f>IFERROR(IF(J386="","",VLOOKUP(J386,LISTAS!$F$5:$G$1004,2,0)),"0")</f>
        <v>ESCOLA IL SOLE</v>
      </c>
      <c r="L386" s="130" t="str">
        <f>IF(H385=3,"PRATA",IF(H385=4,"OURO",IF(H385=5,"OURO","")))</f>
        <v>PRATA</v>
      </c>
      <c r="M386" s="20">
        <f>IF(B386&lt;&gt;"",COUNTIF(D386:G386,"V")+(SUMIF(B391:B393,B386,D391:E393)/1000)+(SUMIF(J391:J393,B386,H391:I393)/1000)-(SUMIF(B391:B393,B386,H391:I393)/1000)-(SUMIF(J391:J393,B386,D391:E393)/1000)+0.002,"")</f>
        <v>2.0059999999999993</v>
      </c>
      <c r="N386" s="20" t="str">
        <f t="shared" ref="N386" si="27">IF(B386="","",B386)</f>
        <v>PEDRO PEREIRA  DAMÁSIO</v>
      </c>
      <c r="O386" s="20">
        <f>IF(B386&lt;&gt;"",LARGE(M385:M387,2),"")</f>
        <v>1.0029999999999999</v>
      </c>
      <c r="P386" s="20" t="str">
        <f>VLOOKUP(O386,M385:N387,2,0)</f>
        <v>ARTHUR BERTINI ZANCHETA</v>
      </c>
    </row>
    <row r="387" spans="2:16" ht="18" customHeight="1" x14ac:dyDescent="0.25">
      <c r="B387" s="33" t="s">
        <v>288</v>
      </c>
      <c r="C387" s="33" t="str">
        <f>IFERROR(IF(B387="","",VLOOKUP(B387,LISTAS!$F$5:$G$1004,2,0)),"0")</f>
        <v>IEBURIX -SBC</v>
      </c>
      <c r="D387" s="33" t="str">
        <f>IF(H385&lt;3,"",IF(H385=3,IF(D391&lt;&gt;"",IF(H391&lt;&gt;"",IF(D391&lt;&gt;H391,IF(D391&gt;H391,"D","V"),""),""),"")))</f>
        <v>D</v>
      </c>
      <c r="E387" s="33" t="str">
        <f>IF(H385&lt;3,"",IF(H385=3,IF(D392&lt;&gt;"",IF(H392&lt;&gt;"",IF(D392&lt;&gt;H392,IF(D392&gt;H392,"D","V"),""),""),"")))</f>
        <v>D</v>
      </c>
      <c r="F387" s="33" t="s">
        <v>81</v>
      </c>
      <c r="G387" s="33" t="s">
        <v>81</v>
      </c>
      <c r="H387" s="117"/>
      <c r="I387" s="33">
        <f>IF(B387&lt;&gt;"",3,"")</f>
        <v>3</v>
      </c>
      <c r="J387" s="33" t="str">
        <f>IF(I387&lt;&gt;"",P387,"")</f>
        <v>KAUAN DOMINGUES SULA</v>
      </c>
      <c r="K387" s="33" t="str">
        <f>IFERROR(IF(J387="","",VLOOKUP(J387,LISTAS!$F$5:$G$1004,2,0)),"0")</f>
        <v>IEBURIX -SBC</v>
      </c>
      <c r="L387" s="130" t="str">
        <f>IF(H385=3,"BRONZE",IF(H385=4,"PRATA",IF(H385=5,"OURO","")))</f>
        <v>BRONZE</v>
      </c>
      <c r="M387" s="20">
        <f>IF(B387&lt;&gt;"",COUNTIF(D387:G387,"V")+(SUMIF(B391:B393,B387,D391:E393)/1000)+(SUMIF(J391:J393,B387,H391:I393)/1000)-(SUMIF(B391:B393,B387,H391:I393)/1000)-(SUMIF(J391:J393,B387,D391:E393)/1000)+0.001,"")</f>
        <v>-3.0000000000000001E-3</v>
      </c>
      <c r="N387" s="20" t="str">
        <f>IF(B387="","",B387)</f>
        <v>KAUAN DOMINGUES SULA</v>
      </c>
      <c r="O387" s="20">
        <f>IF(B387&lt;&gt;"",LARGE(M385:M387,3),"")</f>
        <v>-3.0000000000000001E-3</v>
      </c>
      <c r="P387" s="20" t="str">
        <f>VLOOKUP(O387,M385:N387,2,0)</f>
        <v>KAUAN DOMINGUES SULA</v>
      </c>
    </row>
    <row r="388" spans="2:16" ht="18" customHeight="1" x14ac:dyDescent="0.25">
      <c r="B388" s="79"/>
      <c r="C388" s="79"/>
      <c r="D388" s="79"/>
      <c r="E388" s="79"/>
      <c r="F388" s="79"/>
      <c r="G388" s="79"/>
      <c r="I388" s="80"/>
      <c r="J388" s="79"/>
      <c r="K388" s="81"/>
      <c r="L388" s="81"/>
    </row>
    <row r="389" spans="2:16" ht="23.25" customHeight="1" x14ac:dyDescent="0.25">
      <c r="B389" s="82" t="s">
        <v>40</v>
      </c>
      <c r="C389" s="79"/>
      <c r="D389" s="79"/>
      <c r="E389" s="79"/>
      <c r="F389" s="79"/>
      <c r="G389" s="79"/>
      <c r="H389" s="79"/>
      <c r="I389" s="79"/>
      <c r="J389" s="79"/>
      <c r="K389" s="79"/>
      <c r="L389" s="79"/>
    </row>
    <row r="390" spans="2:16" ht="18" customHeight="1" x14ac:dyDescent="0.25">
      <c r="B390" s="132" t="s">
        <v>15</v>
      </c>
      <c r="C390" s="132" t="s">
        <v>0</v>
      </c>
      <c r="D390" s="258" t="s">
        <v>41</v>
      </c>
      <c r="E390" s="259"/>
      <c r="F390" s="259"/>
      <c r="G390" s="259"/>
      <c r="H390" s="259"/>
      <c r="I390" s="260"/>
      <c r="J390" s="132" t="s">
        <v>15</v>
      </c>
      <c r="K390" s="132" t="s">
        <v>0</v>
      </c>
      <c r="L390" s="79"/>
    </row>
    <row r="391" spans="2:16" ht="18" customHeight="1" x14ac:dyDescent="0.25">
      <c r="B391" s="33" t="str">
        <f>IF(H385=3,B385,"")</f>
        <v>ARTHUR BERTINI ZANCHETA</v>
      </c>
      <c r="C391" s="33" t="str">
        <f>IFERROR(IF(B391="","",VLOOKUP(B391,LISTAS!$F$5:$G$1004,2,0)),"0")</f>
        <v>ESCOLA IL SOLE</v>
      </c>
      <c r="D391" s="253">
        <v>2</v>
      </c>
      <c r="E391" s="254"/>
      <c r="F391" s="253" t="s">
        <v>38</v>
      </c>
      <c r="G391" s="254"/>
      <c r="H391" s="253">
        <v>0</v>
      </c>
      <c r="I391" s="254"/>
      <c r="J391" s="111" t="str">
        <f>IF(H385=3,B387,"")</f>
        <v>KAUAN DOMINGUES SULA</v>
      </c>
      <c r="K391" s="33" t="str">
        <f>IFERROR(IF(J391="","",VLOOKUP(J391,LISTAS!$F$5:$G$1004,2,0)),"0")</f>
        <v>IEBURIX -SBC</v>
      </c>
      <c r="L391" s="81"/>
    </row>
    <row r="392" spans="2:16" ht="18" customHeight="1" x14ac:dyDescent="0.25">
      <c r="B392" s="33" t="str">
        <f>IF(H385=3,B386,"")</f>
        <v>PEDRO PEREIRA  DAMÁSIO</v>
      </c>
      <c r="C392" s="33" t="str">
        <f>IFERROR(IF(B392="","",VLOOKUP(B392,LISTAS!$F$5:$G$1004,2,0)),"0")</f>
        <v>ABACO IPIRANGA</v>
      </c>
      <c r="D392" s="253">
        <v>2</v>
      </c>
      <c r="E392" s="254"/>
      <c r="F392" s="253" t="s">
        <v>38</v>
      </c>
      <c r="G392" s="254"/>
      <c r="H392" s="253">
        <v>0</v>
      </c>
      <c r="I392" s="254"/>
      <c r="J392" s="111" t="str">
        <f>IF(H385=3,B387,"")</f>
        <v>KAUAN DOMINGUES SULA</v>
      </c>
      <c r="K392" s="33" t="str">
        <f>IFERROR(IF(J392="","",VLOOKUP(J392,LISTAS!$F$5:$G$1004,2,0)),"0")</f>
        <v>IEBURIX -SBC</v>
      </c>
      <c r="L392" s="79"/>
    </row>
    <row r="393" spans="2:16" ht="18" customHeight="1" x14ac:dyDescent="0.25">
      <c r="B393" s="33" t="str">
        <f>IF(H385=3,B385,"")</f>
        <v>ARTHUR BERTINI ZANCHETA</v>
      </c>
      <c r="C393" s="33" t="str">
        <f>IFERROR(IF(B393="","",VLOOKUP(B393,LISTAS!$F$5:$G$1004,2,0)),"0")</f>
        <v>ESCOLA IL SOLE</v>
      </c>
      <c r="D393" s="253">
        <v>0</v>
      </c>
      <c r="E393" s="254"/>
      <c r="F393" s="253" t="s">
        <v>38</v>
      </c>
      <c r="G393" s="254"/>
      <c r="H393" s="253">
        <v>2</v>
      </c>
      <c r="I393" s="254"/>
      <c r="J393" s="111" t="str">
        <f>IF(H385=3,B386,"")</f>
        <v>PEDRO PEREIRA  DAMÁSIO</v>
      </c>
      <c r="K393" s="33" t="str">
        <f>IFERROR(IF(J393="","",VLOOKUP(J393,LISTAS!$F$5:$G$1004,2,0)),"0")</f>
        <v>ABACO IPIRANGA</v>
      </c>
      <c r="L393" s="81"/>
    </row>
    <row r="396" spans="2:16" ht="30" customHeight="1" x14ac:dyDescent="0.25">
      <c r="B396" s="161" t="s">
        <v>74</v>
      </c>
      <c r="C396" s="79"/>
      <c r="D396" s="255" t="s">
        <v>42</v>
      </c>
      <c r="E396" s="256"/>
      <c r="F396" s="256"/>
      <c r="G396" s="257"/>
      <c r="H396" s="113"/>
      <c r="I396" s="255" t="s">
        <v>3</v>
      </c>
      <c r="J396" s="256"/>
      <c r="K396" s="256"/>
      <c r="L396" s="256"/>
    </row>
    <row r="397" spans="2:16" ht="18" customHeight="1" x14ac:dyDescent="0.25">
      <c r="B397" s="132" t="s">
        <v>15</v>
      </c>
      <c r="C397" s="132" t="s">
        <v>0</v>
      </c>
      <c r="D397" s="132" t="s">
        <v>43</v>
      </c>
      <c r="E397" s="132" t="s">
        <v>44</v>
      </c>
      <c r="F397" s="132" t="s">
        <v>77</v>
      </c>
      <c r="G397" s="132" t="s">
        <v>78</v>
      </c>
      <c r="H397" s="114"/>
      <c r="I397" s="132" t="s">
        <v>18</v>
      </c>
      <c r="J397" s="132" t="s">
        <v>15</v>
      </c>
      <c r="K397" s="132" t="s">
        <v>0</v>
      </c>
      <c r="L397" s="132" t="s">
        <v>45</v>
      </c>
    </row>
    <row r="398" spans="2:16" ht="18" customHeight="1" x14ac:dyDescent="0.25">
      <c r="B398" s="33" t="s">
        <v>317</v>
      </c>
      <c r="C398" s="33" t="str">
        <f>IFERROR(IF(B398="","",VLOOKUP(B398,LISTAS!$F$5:$G$1004,2,0)),"0")</f>
        <v>LICEU JARDIM</v>
      </c>
      <c r="D398" s="33" t="str">
        <f>IF(H398&lt;3,"",IF(H398=3,IF(D404&lt;&gt;"",IF(H404&lt;&gt;"",IF(D404&lt;&gt;H404,IF(D404&gt;H404,"V","D"),""),""),"")))</f>
        <v>D</v>
      </c>
      <c r="E398" s="33" t="str">
        <f>IF(H398&lt;3,"",IF(H398=3,IF(D406&lt;&gt;"",IF(H406&lt;&gt;"",IF(D406&lt;&gt;H406,IF(D406&gt;H406,"V","D"),""),""),"")))</f>
        <v>D</v>
      </c>
      <c r="F398" s="33" t="s">
        <v>81</v>
      </c>
      <c r="G398" s="33" t="s">
        <v>81</v>
      </c>
      <c r="H398" s="117">
        <f>COUNTA(B398:B400)</f>
        <v>3</v>
      </c>
      <c r="I398" s="33">
        <f>IF(B398&lt;&gt;"",1,"")</f>
        <v>1</v>
      </c>
      <c r="J398" s="33" t="str">
        <f>IF(I398&lt;&gt;"",P398,"")</f>
        <v>LUIS OCTÁVIO FURUKAVA MONTEIRO</v>
      </c>
      <c r="K398" s="33" t="str">
        <f>IFERROR(IF(J398="","",VLOOKUP(J398,LISTAS!$F$5:$G$1004,2,0)),"0")</f>
        <v>COLÉGIO SÃO MAURO</v>
      </c>
      <c r="L398" s="130" t="str">
        <f>IF(H398=3,"OURO",IF(H398=4,"OURO",IF(H398=5,"OURO","")))</f>
        <v>OURO</v>
      </c>
      <c r="M398" s="20">
        <f>IF(B398&lt;&gt;"",COUNTIF(D398:G398,"V")+(SUMIF(B404:B406,B398,D404:E406)/1000)+(SUMIF(J404:J406,B398,H404:I406)/1000)-(SUMIF(B404:B406,B398,H404:I406)/1000)-(SUMIF(J404:J406,B398,D404:E406)/1000)+0.003,"")</f>
        <v>-1E-3</v>
      </c>
      <c r="N398" s="20" t="str">
        <f>IF(B398="","",B398)</f>
        <v>MATHEUS BERTELLI MUCCIA</v>
      </c>
      <c r="O398" s="20">
        <f>IF(B398&lt;&gt;"",LARGE(M398:M400,1),"")</f>
        <v>2.0059999999999993</v>
      </c>
      <c r="P398" s="20" t="str">
        <f>VLOOKUP(O398,M398:N400,2,0)</f>
        <v>LUIS OCTÁVIO FURUKAVA MONTEIRO</v>
      </c>
    </row>
    <row r="399" spans="2:16" ht="18" customHeight="1" x14ac:dyDescent="0.25">
      <c r="B399" s="33" t="s">
        <v>313</v>
      </c>
      <c r="C399" s="33" t="str">
        <f>IFERROR(IF(B399="","",VLOOKUP(B399,LISTAS!$F$5:$G$1004,2,0)),"0")</f>
        <v>COLÉGIO SÃO MAURO</v>
      </c>
      <c r="D399" s="33" t="str">
        <f>IF(H398&lt;3,"",IF(H398=3,IF(D405&lt;&gt;"",IF(H405&lt;&gt;"",IF(D405&lt;&gt;H405,IF(D405&gt;H405,"V","D"),""),""),"")))</f>
        <v>V</v>
      </c>
      <c r="E399" s="33" t="str">
        <f>IF(H398&lt;3,"",IF(H398=3,IF(D406&lt;&gt;"",IF(H406&lt;&gt;"",IF(D406&lt;&gt;H406,IF(D406&gt;H406,"D","V"),""),""),"")))</f>
        <v>V</v>
      </c>
      <c r="F399" s="33" t="s">
        <v>81</v>
      </c>
      <c r="G399" s="33" t="s">
        <v>81</v>
      </c>
      <c r="H399" s="117"/>
      <c r="I399" s="33">
        <f>IF(B399&lt;&gt;"",2,"")</f>
        <v>2</v>
      </c>
      <c r="J399" s="33" t="str">
        <f>IF(I399&lt;&gt;"",P399,"")</f>
        <v>GAEL SANTANDER REIS</v>
      </c>
      <c r="K399" s="33" t="str">
        <f>IFERROR(IF(J399="","",VLOOKUP(J399,LISTAS!$F$5:$G$1004,2,0)),"0")</f>
        <v>COLÉGIO ARBOS SÃO CAETANO DO SUL</v>
      </c>
      <c r="L399" s="130" t="str">
        <f>IF(H398=3,"PRATA",IF(H398=4,"OURO",IF(H398=5,"OURO","")))</f>
        <v>PRATA</v>
      </c>
      <c r="M399" s="20">
        <f>IF(B399&lt;&gt;"",COUNTIF(D399:G399,"V")+(SUMIF(B404:B406,B399,D404:E406)/1000)+(SUMIF(J404:J406,B399,H404:I406)/1000)-(SUMIF(B404:B406,B399,H404:I406)/1000)-(SUMIF(J404:J406,B399,D404:E406)/1000)+0.002,"")</f>
        <v>2.0059999999999993</v>
      </c>
      <c r="N399" s="20" t="str">
        <f t="shared" ref="N399" si="28">IF(B399="","",B399)</f>
        <v>LUIS OCTÁVIO FURUKAVA MONTEIRO</v>
      </c>
      <c r="O399" s="20">
        <f>IF(B399&lt;&gt;"",LARGE(M398:M400,2),"")</f>
        <v>1.0009999999999999</v>
      </c>
      <c r="P399" s="20" t="str">
        <f>VLOOKUP(O399,M398:N400,2,0)</f>
        <v>GAEL SANTANDER REIS</v>
      </c>
    </row>
    <row r="400" spans="2:16" ht="18" customHeight="1" x14ac:dyDescent="0.25">
      <c r="B400" s="33" t="s">
        <v>263</v>
      </c>
      <c r="C400" s="33" t="str">
        <f>IFERROR(IF(B400="","",VLOOKUP(B400,LISTAS!$F$5:$G$1004,2,0)),"0")</f>
        <v>COLÉGIO ARBOS SÃO CAETANO DO SUL</v>
      </c>
      <c r="D400" s="33" t="str">
        <f>IF(H398&lt;3,"",IF(H398=3,IF(D404&lt;&gt;"",IF(H404&lt;&gt;"",IF(D404&lt;&gt;H404,IF(D404&gt;H404,"D","V"),""),""),"")))</f>
        <v>V</v>
      </c>
      <c r="E400" s="33" t="str">
        <f>IF(H398&lt;3,"",IF(H398=3,IF(D405&lt;&gt;"",IF(H405&lt;&gt;"",IF(D405&lt;&gt;H405,IF(D405&gt;H405,"D","V"),""),""),"")))</f>
        <v>D</v>
      </c>
      <c r="F400" s="33" t="s">
        <v>81</v>
      </c>
      <c r="G400" s="33" t="s">
        <v>81</v>
      </c>
      <c r="H400" s="117"/>
      <c r="I400" s="33">
        <f>IF(B400&lt;&gt;"",3,"")</f>
        <v>3</v>
      </c>
      <c r="J400" s="33" t="str">
        <f>IF(I400&lt;&gt;"",P400,"")</f>
        <v>MATHEUS BERTELLI MUCCIA</v>
      </c>
      <c r="K400" s="33" t="str">
        <f>IFERROR(IF(J400="","",VLOOKUP(J400,LISTAS!$F$5:$G$1004,2,0)),"0")</f>
        <v>LICEU JARDIM</v>
      </c>
      <c r="L400" s="130" t="str">
        <f>IF(H398=3,"BRONZE",IF(H398=4,"PRATA",IF(H398=5,"OURO","")))</f>
        <v>BRONZE</v>
      </c>
      <c r="M400" s="20">
        <f>IF(B400&lt;&gt;"",COUNTIF(D400:G400,"V")+(SUMIF(B404:B406,B400,D404:E406)/1000)+(SUMIF(J404:J406,B400,H404:I406)/1000)-(SUMIF(B404:B406,B400,H404:I406)/1000)-(SUMIF(J404:J406,B400,D404:E406)/1000)+0.001,"")</f>
        <v>1.0009999999999999</v>
      </c>
      <c r="N400" s="20" t="str">
        <f>IF(B400="","",B400)</f>
        <v>GAEL SANTANDER REIS</v>
      </c>
      <c r="O400" s="20">
        <f>IF(B400&lt;&gt;"",LARGE(M398:M400,3),"")</f>
        <v>-1E-3</v>
      </c>
      <c r="P400" s="20" t="str">
        <f>VLOOKUP(O400,M398:N400,2,0)</f>
        <v>MATHEUS BERTELLI MUCCIA</v>
      </c>
    </row>
    <row r="401" spans="2:16" ht="18" customHeight="1" x14ac:dyDescent="0.25">
      <c r="B401" s="79"/>
      <c r="C401" s="79"/>
      <c r="D401" s="79"/>
      <c r="E401" s="79"/>
      <c r="F401" s="79"/>
      <c r="G401" s="79"/>
      <c r="I401" s="80"/>
      <c r="J401" s="79"/>
      <c r="K401" s="81"/>
      <c r="L401" s="81"/>
    </row>
    <row r="402" spans="2:16" ht="23.25" customHeight="1" x14ac:dyDescent="0.25">
      <c r="B402" s="82" t="s">
        <v>40</v>
      </c>
      <c r="C402" s="79"/>
      <c r="D402" s="79"/>
      <c r="E402" s="79"/>
      <c r="F402" s="79"/>
      <c r="G402" s="79"/>
      <c r="H402" s="79"/>
      <c r="I402" s="79"/>
      <c r="J402" s="79"/>
      <c r="K402" s="79"/>
      <c r="L402" s="79"/>
    </row>
    <row r="403" spans="2:16" ht="18" customHeight="1" x14ac:dyDescent="0.25">
      <c r="B403" s="132" t="s">
        <v>15</v>
      </c>
      <c r="C403" s="132" t="s">
        <v>0</v>
      </c>
      <c r="D403" s="258" t="s">
        <v>41</v>
      </c>
      <c r="E403" s="259"/>
      <c r="F403" s="259"/>
      <c r="G403" s="259"/>
      <c r="H403" s="259"/>
      <c r="I403" s="260"/>
      <c r="J403" s="132" t="s">
        <v>15</v>
      </c>
      <c r="K403" s="132" t="s">
        <v>0</v>
      </c>
      <c r="L403" s="79"/>
    </row>
    <row r="404" spans="2:16" ht="18" customHeight="1" x14ac:dyDescent="0.25">
      <c r="B404" s="33" t="str">
        <f>IF(H398=3,B398,"")</f>
        <v>MATHEUS BERTELLI MUCCIA</v>
      </c>
      <c r="C404" s="33" t="str">
        <f>IFERROR(IF(B404="","",VLOOKUP(B404,LISTAS!$F$5:$G$1004,2,0)),"0")</f>
        <v>LICEU JARDIM</v>
      </c>
      <c r="D404" s="253">
        <v>0</v>
      </c>
      <c r="E404" s="254"/>
      <c r="F404" s="253" t="s">
        <v>38</v>
      </c>
      <c r="G404" s="254"/>
      <c r="H404" s="253">
        <v>2</v>
      </c>
      <c r="I404" s="254"/>
      <c r="J404" s="111" t="str">
        <f>IF(H398=3,B400,"")</f>
        <v>GAEL SANTANDER REIS</v>
      </c>
      <c r="K404" s="33" t="str">
        <f>IFERROR(IF(J404="","",VLOOKUP(J404,LISTAS!$F$5:$G$1004,2,0)),"0")</f>
        <v>COLÉGIO ARBOS SÃO CAETANO DO SUL</v>
      </c>
      <c r="L404" s="81"/>
    </row>
    <row r="405" spans="2:16" ht="18" customHeight="1" x14ac:dyDescent="0.25">
      <c r="B405" s="33" t="str">
        <f>IF(H398=3,B399,"")</f>
        <v>LUIS OCTÁVIO FURUKAVA MONTEIRO</v>
      </c>
      <c r="C405" s="33" t="str">
        <f>IFERROR(IF(B405="","",VLOOKUP(B405,LISTAS!$F$5:$G$1004,2,0)),"0")</f>
        <v>COLÉGIO SÃO MAURO</v>
      </c>
      <c r="D405" s="253">
        <v>2</v>
      </c>
      <c r="E405" s="254"/>
      <c r="F405" s="253" t="s">
        <v>38</v>
      </c>
      <c r="G405" s="254"/>
      <c r="H405" s="253">
        <v>0</v>
      </c>
      <c r="I405" s="254"/>
      <c r="J405" s="111" t="str">
        <f>IF(H398=3,B400,"")</f>
        <v>GAEL SANTANDER REIS</v>
      </c>
      <c r="K405" s="33" t="str">
        <f>IFERROR(IF(J405="","",VLOOKUP(J405,LISTAS!$F$5:$G$1004,2,0)),"0")</f>
        <v>COLÉGIO ARBOS SÃO CAETANO DO SUL</v>
      </c>
      <c r="L405" s="79"/>
    </row>
    <row r="406" spans="2:16" ht="18" customHeight="1" x14ac:dyDescent="0.25">
      <c r="B406" s="33" t="str">
        <f>IF(H398=3,B398,"")</f>
        <v>MATHEUS BERTELLI MUCCIA</v>
      </c>
      <c r="C406" s="33" t="str">
        <f>IFERROR(IF(B406="","",VLOOKUP(B406,LISTAS!$F$5:$G$1004,2,0)),"0")</f>
        <v>LICEU JARDIM</v>
      </c>
      <c r="D406" s="253">
        <v>0</v>
      </c>
      <c r="E406" s="254"/>
      <c r="F406" s="253" t="s">
        <v>38</v>
      </c>
      <c r="G406" s="254"/>
      <c r="H406" s="253">
        <v>2</v>
      </c>
      <c r="I406" s="254"/>
      <c r="J406" s="111" t="str">
        <f>IF(H398=3,B399,"")</f>
        <v>LUIS OCTÁVIO FURUKAVA MONTEIRO</v>
      </c>
      <c r="K406" s="33" t="str">
        <f>IFERROR(IF(J406="","",VLOOKUP(J406,LISTAS!$F$5:$G$1004,2,0)),"0")</f>
        <v>COLÉGIO SÃO MAURO</v>
      </c>
      <c r="L406" s="81"/>
    </row>
    <row r="409" spans="2:16" ht="30" customHeight="1" x14ac:dyDescent="0.25">
      <c r="B409" s="161" t="s">
        <v>75</v>
      </c>
      <c r="C409" s="79"/>
      <c r="D409" s="255" t="s">
        <v>42</v>
      </c>
      <c r="E409" s="256"/>
      <c r="F409" s="256"/>
      <c r="G409" s="257"/>
      <c r="H409" s="113"/>
      <c r="I409" s="255" t="s">
        <v>3</v>
      </c>
      <c r="J409" s="256"/>
      <c r="K409" s="256"/>
      <c r="L409" s="256"/>
    </row>
    <row r="410" spans="2:16" ht="18" customHeight="1" x14ac:dyDescent="0.25">
      <c r="B410" s="132" t="s">
        <v>15</v>
      </c>
      <c r="C410" s="132" t="s">
        <v>0</v>
      </c>
      <c r="D410" s="132" t="s">
        <v>43</v>
      </c>
      <c r="E410" s="132" t="s">
        <v>44</v>
      </c>
      <c r="F410" s="132" t="s">
        <v>77</v>
      </c>
      <c r="G410" s="132" t="s">
        <v>78</v>
      </c>
      <c r="H410" s="114"/>
      <c r="I410" s="132" t="s">
        <v>18</v>
      </c>
      <c r="J410" s="132" t="s">
        <v>15</v>
      </c>
      <c r="K410" s="132" t="s">
        <v>0</v>
      </c>
      <c r="L410" s="132" t="s">
        <v>45</v>
      </c>
    </row>
    <row r="411" spans="2:16" ht="18" customHeight="1" x14ac:dyDescent="0.25">
      <c r="B411" s="33" t="s">
        <v>601</v>
      </c>
      <c r="C411" s="33" t="str">
        <f>IFERROR(IF(B411="","",VLOOKUP(B411,LISTAS!$F$5:$G$1004,2,0)),"0")</f>
        <v>BYE</v>
      </c>
      <c r="D411" s="33" t="str">
        <f>IF(H411&lt;3,"",IF(H411=3,IF(D417&lt;&gt;"",IF(H417&lt;&gt;"",IF(D417&lt;&gt;H417,IF(D417&gt;H417,"V","D"),""),""),"")))</f>
        <v>D</v>
      </c>
      <c r="E411" s="33" t="str">
        <f>IF(H411&lt;3,"",IF(H411=3,IF(D419&lt;&gt;"",IF(H419&lt;&gt;"",IF(D419&lt;&gt;H419,IF(D419&gt;H419,"V","D"),""),""),"")))</f>
        <v>D</v>
      </c>
      <c r="F411" s="33" t="s">
        <v>81</v>
      </c>
      <c r="G411" s="33" t="s">
        <v>81</v>
      </c>
      <c r="H411" s="117">
        <f>COUNTA(B411:B413)</f>
        <v>3</v>
      </c>
      <c r="I411" s="33">
        <f>IF(B411&lt;&gt;"",1,"")</f>
        <v>1</v>
      </c>
      <c r="J411" s="33" t="str">
        <f>IF(I411&lt;&gt;"",P411,"")</f>
        <v>MURILO CUZZIN PASSARELA</v>
      </c>
      <c r="K411" s="33" t="str">
        <f>IFERROR(IF(J411="","",VLOOKUP(J411,LISTAS!$F$5:$G$1004,2,0)),"0")</f>
        <v>IEBURIX -SBC</v>
      </c>
      <c r="L411" s="130" t="str">
        <f>IF(H411=3,"OURO",IF(H411=4,"OURO",IF(H411=5,"OURO","")))</f>
        <v>OURO</v>
      </c>
      <c r="M411" s="20">
        <f>IF(B411&lt;&gt;"",COUNTIF(D411:G411,"V")+(SUMIF(B417:B419,B411,D417:E419)/1000)+(SUMIF(J417:J419,B411,H417:I419)/1000)-(SUMIF(B417:B419,B411,H417:I419)/1000)-(SUMIF(J417:J419,B411,D417:E419)/1000)+0.003,"")</f>
        <v>-1E-3</v>
      </c>
      <c r="N411" s="20" t="str">
        <f>IF(B411="","",B411)</f>
        <v>BYE</v>
      </c>
      <c r="O411" s="20">
        <f>IF(B411&lt;&gt;"",LARGE(M411:M413,1),"")</f>
        <v>2.004</v>
      </c>
      <c r="P411" s="20" t="str">
        <f>VLOOKUP(O411,M411:N413,2,0)</f>
        <v>MURILO CUZZIN PASSARELA</v>
      </c>
    </row>
    <row r="412" spans="2:16" ht="18" customHeight="1" x14ac:dyDescent="0.25">
      <c r="B412" s="33" t="s">
        <v>312</v>
      </c>
      <c r="C412" s="33" t="str">
        <f>IFERROR(IF(B412="","",VLOOKUP(B412,LISTAS!$F$5:$G$1004,2,0)),"0")</f>
        <v>LICEU JARDIM</v>
      </c>
      <c r="D412" s="33" t="str">
        <f>IF(H411&lt;3,"",IF(H411=3,IF(D418&lt;&gt;"",IF(H418&lt;&gt;"",IF(D418&lt;&gt;H418,IF(D418&gt;H418,"V","D"),""),""),"")))</f>
        <v>D</v>
      </c>
      <c r="E412" s="33" t="str">
        <f>IF(H411&lt;3,"",IF(H411=3,IF(D419&lt;&gt;"",IF(H419&lt;&gt;"",IF(D419&lt;&gt;H419,IF(D419&gt;H419,"D","V"),""),""),"")))</f>
        <v>V</v>
      </c>
      <c r="F412" s="33" t="s">
        <v>81</v>
      </c>
      <c r="G412" s="33" t="s">
        <v>81</v>
      </c>
      <c r="H412" s="117"/>
      <c r="I412" s="33">
        <f>IF(B412&lt;&gt;"",2,"")</f>
        <v>2</v>
      </c>
      <c r="J412" s="33" t="str">
        <f>IF(I412&lt;&gt;"",P412,"")</f>
        <v>LUIGI TAMMONE CORSINI</v>
      </c>
      <c r="K412" s="33" t="str">
        <f>IFERROR(IF(J412="","",VLOOKUP(J412,LISTAS!$F$5:$G$1004,2,0)),"0")</f>
        <v>LICEU JARDIM</v>
      </c>
      <c r="L412" s="130" t="str">
        <f>IF(H411=3,"PRATA",IF(H411=4,"OURO",IF(H411=5,"OURO","")))</f>
        <v>PRATA</v>
      </c>
      <c r="M412" s="20">
        <f>IF(B412&lt;&gt;"",COUNTIF(D412:G412,"V")+(SUMIF(B417:B419,B412,D417:E419)/1000)+(SUMIF(J417:J419,B412,H417:I419)/1000)-(SUMIF(B417:B419,B412,H417:I419)/1000)-(SUMIF(J417:J419,B412,D417:E419)/1000)+0.002,"")</f>
        <v>1.0029999999999999</v>
      </c>
      <c r="N412" s="20" t="str">
        <f t="shared" ref="N412" si="29">IF(B412="","",B412)</f>
        <v>LUIGI TAMMONE CORSINI</v>
      </c>
      <c r="O412" s="20">
        <f>IF(B412&lt;&gt;"",LARGE(M411:M413,2),"")</f>
        <v>1.0029999999999999</v>
      </c>
      <c r="P412" s="20" t="str">
        <f>VLOOKUP(O412,M411:N413,2,0)</f>
        <v>LUIGI TAMMONE CORSINI</v>
      </c>
    </row>
    <row r="413" spans="2:16" ht="18" customHeight="1" x14ac:dyDescent="0.25">
      <c r="B413" s="33" t="s">
        <v>326</v>
      </c>
      <c r="C413" s="33" t="str">
        <f>IFERROR(IF(B413="","",VLOOKUP(B413,LISTAS!$F$5:$G$1004,2,0)),"0")</f>
        <v>IEBURIX -SBC</v>
      </c>
      <c r="D413" s="33" t="str">
        <f>IF(H411&lt;3,"",IF(H411=3,IF(D417&lt;&gt;"",IF(H417&lt;&gt;"",IF(D417&lt;&gt;H417,IF(D417&gt;H417,"D","V"),""),""),"")))</f>
        <v>V</v>
      </c>
      <c r="E413" s="33" t="str">
        <f>IF(H411&lt;3,"",IF(H411=3,IF(D418&lt;&gt;"",IF(H418&lt;&gt;"",IF(D418&lt;&gt;H418,IF(D418&gt;H418,"D","V"),""),""),"")))</f>
        <v>V</v>
      </c>
      <c r="F413" s="33" t="s">
        <v>81</v>
      </c>
      <c r="G413" s="33" t="s">
        <v>81</v>
      </c>
      <c r="H413" s="117"/>
      <c r="I413" s="33">
        <f>IF(B413&lt;&gt;"",3,"")</f>
        <v>3</v>
      </c>
      <c r="J413" s="33" t="str">
        <f>IF(I413&lt;&gt;"",P413,"")</f>
        <v>BYE</v>
      </c>
      <c r="K413" s="33" t="str">
        <f>IFERROR(IF(J413="","",VLOOKUP(J413,LISTAS!$F$5:$G$1004,2,0)),"0")</f>
        <v>BYE</v>
      </c>
      <c r="L413" s="130" t="str">
        <f>IF(H411=3,"BRONZE",IF(H411=4,"PRATA",IF(H411=5,"OURO","")))</f>
        <v>BRONZE</v>
      </c>
      <c r="M413" s="20">
        <f>IF(B413&lt;&gt;"",COUNTIF(D413:G413,"V")+(SUMIF(B417:B419,B413,D417:E419)/1000)+(SUMIF(J417:J419,B413,H417:I419)/1000)-(SUMIF(B417:B419,B413,H417:I419)/1000)-(SUMIF(J417:J419,B413,D417:E419)/1000)+0.001,"")</f>
        <v>2.004</v>
      </c>
      <c r="N413" s="20" t="str">
        <f>IF(B413="","",B413)</f>
        <v>MURILO CUZZIN PASSARELA</v>
      </c>
      <c r="O413" s="20">
        <f>IF(B413&lt;&gt;"",LARGE(M411:M413,3),"")</f>
        <v>-1E-3</v>
      </c>
      <c r="P413" s="20" t="str">
        <f>VLOOKUP(O413,M411:N413,2,0)</f>
        <v>BYE</v>
      </c>
    </row>
    <row r="414" spans="2:16" ht="18" customHeight="1" x14ac:dyDescent="0.25">
      <c r="B414" s="79"/>
      <c r="C414" s="79"/>
      <c r="D414" s="79"/>
      <c r="E414" s="79"/>
      <c r="F414" s="79"/>
      <c r="G414" s="79"/>
      <c r="I414" s="80"/>
      <c r="J414" s="79"/>
      <c r="K414" s="81"/>
      <c r="L414" s="81"/>
    </row>
    <row r="415" spans="2:16" ht="23.25" customHeight="1" x14ac:dyDescent="0.25">
      <c r="B415" s="82" t="s">
        <v>40</v>
      </c>
      <c r="C415" s="79"/>
      <c r="D415" s="79"/>
      <c r="E415" s="79"/>
      <c r="F415" s="79"/>
      <c r="G415" s="79"/>
      <c r="H415" s="79"/>
      <c r="I415" s="79"/>
      <c r="J415" s="79"/>
      <c r="K415" s="79"/>
      <c r="L415" s="79"/>
    </row>
    <row r="416" spans="2:16" ht="18" customHeight="1" x14ac:dyDescent="0.25">
      <c r="B416" s="132" t="s">
        <v>15</v>
      </c>
      <c r="C416" s="132" t="s">
        <v>0</v>
      </c>
      <c r="D416" s="258" t="s">
        <v>41</v>
      </c>
      <c r="E416" s="259"/>
      <c r="F416" s="259"/>
      <c r="G416" s="259"/>
      <c r="H416" s="259"/>
      <c r="I416" s="260"/>
      <c r="J416" s="132" t="s">
        <v>15</v>
      </c>
      <c r="K416" s="132" t="s">
        <v>0</v>
      </c>
      <c r="L416" s="79"/>
    </row>
    <row r="417" spans="2:16" ht="18" customHeight="1" x14ac:dyDescent="0.25">
      <c r="B417" s="33" t="str">
        <f>IF(H411=3,B411,"")</f>
        <v>BYE</v>
      </c>
      <c r="C417" s="33" t="str">
        <f>IFERROR(IF(B417="","",VLOOKUP(B417,LISTAS!$F$5:$G$1004,2,0)),"0")</f>
        <v>BYE</v>
      </c>
      <c r="D417" s="253">
        <v>0</v>
      </c>
      <c r="E417" s="254"/>
      <c r="F417" s="253" t="s">
        <v>38</v>
      </c>
      <c r="G417" s="254"/>
      <c r="H417" s="253">
        <v>2</v>
      </c>
      <c r="I417" s="254"/>
      <c r="J417" s="111" t="str">
        <f>IF(H411=3,B413,"")</f>
        <v>MURILO CUZZIN PASSARELA</v>
      </c>
      <c r="K417" s="33" t="str">
        <f>IFERROR(IF(J417="","",VLOOKUP(J417,LISTAS!$F$5:$G$1004,2,0)),"0")</f>
        <v>IEBURIX -SBC</v>
      </c>
      <c r="L417" s="81"/>
    </row>
    <row r="418" spans="2:16" ht="18" customHeight="1" x14ac:dyDescent="0.25">
      <c r="B418" s="33" t="str">
        <f>IF(H411=3,B412,"")</f>
        <v>LUIGI TAMMONE CORSINI</v>
      </c>
      <c r="C418" s="33" t="str">
        <f>IFERROR(IF(B418="","",VLOOKUP(B418,LISTAS!$F$5:$G$1004,2,0)),"0")</f>
        <v>LICEU JARDIM</v>
      </c>
      <c r="D418" s="253">
        <v>1</v>
      </c>
      <c r="E418" s="254"/>
      <c r="F418" s="253" t="s">
        <v>38</v>
      </c>
      <c r="G418" s="254"/>
      <c r="H418" s="253">
        <v>2</v>
      </c>
      <c r="I418" s="254"/>
      <c r="J418" s="111" t="str">
        <f>IF(H411=3,B413,"")</f>
        <v>MURILO CUZZIN PASSARELA</v>
      </c>
      <c r="K418" s="33" t="str">
        <f>IFERROR(IF(J418="","",VLOOKUP(J418,LISTAS!$F$5:$G$1004,2,0)),"0")</f>
        <v>IEBURIX -SBC</v>
      </c>
      <c r="L418" s="79"/>
    </row>
    <row r="419" spans="2:16" ht="18" customHeight="1" x14ac:dyDescent="0.25">
      <c r="B419" s="33" t="str">
        <f>IF(H411=3,B411,"")</f>
        <v>BYE</v>
      </c>
      <c r="C419" s="33" t="str">
        <f>IFERROR(IF(B419="","",VLOOKUP(B419,LISTAS!$F$5:$G$1004,2,0)),"0")</f>
        <v>BYE</v>
      </c>
      <c r="D419" s="253">
        <v>0</v>
      </c>
      <c r="E419" s="254"/>
      <c r="F419" s="253" t="s">
        <v>38</v>
      </c>
      <c r="G419" s="254"/>
      <c r="H419" s="253">
        <v>2</v>
      </c>
      <c r="I419" s="254"/>
      <c r="J419" s="111" t="str">
        <f>IF(H411=3,B412,"")</f>
        <v>LUIGI TAMMONE CORSINI</v>
      </c>
      <c r="K419" s="33" t="str">
        <f>IFERROR(IF(J419="","",VLOOKUP(J419,LISTAS!$F$5:$G$1004,2,0)),"0")</f>
        <v>LICEU JARDIM</v>
      </c>
      <c r="L419" s="81"/>
    </row>
    <row r="422" spans="2:16" ht="30" customHeight="1" x14ac:dyDescent="0.25">
      <c r="B422" s="161" t="s">
        <v>76</v>
      </c>
      <c r="C422" s="79"/>
      <c r="D422" s="255" t="s">
        <v>42</v>
      </c>
      <c r="E422" s="256"/>
      <c r="F422" s="256"/>
      <c r="G422" s="257"/>
      <c r="H422" s="113"/>
      <c r="I422" s="255" t="s">
        <v>3</v>
      </c>
      <c r="J422" s="256"/>
      <c r="K422" s="256"/>
      <c r="L422" s="256"/>
    </row>
    <row r="423" spans="2:16" ht="18" customHeight="1" x14ac:dyDescent="0.25">
      <c r="B423" s="132" t="s">
        <v>15</v>
      </c>
      <c r="C423" s="132" t="s">
        <v>0</v>
      </c>
      <c r="D423" s="132" t="s">
        <v>43</v>
      </c>
      <c r="E423" s="132" t="s">
        <v>44</v>
      </c>
      <c r="F423" s="132" t="s">
        <v>77</v>
      </c>
      <c r="G423" s="132" t="s">
        <v>78</v>
      </c>
      <c r="H423" s="114"/>
      <c r="I423" s="132" t="s">
        <v>18</v>
      </c>
      <c r="J423" s="132" t="s">
        <v>15</v>
      </c>
      <c r="K423" s="132" t="s">
        <v>0</v>
      </c>
      <c r="L423" s="132" t="s">
        <v>45</v>
      </c>
    </row>
    <row r="424" spans="2:16" ht="18" customHeight="1" x14ac:dyDescent="0.25">
      <c r="B424" s="33" t="s">
        <v>336</v>
      </c>
      <c r="C424" s="33" t="str">
        <f>IFERROR(IF(B424="","",VLOOKUP(B424,LISTAS!$F$5:$G$1004,2,0)),"0")</f>
        <v>IEBURIX -SBC</v>
      </c>
      <c r="D424" s="33" t="str">
        <f>IF(H424&lt;3,"",IF(H424=3,IF(D430&lt;&gt;"",IF(H430&lt;&gt;"",IF(D430&lt;&gt;H430,IF(D430&gt;H430,"V","D"),""),""),"")))</f>
        <v>D</v>
      </c>
      <c r="E424" s="33" t="str">
        <f>IF(H424&lt;3,"",IF(H424=3,IF(D432&lt;&gt;"",IF(H432&lt;&gt;"",IF(D432&lt;&gt;H432,IF(D432&gt;H432,"V","D"),""),""),"")))</f>
        <v>D</v>
      </c>
      <c r="F424" s="33" t="s">
        <v>81</v>
      </c>
      <c r="G424" s="33" t="s">
        <v>81</v>
      </c>
      <c r="H424" s="117">
        <f>COUNTA(B424:B426)</f>
        <v>3</v>
      </c>
      <c r="I424" s="33">
        <f>IF(B424&lt;&gt;"",1,"")</f>
        <v>1</v>
      </c>
      <c r="J424" s="33" t="str">
        <f>IF(I424&lt;&gt;"",P424,"")</f>
        <v>RAFAEL ESPERIDIÃO EIRAS</v>
      </c>
      <c r="K424" s="33" t="str">
        <f>IFERROR(IF(J424="","",VLOOKUP(J424,LISTAS!$F$5:$G$1004,2,0)),"0")</f>
        <v>ABACO IPIRANGA</v>
      </c>
      <c r="L424" s="130" t="str">
        <f>IF(H424=3,"OURO",IF(H424=4,"OURO",IF(H424=5,"OURO","")))</f>
        <v>OURO</v>
      </c>
      <c r="M424" s="20">
        <f>IF(B424&lt;&gt;"",COUNTIF(D424:G424,"V")+(SUMIF(B430:B432,B424,D430:E432)/1000)+(SUMIF(J430:J432,B424,H430:I432)/1000)-(SUMIF(B430:B432,B424,H430:I432)/1000)-(SUMIF(J430:J432,B424,D430:E432)/1000)+0.003,"")</f>
        <v>-1E-3</v>
      </c>
      <c r="N424" s="20" t="str">
        <f>IF(B424="","",B424)</f>
        <v>PAULO HENRIQUE REZENDE DE LIMA RODRIGUES</v>
      </c>
      <c r="O424" s="20">
        <f>IF(B424&lt;&gt;"",LARGE(M424:M426,1),"")</f>
        <v>2.0059999999999993</v>
      </c>
      <c r="P424" s="20" t="str">
        <f>VLOOKUP(O424,M424:N426,2,0)</f>
        <v>RAFAEL ESPERIDIÃO EIRAS</v>
      </c>
    </row>
    <row r="425" spans="2:16" ht="18" customHeight="1" x14ac:dyDescent="0.25">
      <c r="B425" s="33" t="s">
        <v>348</v>
      </c>
      <c r="C425" s="33" t="str">
        <f>IFERROR(IF(B425="","",VLOOKUP(B425,LISTAS!$F$5:$G$1004,2,0)),"0")</f>
        <v>ABACO IPIRANGA</v>
      </c>
      <c r="D425" s="33" t="str">
        <f>IF(H424&lt;3,"",IF(H424=3,IF(D431&lt;&gt;"",IF(H431&lt;&gt;"",IF(D431&lt;&gt;H431,IF(D431&gt;H431,"V","D"),""),""),"")))</f>
        <v>V</v>
      </c>
      <c r="E425" s="33" t="str">
        <f>IF(H424&lt;3,"",IF(H424=3,IF(D432&lt;&gt;"",IF(H432&lt;&gt;"",IF(D432&lt;&gt;H432,IF(D432&gt;H432,"D","V"),""),""),"")))</f>
        <v>V</v>
      </c>
      <c r="F425" s="33" t="s">
        <v>81</v>
      </c>
      <c r="G425" s="33" t="s">
        <v>81</v>
      </c>
      <c r="H425" s="117"/>
      <c r="I425" s="33">
        <f>IF(B425&lt;&gt;"",2,"")</f>
        <v>2</v>
      </c>
      <c r="J425" s="33" t="str">
        <f>IF(I425&lt;&gt;"",P425,"")</f>
        <v>JOÃO PEDRO BRITES PEREIRA</v>
      </c>
      <c r="K425" s="33" t="str">
        <f>IFERROR(IF(J425="","",VLOOKUP(J425,LISTAS!$F$5:$G$1004,2,0)),"0")</f>
        <v>COLEGIO PETROPOLIS</v>
      </c>
      <c r="L425" s="130" t="str">
        <f>IF(H424=3,"PRATA",IF(H424=4,"OURO",IF(H424=5,"OURO","")))</f>
        <v>PRATA</v>
      </c>
      <c r="M425" s="20">
        <f>IF(B425&lt;&gt;"",COUNTIF(D425:G425,"V")+(SUMIF(B430:B432,B425,D430:E432)/1000)+(SUMIF(J430:J432,B425,H430:I432)/1000)-(SUMIF(B430:B432,B425,H430:I432)/1000)-(SUMIF(J430:J432,B425,D430:E432)/1000)+0.002,"")</f>
        <v>2.0059999999999993</v>
      </c>
      <c r="N425" s="20" t="str">
        <f t="shared" ref="N425" si="30">IF(B425="","",B425)</f>
        <v>RAFAEL ESPERIDIÃO EIRAS</v>
      </c>
      <c r="O425" s="20">
        <f>IF(B425&lt;&gt;"",LARGE(M424:M426,2),"")</f>
        <v>1.0009999999999999</v>
      </c>
      <c r="P425" s="20" t="str">
        <f>VLOOKUP(O425,M424:N426,2,0)</f>
        <v>JOÃO PEDRO BRITES PEREIRA</v>
      </c>
    </row>
    <row r="426" spans="2:16" ht="18" customHeight="1" x14ac:dyDescent="0.25">
      <c r="B426" s="33" t="s">
        <v>282</v>
      </c>
      <c r="C426" s="33" t="str">
        <f>IFERROR(IF(B426="","",VLOOKUP(B426,LISTAS!$F$5:$G$1004,2,0)),"0")</f>
        <v>COLEGIO PETROPOLIS</v>
      </c>
      <c r="D426" s="33" t="str">
        <f>IF(H424&lt;3,"",IF(H424=3,IF(D430&lt;&gt;"",IF(H430&lt;&gt;"",IF(D430&lt;&gt;H430,IF(D430&gt;H430,"D","V"),""),""),"")))</f>
        <v>V</v>
      </c>
      <c r="E426" s="33" t="str">
        <f>IF(H424&lt;3,"",IF(H424=3,IF(D431&lt;&gt;"",IF(H431&lt;&gt;"",IF(D431&lt;&gt;H431,IF(D431&gt;H431,"D","V"),""),""),"")))</f>
        <v>D</v>
      </c>
      <c r="F426" s="33" t="s">
        <v>81</v>
      </c>
      <c r="G426" s="33" t="s">
        <v>81</v>
      </c>
      <c r="H426" s="117"/>
      <c r="I426" s="33">
        <f>IF(B426&lt;&gt;"",3,"")</f>
        <v>3</v>
      </c>
      <c r="J426" s="33" t="str">
        <f>IF(I426&lt;&gt;"",P426,"")</f>
        <v>PAULO HENRIQUE REZENDE DE LIMA RODRIGUES</v>
      </c>
      <c r="K426" s="33" t="str">
        <f>IFERROR(IF(J426="","",VLOOKUP(J426,LISTAS!$F$5:$G$1004,2,0)),"0")</f>
        <v>IEBURIX -SBC</v>
      </c>
      <c r="L426" s="130" t="str">
        <f>IF(H424=3,"BRONZE",IF(H424=4,"PRATA",IF(H424=5,"OURO","")))</f>
        <v>BRONZE</v>
      </c>
      <c r="M426" s="20">
        <f>IF(B426&lt;&gt;"",COUNTIF(D426:G426,"V")+(SUMIF(B430:B432,B426,D430:E432)/1000)+(SUMIF(J430:J432,B426,H430:I432)/1000)-(SUMIF(B430:B432,B426,H430:I432)/1000)-(SUMIF(J430:J432,B426,D430:E432)/1000)+0.001,"")</f>
        <v>1.0009999999999999</v>
      </c>
      <c r="N426" s="20" t="str">
        <f>IF(B426="","",B426)</f>
        <v>JOÃO PEDRO BRITES PEREIRA</v>
      </c>
      <c r="O426" s="20">
        <f>IF(B426&lt;&gt;"",LARGE(M424:M426,3),"")</f>
        <v>-1E-3</v>
      </c>
      <c r="P426" s="20" t="str">
        <f>VLOOKUP(O426,M424:N426,2,0)</f>
        <v>PAULO HENRIQUE REZENDE DE LIMA RODRIGUES</v>
      </c>
    </row>
    <row r="427" spans="2:16" ht="18" customHeight="1" x14ac:dyDescent="0.25">
      <c r="B427" s="79"/>
      <c r="C427" s="79"/>
      <c r="D427" s="79"/>
      <c r="E427" s="79"/>
      <c r="F427" s="79"/>
      <c r="G427" s="79"/>
      <c r="I427" s="80"/>
      <c r="J427" s="79"/>
      <c r="K427" s="81"/>
      <c r="L427" s="81"/>
    </row>
    <row r="428" spans="2:16" ht="23.25" customHeight="1" x14ac:dyDescent="0.25">
      <c r="B428" s="82" t="s">
        <v>40</v>
      </c>
      <c r="C428" s="79"/>
      <c r="D428" s="79"/>
      <c r="E428" s="79"/>
      <c r="F428" s="79"/>
      <c r="G428" s="79"/>
      <c r="H428" s="79"/>
      <c r="I428" s="79"/>
      <c r="J428" s="79"/>
      <c r="K428" s="79"/>
      <c r="L428" s="79"/>
    </row>
    <row r="429" spans="2:16" ht="18" customHeight="1" x14ac:dyDescent="0.25">
      <c r="B429" s="132" t="s">
        <v>15</v>
      </c>
      <c r="C429" s="132" t="s">
        <v>0</v>
      </c>
      <c r="D429" s="258" t="s">
        <v>41</v>
      </c>
      <c r="E429" s="259"/>
      <c r="F429" s="259"/>
      <c r="G429" s="259"/>
      <c r="H429" s="259"/>
      <c r="I429" s="260"/>
      <c r="J429" s="132" t="s">
        <v>15</v>
      </c>
      <c r="K429" s="132" t="s">
        <v>0</v>
      </c>
      <c r="L429" s="79"/>
    </row>
    <row r="430" spans="2:16" ht="18" customHeight="1" x14ac:dyDescent="0.25">
      <c r="B430" s="33" t="str">
        <f>IF(H424=3,B424,"")</f>
        <v>PAULO HENRIQUE REZENDE DE LIMA RODRIGUES</v>
      </c>
      <c r="C430" s="33" t="str">
        <f>IFERROR(IF(B430="","",VLOOKUP(B430,LISTAS!$F$5:$G$1004,2,0)),"0")</f>
        <v>IEBURIX -SBC</v>
      </c>
      <c r="D430" s="253">
        <v>0</v>
      </c>
      <c r="E430" s="254"/>
      <c r="F430" s="253" t="s">
        <v>38</v>
      </c>
      <c r="G430" s="254"/>
      <c r="H430" s="253">
        <v>2</v>
      </c>
      <c r="I430" s="254"/>
      <c r="J430" s="111" t="str">
        <f>IF(H424=3,B426,"")</f>
        <v>JOÃO PEDRO BRITES PEREIRA</v>
      </c>
      <c r="K430" s="33" t="str">
        <f>IFERROR(IF(J430="","",VLOOKUP(J430,LISTAS!$F$5:$G$1004,2,0)),"0")</f>
        <v>COLEGIO PETROPOLIS</v>
      </c>
      <c r="L430" s="81"/>
    </row>
    <row r="431" spans="2:16" ht="18" customHeight="1" x14ac:dyDescent="0.25">
      <c r="B431" s="33" t="str">
        <f>IF(H424=3,B425,"")</f>
        <v>RAFAEL ESPERIDIÃO EIRAS</v>
      </c>
      <c r="C431" s="33" t="str">
        <f>IFERROR(IF(B431="","",VLOOKUP(B431,LISTAS!$F$5:$G$1004,2,0)),"0")</f>
        <v>ABACO IPIRANGA</v>
      </c>
      <c r="D431" s="253">
        <v>2</v>
      </c>
      <c r="E431" s="254"/>
      <c r="F431" s="253" t="s">
        <v>38</v>
      </c>
      <c r="G431" s="254"/>
      <c r="H431" s="253">
        <v>0</v>
      </c>
      <c r="I431" s="254"/>
      <c r="J431" s="111" t="str">
        <f>IF(H424=3,B426,"")</f>
        <v>JOÃO PEDRO BRITES PEREIRA</v>
      </c>
      <c r="K431" s="33" t="str">
        <f>IFERROR(IF(J431="","",VLOOKUP(J431,LISTAS!$F$5:$G$1004,2,0)),"0")</f>
        <v>COLEGIO PETROPOLIS</v>
      </c>
      <c r="L431" s="79"/>
    </row>
    <row r="432" spans="2:16" ht="18" customHeight="1" x14ac:dyDescent="0.25">
      <c r="B432" s="33" t="str">
        <f>IF(H424=3,B424,"")</f>
        <v>PAULO HENRIQUE REZENDE DE LIMA RODRIGUES</v>
      </c>
      <c r="C432" s="33" t="str">
        <f>IFERROR(IF(B432="","",VLOOKUP(B432,LISTAS!$F$5:$G$1004,2,0)),"0")</f>
        <v>IEBURIX -SBC</v>
      </c>
      <c r="D432" s="253">
        <v>0</v>
      </c>
      <c r="E432" s="254"/>
      <c r="F432" s="253" t="s">
        <v>38</v>
      </c>
      <c r="G432" s="254"/>
      <c r="H432" s="253">
        <v>2</v>
      </c>
      <c r="I432" s="254"/>
      <c r="J432" s="111" t="str">
        <f>IF(H424=3,B425,"")</f>
        <v>RAFAEL ESPERIDIÃO EIRAS</v>
      </c>
      <c r="K432" s="33" t="str">
        <f>IFERROR(IF(J432="","",VLOOKUP(J432,LISTAS!$F$5:$G$1004,2,0)),"0")</f>
        <v>ABACO IPIRANGA</v>
      </c>
      <c r="L432" s="81"/>
    </row>
    <row r="434" spans="2:12" x14ac:dyDescent="0.25">
      <c r="B434" s="161" t="s">
        <v>603</v>
      </c>
      <c r="C434" s="79"/>
      <c r="D434" s="255" t="s">
        <v>42</v>
      </c>
      <c r="E434" s="256"/>
      <c r="F434" s="256"/>
      <c r="G434" s="257"/>
      <c r="H434" s="113"/>
      <c r="I434" s="255" t="s">
        <v>3</v>
      </c>
      <c r="J434" s="256"/>
      <c r="K434" s="256"/>
      <c r="L434" s="256"/>
    </row>
    <row r="435" spans="2:12" x14ac:dyDescent="0.25">
      <c r="B435" s="132" t="s">
        <v>15</v>
      </c>
      <c r="C435" s="132" t="s">
        <v>0</v>
      </c>
      <c r="D435" s="132" t="s">
        <v>43</v>
      </c>
      <c r="E435" s="132" t="s">
        <v>44</v>
      </c>
      <c r="F435" s="132" t="s">
        <v>77</v>
      </c>
      <c r="G435" s="132" t="s">
        <v>78</v>
      </c>
      <c r="H435" s="114"/>
      <c r="I435" s="132" t="s">
        <v>18</v>
      </c>
      <c r="J435" s="132" t="s">
        <v>15</v>
      </c>
      <c r="K435" s="132" t="s">
        <v>0</v>
      </c>
      <c r="L435" s="132" t="s">
        <v>45</v>
      </c>
    </row>
    <row r="436" spans="2:12" x14ac:dyDescent="0.25">
      <c r="B436" s="33" t="s">
        <v>267</v>
      </c>
      <c r="C436" s="33" t="str">
        <f>IFERROR(IF(B436="","",VLOOKUP(B436,LISTAS!$F$5:$G$1004,2,0)),"0")</f>
        <v>COLÉGIO ARBOS DE SÃO BERNARDO DO CAMPO</v>
      </c>
      <c r="D436" s="33" t="str">
        <f>IF(H436&lt;3,"",IF(H436=3,IF(D442&lt;&gt;"",IF(H442&lt;&gt;"",IF(D442&lt;&gt;H442,IF(D442&gt;H442,"V","D"),""),""),"")))</f>
        <v>D</v>
      </c>
      <c r="E436" s="33" t="str">
        <f>IF(H436&lt;3,"",IF(H436=3,IF(D444&lt;&gt;"",IF(H444&lt;&gt;"",IF(D444&lt;&gt;H444,IF(D444&gt;H444,"V","D"),""),""),"")))</f>
        <v>V</v>
      </c>
      <c r="F436" s="33" t="s">
        <v>81</v>
      </c>
      <c r="G436" s="33" t="s">
        <v>81</v>
      </c>
      <c r="H436" s="117">
        <f>COUNTA(B436:B438)</f>
        <v>3</v>
      </c>
      <c r="I436" s="33">
        <f>IF(B436&lt;&gt;"",1,"")</f>
        <v>1</v>
      </c>
      <c r="J436" s="33">
        <f>IF(I436&lt;&gt;"",P436,"")</f>
        <v>0</v>
      </c>
      <c r="K436" s="33" t="str">
        <f>IFERROR(IF(J436="","",VLOOKUP(J436,LISTAS!$F$5:$G$1004,2,0)),"0")</f>
        <v>0</v>
      </c>
      <c r="L436" s="130" t="str">
        <f>IF(H436=3,"OURO",IF(H436=4,"OURO",IF(H436=5,"OURO","")))</f>
        <v>OURO</v>
      </c>
    </row>
    <row r="437" spans="2:12" x14ac:dyDescent="0.25">
      <c r="B437" s="33" t="s">
        <v>340</v>
      </c>
      <c r="C437" s="33" t="str">
        <f>IFERROR(IF(B437="","",VLOOKUP(B437,LISTAS!$F$5:$G$1004,2,0)),"0")</f>
        <v>COLÉGIO ENGENHEIRO SALVADOR ARENA</v>
      </c>
      <c r="D437" s="33" t="str">
        <f>IF(H436&lt;3,"",IF(H436=3,IF(D443&lt;&gt;"",IF(H443&lt;&gt;"",IF(D443&lt;&gt;H443,IF(D443&gt;H443,"V","D"),""),""),"")))</f>
        <v>D</v>
      </c>
      <c r="E437" s="33" t="str">
        <f>IF(H436&lt;3,"",IF(H436=3,IF(D444&lt;&gt;"",IF(H444&lt;&gt;"",IF(D444&lt;&gt;H444,IF(D444&gt;H444,"D","V"),""),""),"")))</f>
        <v>D</v>
      </c>
      <c r="F437" s="33" t="s">
        <v>81</v>
      </c>
      <c r="G437" s="33" t="s">
        <v>81</v>
      </c>
      <c r="H437" s="117"/>
      <c r="I437" s="33">
        <f>IF(B437&lt;&gt;"",2,"")</f>
        <v>2</v>
      </c>
      <c r="J437" s="33">
        <f>IF(I437&lt;&gt;"",P437,"")</f>
        <v>0</v>
      </c>
      <c r="K437" s="33" t="str">
        <f>IFERROR(IF(J437="","",VLOOKUP(J437,LISTAS!$F$5:$G$1004,2,0)),"0")</f>
        <v>0</v>
      </c>
      <c r="L437" s="130" t="str">
        <f>IF(H436=3,"PRATA",IF(H436=4,"OURO",IF(H436=5,"OURO","")))</f>
        <v>PRATA</v>
      </c>
    </row>
    <row r="438" spans="2:12" x14ac:dyDescent="0.25">
      <c r="B438" s="33" t="s">
        <v>332</v>
      </c>
      <c r="C438" s="33" t="str">
        <f>IFERROR(IF(B438="","",VLOOKUP(B438,LISTAS!$F$5:$G$1004,2,0)),"0")</f>
        <v>COLÉGIO SINGULAR SÃO CAETANO</v>
      </c>
      <c r="D438" s="33" t="str">
        <f>IF(H436&lt;3,"",IF(H436=3,IF(D442&lt;&gt;"",IF(H442&lt;&gt;"",IF(D442&lt;&gt;H442,IF(D442&gt;H442,"D","V"),""),""),"")))</f>
        <v>V</v>
      </c>
      <c r="E438" s="33" t="str">
        <f>IF(H436&lt;3,"",IF(H436=3,IF(D443&lt;&gt;"",IF(H443&lt;&gt;"",IF(D443&lt;&gt;H443,IF(D443&gt;H443,"D","V"),""),""),"")))</f>
        <v>V</v>
      </c>
      <c r="F438" s="33" t="s">
        <v>81</v>
      </c>
      <c r="G438" s="33" t="s">
        <v>81</v>
      </c>
      <c r="H438" s="117"/>
      <c r="I438" s="33">
        <f>IF(B438&lt;&gt;"",3,"")</f>
        <v>3</v>
      </c>
      <c r="J438" s="33">
        <f>IF(I438&lt;&gt;"",P438,"")</f>
        <v>0</v>
      </c>
      <c r="K438" s="33" t="str">
        <f>IFERROR(IF(J438="","",VLOOKUP(J438,LISTAS!$F$5:$G$1004,2,0)),"0")</f>
        <v>0</v>
      </c>
      <c r="L438" s="130" t="str">
        <f>IF(H436=3,"BRONZE",IF(H436=4,"PRATA",IF(H436=5,"OURO","")))</f>
        <v>BRONZE</v>
      </c>
    </row>
    <row r="439" spans="2:12" x14ac:dyDescent="0.25">
      <c r="B439" s="79"/>
      <c r="C439" s="79"/>
      <c r="D439" s="79"/>
      <c r="E439" s="79"/>
      <c r="F439" s="79"/>
      <c r="G439" s="79"/>
      <c r="I439" s="80"/>
      <c r="J439" s="79"/>
      <c r="K439" s="81"/>
      <c r="L439" s="81"/>
    </row>
    <row r="440" spans="2:12" x14ac:dyDescent="0.25">
      <c r="B440" s="82" t="s">
        <v>40</v>
      </c>
      <c r="C440" s="79"/>
      <c r="D440" s="79"/>
      <c r="E440" s="79"/>
      <c r="F440" s="79"/>
      <c r="G440" s="79"/>
      <c r="H440" s="79"/>
      <c r="I440" s="79"/>
      <c r="J440" s="79"/>
      <c r="K440" s="79"/>
      <c r="L440" s="79"/>
    </row>
    <row r="441" spans="2:12" x14ac:dyDescent="0.25">
      <c r="B441" s="132" t="s">
        <v>15</v>
      </c>
      <c r="C441" s="132" t="s">
        <v>0</v>
      </c>
      <c r="D441" s="258" t="s">
        <v>41</v>
      </c>
      <c r="E441" s="259"/>
      <c r="F441" s="259"/>
      <c r="G441" s="259"/>
      <c r="H441" s="259"/>
      <c r="I441" s="260"/>
      <c r="J441" s="132" t="s">
        <v>15</v>
      </c>
      <c r="K441" s="132" t="s">
        <v>0</v>
      </c>
      <c r="L441" s="79"/>
    </row>
    <row r="442" spans="2:12" x14ac:dyDescent="0.25">
      <c r="B442" s="33" t="str">
        <f>IF(H436=3,B436,"")</f>
        <v>GUILHERME MOUTH CRIVELLARI</v>
      </c>
      <c r="C442" s="33" t="str">
        <f>IFERROR(IF(B442="","",VLOOKUP(B442,LISTAS!$F$5:$G$1004,2,0)),"0")</f>
        <v>COLÉGIO ARBOS DE SÃO BERNARDO DO CAMPO</v>
      </c>
      <c r="D442" s="253">
        <v>0</v>
      </c>
      <c r="E442" s="254"/>
      <c r="F442" s="253" t="s">
        <v>38</v>
      </c>
      <c r="G442" s="254"/>
      <c r="H442" s="253">
        <v>2</v>
      </c>
      <c r="I442" s="254"/>
      <c r="J442" s="111" t="str">
        <f>IF(H436=3,B438,"")</f>
        <v>OLAVO ZOTELLI DE ANDRADE</v>
      </c>
      <c r="K442" s="33" t="str">
        <f>IFERROR(IF(J442="","",VLOOKUP(J442,LISTAS!$F$5:$G$1004,2,0)),"0")</f>
        <v>COLÉGIO SINGULAR SÃO CAETANO</v>
      </c>
      <c r="L442" s="81"/>
    </row>
    <row r="443" spans="2:12" x14ac:dyDescent="0.25">
      <c r="B443" s="33" t="str">
        <f>IF(H436=3,B437,"")</f>
        <v>PEDRO HENRIQUE ALMEIDA NUNES</v>
      </c>
      <c r="C443" s="33" t="str">
        <f>IFERROR(IF(B443="","",VLOOKUP(B443,LISTAS!$F$5:$G$1004,2,0)),"0")</f>
        <v>COLÉGIO ENGENHEIRO SALVADOR ARENA</v>
      </c>
      <c r="D443" s="253">
        <v>0</v>
      </c>
      <c r="E443" s="254"/>
      <c r="F443" s="253" t="s">
        <v>38</v>
      </c>
      <c r="G443" s="254"/>
      <c r="H443" s="253">
        <v>2</v>
      </c>
      <c r="I443" s="254"/>
      <c r="J443" s="111" t="str">
        <f>IF(H436=3,B438,"")</f>
        <v>OLAVO ZOTELLI DE ANDRADE</v>
      </c>
      <c r="K443" s="33" t="str">
        <f>IFERROR(IF(J443="","",VLOOKUP(J443,LISTAS!$F$5:$G$1004,2,0)),"0")</f>
        <v>COLÉGIO SINGULAR SÃO CAETANO</v>
      </c>
      <c r="L443" s="79"/>
    </row>
    <row r="444" spans="2:12" x14ac:dyDescent="0.25">
      <c r="B444" s="33" t="str">
        <f>IF(H436=3,B436,"")</f>
        <v>GUILHERME MOUTH CRIVELLARI</v>
      </c>
      <c r="C444" s="33" t="str">
        <f>IFERROR(IF(B444="","",VLOOKUP(B444,LISTAS!$F$5:$G$1004,2,0)),"0")</f>
        <v>COLÉGIO ARBOS DE SÃO BERNARDO DO CAMPO</v>
      </c>
      <c r="D444" s="253">
        <v>2</v>
      </c>
      <c r="E444" s="254"/>
      <c r="F444" s="253" t="s">
        <v>38</v>
      </c>
      <c r="G444" s="254"/>
      <c r="H444" s="253">
        <v>1</v>
      </c>
      <c r="I444" s="254"/>
      <c r="J444" s="111" t="str">
        <f>IF(H436=3,B437,"")</f>
        <v>PEDRO HENRIQUE ALMEIDA NUNES</v>
      </c>
      <c r="K444" s="33" t="str">
        <f>IFERROR(IF(J444="","",VLOOKUP(J444,LISTAS!$F$5:$G$1004,2,0)),"0")</f>
        <v>COLÉGIO ENGENHEIRO SALVADOR ARENA</v>
      </c>
      <c r="L444" s="81"/>
    </row>
    <row r="446" spans="2:12" x14ac:dyDescent="0.25">
      <c r="B446" s="161" t="s">
        <v>604</v>
      </c>
      <c r="C446" s="79"/>
      <c r="D446" s="255" t="s">
        <v>42</v>
      </c>
      <c r="E446" s="256"/>
      <c r="F446" s="256"/>
      <c r="G446" s="257"/>
      <c r="H446" s="113"/>
      <c r="I446" s="255" t="s">
        <v>3</v>
      </c>
      <c r="J446" s="256"/>
      <c r="K446" s="256"/>
      <c r="L446" s="256"/>
    </row>
    <row r="447" spans="2:12" x14ac:dyDescent="0.25">
      <c r="B447" s="132" t="s">
        <v>15</v>
      </c>
      <c r="C447" s="132" t="s">
        <v>0</v>
      </c>
      <c r="D447" s="132" t="s">
        <v>43</v>
      </c>
      <c r="E447" s="132" t="s">
        <v>44</v>
      </c>
      <c r="F447" s="132" t="s">
        <v>77</v>
      </c>
      <c r="G447" s="132" t="s">
        <v>78</v>
      </c>
      <c r="H447" s="114"/>
      <c r="I447" s="132" t="s">
        <v>18</v>
      </c>
      <c r="J447" s="132" t="s">
        <v>15</v>
      </c>
      <c r="K447" s="132" t="s">
        <v>0</v>
      </c>
      <c r="L447" s="132" t="s">
        <v>45</v>
      </c>
    </row>
    <row r="448" spans="2:12" x14ac:dyDescent="0.25">
      <c r="B448" s="33" t="s">
        <v>221</v>
      </c>
      <c r="C448" s="33" t="str">
        <f>IFERROR(IF(B448="","",VLOOKUP(B448,LISTAS!$F$5:$G$1004,2,0)),"0")</f>
        <v>COLÉGIO SINGULAR SÃO CAETANO</v>
      </c>
      <c r="D448" s="33" t="str">
        <f>IF(H448&lt;3,"",IF(H448=3,IF(D454&lt;&gt;"",IF(H454&lt;&gt;"",IF(D454&lt;&gt;H454,IF(D454&gt;H454,"V","D"),""),""),"")))</f>
        <v>V</v>
      </c>
      <c r="E448" s="33" t="str">
        <f>IF(H448&lt;3,"",IF(H448=3,IF(D456&lt;&gt;"",IF(H456&lt;&gt;"",IF(D456&lt;&gt;H456,IF(D456&gt;H456,"V","D"),""),""),"")))</f>
        <v>V</v>
      </c>
      <c r="F448" s="33" t="s">
        <v>81</v>
      </c>
      <c r="G448" s="33" t="s">
        <v>81</v>
      </c>
      <c r="H448" s="117">
        <f>COUNTA(B448:B450)</f>
        <v>3</v>
      </c>
      <c r="I448" s="33">
        <f>IF(B448&lt;&gt;"",1,"")</f>
        <v>1</v>
      </c>
      <c r="J448" s="33">
        <f>IF(I448&lt;&gt;"",P448,"")</f>
        <v>0</v>
      </c>
      <c r="K448" s="33" t="str">
        <f>IFERROR(IF(J448="","",VLOOKUP(J448,LISTAS!$F$5:$G$1004,2,0)),"0")</f>
        <v>0</v>
      </c>
      <c r="L448" s="130" t="str">
        <f>IF(H448=3,"OURO",IF(H448=4,"OURO",IF(H448=5,"OURO","")))</f>
        <v>OURO</v>
      </c>
    </row>
    <row r="449" spans="2:12" x14ac:dyDescent="0.25">
      <c r="B449" s="33" t="s">
        <v>341</v>
      </c>
      <c r="C449" s="33" t="str">
        <f>IFERROR(IF(B449="","",VLOOKUP(B449,LISTAS!$F$5:$G$1004,2,0)),"0")</f>
        <v>COLÉGIO ENGENHEIRO SALVADOR ARENA</v>
      </c>
      <c r="D449" s="33" t="str">
        <f>IF(H448&lt;3,"",IF(H448=3,IF(D455&lt;&gt;"",IF(H455&lt;&gt;"",IF(D455&lt;&gt;H455,IF(D455&gt;H455,"V","D"),""),""),"")))</f>
        <v>D</v>
      </c>
      <c r="E449" s="33" t="str">
        <f>IF(H448&lt;3,"",IF(H448=3,IF(D456&lt;&gt;"",IF(H456&lt;&gt;"",IF(D456&lt;&gt;H456,IF(D456&gt;H456,"D","V"),""),""),"")))</f>
        <v>D</v>
      </c>
      <c r="F449" s="33" t="s">
        <v>81</v>
      </c>
      <c r="G449" s="33" t="s">
        <v>81</v>
      </c>
      <c r="H449" s="117"/>
      <c r="I449" s="33">
        <f>IF(B449&lt;&gt;"",2,"")</f>
        <v>2</v>
      </c>
      <c r="J449" s="33">
        <f>IF(I449&lt;&gt;"",P449,"")</f>
        <v>0</v>
      </c>
      <c r="K449" s="33" t="str">
        <f>IFERROR(IF(J449="","",VLOOKUP(J449,LISTAS!$F$5:$G$1004,2,0)),"0")</f>
        <v>0</v>
      </c>
      <c r="L449" s="130" t="str">
        <f>IF(H448=3,"PRATA",IF(H448=4,"OURO",IF(H448=5,"OURO","")))</f>
        <v>PRATA</v>
      </c>
    </row>
    <row r="450" spans="2:12" x14ac:dyDescent="0.25">
      <c r="B450" s="33" t="s">
        <v>350</v>
      </c>
      <c r="C450" s="33" t="str">
        <f>IFERROR(IF(B450="","",VLOOKUP(B450,LISTAS!$F$5:$G$1004,2,0)),"0")</f>
        <v>COLÉGIO ARBOS - UNIDADE SANTO ANDRÉ</v>
      </c>
      <c r="D450" s="33" t="str">
        <f>IF(H448&lt;3,"",IF(H448=3,IF(D454&lt;&gt;"",IF(H454&lt;&gt;"",IF(D454&lt;&gt;H454,IF(D454&gt;H454,"D","V"),""),""),"")))</f>
        <v>D</v>
      </c>
      <c r="E450" s="33" t="str">
        <f>IF(H448&lt;3,"",IF(H448=3,IF(D455&lt;&gt;"",IF(H455&lt;&gt;"",IF(D455&lt;&gt;H455,IF(D455&gt;H455,"D","V"),""),""),"")))</f>
        <v>V</v>
      </c>
      <c r="F450" s="33" t="s">
        <v>81</v>
      </c>
      <c r="G450" s="33" t="s">
        <v>81</v>
      </c>
      <c r="H450" s="117"/>
      <c r="I450" s="33">
        <f>IF(B450&lt;&gt;"",3,"")</f>
        <v>3</v>
      </c>
      <c r="J450" s="33">
        <f>IF(I450&lt;&gt;"",P450,"")</f>
        <v>0</v>
      </c>
      <c r="K450" s="33" t="str">
        <f>IFERROR(IF(J450="","",VLOOKUP(J450,LISTAS!$F$5:$G$1004,2,0)),"0")</f>
        <v>0</v>
      </c>
      <c r="L450" s="130" t="str">
        <f>IF(H448=3,"BRONZE",IF(H448=4,"PRATA",IF(H448=5,"OURO","")))</f>
        <v>BRONZE</v>
      </c>
    </row>
    <row r="451" spans="2:12" x14ac:dyDescent="0.25">
      <c r="B451" s="79"/>
      <c r="C451" s="79"/>
      <c r="D451" s="79"/>
      <c r="E451" s="79"/>
      <c r="F451" s="79"/>
      <c r="G451" s="79"/>
      <c r="I451" s="80"/>
      <c r="J451" s="79"/>
      <c r="K451" s="81"/>
      <c r="L451" s="81"/>
    </row>
    <row r="452" spans="2:12" x14ac:dyDescent="0.25">
      <c r="B452" s="82" t="s">
        <v>40</v>
      </c>
      <c r="C452" s="79"/>
      <c r="D452" s="79"/>
      <c r="E452" s="79"/>
      <c r="F452" s="79"/>
      <c r="G452" s="79"/>
      <c r="H452" s="79"/>
      <c r="I452" s="79"/>
      <c r="J452" s="79"/>
      <c r="K452" s="79"/>
      <c r="L452" s="79"/>
    </row>
    <row r="453" spans="2:12" x14ac:dyDescent="0.25">
      <c r="B453" s="132" t="s">
        <v>15</v>
      </c>
      <c r="C453" s="132" t="s">
        <v>0</v>
      </c>
      <c r="D453" s="258" t="s">
        <v>41</v>
      </c>
      <c r="E453" s="259"/>
      <c r="F453" s="259"/>
      <c r="G453" s="259"/>
      <c r="H453" s="259"/>
      <c r="I453" s="260"/>
      <c r="J453" s="132" t="s">
        <v>15</v>
      </c>
      <c r="K453" s="132" t="s">
        <v>0</v>
      </c>
      <c r="L453" s="79"/>
    </row>
    <row r="454" spans="2:12" x14ac:dyDescent="0.25">
      <c r="B454" s="33" t="str">
        <f>IF(H448=3,B448,"")</f>
        <v>BENTO TOSTA DAVERSI</v>
      </c>
      <c r="C454" s="33" t="str">
        <f>IFERROR(IF(B454="","",VLOOKUP(B454,LISTAS!$F$5:$G$1004,2,0)),"0")</f>
        <v>COLÉGIO SINGULAR SÃO CAETANO</v>
      </c>
      <c r="D454" s="253">
        <v>2</v>
      </c>
      <c r="E454" s="254"/>
      <c r="F454" s="253" t="s">
        <v>38</v>
      </c>
      <c r="G454" s="254"/>
      <c r="H454" s="253">
        <v>0</v>
      </c>
      <c r="I454" s="254"/>
      <c r="J454" s="111" t="str">
        <f>IF(H448=3,B450,"")</f>
        <v>RENAN FERREIRA GISSONI</v>
      </c>
      <c r="K454" s="33" t="str">
        <f>IFERROR(IF(J454="","",VLOOKUP(J454,LISTAS!$F$5:$G$1004,2,0)),"0")</f>
        <v>COLÉGIO ARBOS - UNIDADE SANTO ANDRÉ</v>
      </c>
      <c r="L454" s="81"/>
    </row>
    <row r="455" spans="2:12" x14ac:dyDescent="0.25">
      <c r="B455" s="33" t="str">
        <f>IF(H448=3,B449,"")</f>
        <v>PEDRO HENRIQUE DOS REIS SILVA</v>
      </c>
      <c r="C455" s="33" t="str">
        <f>IFERROR(IF(B455="","",VLOOKUP(B455,LISTAS!$F$5:$G$1004,2,0)),"0")</f>
        <v>COLÉGIO ENGENHEIRO SALVADOR ARENA</v>
      </c>
      <c r="D455" s="253">
        <v>0</v>
      </c>
      <c r="E455" s="254"/>
      <c r="F455" s="253" t="s">
        <v>38</v>
      </c>
      <c r="G455" s="254"/>
      <c r="H455" s="253">
        <v>2</v>
      </c>
      <c r="I455" s="254"/>
      <c r="J455" s="111" t="str">
        <f>IF(H448=3,B450,"")</f>
        <v>RENAN FERREIRA GISSONI</v>
      </c>
      <c r="K455" s="33" t="str">
        <f>IFERROR(IF(J455="","",VLOOKUP(J455,LISTAS!$F$5:$G$1004,2,0)),"0")</f>
        <v>COLÉGIO ARBOS - UNIDADE SANTO ANDRÉ</v>
      </c>
      <c r="L455" s="79"/>
    </row>
    <row r="456" spans="2:12" x14ac:dyDescent="0.25">
      <c r="B456" s="33" t="str">
        <f>IF(H448=3,B448,"")</f>
        <v>BENTO TOSTA DAVERSI</v>
      </c>
      <c r="C456" s="33" t="str">
        <f>IFERROR(IF(B456="","",VLOOKUP(B456,LISTAS!$F$5:$G$1004,2,0)),"0")</f>
        <v>COLÉGIO SINGULAR SÃO CAETANO</v>
      </c>
      <c r="D456" s="253">
        <v>2</v>
      </c>
      <c r="E456" s="254"/>
      <c r="F456" s="253" t="s">
        <v>38</v>
      </c>
      <c r="G456" s="254"/>
      <c r="H456" s="253">
        <v>0</v>
      </c>
      <c r="I456" s="254"/>
      <c r="J456" s="111" t="str">
        <f>IF(H448=3,B449,"")</f>
        <v>PEDRO HENRIQUE DOS REIS SILVA</v>
      </c>
      <c r="K456" s="33" t="str">
        <f>IFERROR(IF(J456="","",VLOOKUP(J456,LISTAS!$F$5:$G$1004,2,0)),"0")</f>
        <v>COLÉGIO ENGENHEIRO SALVADOR ARENA</v>
      </c>
      <c r="L456" s="81"/>
    </row>
    <row r="458" spans="2:12" x14ac:dyDescent="0.25">
      <c r="B458" s="161" t="s">
        <v>605</v>
      </c>
      <c r="C458" s="79"/>
      <c r="D458" s="255" t="s">
        <v>42</v>
      </c>
      <c r="E458" s="256"/>
      <c r="F458" s="256"/>
      <c r="G458" s="257"/>
      <c r="H458" s="113"/>
      <c r="I458" s="255" t="s">
        <v>3</v>
      </c>
      <c r="J458" s="256"/>
      <c r="K458" s="256"/>
      <c r="L458" s="256"/>
    </row>
    <row r="459" spans="2:12" x14ac:dyDescent="0.25">
      <c r="B459" s="132" t="s">
        <v>15</v>
      </c>
      <c r="C459" s="132" t="s">
        <v>0</v>
      </c>
      <c r="D459" s="132" t="s">
        <v>43</v>
      </c>
      <c r="E459" s="132" t="s">
        <v>44</v>
      </c>
      <c r="F459" s="132" t="s">
        <v>77</v>
      </c>
      <c r="G459" s="132" t="s">
        <v>78</v>
      </c>
      <c r="H459" s="114"/>
      <c r="I459" s="132" t="s">
        <v>18</v>
      </c>
      <c r="J459" s="132" t="s">
        <v>15</v>
      </c>
      <c r="K459" s="132" t="s">
        <v>0</v>
      </c>
      <c r="L459" s="132" t="s">
        <v>45</v>
      </c>
    </row>
    <row r="460" spans="2:12" x14ac:dyDescent="0.25">
      <c r="B460" s="33" t="s">
        <v>251</v>
      </c>
      <c r="C460" s="33" t="str">
        <f>IFERROR(IF(B460="","",VLOOKUP(B460,LISTAS!$F$5:$G$1004,2,0)),"0")</f>
        <v>COLÉGIO ARBOS DE SÃO BERNARDO DO CAMPO</v>
      </c>
      <c r="D460" s="33" t="str">
        <f>IF(H460&lt;3,"",IF(H460=3,IF(D466&lt;&gt;"",IF(H466&lt;&gt;"",IF(D466&lt;&gt;H466,IF(D466&gt;H466,"V","D"),""),""),"")))</f>
        <v>D</v>
      </c>
      <c r="E460" s="33" t="str">
        <f>IF(H460&lt;3,"",IF(H460=3,IF(D468&lt;&gt;"",IF(H468&lt;&gt;"",IF(D468&lt;&gt;H468,IF(D468&gt;H468,"V","D"),""),""),"")))</f>
        <v>D</v>
      </c>
      <c r="F460" s="33" t="s">
        <v>81</v>
      </c>
      <c r="G460" s="33" t="s">
        <v>81</v>
      </c>
      <c r="H460" s="117">
        <f>COUNTA(B460:B462)</f>
        <v>3</v>
      </c>
      <c r="I460" s="33">
        <f>IF(B460&lt;&gt;"",1,"")</f>
        <v>1</v>
      </c>
      <c r="J460" s="33">
        <f>IF(I460&lt;&gt;"",P460,"")</f>
        <v>0</v>
      </c>
      <c r="K460" s="33" t="str">
        <f>IFERROR(IF(J460="","",VLOOKUP(J460,LISTAS!$F$5:$G$1004,2,0)),"0")</f>
        <v>0</v>
      </c>
      <c r="L460" s="130" t="str">
        <f>IF(H460=3,"OURO",IF(H460=4,"OURO",IF(H460=5,"OURO","")))</f>
        <v>OURO</v>
      </c>
    </row>
    <row r="461" spans="2:12" x14ac:dyDescent="0.25">
      <c r="B461" s="33" t="s">
        <v>304</v>
      </c>
      <c r="C461" s="33" t="str">
        <f>IFERROR(IF(B461="","",VLOOKUP(B461,LISTAS!$F$5:$G$1004,2,0)),"0")</f>
        <v>LICEU JARDIM</v>
      </c>
      <c r="D461" s="33" t="str">
        <f>IF(H460&lt;3,"",IF(H460=3,IF(D467&lt;&gt;"",IF(H467&lt;&gt;"",IF(D467&lt;&gt;H467,IF(D467&gt;H467,"V","D"),""),""),"")))</f>
        <v>V</v>
      </c>
      <c r="E461" s="33" t="str">
        <f>IF(H460&lt;3,"",IF(H460=3,IF(D468&lt;&gt;"",IF(H468&lt;&gt;"",IF(D468&lt;&gt;H468,IF(D468&gt;H468,"D","V"),""),""),"")))</f>
        <v>V</v>
      </c>
      <c r="F461" s="33" t="s">
        <v>81</v>
      </c>
      <c r="G461" s="33" t="s">
        <v>81</v>
      </c>
      <c r="H461" s="117"/>
      <c r="I461" s="33">
        <f>IF(B461&lt;&gt;"",2,"")</f>
        <v>2</v>
      </c>
      <c r="J461" s="33">
        <f>IF(I461&lt;&gt;"",P461,"")</f>
        <v>0</v>
      </c>
      <c r="K461" s="33" t="str">
        <f>IFERROR(IF(J461="","",VLOOKUP(J461,LISTAS!$F$5:$G$1004,2,0)),"0")</f>
        <v>0</v>
      </c>
      <c r="L461" s="130" t="str">
        <f>IF(H460=3,"PRATA",IF(H460=4,"OURO",IF(H460=5,"OURO","")))</f>
        <v>PRATA</v>
      </c>
    </row>
    <row r="462" spans="2:12" x14ac:dyDescent="0.25">
      <c r="B462" s="33" t="s">
        <v>632</v>
      </c>
      <c r="C462" s="33" t="str">
        <f>IFERROR(IF(B462="","",VLOOKUP(B462,LISTAS!$F$5:$G$1004,2,0)),"0")</f>
        <v>ESCOLA INTERAÇÃO</v>
      </c>
      <c r="D462" s="33" t="str">
        <f>IF(H460&lt;3,"",IF(H460=3,IF(D466&lt;&gt;"",IF(H466&lt;&gt;"",IF(D466&lt;&gt;H466,IF(D466&gt;H466,"D","V"),""),""),"")))</f>
        <v>V</v>
      </c>
      <c r="E462" s="33" t="str">
        <f>IF(H460&lt;3,"",IF(H460=3,IF(D467&lt;&gt;"",IF(H467&lt;&gt;"",IF(D467&lt;&gt;H467,IF(D467&gt;H467,"D","V"),""),""),"")))</f>
        <v>D</v>
      </c>
      <c r="F462" s="33" t="s">
        <v>81</v>
      </c>
      <c r="G462" s="33" t="s">
        <v>81</v>
      </c>
      <c r="H462" s="117"/>
      <c r="I462" s="33">
        <f>IF(B462&lt;&gt;"",3,"")</f>
        <v>3</v>
      </c>
      <c r="J462" s="33">
        <f>IF(I462&lt;&gt;"",P462,"")</f>
        <v>0</v>
      </c>
      <c r="K462" s="33" t="str">
        <f>IFERROR(IF(J462="","",VLOOKUP(J462,LISTAS!$F$5:$G$1004,2,0)),"0")</f>
        <v>0</v>
      </c>
      <c r="L462" s="130" t="str">
        <f>IF(H460=3,"BRONZE",IF(H460=4,"PRATA",IF(H460=5,"OURO","")))</f>
        <v>BRONZE</v>
      </c>
    </row>
    <row r="463" spans="2:12" x14ac:dyDescent="0.25">
      <c r="B463" s="79"/>
      <c r="C463" s="79"/>
      <c r="D463" s="79"/>
      <c r="E463" s="79"/>
      <c r="F463" s="79"/>
      <c r="G463" s="79"/>
      <c r="I463" s="80"/>
      <c r="J463" s="79"/>
      <c r="K463" s="81"/>
      <c r="L463" s="81"/>
    </row>
    <row r="464" spans="2:12" x14ac:dyDescent="0.25">
      <c r="B464" s="82" t="s">
        <v>40</v>
      </c>
      <c r="C464" s="79"/>
      <c r="D464" s="79"/>
      <c r="E464" s="79"/>
      <c r="F464" s="79"/>
      <c r="G464" s="79"/>
      <c r="H464" s="79"/>
      <c r="I464" s="79"/>
      <c r="J464" s="79"/>
      <c r="K464" s="79"/>
      <c r="L464" s="79"/>
    </row>
    <row r="465" spans="2:12" x14ac:dyDescent="0.25">
      <c r="B465" s="132" t="s">
        <v>15</v>
      </c>
      <c r="C465" s="132" t="s">
        <v>0</v>
      </c>
      <c r="D465" s="258" t="s">
        <v>41</v>
      </c>
      <c r="E465" s="259"/>
      <c r="F465" s="259"/>
      <c r="G465" s="259"/>
      <c r="H465" s="259"/>
      <c r="I465" s="260"/>
      <c r="J465" s="132" t="s">
        <v>15</v>
      </c>
      <c r="K465" s="132" t="s">
        <v>0</v>
      </c>
      <c r="L465" s="79"/>
    </row>
    <row r="466" spans="2:12" x14ac:dyDescent="0.25">
      <c r="B466" s="33" t="str">
        <f>IF(H460=3,B460,"")</f>
        <v>FELIPE RAYMUNDO SANTOS</v>
      </c>
      <c r="C466" s="33" t="str">
        <f>IFERROR(IF(B466="","",VLOOKUP(B466,LISTAS!$F$5:$G$1004,2,0)),"0")</f>
        <v>COLÉGIO ARBOS DE SÃO BERNARDO DO CAMPO</v>
      </c>
      <c r="D466" s="253">
        <v>0</v>
      </c>
      <c r="E466" s="254"/>
      <c r="F466" s="253" t="s">
        <v>38</v>
      </c>
      <c r="G466" s="254"/>
      <c r="H466" s="253">
        <v>2</v>
      </c>
      <c r="I466" s="254"/>
      <c r="J466" s="111" t="str">
        <f>IF(H460=3,B462,"")</f>
        <v>Lorenzo Segalla Gama</v>
      </c>
      <c r="K466" s="33" t="str">
        <f>IFERROR(IF(J466="","",VLOOKUP(J466,LISTAS!$F$5:$G$1004,2,0)),"0")</f>
        <v>ESCOLA INTERAÇÃO</v>
      </c>
      <c r="L466" s="81"/>
    </row>
    <row r="467" spans="2:12" x14ac:dyDescent="0.25">
      <c r="B467" s="33" t="str">
        <f>IF(H460=3,B461,"")</f>
        <v>LUCAS RENATO PEREIRA ROSA</v>
      </c>
      <c r="C467" s="33" t="str">
        <f>IFERROR(IF(B467="","",VLOOKUP(B467,LISTAS!$F$5:$G$1004,2,0)),"0")</f>
        <v>LICEU JARDIM</v>
      </c>
      <c r="D467" s="253">
        <v>2</v>
      </c>
      <c r="E467" s="254"/>
      <c r="F467" s="253" t="s">
        <v>38</v>
      </c>
      <c r="G467" s="254"/>
      <c r="H467" s="253">
        <v>0</v>
      </c>
      <c r="I467" s="254"/>
      <c r="J467" s="111" t="str">
        <f>IF(H460=3,B462,"")</f>
        <v>Lorenzo Segalla Gama</v>
      </c>
      <c r="K467" s="33" t="str">
        <f>IFERROR(IF(J467="","",VLOOKUP(J467,LISTAS!$F$5:$G$1004,2,0)),"0")</f>
        <v>ESCOLA INTERAÇÃO</v>
      </c>
      <c r="L467" s="79"/>
    </row>
    <row r="468" spans="2:12" x14ac:dyDescent="0.25">
      <c r="B468" s="33" t="str">
        <f>IF(H460=3,B460,"")</f>
        <v>FELIPE RAYMUNDO SANTOS</v>
      </c>
      <c r="C468" s="33" t="str">
        <f>IFERROR(IF(B468="","",VLOOKUP(B468,LISTAS!$F$5:$G$1004,2,0)),"0")</f>
        <v>COLÉGIO ARBOS DE SÃO BERNARDO DO CAMPO</v>
      </c>
      <c r="D468" s="253">
        <v>0</v>
      </c>
      <c r="E468" s="254"/>
      <c r="F468" s="253" t="s">
        <v>38</v>
      </c>
      <c r="G468" s="254"/>
      <c r="H468" s="253">
        <v>2</v>
      </c>
      <c r="I468" s="254"/>
      <c r="J468" s="111" t="str">
        <f>IF(H460=3,B461,"")</f>
        <v>LUCAS RENATO PEREIRA ROSA</v>
      </c>
      <c r="K468" s="33" t="str">
        <f>IFERROR(IF(J468="","",VLOOKUP(J468,LISTAS!$F$5:$G$1004,2,0)),"0")</f>
        <v>LICEU JARDIM</v>
      </c>
      <c r="L468" s="81"/>
    </row>
    <row r="470" spans="2:12" x14ac:dyDescent="0.25">
      <c r="B470" s="161" t="s">
        <v>606</v>
      </c>
      <c r="C470" s="79"/>
      <c r="D470" s="255" t="s">
        <v>42</v>
      </c>
      <c r="E470" s="256"/>
      <c r="F470" s="256"/>
      <c r="G470" s="257"/>
      <c r="H470" s="113"/>
      <c r="I470" s="255" t="s">
        <v>3</v>
      </c>
      <c r="J470" s="256"/>
      <c r="K470" s="256"/>
      <c r="L470" s="256"/>
    </row>
    <row r="471" spans="2:12" x14ac:dyDescent="0.25">
      <c r="B471" s="132" t="s">
        <v>15</v>
      </c>
      <c r="C471" s="132" t="s">
        <v>0</v>
      </c>
      <c r="D471" s="132" t="s">
        <v>43</v>
      </c>
      <c r="E471" s="132" t="s">
        <v>44</v>
      </c>
      <c r="F471" s="132" t="s">
        <v>77</v>
      </c>
      <c r="G471" s="132" t="s">
        <v>78</v>
      </c>
      <c r="H471" s="114"/>
      <c r="I471" s="132" t="s">
        <v>18</v>
      </c>
      <c r="J471" s="132" t="s">
        <v>15</v>
      </c>
      <c r="K471" s="132" t="s">
        <v>0</v>
      </c>
      <c r="L471" s="132" t="s">
        <v>45</v>
      </c>
    </row>
    <row r="472" spans="2:12" x14ac:dyDescent="0.25">
      <c r="B472" s="33" t="s">
        <v>628</v>
      </c>
      <c r="C472" s="33" t="str">
        <f>IFERROR(IF(B472="","",VLOOKUP(B472,LISTAS!$F$5:$G$1004,2,0)),"0")</f>
        <v>ESCOLA INTERAÇÃO</v>
      </c>
      <c r="D472" s="33" t="str">
        <f>IF(H472&lt;3,"",IF(H472=3,IF(D478&lt;&gt;"",IF(H478&lt;&gt;"",IF(D478&lt;&gt;H478,IF(D478&gt;H478,"V","D"),""),""),"")))</f>
        <v>D</v>
      </c>
      <c r="E472" s="33" t="str">
        <f>IF(H472&lt;3,"",IF(H472=3,IF(D480&lt;&gt;"",IF(H480&lt;&gt;"",IF(D480&lt;&gt;H480,IF(D480&gt;H480,"V","D"),""),""),"")))</f>
        <v>V</v>
      </c>
      <c r="F472" s="33" t="s">
        <v>81</v>
      </c>
      <c r="G472" s="33" t="s">
        <v>81</v>
      </c>
      <c r="H472" s="117">
        <f>COUNTA(B472:B474)</f>
        <v>3</v>
      </c>
      <c r="I472" s="33">
        <f>IF(B472&lt;&gt;"",1,"")</f>
        <v>1</v>
      </c>
      <c r="J472" s="33">
        <f>IF(I472&lt;&gt;"",P472,"")</f>
        <v>0</v>
      </c>
      <c r="K472" s="33" t="str">
        <f>IFERROR(IF(J472="","",VLOOKUP(J472,LISTAS!$F$5:$G$1004,2,0)),"0")</f>
        <v>0</v>
      </c>
      <c r="L472" s="130" t="str">
        <f>IF(H472=3,"OURO",IF(H472=4,"OURO",IF(H472=5,"OURO","")))</f>
        <v>OURO</v>
      </c>
    </row>
    <row r="473" spans="2:12" x14ac:dyDescent="0.25">
      <c r="B473" s="33" t="s">
        <v>353</v>
      </c>
      <c r="C473" s="33" t="str">
        <f>IFERROR(IF(B473="","",VLOOKUP(B473,LISTAS!$F$5:$G$1004,2,0)),"0")</f>
        <v>ABACO IPIRANGA</v>
      </c>
      <c r="D473" s="33" t="str">
        <f>IF(H472&lt;3,"",IF(H472=3,IF(D479&lt;&gt;"",IF(H479&lt;&gt;"",IF(D479&lt;&gt;H479,IF(D479&gt;H479,"V","D"),""),""),"")))</f>
        <v>D</v>
      </c>
      <c r="E473" s="33" t="str">
        <f>IF(H472&lt;3,"",IF(H472=3,IF(D480&lt;&gt;"",IF(H480&lt;&gt;"",IF(D480&lt;&gt;H480,IF(D480&gt;H480,"D","V"),""),""),"")))</f>
        <v>D</v>
      </c>
      <c r="F473" s="33" t="s">
        <v>81</v>
      </c>
      <c r="G473" s="33" t="s">
        <v>81</v>
      </c>
      <c r="H473" s="117"/>
      <c r="I473" s="33">
        <f>IF(B473&lt;&gt;"",2,"")</f>
        <v>2</v>
      </c>
      <c r="J473" s="33">
        <f>IF(I473&lt;&gt;"",P473,"")</f>
        <v>0</v>
      </c>
      <c r="K473" s="33" t="str">
        <f>IFERROR(IF(J473="","",VLOOKUP(J473,LISTAS!$F$5:$G$1004,2,0)),"0")</f>
        <v>0</v>
      </c>
      <c r="L473" s="130" t="str">
        <f>IF(H472=3,"PRATA",IF(H472=4,"OURO",IF(H472=5,"OURO","")))</f>
        <v>PRATA</v>
      </c>
    </row>
    <row r="474" spans="2:12" x14ac:dyDescent="0.25">
      <c r="B474" s="33" t="s">
        <v>324</v>
      </c>
      <c r="C474" s="33" t="str">
        <f>IFERROR(IF(B474="","",VLOOKUP(B474,LISTAS!$F$5:$G$1004,2,0)),"0")</f>
        <v>PEN LIFE</v>
      </c>
      <c r="D474" s="33" t="str">
        <f>IF(H472&lt;3,"",IF(H472=3,IF(D478&lt;&gt;"",IF(H478&lt;&gt;"",IF(D478&lt;&gt;H478,IF(D478&gt;H478,"D","V"),""),""),"")))</f>
        <v>V</v>
      </c>
      <c r="E474" s="33" t="str">
        <f>IF(H472&lt;3,"",IF(H472=3,IF(D479&lt;&gt;"",IF(H479&lt;&gt;"",IF(D479&lt;&gt;H479,IF(D479&gt;H479,"D","V"),""),""),"")))</f>
        <v>V</v>
      </c>
      <c r="F474" s="33" t="s">
        <v>81</v>
      </c>
      <c r="G474" s="33" t="s">
        <v>81</v>
      </c>
      <c r="H474" s="117"/>
      <c r="I474" s="33">
        <f>IF(B474&lt;&gt;"",3,"")</f>
        <v>3</v>
      </c>
      <c r="J474" s="33">
        <f>IF(I474&lt;&gt;"",P474,"")</f>
        <v>0</v>
      </c>
      <c r="K474" s="33" t="str">
        <f>IFERROR(IF(J474="","",VLOOKUP(J474,LISTAS!$F$5:$G$1004,2,0)),"0")</f>
        <v>0</v>
      </c>
      <c r="L474" s="130" t="str">
        <f>IF(H472=3,"BRONZE",IF(H472=4,"PRATA",IF(H472=5,"OURO","")))</f>
        <v>BRONZE</v>
      </c>
    </row>
    <row r="475" spans="2:12" x14ac:dyDescent="0.25">
      <c r="B475" s="79"/>
      <c r="C475" s="79"/>
      <c r="D475" s="79"/>
      <c r="E475" s="79"/>
      <c r="F475" s="79"/>
      <c r="G475" s="79"/>
      <c r="I475" s="80"/>
      <c r="J475" s="79"/>
      <c r="K475" s="81"/>
      <c r="L475" s="81"/>
    </row>
    <row r="476" spans="2:12" x14ac:dyDescent="0.25">
      <c r="B476" s="82" t="s">
        <v>40</v>
      </c>
      <c r="C476" s="79"/>
      <c r="D476" s="79"/>
      <c r="E476" s="79"/>
      <c r="F476" s="79"/>
      <c r="G476" s="79"/>
      <c r="H476" s="79"/>
      <c r="I476" s="79"/>
      <c r="J476" s="79"/>
      <c r="K476" s="79"/>
      <c r="L476" s="79"/>
    </row>
    <row r="477" spans="2:12" x14ac:dyDescent="0.25">
      <c r="B477" s="132" t="s">
        <v>15</v>
      </c>
      <c r="C477" s="132" t="s">
        <v>0</v>
      </c>
      <c r="D477" s="258" t="s">
        <v>41</v>
      </c>
      <c r="E477" s="259"/>
      <c r="F477" s="259"/>
      <c r="G477" s="259"/>
      <c r="H477" s="259"/>
      <c r="I477" s="260"/>
      <c r="J477" s="132" t="s">
        <v>15</v>
      </c>
      <c r="K477" s="132" t="s">
        <v>0</v>
      </c>
      <c r="L477" s="79"/>
    </row>
    <row r="478" spans="2:12" x14ac:dyDescent="0.25">
      <c r="B478" s="33" t="str">
        <f>IF(H472=3,B472,"")</f>
        <v>Matheus Henrique de Oliveira</v>
      </c>
      <c r="C478" s="33" t="str">
        <f>IFERROR(IF(B478="","",VLOOKUP(B478,LISTAS!$F$5:$G$1004,2,0)),"0")</f>
        <v>ESCOLA INTERAÇÃO</v>
      </c>
      <c r="D478" s="253">
        <v>0</v>
      </c>
      <c r="E478" s="254"/>
      <c r="F478" s="253" t="s">
        <v>38</v>
      </c>
      <c r="G478" s="254"/>
      <c r="H478" s="253">
        <v>2</v>
      </c>
      <c r="I478" s="254"/>
      <c r="J478" s="111" t="str">
        <f>IF(H472=3,B474,"")</f>
        <v>MIGUEL PEREIRA SORRENTINO</v>
      </c>
      <c r="K478" s="33" t="str">
        <f>IFERROR(IF(J478="","",VLOOKUP(J478,LISTAS!$F$5:$G$1004,2,0)),"0")</f>
        <v>PEN LIFE</v>
      </c>
      <c r="L478" s="81"/>
    </row>
    <row r="479" spans="2:12" x14ac:dyDescent="0.25">
      <c r="B479" s="33" t="str">
        <f>IF(H472=3,B473,"")</f>
        <v>SAMUEL BOHRER</v>
      </c>
      <c r="C479" s="33" t="str">
        <f>IFERROR(IF(B479="","",VLOOKUP(B479,LISTAS!$F$5:$G$1004,2,0)),"0")</f>
        <v>ABACO IPIRANGA</v>
      </c>
      <c r="D479" s="253">
        <v>0</v>
      </c>
      <c r="E479" s="254"/>
      <c r="F479" s="253" t="s">
        <v>38</v>
      </c>
      <c r="G479" s="254"/>
      <c r="H479" s="253">
        <v>2</v>
      </c>
      <c r="I479" s="254"/>
      <c r="J479" s="111" t="str">
        <f>IF(H472=3,B474,"")</f>
        <v>MIGUEL PEREIRA SORRENTINO</v>
      </c>
      <c r="K479" s="33" t="str">
        <f>IFERROR(IF(J479="","",VLOOKUP(J479,LISTAS!$F$5:$G$1004,2,0)),"0")</f>
        <v>PEN LIFE</v>
      </c>
      <c r="L479" s="79"/>
    </row>
    <row r="480" spans="2:12" x14ac:dyDescent="0.25">
      <c r="B480" s="33" t="str">
        <f>IF(H472=3,B472,"")</f>
        <v>Matheus Henrique de Oliveira</v>
      </c>
      <c r="C480" s="33" t="str">
        <f>IFERROR(IF(B480="","",VLOOKUP(B480,LISTAS!$F$5:$G$1004,2,0)),"0")</f>
        <v>ESCOLA INTERAÇÃO</v>
      </c>
      <c r="D480" s="253">
        <v>2</v>
      </c>
      <c r="E480" s="254"/>
      <c r="F480" s="253" t="s">
        <v>38</v>
      </c>
      <c r="G480" s="254"/>
      <c r="H480" s="253">
        <v>0</v>
      </c>
      <c r="I480" s="254"/>
      <c r="J480" s="111" t="str">
        <f>IF(H472=3,B473,"")</f>
        <v>SAMUEL BOHRER</v>
      </c>
      <c r="K480" s="33" t="str">
        <f>IFERROR(IF(J480="","",VLOOKUP(J480,LISTAS!$F$5:$G$1004,2,0)),"0")</f>
        <v>ABACO IPIRANGA</v>
      </c>
      <c r="L480" s="81"/>
    </row>
    <row r="482" spans="2:12" x14ac:dyDescent="0.25">
      <c r="B482" s="161" t="s">
        <v>607</v>
      </c>
      <c r="C482" s="79"/>
      <c r="D482" s="255" t="s">
        <v>42</v>
      </c>
      <c r="E482" s="256"/>
      <c r="F482" s="256"/>
      <c r="G482" s="257"/>
      <c r="H482" s="113"/>
      <c r="I482" s="255" t="s">
        <v>3</v>
      </c>
      <c r="J482" s="256"/>
      <c r="K482" s="256"/>
      <c r="L482" s="256"/>
    </row>
    <row r="483" spans="2:12" x14ac:dyDescent="0.25">
      <c r="B483" s="132" t="s">
        <v>15</v>
      </c>
      <c r="C483" s="132" t="s">
        <v>0</v>
      </c>
      <c r="D483" s="132" t="s">
        <v>43</v>
      </c>
      <c r="E483" s="132" t="s">
        <v>44</v>
      </c>
      <c r="F483" s="132" t="s">
        <v>77</v>
      </c>
      <c r="G483" s="132" t="s">
        <v>78</v>
      </c>
      <c r="H483" s="114"/>
      <c r="I483" s="132" t="s">
        <v>18</v>
      </c>
      <c r="J483" s="132" t="s">
        <v>15</v>
      </c>
      <c r="K483" s="132" t="s">
        <v>0</v>
      </c>
      <c r="L483" s="132" t="s">
        <v>45</v>
      </c>
    </row>
    <row r="484" spans="2:12" x14ac:dyDescent="0.25">
      <c r="B484" s="33" t="s">
        <v>630</v>
      </c>
      <c r="C484" s="33" t="str">
        <f>IFERROR(IF(B484="","",VLOOKUP(B484,LISTAS!$F$5:$G$1004,2,0)),"0")</f>
        <v>ESCOLA INTERAÇÃO</v>
      </c>
      <c r="D484" s="33" t="str">
        <f>IF(H484&lt;3,"",IF(H484=3,IF(D490&lt;&gt;"",IF(H490&lt;&gt;"",IF(D490&lt;&gt;H490,IF(D490&gt;H490,"V","D"),""),""),"")))</f>
        <v>D</v>
      </c>
      <c r="E484" s="33" t="str">
        <f>IF(H484&lt;3,"",IF(H484=3,IF(D492&lt;&gt;"",IF(H492&lt;&gt;"",IF(D492&lt;&gt;H492,IF(D492&gt;H492,"V","D"),""),""),"")))</f>
        <v>D</v>
      </c>
      <c r="F484" s="33" t="s">
        <v>81</v>
      </c>
      <c r="G484" s="33" t="s">
        <v>81</v>
      </c>
      <c r="H484" s="117">
        <f>COUNTA(B484:B486)</f>
        <v>3</v>
      </c>
      <c r="I484" s="33">
        <f>IF(B484&lt;&gt;"",1,"")</f>
        <v>1</v>
      </c>
      <c r="J484" s="33">
        <f>IF(I484&lt;&gt;"",P484,"")</f>
        <v>0</v>
      </c>
      <c r="K484" s="33" t="str">
        <f>IFERROR(IF(J484="","",VLOOKUP(J484,LISTAS!$F$5:$G$1004,2,0)),"0")</f>
        <v>0</v>
      </c>
      <c r="L484" s="130" t="str">
        <f>IF(H484=3,"OURO",IF(H484=4,"OURO",IF(H484=5,"OURO","")))</f>
        <v>OURO</v>
      </c>
    </row>
    <row r="485" spans="2:12" x14ac:dyDescent="0.25">
      <c r="B485" s="33" t="s">
        <v>354</v>
      </c>
      <c r="C485" s="33" t="str">
        <f>IFERROR(IF(B485="","",VLOOKUP(B485,LISTAS!$F$5:$G$1004,2,0)),"0")</f>
        <v>ABACO IPIRANGA</v>
      </c>
      <c r="D485" s="33" t="str">
        <f>IF(H484&lt;3,"",IF(H484=3,IF(D491&lt;&gt;"",IF(H491&lt;&gt;"",IF(D491&lt;&gt;H491,IF(D491&gt;H491,"V","D"),""),""),"")))</f>
        <v>V</v>
      </c>
      <c r="E485" s="33" t="str">
        <f>IF(H484&lt;3,"",IF(H484=3,IF(D492&lt;&gt;"",IF(H492&lt;&gt;"",IF(D492&lt;&gt;H492,IF(D492&gt;H492,"D","V"),""),""),"")))</f>
        <v>V</v>
      </c>
      <c r="F485" s="33" t="s">
        <v>81</v>
      </c>
      <c r="G485" s="33" t="s">
        <v>81</v>
      </c>
      <c r="H485" s="117"/>
      <c r="I485" s="33">
        <f>IF(B485&lt;&gt;"",2,"")</f>
        <v>2</v>
      </c>
      <c r="J485" s="33">
        <f>IF(I485&lt;&gt;"",P485,"")</f>
        <v>0</v>
      </c>
      <c r="K485" s="33" t="str">
        <f>IFERROR(IF(J485="","",VLOOKUP(J485,LISTAS!$F$5:$G$1004,2,0)),"0")</f>
        <v>0</v>
      </c>
      <c r="L485" s="130" t="str">
        <f>IF(H484=3,"PRATA",IF(H484=4,"OURO",IF(H484=5,"OURO","")))</f>
        <v>PRATA</v>
      </c>
    </row>
    <row r="486" spans="2:12" x14ac:dyDescent="0.25">
      <c r="B486" s="33" t="s">
        <v>260</v>
      </c>
      <c r="C486" s="33" t="str">
        <f>IFERROR(IF(B486="","",VLOOKUP(B486,LISTAS!$F$5:$G$1004,2,0)),"0")</f>
        <v>COLÉGIO ARBOS DE SÃO BERNARDO DO CAMPO</v>
      </c>
      <c r="D486" s="33" t="str">
        <f>IF(H484&lt;3,"",IF(H484=3,IF(D490&lt;&gt;"",IF(H490&lt;&gt;"",IF(D490&lt;&gt;H490,IF(D490&gt;H490,"D","V"),""),""),"")))</f>
        <v>V</v>
      </c>
      <c r="E486" s="33" t="str">
        <f>IF(H484&lt;3,"",IF(H484=3,IF(D491&lt;&gt;"",IF(H491&lt;&gt;"",IF(D491&lt;&gt;H491,IF(D491&gt;H491,"D","V"),""),""),"")))</f>
        <v>D</v>
      </c>
      <c r="F486" s="33" t="s">
        <v>81</v>
      </c>
      <c r="G486" s="33" t="s">
        <v>81</v>
      </c>
      <c r="H486" s="117"/>
      <c r="I486" s="33">
        <f>IF(B486&lt;&gt;"",3,"")</f>
        <v>3</v>
      </c>
      <c r="J486" s="33">
        <f>IF(I486&lt;&gt;"",P486,"")</f>
        <v>0</v>
      </c>
      <c r="K486" s="33" t="str">
        <f>IFERROR(IF(J486="","",VLOOKUP(J486,LISTAS!$F$5:$G$1004,2,0)),"0")</f>
        <v>0</v>
      </c>
      <c r="L486" s="130" t="str">
        <f>IF(H484=3,"BRONZE",IF(H484=4,"PRATA",IF(H484=5,"OURO","")))</f>
        <v>BRONZE</v>
      </c>
    </row>
    <row r="487" spans="2:12" x14ac:dyDescent="0.25">
      <c r="B487" s="79"/>
      <c r="C487" s="79"/>
      <c r="D487" s="79"/>
      <c r="E487" s="79"/>
      <c r="F487" s="79"/>
      <c r="G487" s="79"/>
      <c r="I487" s="80"/>
      <c r="J487" s="79"/>
      <c r="K487" s="81"/>
      <c r="L487" s="81"/>
    </row>
    <row r="488" spans="2:12" x14ac:dyDescent="0.25">
      <c r="B488" s="82" t="s">
        <v>40</v>
      </c>
      <c r="C488" s="79"/>
      <c r="D488" s="79"/>
      <c r="E488" s="79"/>
      <c r="F488" s="79"/>
      <c r="G488" s="79"/>
      <c r="H488" s="79"/>
      <c r="I488" s="79"/>
      <c r="J488" s="79"/>
      <c r="K488" s="79"/>
      <c r="L488" s="79"/>
    </row>
    <row r="489" spans="2:12" x14ac:dyDescent="0.25">
      <c r="B489" s="132" t="s">
        <v>15</v>
      </c>
      <c r="C489" s="132" t="s">
        <v>0</v>
      </c>
      <c r="D489" s="258" t="s">
        <v>41</v>
      </c>
      <c r="E489" s="259"/>
      <c r="F489" s="259"/>
      <c r="G489" s="259"/>
      <c r="H489" s="259"/>
      <c r="I489" s="260"/>
      <c r="J489" s="132" t="s">
        <v>15</v>
      </c>
      <c r="K489" s="132" t="s">
        <v>0</v>
      </c>
      <c r="L489" s="79"/>
    </row>
    <row r="490" spans="2:12" x14ac:dyDescent="0.25">
      <c r="B490" s="33" t="str">
        <f>IF(H484=3,B484,"")</f>
        <v>Rafael da Silva Zampoli</v>
      </c>
      <c r="C490" s="33" t="str">
        <f>IFERROR(IF(B490="","",VLOOKUP(B490,LISTAS!$F$5:$G$1004,2,0)),"0")</f>
        <v>ESCOLA INTERAÇÃO</v>
      </c>
      <c r="D490" s="253">
        <v>0</v>
      </c>
      <c r="E490" s="254"/>
      <c r="F490" s="253" t="s">
        <v>38</v>
      </c>
      <c r="G490" s="254"/>
      <c r="H490" s="253">
        <v>2</v>
      </c>
      <c r="I490" s="254"/>
      <c r="J490" s="111" t="str">
        <f>IF(H484=3,B486,"")</f>
        <v>GAEL EGAMI</v>
      </c>
      <c r="K490" s="33" t="str">
        <f>IFERROR(IF(J490="","",VLOOKUP(J490,LISTAS!$F$5:$G$1004,2,0)),"0")</f>
        <v>COLÉGIO ARBOS DE SÃO BERNARDO DO CAMPO</v>
      </c>
      <c r="L490" s="81"/>
    </row>
    <row r="491" spans="2:12" x14ac:dyDescent="0.25">
      <c r="B491" s="33" t="str">
        <f>IF(H484=3,B485,"")</f>
        <v>SAMUEL FERNANDES MARTINS</v>
      </c>
      <c r="C491" s="33" t="str">
        <f>IFERROR(IF(B491="","",VLOOKUP(B491,LISTAS!$F$5:$G$1004,2,0)),"0")</f>
        <v>ABACO IPIRANGA</v>
      </c>
      <c r="D491" s="253">
        <v>2</v>
      </c>
      <c r="E491" s="254"/>
      <c r="F491" s="253" t="s">
        <v>38</v>
      </c>
      <c r="G491" s="254"/>
      <c r="H491" s="253">
        <v>0</v>
      </c>
      <c r="I491" s="254"/>
      <c r="J491" s="111" t="str">
        <f>IF(H484=3,B486,"")</f>
        <v>GAEL EGAMI</v>
      </c>
      <c r="K491" s="33" t="str">
        <f>IFERROR(IF(J491="","",VLOOKUP(J491,LISTAS!$F$5:$G$1004,2,0)),"0")</f>
        <v>COLÉGIO ARBOS DE SÃO BERNARDO DO CAMPO</v>
      </c>
      <c r="L491" s="79"/>
    </row>
    <row r="492" spans="2:12" x14ac:dyDescent="0.25">
      <c r="B492" s="33" t="str">
        <f>IF(H484=3,B484,"")</f>
        <v>Rafael da Silva Zampoli</v>
      </c>
      <c r="C492" s="33" t="str">
        <f>IFERROR(IF(B492="","",VLOOKUP(B492,LISTAS!$F$5:$G$1004,2,0)),"0")</f>
        <v>ESCOLA INTERAÇÃO</v>
      </c>
      <c r="D492" s="253">
        <v>0</v>
      </c>
      <c r="E492" s="254"/>
      <c r="F492" s="253" t="s">
        <v>38</v>
      </c>
      <c r="G492" s="254"/>
      <c r="H492" s="253">
        <v>2</v>
      </c>
      <c r="I492" s="254"/>
      <c r="J492" s="111" t="str">
        <f>IF(H484=3,B485,"")</f>
        <v>SAMUEL FERNANDES MARTINS</v>
      </c>
      <c r="K492" s="33" t="str">
        <f>IFERROR(IF(J492="","",VLOOKUP(J492,LISTAS!$F$5:$G$1004,2,0)),"0")</f>
        <v>ABACO IPIRANGA</v>
      </c>
      <c r="L492" s="81"/>
    </row>
    <row r="494" spans="2:12" x14ac:dyDescent="0.25">
      <c r="B494" s="161" t="s">
        <v>608</v>
      </c>
      <c r="C494" s="79"/>
      <c r="D494" s="255" t="s">
        <v>42</v>
      </c>
      <c r="E494" s="256"/>
      <c r="F494" s="256"/>
      <c r="G494" s="257"/>
      <c r="H494" s="113"/>
      <c r="I494" s="255" t="s">
        <v>3</v>
      </c>
      <c r="J494" s="256"/>
      <c r="K494" s="256"/>
      <c r="L494" s="256"/>
    </row>
    <row r="495" spans="2:12" x14ac:dyDescent="0.25">
      <c r="B495" s="132" t="s">
        <v>15</v>
      </c>
      <c r="C495" s="132" t="s">
        <v>0</v>
      </c>
      <c r="D495" s="132" t="s">
        <v>43</v>
      </c>
      <c r="E495" s="132" t="s">
        <v>44</v>
      </c>
      <c r="F495" s="132" t="s">
        <v>77</v>
      </c>
      <c r="G495" s="132" t="s">
        <v>78</v>
      </c>
      <c r="H495" s="114"/>
      <c r="I495" s="132" t="s">
        <v>18</v>
      </c>
      <c r="J495" s="132" t="s">
        <v>15</v>
      </c>
      <c r="K495" s="132" t="s">
        <v>0</v>
      </c>
      <c r="L495" s="132" t="s">
        <v>45</v>
      </c>
    </row>
    <row r="496" spans="2:12" x14ac:dyDescent="0.25">
      <c r="B496" s="33" t="s">
        <v>273</v>
      </c>
      <c r="C496" s="33" t="str">
        <f>IFERROR(IF(B496="","",VLOOKUP(B496,LISTAS!$F$5:$G$1004,2,0)),"0")</f>
        <v>COLÉGIO ARBOS SÃO CAETANO DO SUL</v>
      </c>
      <c r="D496" s="33" t="str">
        <f>IF(H496&lt;3,"",IF(H496=3,IF(D502&lt;&gt;"",IF(H502&lt;&gt;"",IF(D502&lt;&gt;H502,IF(D502&gt;H502,"V","D"),""),""),"")))</f>
        <v/>
      </c>
      <c r="E496" s="33" t="str">
        <f>IF(H496&lt;3,"",IF(H496=3,IF(D504&lt;&gt;"",IF(H504&lt;&gt;"",IF(D504&lt;&gt;H504,IF(D504&gt;H504,"V","D"),""),""),"")))</f>
        <v/>
      </c>
      <c r="F496" s="33" t="s">
        <v>81</v>
      </c>
      <c r="G496" s="33" t="s">
        <v>81</v>
      </c>
      <c r="H496" s="117">
        <f>COUNTA(B496:B497)</f>
        <v>2</v>
      </c>
      <c r="I496" s="33">
        <f>IF(B496&lt;&gt;"",1,"")</f>
        <v>1</v>
      </c>
      <c r="J496" s="33">
        <f>IF(I496&lt;&gt;"",P496,"")</f>
        <v>0</v>
      </c>
      <c r="K496" s="33" t="str">
        <f>IFERROR(IF(J496="","",VLOOKUP(J496,LISTAS!$F$5:$G$1004,2,0)),"0")</f>
        <v>0</v>
      </c>
      <c r="L496" s="130" t="str">
        <f>IF(H496=3,"OURO",IF(H496=4,"OURO",IF(H496=5,"OURO","")))</f>
        <v/>
      </c>
    </row>
    <row r="497" spans="2:12" x14ac:dyDescent="0.25">
      <c r="B497" s="39" t="s">
        <v>691</v>
      </c>
      <c r="C497" s="33" t="str">
        <f>IFERROR(IF(B497="","",VLOOKUP(B497,LISTAS!$F$5:$G$1004,2,0)),"0")</f>
        <v>ABACO IPIRANGA</v>
      </c>
      <c r="D497" s="33" t="str">
        <f>IF(H496&lt;3,"",IF(H496=3,IF(D503&lt;&gt;"",IF(H503&lt;&gt;"",IF(D503&lt;&gt;H503,IF(D503&gt;H503,"V","D"),""),""),"")))</f>
        <v/>
      </c>
      <c r="E497" s="33" t="str">
        <f>IF(H496&lt;3,"",IF(H496=3,IF(D504&lt;&gt;"",IF(H504&lt;&gt;"",IF(D504&lt;&gt;H504,IF(D504&gt;H504,"D","V"),""),""),"")))</f>
        <v/>
      </c>
      <c r="F497" s="33" t="s">
        <v>81</v>
      </c>
      <c r="G497" s="33" t="s">
        <v>81</v>
      </c>
      <c r="H497" s="117"/>
      <c r="I497" s="33">
        <f>IF(B497&lt;&gt;"",2,"")</f>
        <v>2</v>
      </c>
      <c r="J497" s="33">
        <f>IF(I497&lt;&gt;"",P497,"")</f>
        <v>0</v>
      </c>
      <c r="K497" s="33" t="str">
        <f>IFERROR(IF(J497="","",VLOOKUP(J497,LISTAS!$F$5:$G$1004,2,0)),"0")</f>
        <v>0</v>
      </c>
      <c r="L497" s="130" t="str">
        <f>IF(H496=3,"PRATA",IF(H496=4,"OURO",IF(H496=5,"OURO","")))</f>
        <v/>
      </c>
    </row>
    <row r="498" spans="2:12" x14ac:dyDescent="0.25">
      <c r="C498" s="33" t="str">
        <f>IFERROR(IF('11M'!AK24="","",VLOOKUP('11M'!AK24,LISTAS!$F$5:$G$1004,2,0)),"0")</f>
        <v>COLEGIO PETROPOLIS</v>
      </c>
      <c r="D498" s="33" t="str">
        <f>IF(H496&lt;3,"",IF(H496=3,IF(D502&lt;&gt;"",IF(H502&lt;&gt;"",IF(D502&lt;&gt;H502,IF(D502&gt;H502,"D","V"),""),""),"")))</f>
        <v/>
      </c>
      <c r="E498" s="33" t="str">
        <f>IF(H496&lt;3,"",IF(H496=3,IF(D503&lt;&gt;"",IF(H503&lt;&gt;"",IF(D503&lt;&gt;H503,IF(D503&gt;H503,"D","V"),""),""),"")))</f>
        <v/>
      </c>
      <c r="F498" s="33" t="s">
        <v>81</v>
      </c>
      <c r="G498" s="33" t="s">
        <v>81</v>
      </c>
      <c r="H498" s="117"/>
      <c r="I498" s="33">
        <f>IF('11M'!AK24&lt;&gt;"",3,"")</f>
        <v>3</v>
      </c>
      <c r="J498" s="33">
        <f>IF(I498&lt;&gt;"",P498,"")</f>
        <v>0</v>
      </c>
      <c r="K498" s="33" t="str">
        <f>IFERROR(IF(J498="","",VLOOKUP(J498,LISTAS!$F$5:$G$1004,2,0)),"0")</f>
        <v>0</v>
      </c>
      <c r="L498" s="130" t="str">
        <f>IF(H496=3,"BRONZE",IF(H496=4,"PRATA",IF(H496=5,"OURO","")))</f>
        <v/>
      </c>
    </row>
    <row r="499" spans="2:12" x14ac:dyDescent="0.25">
      <c r="B499" s="79"/>
      <c r="C499" s="79"/>
      <c r="D499" s="79"/>
      <c r="E499" s="79"/>
      <c r="F499" s="79"/>
      <c r="G499" s="79"/>
      <c r="I499" s="80"/>
      <c r="J499" s="79"/>
      <c r="K499" s="81"/>
      <c r="L499" s="81"/>
    </row>
    <row r="500" spans="2:12" x14ac:dyDescent="0.25">
      <c r="B500" s="82" t="s">
        <v>40</v>
      </c>
      <c r="C500" s="79"/>
      <c r="D500" s="79"/>
      <c r="E500" s="79"/>
      <c r="F500" s="79"/>
      <c r="G500" s="79"/>
      <c r="H500" s="79"/>
      <c r="I500" s="79"/>
      <c r="J500" s="79"/>
      <c r="K500" s="79"/>
      <c r="L500" s="79"/>
    </row>
    <row r="501" spans="2:12" x14ac:dyDescent="0.25">
      <c r="B501" s="132" t="s">
        <v>15</v>
      </c>
      <c r="C501" s="132" t="s">
        <v>0</v>
      </c>
      <c r="D501" s="258" t="s">
        <v>41</v>
      </c>
      <c r="E501" s="259"/>
      <c r="F501" s="259"/>
      <c r="G501" s="259"/>
      <c r="H501" s="259"/>
      <c r="I501" s="260"/>
      <c r="J501" s="132" t="s">
        <v>15</v>
      </c>
      <c r="K501" s="132" t="s">
        <v>0</v>
      </c>
      <c r="L501" s="79"/>
    </row>
    <row r="502" spans="2:12" x14ac:dyDescent="0.25">
      <c r="B502" s="33" t="str">
        <f>IF(H496=3,B496,"")</f>
        <v/>
      </c>
      <c r="C502" s="33" t="str">
        <f>IFERROR(IF(B502="","",VLOOKUP(B502,LISTAS!$F$5:$G$1004,2,0)),"0")</f>
        <v/>
      </c>
      <c r="D502" s="253">
        <v>0</v>
      </c>
      <c r="E502" s="254"/>
      <c r="F502" s="253" t="s">
        <v>38</v>
      </c>
      <c r="G502" s="254"/>
      <c r="H502" s="253">
        <v>2</v>
      </c>
      <c r="I502" s="254"/>
      <c r="J502" s="111" t="str">
        <f>IF(H496=3,'11M'!AK24,"")</f>
        <v/>
      </c>
      <c r="K502" s="33" t="str">
        <f>IFERROR(IF(J502="","",VLOOKUP(J502,LISTAS!$F$5:$G$1004,2,0)),"0")</f>
        <v/>
      </c>
      <c r="L502" s="81"/>
    </row>
    <row r="503" spans="2:12" x14ac:dyDescent="0.25">
      <c r="B503" s="33" t="str">
        <f>IF(H496=3,B497,"")</f>
        <v/>
      </c>
      <c r="C503" s="33" t="str">
        <f>IFERROR(IF(B503="","",VLOOKUP(B503,LISTAS!$F$5:$G$1004,2,0)),"0")</f>
        <v/>
      </c>
      <c r="D503" s="253">
        <v>0</v>
      </c>
      <c r="E503" s="254"/>
      <c r="F503" s="253" t="s">
        <v>38</v>
      </c>
      <c r="G503" s="254"/>
      <c r="H503" s="253">
        <v>2</v>
      </c>
      <c r="I503" s="254"/>
      <c r="J503" s="111" t="str">
        <f>IF(H496=3,'11M'!AK24,"")</f>
        <v/>
      </c>
      <c r="K503" s="33" t="str">
        <f>IFERROR(IF(J503="","",VLOOKUP(J503,LISTAS!$F$5:$G$1004,2,0)),"0")</f>
        <v/>
      </c>
      <c r="L503" s="79"/>
    </row>
    <row r="504" spans="2:12" x14ac:dyDescent="0.25">
      <c r="B504" s="33" t="str">
        <f>IF(H496=3,B496,"")</f>
        <v/>
      </c>
      <c r="C504" s="33" t="str">
        <f>IFERROR(IF(B504="","",VLOOKUP(B504,LISTAS!$F$5:$G$1004,2,0)),"0")</f>
        <v/>
      </c>
      <c r="D504" s="253">
        <v>2</v>
      </c>
      <c r="E504" s="254"/>
      <c r="F504" s="253" t="s">
        <v>38</v>
      </c>
      <c r="G504" s="254"/>
      <c r="H504" s="253">
        <v>0</v>
      </c>
      <c r="I504" s="254"/>
      <c r="J504" s="111" t="str">
        <f>IF(H496=3,B497,"")</f>
        <v/>
      </c>
      <c r="K504" s="33" t="str">
        <f>IFERROR(IF(J504="","",VLOOKUP(J504,LISTAS!$F$5:$G$1004,2,0)),"0")</f>
        <v/>
      </c>
      <c r="L504" s="81"/>
    </row>
    <row r="506" spans="2:12" x14ac:dyDescent="0.25">
      <c r="B506" s="161" t="s">
        <v>609</v>
      </c>
      <c r="C506" s="79"/>
      <c r="D506" s="255" t="s">
        <v>42</v>
      </c>
      <c r="E506" s="256"/>
      <c r="F506" s="256"/>
      <c r="G506" s="257"/>
      <c r="H506" s="113"/>
      <c r="I506" s="255" t="s">
        <v>3</v>
      </c>
      <c r="J506" s="256"/>
      <c r="K506" s="256"/>
      <c r="L506" s="256"/>
    </row>
    <row r="507" spans="2:12" x14ac:dyDescent="0.25">
      <c r="B507" s="132" t="s">
        <v>15</v>
      </c>
      <c r="C507" s="132" t="s">
        <v>0</v>
      </c>
      <c r="D507" s="132" t="s">
        <v>43</v>
      </c>
      <c r="E507" s="132" t="s">
        <v>44</v>
      </c>
      <c r="F507" s="132" t="s">
        <v>77</v>
      </c>
      <c r="G507" s="132" t="s">
        <v>78</v>
      </c>
      <c r="H507" s="114"/>
      <c r="I507" s="132" t="s">
        <v>18</v>
      </c>
      <c r="J507" s="132" t="s">
        <v>15</v>
      </c>
      <c r="K507" s="132" t="s">
        <v>0</v>
      </c>
      <c r="L507" s="132" t="s">
        <v>45</v>
      </c>
    </row>
    <row r="508" spans="2:12" x14ac:dyDescent="0.25">
      <c r="B508" s="33" t="s">
        <v>361</v>
      </c>
      <c r="C508" s="33" t="str">
        <f>IFERROR(IF(B508="","",VLOOKUP(B508,LISTAS!$F$5:$G$1004,2,0)),"0")</f>
        <v>ABACO IPIRANGA</v>
      </c>
      <c r="D508" s="33" t="str">
        <f>IF(H508&lt;3,"",IF(H508=3,IF(D514&lt;&gt;"",IF(H514&lt;&gt;"",IF(D514&lt;&gt;H514,IF(D514&gt;H514,"V","D"),""),""),"")))</f>
        <v>D</v>
      </c>
      <c r="E508" s="33" t="str">
        <f>IF(H508&lt;3,"",IF(H508=3,IF(D516&lt;&gt;"",IF(H516&lt;&gt;"",IF(D516&lt;&gt;H516,IF(D516&gt;H516,"V","D"),""),""),"")))</f>
        <v>V</v>
      </c>
      <c r="F508" s="33" t="s">
        <v>81</v>
      </c>
      <c r="G508" s="33" t="s">
        <v>81</v>
      </c>
      <c r="H508" s="117">
        <f>COUNTA(B508:B510)</f>
        <v>3</v>
      </c>
      <c r="I508" s="33">
        <f>IF(B508&lt;&gt;"",1,"")</f>
        <v>1</v>
      </c>
      <c r="J508" s="33">
        <f>IF(I508&lt;&gt;"",P508,"")</f>
        <v>0</v>
      </c>
      <c r="K508" s="33" t="str">
        <f>IFERROR(IF(J508="","",VLOOKUP(J508,LISTAS!$F$5:$G$1004,2,0)),"0")</f>
        <v>0</v>
      </c>
      <c r="L508" s="130" t="str">
        <f>IF(H508=3,"OURO",IF(H508=4,"OURO",IF(H508=5,"OURO","")))</f>
        <v>OURO</v>
      </c>
    </row>
    <row r="509" spans="2:12" x14ac:dyDescent="0.25">
      <c r="B509" s="33" t="s">
        <v>601</v>
      </c>
      <c r="C509" s="33" t="str">
        <f>IFERROR(IF(B509="","",VLOOKUP(B509,LISTAS!$F$5:$G$1004,2,0)),"0")</f>
        <v>BYE</v>
      </c>
      <c r="D509" s="33" t="str">
        <f>IF(H508&lt;3,"",IF(H508=3,IF(D515&lt;&gt;"",IF(H515&lt;&gt;"",IF(D515&lt;&gt;H515,IF(D515&gt;H515,"V","D"),""),""),"")))</f>
        <v>D</v>
      </c>
      <c r="E509" s="33" t="str">
        <f>IF(H508&lt;3,"",IF(H508=3,IF(D516&lt;&gt;"",IF(H516&lt;&gt;"",IF(D516&lt;&gt;H516,IF(D516&gt;H516,"D","V"),""),""),"")))</f>
        <v>D</v>
      </c>
      <c r="F509" s="33" t="s">
        <v>81</v>
      </c>
      <c r="G509" s="33" t="s">
        <v>81</v>
      </c>
      <c r="H509" s="117"/>
      <c r="I509" s="33">
        <f>IF(B509&lt;&gt;"",2,"")</f>
        <v>2</v>
      </c>
      <c r="J509" s="33">
        <f>IF(I509&lt;&gt;"",P509,"")</f>
        <v>0</v>
      </c>
      <c r="K509" s="33" t="str">
        <f>IFERROR(IF(J509="","",VLOOKUP(J509,LISTAS!$F$5:$G$1004,2,0)),"0")</f>
        <v>0</v>
      </c>
      <c r="L509" s="130" t="str">
        <f>IF(H508=3,"PRATA",IF(H508=4,"OURO",IF(H508=5,"OURO","")))</f>
        <v>PRATA</v>
      </c>
    </row>
    <row r="510" spans="2:12" x14ac:dyDescent="0.25">
      <c r="B510" s="39" t="s">
        <v>684</v>
      </c>
      <c r="C510" s="33" t="str">
        <f>IFERROR(IF(B510="","",VLOOKUP(B510,LISTAS!$F$5:$G$1004,2,0)),"0")</f>
        <v>ESCOLA STAGIUM</v>
      </c>
      <c r="D510" s="33" t="str">
        <f>IF(H508&lt;3,"",IF(H508=3,IF(D514&lt;&gt;"",IF(H514&lt;&gt;"",IF(D514&lt;&gt;H514,IF(D514&gt;H514,"D","V"),""),""),"")))</f>
        <v>V</v>
      </c>
      <c r="E510" s="33" t="str">
        <f>IF(H508&lt;3,"",IF(H508=3,IF(D515&lt;&gt;"",IF(H515&lt;&gt;"",IF(D515&lt;&gt;H515,IF(D515&gt;H515,"D","V"),""),""),"")))</f>
        <v>V</v>
      </c>
      <c r="F510" s="33" t="s">
        <v>81</v>
      </c>
      <c r="G510" s="33" t="s">
        <v>81</v>
      </c>
      <c r="H510" s="117"/>
      <c r="I510" s="33">
        <f>IF(B510&lt;&gt;"",3,"")</f>
        <v>3</v>
      </c>
      <c r="J510" s="33">
        <f>IF(I510&lt;&gt;"",P510,"")</f>
        <v>0</v>
      </c>
      <c r="K510" s="33" t="str">
        <f>IFERROR(IF(J510="","",VLOOKUP(J510,LISTAS!$F$5:$G$1004,2,0)),"0")</f>
        <v>0</v>
      </c>
      <c r="L510" s="130" t="str">
        <f>IF(H508=3,"BRONZE",IF(H508=4,"PRATA",IF(H508=5,"OURO","")))</f>
        <v>BRONZE</v>
      </c>
    </row>
    <row r="511" spans="2:12" x14ac:dyDescent="0.25">
      <c r="B511" s="79"/>
      <c r="C511" s="79"/>
      <c r="D511" s="79"/>
      <c r="E511" s="79"/>
      <c r="F511" s="79"/>
      <c r="G511" s="79"/>
      <c r="I511" s="80"/>
      <c r="J511" s="79"/>
      <c r="K511" s="81"/>
      <c r="L511" s="81"/>
    </row>
    <row r="512" spans="2:12" x14ac:dyDescent="0.25">
      <c r="B512" s="82" t="s">
        <v>40</v>
      </c>
      <c r="C512" s="79"/>
      <c r="D512" s="79"/>
      <c r="E512" s="79"/>
      <c r="F512" s="79"/>
      <c r="G512" s="79"/>
      <c r="H512" s="79"/>
      <c r="I512" s="79"/>
      <c r="J512" s="79"/>
      <c r="K512" s="79"/>
      <c r="L512" s="79"/>
    </row>
    <row r="513" spans="2:12" x14ac:dyDescent="0.25">
      <c r="B513" s="132" t="s">
        <v>15</v>
      </c>
      <c r="C513" s="132" t="s">
        <v>0</v>
      </c>
      <c r="D513" s="258" t="s">
        <v>41</v>
      </c>
      <c r="E513" s="259"/>
      <c r="F513" s="259"/>
      <c r="G513" s="259"/>
      <c r="H513" s="259"/>
      <c r="I513" s="260"/>
      <c r="J513" s="132" t="s">
        <v>15</v>
      </c>
      <c r="K513" s="132" t="s">
        <v>0</v>
      </c>
      <c r="L513" s="79"/>
    </row>
    <row r="514" spans="2:12" x14ac:dyDescent="0.25">
      <c r="B514" s="33" t="str">
        <f>IF(H508=3,B508,"")</f>
        <v>THEO OBST SANTIAGO</v>
      </c>
      <c r="C514" s="33" t="str">
        <f>IFERROR(IF(B514="","",VLOOKUP(B514,LISTAS!$F$5:$G$1004,2,0)),"0")</f>
        <v>ABACO IPIRANGA</v>
      </c>
      <c r="D514" s="253">
        <v>1</v>
      </c>
      <c r="E514" s="254"/>
      <c r="F514" s="253" t="s">
        <v>38</v>
      </c>
      <c r="G514" s="254"/>
      <c r="H514" s="253">
        <v>2</v>
      </c>
      <c r="I514" s="254"/>
      <c r="J514" s="111" t="str">
        <f>IF(H508=3,B510,"")</f>
        <v>ANTONIO EDUARDO</v>
      </c>
      <c r="K514" s="33" t="str">
        <f>IFERROR(IF(J514="","",VLOOKUP(J514,LISTAS!$F$5:$G$1004,2,0)),"0")</f>
        <v>ESCOLA STAGIUM</v>
      </c>
      <c r="L514" s="81"/>
    </row>
    <row r="515" spans="2:12" x14ac:dyDescent="0.25">
      <c r="B515" s="33" t="str">
        <f>IF(H508=3,B509,"")</f>
        <v>BYE</v>
      </c>
      <c r="C515" s="33" t="str">
        <f>IFERROR(IF(B515="","",VLOOKUP(B515,LISTAS!$F$5:$G$1004,2,0)),"0")</f>
        <v>BYE</v>
      </c>
      <c r="D515" s="253">
        <v>0</v>
      </c>
      <c r="E515" s="254"/>
      <c r="F515" s="253" t="s">
        <v>38</v>
      </c>
      <c r="G515" s="254"/>
      <c r="H515" s="253">
        <v>2</v>
      </c>
      <c r="I515" s="254"/>
      <c r="J515" s="111" t="str">
        <f>IF(H508=3,B510,"")</f>
        <v>ANTONIO EDUARDO</v>
      </c>
      <c r="K515" s="33" t="str">
        <f>IFERROR(IF(J515="","",VLOOKUP(J515,LISTAS!$F$5:$G$1004,2,0)),"0")</f>
        <v>ESCOLA STAGIUM</v>
      </c>
      <c r="L515" s="79"/>
    </row>
    <row r="516" spans="2:12" x14ac:dyDescent="0.25">
      <c r="B516" s="33" t="str">
        <f>IF(H508=3,B508,"")</f>
        <v>THEO OBST SANTIAGO</v>
      </c>
      <c r="C516" s="33" t="str">
        <f>IFERROR(IF(B516="","",VLOOKUP(B516,LISTAS!$F$5:$G$1004,2,0)),"0")</f>
        <v>ABACO IPIRANGA</v>
      </c>
      <c r="D516" s="253">
        <v>2</v>
      </c>
      <c r="E516" s="254"/>
      <c r="F516" s="253" t="s">
        <v>38</v>
      </c>
      <c r="G516" s="254"/>
      <c r="H516" s="253">
        <v>0</v>
      </c>
      <c r="I516" s="254"/>
      <c r="J516" s="111" t="str">
        <f>IF(H508=3,B509,"")</f>
        <v>BYE</v>
      </c>
      <c r="K516" s="33" t="str">
        <f>IFERROR(IF(J516="","",VLOOKUP(J516,LISTAS!$F$5:$G$1004,2,0)),"0")</f>
        <v>BYE</v>
      </c>
      <c r="L516" s="81"/>
    </row>
    <row r="518" spans="2:12" x14ac:dyDescent="0.25">
      <c r="B518" s="161" t="s">
        <v>610</v>
      </c>
      <c r="C518" s="79"/>
      <c r="D518" s="255" t="s">
        <v>42</v>
      </c>
      <c r="E518" s="256"/>
      <c r="F518" s="256"/>
      <c r="G518" s="257"/>
      <c r="H518" s="113"/>
      <c r="I518" s="255" t="s">
        <v>3</v>
      </c>
      <c r="J518" s="256"/>
      <c r="K518" s="256"/>
      <c r="L518" s="256"/>
    </row>
    <row r="519" spans="2:12" x14ac:dyDescent="0.25">
      <c r="B519" s="132" t="s">
        <v>15</v>
      </c>
      <c r="C519" s="132" t="s">
        <v>0</v>
      </c>
      <c r="D519" s="132" t="s">
        <v>43</v>
      </c>
      <c r="E519" s="132" t="s">
        <v>44</v>
      </c>
      <c r="F519" s="132" t="s">
        <v>77</v>
      </c>
      <c r="G519" s="132" t="s">
        <v>78</v>
      </c>
      <c r="H519" s="114"/>
      <c r="I519" s="132" t="s">
        <v>18</v>
      </c>
      <c r="J519" s="132" t="s">
        <v>15</v>
      </c>
      <c r="K519" s="132" t="s">
        <v>0</v>
      </c>
      <c r="L519" s="132" t="s">
        <v>45</v>
      </c>
    </row>
    <row r="520" spans="2:12" x14ac:dyDescent="0.25">
      <c r="B520" s="33" t="s">
        <v>296</v>
      </c>
      <c r="C520" s="33" t="str">
        <f>IFERROR(IF(B520="","",VLOOKUP(B520,LISTAS!$F$5:$G$1004,2,0)),"0")</f>
        <v>COLÉGIO ARBOS SÃO CAETANO DO SUL</v>
      </c>
      <c r="D520" s="33" t="str">
        <f>IF(H520&lt;3,"",IF(H520=3,IF(D526&lt;&gt;"",IF(H526&lt;&gt;"",IF(D526&lt;&gt;H526,IF(D526&gt;H526,"V","D"),""),""),"")))</f>
        <v>V</v>
      </c>
      <c r="E520" s="33" t="str">
        <f>IF(H520&lt;3,"",IF(H520=3,IF(D528&lt;&gt;"",IF(H528&lt;&gt;"",IF(D528&lt;&gt;H528,IF(D528&gt;H528,"V","D"),""),""),"")))</f>
        <v>V</v>
      </c>
      <c r="F520" s="33" t="s">
        <v>81</v>
      </c>
      <c r="G520" s="33" t="s">
        <v>81</v>
      </c>
      <c r="H520" s="117">
        <f>COUNTA(B520:B522)</f>
        <v>3</v>
      </c>
      <c r="I520" s="33">
        <f>IF(B520&lt;&gt;"",1,"")</f>
        <v>1</v>
      </c>
      <c r="J520" s="33">
        <f>IF(I520&lt;&gt;"",P520,"")</f>
        <v>0</v>
      </c>
      <c r="K520" s="33" t="str">
        <f>IFERROR(IF(J520="","",VLOOKUP(J520,LISTAS!$F$5:$G$1004,2,0)),"0")</f>
        <v>0</v>
      </c>
      <c r="L520" s="130" t="str">
        <f>IF(H520=3,"OURO",IF(H520=4,"OURO",IF(H520=5,"OURO","")))</f>
        <v>OURO</v>
      </c>
    </row>
    <row r="521" spans="2:12" x14ac:dyDescent="0.25">
      <c r="B521" s="33" t="s">
        <v>627</v>
      </c>
      <c r="C521" s="33" t="str">
        <f>IFERROR(IF(B521="","",VLOOKUP(B521,LISTAS!$F$5:$G$1004,2,0)),"0")</f>
        <v>ESCOLA INTERAÇÃO</v>
      </c>
      <c r="D521" s="33" t="str">
        <f>IF(H520&lt;3,"",IF(H520=3,IF(D527&lt;&gt;"",IF(H527&lt;&gt;"",IF(D527&lt;&gt;H527,IF(D527&gt;H527,"V","D"),""),""),"")))</f>
        <v>D</v>
      </c>
      <c r="E521" s="33" t="str">
        <f>IF(H520&lt;3,"",IF(H520=3,IF(D528&lt;&gt;"",IF(H528&lt;&gt;"",IF(D528&lt;&gt;H528,IF(D528&gt;H528,"D","V"),""),""),"")))</f>
        <v>D</v>
      </c>
      <c r="F521" s="33" t="s">
        <v>81</v>
      </c>
      <c r="G521" s="33" t="s">
        <v>81</v>
      </c>
      <c r="H521" s="117"/>
      <c r="I521" s="33">
        <f>IF(B521&lt;&gt;"",2,"")</f>
        <v>2</v>
      </c>
      <c r="J521" s="33">
        <f>IF(I521&lt;&gt;"",P521,"")</f>
        <v>0</v>
      </c>
      <c r="K521" s="33" t="str">
        <f>IFERROR(IF(J521="","",VLOOKUP(J521,LISTAS!$F$5:$G$1004,2,0)),"0")</f>
        <v>0</v>
      </c>
      <c r="L521" s="130" t="str">
        <f>IF(H520=3,"PRATA",IF(H520=4,"OURO",IF(H520=5,"OURO","")))</f>
        <v>PRATA</v>
      </c>
    </row>
    <row r="522" spans="2:12" x14ac:dyDescent="0.25">
      <c r="B522" s="33" t="s">
        <v>283</v>
      </c>
      <c r="C522" s="33" t="str">
        <f>IFERROR(IF(B522="","",VLOOKUP(B522,LISTAS!$F$5:$G$1004,2,0)),"0")</f>
        <v>AMERICAN ACADEMY SCHOOL SBC</v>
      </c>
      <c r="D522" s="33" t="str">
        <f>IF(H520&lt;3,"",IF(H520=3,IF(D526&lt;&gt;"",IF(H526&lt;&gt;"",IF(D526&lt;&gt;H526,IF(D526&gt;H526,"D","V"),""),""),"")))</f>
        <v>D</v>
      </c>
      <c r="E522" s="33" t="str">
        <f>IF(H520&lt;3,"",IF(H520=3,IF(D527&lt;&gt;"",IF(H527&lt;&gt;"",IF(D527&lt;&gt;H527,IF(D527&gt;H527,"D","V"),""),""),"")))</f>
        <v>V</v>
      </c>
      <c r="F522" s="33" t="s">
        <v>81</v>
      </c>
      <c r="G522" s="33" t="s">
        <v>81</v>
      </c>
      <c r="H522" s="117"/>
      <c r="I522" s="33">
        <f>IF(B522&lt;&gt;"",3,"")</f>
        <v>3</v>
      </c>
      <c r="J522" s="33">
        <f>IF(I522&lt;&gt;"",P522,"")</f>
        <v>0</v>
      </c>
      <c r="K522" s="33" t="str">
        <f>IFERROR(IF(J522="","",VLOOKUP(J522,LISTAS!$F$5:$G$1004,2,0)),"0")</f>
        <v>0</v>
      </c>
      <c r="L522" s="130" t="str">
        <f>IF(H520=3,"BRONZE",IF(H520=4,"PRATA",IF(H520=5,"OURO","")))</f>
        <v>BRONZE</v>
      </c>
    </row>
    <row r="523" spans="2:12" x14ac:dyDescent="0.25">
      <c r="B523" s="79"/>
      <c r="C523" s="79"/>
      <c r="D523" s="79"/>
      <c r="E523" s="79"/>
      <c r="F523" s="79"/>
      <c r="G523" s="79"/>
      <c r="I523" s="80"/>
      <c r="J523" s="79"/>
      <c r="K523" s="81"/>
      <c r="L523" s="81"/>
    </row>
    <row r="524" spans="2:12" x14ac:dyDescent="0.25">
      <c r="B524" s="82" t="s">
        <v>40</v>
      </c>
      <c r="C524" s="79"/>
      <c r="D524" s="79"/>
      <c r="E524" s="79"/>
      <c r="F524" s="79"/>
      <c r="G524" s="79"/>
      <c r="H524" s="79"/>
      <c r="I524" s="79"/>
      <c r="J524" s="79"/>
      <c r="K524" s="79"/>
      <c r="L524" s="79"/>
    </row>
    <row r="525" spans="2:12" x14ac:dyDescent="0.25">
      <c r="B525" s="132" t="s">
        <v>15</v>
      </c>
      <c r="C525" s="132" t="s">
        <v>0</v>
      </c>
      <c r="D525" s="258" t="s">
        <v>41</v>
      </c>
      <c r="E525" s="259"/>
      <c r="F525" s="259"/>
      <c r="G525" s="259"/>
      <c r="H525" s="259"/>
      <c r="I525" s="260"/>
      <c r="J525" s="132" t="s">
        <v>15</v>
      </c>
      <c r="K525" s="132" t="s">
        <v>0</v>
      </c>
      <c r="L525" s="79"/>
    </row>
    <row r="526" spans="2:12" x14ac:dyDescent="0.25">
      <c r="B526" s="33" t="str">
        <f>IF(H520=3,B520,"")</f>
        <v>LEONARDO ZENARO BOLANHO</v>
      </c>
      <c r="C526" s="33" t="str">
        <f>IFERROR(IF(B526="","",VLOOKUP(B526,LISTAS!$F$5:$G$1004,2,0)),"0")</f>
        <v>COLÉGIO ARBOS SÃO CAETANO DO SUL</v>
      </c>
      <c r="D526" s="253">
        <v>2</v>
      </c>
      <c r="E526" s="254"/>
      <c r="F526" s="253" t="s">
        <v>38</v>
      </c>
      <c r="G526" s="254"/>
      <c r="H526" s="253">
        <v>0</v>
      </c>
      <c r="I526" s="254"/>
      <c r="J526" s="111" t="str">
        <f>IF(H520=3,B522,"")</f>
        <v>JOÃO VITOR YUICHI MACHIDA ISEKI</v>
      </c>
      <c r="K526" s="33" t="str">
        <f>IFERROR(IF(J526="","",VLOOKUP(J526,LISTAS!$F$5:$G$1004,2,0)),"0")</f>
        <v>AMERICAN ACADEMY SCHOOL SBC</v>
      </c>
      <c r="L526" s="81"/>
    </row>
    <row r="527" spans="2:12" x14ac:dyDescent="0.25">
      <c r="B527" s="33" t="str">
        <f>IF(H520=3,B521,"")</f>
        <v>Miguel Oliveira Gingaro</v>
      </c>
      <c r="C527" s="33" t="str">
        <f>IFERROR(IF(B527="","",VLOOKUP(B527,LISTAS!$F$5:$G$1004,2,0)),"0")</f>
        <v>ESCOLA INTERAÇÃO</v>
      </c>
      <c r="D527" s="253">
        <v>0</v>
      </c>
      <c r="E527" s="254"/>
      <c r="F527" s="253" t="s">
        <v>38</v>
      </c>
      <c r="G527" s="254"/>
      <c r="H527" s="253">
        <v>2</v>
      </c>
      <c r="I527" s="254"/>
      <c r="J527" s="111" t="str">
        <f>IF(H520=3,B522,"")</f>
        <v>JOÃO VITOR YUICHI MACHIDA ISEKI</v>
      </c>
      <c r="K527" s="33" t="str">
        <f>IFERROR(IF(J527="","",VLOOKUP(J527,LISTAS!$F$5:$G$1004,2,0)),"0")</f>
        <v>AMERICAN ACADEMY SCHOOL SBC</v>
      </c>
      <c r="L527" s="79"/>
    </row>
    <row r="528" spans="2:12" x14ac:dyDescent="0.25">
      <c r="B528" s="33" t="str">
        <f>IF(H520=3,B520,"")</f>
        <v>LEONARDO ZENARO BOLANHO</v>
      </c>
      <c r="C528" s="33" t="str">
        <f>IFERROR(IF(B528="","",VLOOKUP(B528,LISTAS!$F$5:$G$1004,2,0)),"0")</f>
        <v>COLÉGIO ARBOS SÃO CAETANO DO SUL</v>
      </c>
      <c r="D528" s="253">
        <v>2</v>
      </c>
      <c r="E528" s="254"/>
      <c r="F528" s="253" t="s">
        <v>38</v>
      </c>
      <c r="G528" s="254"/>
      <c r="H528" s="253">
        <v>0</v>
      </c>
      <c r="I528" s="254"/>
      <c r="J528" s="111" t="str">
        <f>IF(H520=3,B521,"")</f>
        <v>Miguel Oliveira Gingaro</v>
      </c>
      <c r="K528" s="33" t="str">
        <f>IFERROR(IF(J528="","",VLOOKUP(J528,LISTAS!$F$5:$G$1004,2,0)),"0")</f>
        <v>ESCOLA INTERAÇÃO</v>
      </c>
      <c r="L528" s="81"/>
    </row>
    <row r="531" spans="2:12" x14ac:dyDescent="0.25">
      <c r="B531" s="161" t="s">
        <v>611</v>
      </c>
      <c r="C531" s="79"/>
      <c r="D531" s="255" t="s">
        <v>42</v>
      </c>
      <c r="E531" s="256"/>
      <c r="F531" s="256"/>
      <c r="G531" s="257"/>
      <c r="H531" s="113"/>
      <c r="I531" s="255" t="s">
        <v>3</v>
      </c>
      <c r="J531" s="256"/>
      <c r="K531" s="256"/>
      <c r="L531" s="256"/>
    </row>
    <row r="532" spans="2:12" x14ac:dyDescent="0.25">
      <c r="B532" s="132" t="s">
        <v>15</v>
      </c>
      <c r="C532" s="132" t="s">
        <v>0</v>
      </c>
      <c r="D532" s="132" t="s">
        <v>43</v>
      </c>
      <c r="E532" s="132" t="s">
        <v>44</v>
      </c>
      <c r="F532" s="132" t="s">
        <v>77</v>
      </c>
      <c r="G532" s="132" t="s">
        <v>78</v>
      </c>
      <c r="H532" s="114"/>
      <c r="I532" s="132" t="s">
        <v>18</v>
      </c>
      <c r="J532" s="132" t="s">
        <v>15</v>
      </c>
      <c r="K532" s="132" t="s">
        <v>0</v>
      </c>
      <c r="L532" s="132" t="s">
        <v>45</v>
      </c>
    </row>
    <row r="533" spans="2:12" x14ac:dyDescent="0.25">
      <c r="B533" s="33" t="s">
        <v>363</v>
      </c>
      <c r="C533" s="33" t="str">
        <f>IFERROR(IF(B533="","",VLOOKUP(B533,LISTAS!$F$5:$G$1004,2,0)),"0")</f>
        <v>ABACO IPIRANGA</v>
      </c>
      <c r="D533" s="33" t="str">
        <f>IF(H533&lt;3,"",IF(H533=3,IF(D539&lt;&gt;"",IF(H539&lt;&gt;"",IF(D539&lt;&gt;H539,IF(D539&gt;H539,"V","D"),""),""),"")))</f>
        <v>D</v>
      </c>
      <c r="E533" s="33" t="str">
        <f>IF(H533&lt;3,"",IF(H533=3,IF(D541&lt;&gt;"",IF(H541&lt;&gt;"",IF(D541&lt;&gt;H541,IF(D541&gt;H541,"V","D"),""),""),"")))</f>
        <v>D</v>
      </c>
      <c r="F533" s="33" t="s">
        <v>81</v>
      </c>
      <c r="G533" s="33" t="s">
        <v>81</v>
      </c>
      <c r="H533" s="117">
        <f>COUNTA(B533:B535)</f>
        <v>3</v>
      </c>
      <c r="I533" s="33">
        <f>IF(B533&lt;&gt;"",1,"")</f>
        <v>1</v>
      </c>
      <c r="J533" s="33">
        <f>IF(I533&lt;&gt;"",P533,"")</f>
        <v>0</v>
      </c>
      <c r="K533" s="33" t="str">
        <f>IFERROR(IF(J533="","",VLOOKUP(J533,LISTAS!$F$5:$G$1004,2,0)),"0")</f>
        <v>0</v>
      </c>
      <c r="L533" s="130" t="str">
        <f>IF(H533=3,"OURO",IF(H533=4,"OURO",IF(H533=5,"OURO","")))</f>
        <v>OURO</v>
      </c>
    </row>
    <row r="534" spans="2:12" x14ac:dyDescent="0.25">
      <c r="B534" s="33" t="s">
        <v>252</v>
      </c>
      <c r="C534" s="33" t="str">
        <f>IFERROR(IF(B534="","",VLOOKUP(B534,LISTAS!$F$5:$G$1004,2,0)),"0")</f>
        <v>LICEU JARDIM</v>
      </c>
      <c r="D534" s="33" t="str">
        <f>IF(H533&lt;3,"",IF(H533=3,IF(D540&lt;&gt;"",IF(H540&lt;&gt;"",IF(D540&lt;&gt;H540,IF(D540&gt;H540,"V","D"),""),""),"")))</f>
        <v>D</v>
      </c>
      <c r="E534" s="33" t="str">
        <f>IF(H533&lt;3,"",IF(H533=3,IF(D541&lt;&gt;"",IF(H541&lt;&gt;"",IF(D541&lt;&gt;H541,IF(D541&gt;H541,"D","V"),""),""),"")))</f>
        <v>V</v>
      </c>
      <c r="F534" s="33" t="s">
        <v>81</v>
      </c>
      <c r="G534" s="33" t="s">
        <v>81</v>
      </c>
      <c r="H534" s="117"/>
      <c r="I534" s="33">
        <f>IF(B534&lt;&gt;"",2,"")</f>
        <v>2</v>
      </c>
      <c r="J534" s="33">
        <f>IF(I534&lt;&gt;"",P534,"")</f>
        <v>0</v>
      </c>
      <c r="K534" s="33" t="str">
        <f>IFERROR(IF(J534="","",VLOOKUP(J534,LISTAS!$F$5:$G$1004,2,0)),"0")</f>
        <v>0</v>
      </c>
      <c r="L534" s="130" t="str">
        <f>IF(H533=3,"PRATA",IF(H533=4,"OURO",IF(H533=5,"OURO","")))</f>
        <v>PRATA</v>
      </c>
    </row>
    <row r="535" spans="2:12" x14ac:dyDescent="0.25">
      <c r="B535" s="33" t="s">
        <v>626</v>
      </c>
      <c r="C535" s="33" t="str">
        <f>IFERROR(IF(B535="","",VLOOKUP(B535,LISTAS!$F$5:$G$1004,2,0)),"0")</f>
        <v>ESCOLA INTERAÇÃO</v>
      </c>
      <c r="D535" s="33" t="str">
        <f>IF(H533&lt;3,"",IF(H533=3,IF(D539&lt;&gt;"",IF(H539&lt;&gt;"",IF(D539&lt;&gt;H539,IF(D539&gt;H539,"D","V"),""),""),"")))</f>
        <v>V</v>
      </c>
      <c r="E535" s="33" t="str">
        <f>IF(H533&lt;3,"",IF(H533=3,IF(D540&lt;&gt;"",IF(H540&lt;&gt;"",IF(D540&lt;&gt;H540,IF(D540&gt;H540,"D","V"),""),""),"")))</f>
        <v>V</v>
      </c>
      <c r="F535" s="33" t="s">
        <v>81</v>
      </c>
      <c r="G535" s="33" t="s">
        <v>81</v>
      </c>
      <c r="H535" s="117"/>
      <c r="I535" s="33">
        <f>IF(B535&lt;&gt;"",3,"")</f>
        <v>3</v>
      </c>
      <c r="J535" s="33">
        <f>IF(I535&lt;&gt;"",P535,"")</f>
        <v>0</v>
      </c>
      <c r="K535" s="33" t="str">
        <f>IFERROR(IF(J535="","",VLOOKUP(J535,LISTAS!$F$5:$G$1004,2,0)),"0")</f>
        <v>0</v>
      </c>
      <c r="L535" s="130" t="str">
        <f>IF(H533=3,"BRONZE",IF(H533=4,"PRATA",IF(H533=5,"OURO","")))</f>
        <v>BRONZE</v>
      </c>
    </row>
    <row r="536" spans="2:12" x14ac:dyDescent="0.25">
      <c r="B536" s="79"/>
      <c r="C536" s="79"/>
      <c r="D536" s="79"/>
      <c r="E536" s="79"/>
      <c r="F536" s="79"/>
      <c r="G536" s="79"/>
      <c r="I536" s="80"/>
      <c r="J536" s="79"/>
      <c r="K536" s="81"/>
      <c r="L536" s="81"/>
    </row>
    <row r="537" spans="2:12" x14ac:dyDescent="0.25">
      <c r="B537" s="82" t="s">
        <v>40</v>
      </c>
      <c r="C537" s="79"/>
      <c r="D537" s="79"/>
      <c r="E537" s="79"/>
      <c r="F537" s="79"/>
      <c r="G537" s="79"/>
      <c r="H537" s="79"/>
      <c r="I537" s="79"/>
      <c r="J537" s="79"/>
      <c r="K537" s="79"/>
      <c r="L537" s="79"/>
    </row>
    <row r="538" spans="2:12" x14ac:dyDescent="0.25">
      <c r="B538" s="132" t="s">
        <v>15</v>
      </c>
      <c r="C538" s="132" t="s">
        <v>0</v>
      </c>
      <c r="D538" s="258" t="s">
        <v>41</v>
      </c>
      <c r="E538" s="259"/>
      <c r="F538" s="259"/>
      <c r="G538" s="259"/>
      <c r="H538" s="259"/>
      <c r="I538" s="260"/>
      <c r="J538" s="132" t="s">
        <v>15</v>
      </c>
      <c r="K538" s="132" t="s">
        <v>0</v>
      </c>
      <c r="L538" s="79"/>
    </row>
    <row r="539" spans="2:12" x14ac:dyDescent="0.25">
      <c r="B539" s="33" t="str">
        <f>IF(H533=3,B533,"")</f>
        <v>VICTOR HIDEKI MATSUMURA GOMES</v>
      </c>
      <c r="C539" s="33" t="str">
        <f>IFERROR(IF(B539="","",VLOOKUP(B539,LISTAS!$F$5:$G$1004,2,0)),"0")</f>
        <v>ABACO IPIRANGA</v>
      </c>
      <c r="D539" s="253">
        <v>0</v>
      </c>
      <c r="E539" s="254"/>
      <c r="F539" s="253" t="s">
        <v>38</v>
      </c>
      <c r="G539" s="254"/>
      <c r="H539" s="253">
        <v>2</v>
      </c>
      <c r="I539" s="254"/>
      <c r="J539" s="111" t="str">
        <f>IF(H533=3,B535,"")</f>
        <v>Guilherme Pereira Veloso</v>
      </c>
      <c r="K539" s="33" t="str">
        <f>IFERROR(IF(J539="","",VLOOKUP(J539,LISTAS!$F$5:$G$1004,2,0)),"0")</f>
        <v>ESCOLA INTERAÇÃO</v>
      </c>
      <c r="L539" s="81"/>
    </row>
    <row r="540" spans="2:12" x14ac:dyDescent="0.25">
      <c r="B540" s="33" t="str">
        <f>IF(H533=3,B534,"")</f>
        <v>FELIPE SOUZA TANIGAWA</v>
      </c>
      <c r="C540" s="33" t="str">
        <f>IFERROR(IF(B540="","",VLOOKUP(B540,LISTAS!$F$5:$G$1004,2,0)),"0")</f>
        <v>LICEU JARDIM</v>
      </c>
      <c r="D540" s="253">
        <v>0</v>
      </c>
      <c r="E540" s="254"/>
      <c r="F540" s="253" t="s">
        <v>38</v>
      </c>
      <c r="G540" s="254"/>
      <c r="H540" s="253">
        <v>2</v>
      </c>
      <c r="I540" s="254"/>
      <c r="J540" s="111" t="str">
        <f>IF(H533=3,B535,"")</f>
        <v>Guilherme Pereira Veloso</v>
      </c>
      <c r="K540" s="33" t="str">
        <f>IFERROR(IF(J540="","",VLOOKUP(J540,LISTAS!$F$5:$G$1004,2,0)),"0")</f>
        <v>ESCOLA INTERAÇÃO</v>
      </c>
      <c r="L540" s="79"/>
    </row>
    <row r="541" spans="2:12" x14ac:dyDescent="0.25">
      <c r="B541" s="33" t="str">
        <f>IF(H533=3,B533,"")</f>
        <v>VICTOR HIDEKI MATSUMURA GOMES</v>
      </c>
      <c r="C541" s="33" t="str">
        <f>IFERROR(IF(B541="","",VLOOKUP(B541,LISTAS!$F$5:$G$1004,2,0)),"0")</f>
        <v>ABACO IPIRANGA</v>
      </c>
      <c r="D541" s="253">
        <v>0</v>
      </c>
      <c r="E541" s="254"/>
      <c r="F541" s="253" t="s">
        <v>38</v>
      </c>
      <c r="G541" s="254"/>
      <c r="H541" s="253">
        <v>2</v>
      </c>
      <c r="I541" s="254"/>
      <c r="J541" s="111" t="str">
        <f>IF(H533=3,B534,"")</f>
        <v>FELIPE SOUZA TANIGAWA</v>
      </c>
      <c r="K541" s="33" t="str">
        <f>IFERROR(IF(J541="","",VLOOKUP(J541,LISTAS!$F$5:$G$1004,2,0)),"0")</f>
        <v>LICEU JARDIM</v>
      </c>
      <c r="L541" s="81"/>
    </row>
    <row r="544" spans="2:12" x14ac:dyDescent="0.25">
      <c r="B544" s="161" t="s">
        <v>612</v>
      </c>
      <c r="C544" s="79"/>
      <c r="D544" s="255" t="s">
        <v>42</v>
      </c>
      <c r="E544" s="256"/>
      <c r="F544" s="256"/>
      <c r="G544" s="257"/>
      <c r="H544" s="113"/>
      <c r="I544" s="255" t="s">
        <v>3</v>
      </c>
      <c r="J544" s="256"/>
      <c r="K544" s="256"/>
      <c r="L544" s="256"/>
    </row>
    <row r="545" spans="2:12" x14ac:dyDescent="0.25">
      <c r="B545" s="132" t="s">
        <v>15</v>
      </c>
      <c r="C545" s="132" t="s">
        <v>0</v>
      </c>
      <c r="D545" s="132" t="s">
        <v>43</v>
      </c>
      <c r="E545" s="132" t="s">
        <v>44</v>
      </c>
      <c r="F545" s="132" t="s">
        <v>77</v>
      </c>
      <c r="G545" s="132" t="s">
        <v>78</v>
      </c>
      <c r="H545" s="114"/>
      <c r="I545" s="132" t="s">
        <v>18</v>
      </c>
      <c r="J545" s="132" t="s">
        <v>15</v>
      </c>
      <c r="K545" s="132" t="s">
        <v>0</v>
      </c>
      <c r="L545" s="132" t="s">
        <v>45</v>
      </c>
    </row>
    <row r="546" spans="2:12" x14ac:dyDescent="0.25">
      <c r="B546" s="33" t="s">
        <v>625</v>
      </c>
      <c r="C546" s="33" t="str">
        <f>IFERROR(IF(B546="","",VLOOKUP(B546,LISTAS!$F$5:$G$1004,2,0)),"0")</f>
        <v>ESCOLA INTERAÇÃO</v>
      </c>
      <c r="D546" s="33" t="str">
        <f>IF(H546&lt;3,"",IF(H546=3,IF(D552&lt;&gt;"",IF(H552&lt;&gt;"",IF(D552&lt;&gt;H552,IF(D552&gt;H552,"V","D"),""),""),"")))</f>
        <v>D</v>
      </c>
      <c r="E546" s="33" t="str">
        <f>IF(H546&lt;3,"",IF(H546=3,IF(D554&lt;&gt;"",IF(H554&lt;&gt;"",IF(D554&lt;&gt;H554,IF(D554&gt;H554,"V","D"),""),""),"")))</f>
        <v>D</v>
      </c>
      <c r="F546" s="33" t="s">
        <v>81</v>
      </c>
      <c r="G546" s="33" t="s">
        <v>81</v>
      </c>
      <c r="H546" s="117">
        <f>COUNTA(B546:B548)</f>
        <v>3</v>
      </c>
      <c r="I546" s="33">
        <f>IF(B546&lt;&gt;"",1,"")</f>
        <v>1</v>
      </c>
      <c r="J546" s="33">
        <f>IF(I546&lt;&gt;"",P546,"")</f>
        <v>0</v>
      </c>
      <c r="K546" s="33" t="str">
        <f>IFERROR(IF(J546="","",VLOOKUP(J546,LISTAS!$F$5:$G$1004,2,0)),"0")</f>
        <v>0</v>
      </c>
      <c r="L546" s="130" t="str">
        <f>IF(H546=3,"OURO",IF(H546=4,"OURO",IF(H546=5,"OURO","")))</f>
        <v>OURO</v>
      </c>
    </row>
    <row r="547" spans="2:12" x14ac:dyDescent="0.25">
      <c r="B547" s="33" t="s">
        <v>362</v>
      </c>
      <c r="C547" s="33" t="str">
        <f>IFERROR(IF(B547="","",VLOOKUP(B547,LISTAS!$F$5:$G$1004,2,0)),"0")</f>
        <v>ABACO IPIRANGA</v>
      </c>
      <c r="D547" s="33" t="str">
        <f>IF(H546&lt;3,"",IF(H546=3,IF(D553&lt;&gt;"",IF(H553&lt;&gt;"",IF(D553&lt;&gt;H553,IF(D553&gt;H553,"V","D"),""),""),"")))</f>
        <v>D</v>
      </c>
      <c r="E547" s="33" t="str">
        <f>IF(H546&lt;3,"",IF(H546=3,IF(D554&lt;&gt;"",IF(H554&lt;&gt;"",IF(D554&lt;&gt;H554,IF(D554&gt;H554,"D","V"),""),""),"")))</f>
        <v>V</v>
      </c>
      <c r="F547" s="33" t="s">
        <v>81</v>
      </c>
      <c r="G547" s="33" t="s">
        <v>81</v>
      </c>
      <c r="H547" s="117"/>
      <c r="I547" s="33">
        <f>IF(B547&lt;&gt;"",2,"")</f>
        <v>2</v>
      </c>
      <c r="J547" s="33">
        <f>IF(I547&lt;&gt;"",P547,"")</f>
        <v>0</v>
      </c>
      <c r="K547" s="33" t="str">
        <f>IFERROR(IF(J547="","",VLOOKUP(J547,LISTAS!$F$5:$G$1004,2,0)),"0")</f>
        <v>0</v>
      </c>
      <c r="L547" s="130" t="str">
        <f>IF(H546=3,"PRATA",IF(H546=4,"OURO",IF(H546=5,"OURO","")))</f>
        <v>PRATA</v>
      </c>
    </row>
    <row r="548" spans="2:12" x14ac:dyDescent="0.25">
      <c r="B548" s="33" t="s">
        <v>286</v>
      </c>
      <c r="C548" s="33" t="str">
        <f>IFERROR(IF(B548="","",VLOOKUP(B548,LISTAS!$F$5:$G$1004,2,0)),"0")</f>
        <v>COLÉGIO ATENEU</v>
      </c>
      <c r="D548" s="33" t="str">
        <f>IF(H546&lt;3,"",IF(H546=3,IF(D552&lt;&gt;"",IF(H552&lt;&gt;"",IF(D552&lt;&gt;H552,IF(D552&gt;H552,"D","V"),""),""),"")))</f>
        <v>V</v>
      </c>
      <c r="E548" s="33" t="str">
        <f>IF(H546&lt;3,"",IF(H546=3,IF(D553&lt;&gt;"",IF(H553&lt;&gt;"",IF(D553&lt;&gt;H553,IF(D553&gt;H553,"D","V"),""),""),"")))</f>
        <v>V</v>
      </c>
      <c r="F548" s="33" t="s">
        <v>81</v>
      </c>
      <c r="G548" s="33" t="s">
        <v>81</v>
      </c>
      <c r="H548" s="117"/>
      <c r="I548" s="33">
        <f>IF(B548&lt;&gt;"",3,"")</f>
        <v>3</v>
      </c>
      <c r="J548" s="33">
        <f>IF(I548&lt;&gt;"",P548,"")</f>
        <v>0</v>
      </c>
      <c r="K548" s="33" t="str">
        <f>IFERROR(IF(J548="","",VLOOKUP(J548,LISTAS!$F$5:$G$1004,2,0)),"0")</f>
        <v>0</v>
      </c>
      <c r="L548" s="130" t="str">
        <f>IF(H546=3,"BRONZE",IF(H546=4,"PRATA",IF(H546=5,"OURO","")))</f>
        <v>BRONZE</v>
      </c>
    </row>
    <row r="549" spans="2:12" x14ac:dyDescent="0.25">
      <c r="B549" s="79"/>
      <c r="C549" s="79"/>
      <c r="D549" s="79"/>
      <c r="E549" s="79"/>
      <c r="F549" s="79"/>
      <c r="G549" s="79"/>
      <c r="I549" s="80"/>
      <c r="J549" s="79"/>
      <c r="K549" s="81"/>
      <c r="L549" s="81"/>
    </row>
    <row r="550" spans="2:12" x14ac:dyDescent="0.25">
      <c r="B550" s="82" t="s">
        <v>40</v>
      </c>
      <c r="C550" s="79"/>
      <c r="D550" s="79"/>
      <c r="E550" s="79"/>
      <c r="F550" s="79"/>
      <c r="G550" s="79"/>
      <c r="H550" s="79"/>
      <c r="I550" s="79"/>
      <c r="J550" s="79"/>
      <c r="K550" s="79"/>
      <c r="L550" s="79"/>
    </row>
    <row r="551" spans="2:12" x14ac:dyDescent="0.25">
      <c r="B551" s="132" t="s">
        <v>15</v>
      </c>
      <c r="C551" s="132" t="s">
        <v>0</v>
      </c>
      <c r="D551" s="258" t="s">
        <v>41</v>
      </c>
      <c r="E551" s="259"/>
      <c r="F551" s="259"/>
      <c r="G551" s="259"/>
      <c r="H551" s="259"/>
      <c r="I551" s="260"/>
      <c r="J551" s="132" t="s">
        <v>15</v>
      </c>
      <c r="K551" s="132" t="s">
        <v>0</v>
      </c>
      <c r="L551" s="79"/>
    </row>
    <row r="552" spans="2:12" x14ac:dyDescent="0.25">
      <c r="B552" s="33" t="str">
        <f>IF(H546=3,B546,"")</f>
        <v>Bernardo Souza Cardozo</v>
      </c>
      <c r="C552" s="33" t="str">
        <f>IFERROR(IF(B552="","",VLOOKUP(B552,LISTAS!$F$5:$G$1004,2,0)),"0")</f>
        <v>ESCOLA INTERAÇÃO</v>
      </c>
      <c r="D552" s="253">
        <v>0</v>
      </c>
      <c r="E552" s="254"/>
      <c r="F552" s="253" t="s">
        <v>38</v>
      </c>
      <c r="G552" s="254"/>
      <c r="H552" s="253">
        <v>2</v>
      </c>
      <c r="I552" s="254"/>
      <c r="J552" s="111" t="str">
        <f>IF(H546=3,B548,"")</f>
        <v>JULIO ESTEVES GRIGOLETTI</v>
      </c>
      <c r="K552" s="33" t="str">
        <f>IFERROR(IF(J552="","",VLOOKUP(J552,LISTAS!$F$5:$G$1004,2,0)),"0")</f>
        <v>COLÉGIO ATENEU</v>
      </c>
      <c r="L552" s="81"/>
    </row>
    <row r="553" spans="2:12" x14ac:dyDescent="0.25">
      <c r="B553" s="33" t="str">
        <f>IF(H546=3,B547,"")</f>
        <v>THIAGO AUGUSTO BASSO DE CAMPOS</v>
      </c>
      <c r="C553" s="33" t="str">
        <f>IFERROR(IF(B553="","",VLOOKUP(B553,LISTAS!$F$5:$G$1004,2,0)),"0")</f>
        <v>ABACO IPIRANGA</v>
      </c>
      <c r="D553" s="253">
        <v>0</v>
      </c>
      <c r="E553" s="254"/>
      <c r="F553" s="253" t="s">
        <v>38</v>
      </c>
      <c r="G553" s="254"/>
      <c r="H553" s="253">
        <v>2</v>
      </c>
      <c r="I553" s="254"/>
      <c r="J553" s="111" t="str">
        <f>IF(H546=3,B548,"")</f>
        <v>JULIO ESTEVES GRIGOLETTI</v>
      </c>
      <c r="K553" s="33" t="str">
        <f>IFERROR(IF(J553="","",VLOOKUP(J553,LISTAS!$F$5:$G$1004,2,0)),"0")</f>
        <v>COLÉGIO ATENEU</v>
      </c>
      <c r="L553" s="79"/>
    </row>
    <row r="554" spans="2:12" x14ac:dyDescent="0.25">
      <c r="B554" s="33" t="str">
        <f>IF(H546=3,B546,"")</f>
        <v>Bernardo Souza Cardozo</v>
      </c>
      <c r="C554" s="33" t="str">
        <f>IFERROR(IF(B554="","",VLOOKUP(B554,LISTAS!$F$5:$G$1004,2,0)),"0")</f>
        <v>ESCOLA INTERAÇÃO</v>
      </c>
      <c r="D554" s="253">
        <v>0</v>
      </c>
      <c r="E554" s="254"/>
      <c r="F554" s="253" t="s">
        <v>38</v>
      </c>
      <c r="G554" s="254"/>
      <c r="H554" s="253">
        <v>2</v>
      </c>
      <c r="I554" s="254"/>
      <c r="J554" s="111" t="str">
        <f>IF(H546=3,B547,"")</f>
        <v>THIAGO AUGUSTO BASSO DE CAMPOS</v>
      </c>
      <c r="K554" s="33" t="str">
        <f>IFERROR(IF(J554="","",VLOOKUP(J554,LISTAS!$F$5:$G$1004,2,0)),"0")</f>
        <v>ABACO IPIRANGA</v>
      </c>
      <c r="L554" s="81"/>
    </row>
    <row r="556" spans="2:12" x14ac:dyDescent="0.25">
      <c r="B556" s="161" t="s">
        <v>613</v>
      </c>
      <c r="C556" s="79"/>
      <c r="D556" s="255" t="s">
        <v>42</v>
      </c>
      <c r="E556" s="256"/>
      <c r="F556" s="256"/>
      <c r="G556" s="257"/>
      <c r="H556" s="113"/>
      <c r="I556" s="255" t="s">
        <v>3</v>
      </c>
      <c r="J556" s="256"/>
      <c r="K556" s="256"/>
      <c r="L556" s="256"/>
    </row>
    <row r="557" spans="2:12" x14ac:dyDescent="0.25">
      <c r="B557" s="132" t="s">
        <v>15</v>
      </c>
      <c r="C557" s="132" t="s">
        <v>0</v>
      </c>
      <c r="D557" s="132" t="s">
        <v>43</v>
      </c>
      <c r="E557" s="132" t="s">
        <v>44</v>
      </c>
      <c r="F557" s="132" t="s">
        <v>77</v>
      </c>
      <c r="G557" s="132" t="s">
        <v>78</v>
      </c>
      <c r="H557" s="114"/>
      <c r="I557" s="132" t="s">
        <v>18</v>
      </c>
      <c r="J557" s="132" t="s">
        <v>15</v>
      </c>
      <c r="K557" s="132" t="s">
        <v>0</v>
      </c>
      <c r="L557" s="132" t="s">
        <v>45</v>
      </c>
    </row>
    <row r="558" spans="2:12" x14ac:dyDescent="0.25">
      <c r="B558" s="33" t="s">
        <v>358</v>
      </c>
      <c r="C558" s="33" t="str">
        <f>IFERROR(IF(B558="","",VLOOKUP(B558,LISTAS!$F$5:$G$1004,2,0)),"0")</f>
        <v>COLÉGIO ATENEU</v>
      </c>
      <c r="D558" s="33" t="str">
        <f>IF(H558&lt;3,"",IF(H558=3,IF(D564&lt;&gt;"",IF(H564&lt;&gt;"",IF(D564&lt;&gt;H564,IF(D564&gt;H564,"V","D"),""),""),"")))</f>
        <v>D</v>
      </c>
      <c r="E558" s="33" t="str">
        <f>IF(H558&lt;3,"",IF(H558=3,IF(D566&lt;&gt;"",IF(H566&lt;&gt;"",IF(D566&lt;&gt;H566,IF(D566&gt;H566,"V","D"),""),""),"")))</f>
        <v>V</v>
      </c>
      <c r="F558" s="33" t="s">
        <v>81</v>
      </c>
      <c r="G558" s="33" t="s">
        <v>81</v>
      </c>
      <c r="H558" s="117">
        <f>COUNTA(B558:B560)</f>
        <v>3</v>
      </c>
      <c r="I558" s="33">
        <f>IF(B558&lt;&gt;"",1,"")</f>
        <v>1</v>
      </c>
      <c r="J558" s="33">
        <f>IF(I558&lt;&gt;"",P558,"")</f>
        <v>0</v>
      </c>
      <c r="K558" s="33" t="str">
        <f>IFERROR(IF(J558="","",VLOOKUP(J558,LISTAS!$F$5:$G$1004,2,0)),"0")</f>
        <v>0</v>
      </c>
      <c r="L558" s="130" t="str">
        <f>IF(H558=3,"OURO",IF(H558=4,"OURO",IF(H558=5,"OURO","")))</f>
        <v>OURO</v>
      </c>
    </row>
    <row r="559" spans="2:12" x14ac:dyDescent="0.25">
      <c r="B559" s="33" t="s">
        <v>294</v>
      </c>
      <c r="C559" s="33" t="str">
        <f>IFERROR(IF(B559="","",VLOOKUP(B559,LISTAS!$F$5:$G$1004,2,0)),"0")</f>
        <v>LICEU JARDIM</v>
      </c>
      <c r="D559" s="33" t="str">
        <f>IF(H558&lt;3,"",IF(H558=3,IF(D565&lt;&gt;"",IF(H565&lt;&gt;"",IF(D565&lt;&gt;H565,IF(D565&gt;H565,"V","D"),""),""),"")))</f>
        <v>D</v>
      </c>
      <c r="E559" s="33" t="str">
        <f>IF(H558&lt;3,"",IF(H558=3,IF(D566&lt;&gt;"",IF(H566&lt;&gt;"",IF(D566&lt;&gt;H566,IF(D566&gt;H566,"D","V"),""),""),"")))</f>
        <v>D</v>
      </c>
      <c r="F559" s="33" t="s">
        <v>81</v>
      </c>
      <c r="G559" s="33" t="s">
        <v>81</v>
      </c>
      <c r="H559" s="117"/>
      <c r="I559" s="33">
        <f>IF(B559&lt;&gt;"",2,"")</f>
        <v>2</v>
      </c>
      <c r="J559" s="33">
        <f>IF(I559&lt;&gt;"",P559,"")</f>
        <v>0</v>
      </c>
      <c r="K559" s="33" t="str">
        <f>IFERROR(IF(J559="","",VLOOKUP(J559,LISTAS!$F$5:$G$1004,2,0)),"0")</f>
        <v>0</v>
      </c>
      <c r="L559" s="130" t="str">
        <f>IF(H558=3,"PRATA",IF(H558=4,"OURO",IF(H558=5,"OURO","")))</f>
        <v>PRATA</v>
      </c>
    </row>
    <row r="560" spans="2:12" x14ac:dyDescent="0.25">
      <c r="B560" s="33" t="s">
        <v>624</v>
      </c>
      <c r="C560" s="33" t="str">
        <f>IFERROR(IF(B560="","",VLOOKUP(B560,LISTAS!$F$5:$G$1004,2,0)),"0")</f>
        <v>ESCOLA INTERAÇÃO</v>
      </c>
      <c r="D560" s="33" t="str">
        <f>IF(H558&lt;3,"",IF(H558=3,IF(D564&lt;&gt;"",IF(H564&lt;&gt;"",IF(D564&lt;&gt;H564,IF(D564&gt;H564,"D","V"),""),""),"")))</f>
        <v>V</v>
      </c>
      <c r="E560" s="33" t="str">
        <f>IF(H558&lt;3,"",IF(H558=3,IF(D565&lt;&gt;"",IF(H565&lt;&gt;"",IF(D565&lt;&gt;H565,IF(D565&gt;H565,"D","V"),""),""),"")))</f>
        <v>V</v>
      </c>
      <c r="F560" s="33" t="s">
        <v>81</v>
      </c>
      <c r="G560" s="33" t="s">
        <v>81</v>
      </c>
      <c r="H560" s="117"/>
      <c r="I560" s="33">
        <f>IF(B560&lt;&gt;"",3,"")</f>
        <v>3</v>
      </c>
      <c r="J560" s="33">
        <f>IF(I560&lt;&gt;"",P560,"")</f>
        <v>0</v>
      </c>
      <c r="K560" s="33" t="str">
        <f>IFERROR(IF(J560="","",VLOOKUP(J560,LISTAS!$F$5:$G$1004,2,0)),"0")</f>
        <v>0</v>
      </c>
      <c r="L560" s="130" t="str">
        <f>IF(H558=3,"BRONZE",IF(H558=4,"PRATA",IF(H558=5,"OURO","")))</f>
        <v>BRONZE</v>
      </c>
    </row>
    <row r="561" spans="2:12" x14ac:dyDescent="0.25">
      <c r="B561" s="79"/>
      <c r="C561" s="79"/>
      <c r="D561" s="79"/>
      <c r="E561" s="79"/>
      <c r="F561" s="79"/>
      <c r="G561" s="79"/>
      <c r="I561" s="80"/>
      <c r="J561" s="79"/>
      <c r="K561" s="81"/>
      <c r="L561" s="81"/>
    </row>
    <row r="562" spans="2:12" x14ac:dyDescent="0.25">
      <c r="B562" s="82" t="s">
        <v>40</v>
      </c>
      <c r="C562" s="79"/>
      <c r="D562" s="79"/>
      <c r="E562" s="79"/>
      <c r="F562" s="79"/>
      <c r="G562" s="79"/>
      <c r="H562" s="79"/>
      <c r="I562" s="79"/>
      <c r="J562" s="79"/>
      <c r="K562" s="79"/>
      <c r="L562" s="79"/>
    </row>
    <row r="563" spans="2:12" x14ac:dyDescent="0.25">
      <c r="B563" s="132" t="s">
        <v>15</v>
      </c>
      <c r="C563" s="132" t="s">
        <v>0</v>
      </c>
      <c r="D563" s="258" t="s">
        <v>41</v>
      </c>
      <c r="E563" s="259"/>
      <c r="F563" s="259"/>
      <c r="G563" s="259"/>
      <c r="H563" s="259"/>
      <c r="I563" s="260"/>
      <c r="J563" s="132" t="s">
        <v>15</v>
      </c>
      <c r="K563" s="132" t="s">
        <v>0</v>
      </c>
      <c r="L563" s="79"/>
    </row>
    <row r="564" spans="2:12" x14ac:dyDescent="0.25">
      <c r="B564" s="33" t="str">
        <f>IF(H558=3,B558,"")</f>
        <v>THEO DE MORAES GASPAR</v>
      </c>
      <c r="C564" s="33" t="str">
        <f>IFERROR(IF(B564="","",VLOOKUP(B564,LISTAS!$F$5:$G$1004,2,0)),"0")</f>
        <v>COLÉGIO ATENEU</v>
      </c>
      <c r="D564" s="253">
        <v>0</v>
      </c>
      <c r="E564" s="254"/>
      <c r="F564" s="253" t="s">
        <v>38</v>
      </c>
      <c r="G564" s="254"/>
      <c r="H564" s="253">
        <v>2</v>
      </c>
      <c r="I564" s="254"/>
      <c r="J564" s="111" t="str">
        <f>IF(H558=3,B560,"")</f>
        <v>Leonardo Elias Teixeira</v>
      </c>
      <c r="K564" s="33" t="str">
        <f>IFERROR(IF(J564="","",VLOOKUP(J564,LISTAS!$F$5:$G$1004,2,0)),"0")</f>
        <v>ESCOLA INTERAÇÃO</v>
      </c>
      <c r="L564" s="81"/>
    </row>
    <row r="565" spans="2:12" x14ac:dyDescent="0.25">
      <c r="B565" s="33" t="str">
        <f>IF(H558=3,B559,"")</f>
        <v>LEONARDO FRANCISCO GRIESE</v>
      </c>
      <c r="C565" s="33" t="str">
        <f>IFERROR(IF(B565="","",VLOOKUP(B565,LISTAS!$F$5:$G$1004,2,0)),"0")</f>
        <v>LICEU JARDIM</v>
      </c>
      <c r="D565" s="253">
        <v>0</v>
      </c>
      <c r="E565" s="254"/>
      <c r="F565" s="253" t="s">
        <v>38</v>
      </c>
      <c r="G565" s="254"/>
      <c r="H565" s="253">
        <v>2</v>
      </c>
      <c r="I565" s="254"/>
      <c r="J565" s="111" t="str">
        <f>IF(H558=3,B560,"")</f>
        <v>Leonardo Elias Teixeira</v>
      </c>
      <c r="K565" s="33" t="str">
        <f>IFERROR(IF(J565="","",VLOOKUP(J565,LISTAS!$F$5:$G$1004,2,0)),"0")</f>
        <v>ESCOLA INTERAÇÃO</v>
      </c>
      <c r="L565" s="79"/>
    </row>
    <row r="566" spans="2:12" x14ac:dyDescent="0.25">
      <c r="B566" s="33" t="str">
        <f>IF(H558=3,B558,"")</f>
        <v>THEO DE MORAES GASPAR</v>
      </c>
      <c r="C566" s="33" t="str">
        <f>IFERROR(IF(B566="","",VLOOKUP(B566,LISTAS!$F$5:$G$1004,2,0)),"0")</f>
        <v>COLÉGIO ATENEU</v>
      </c>
      <c r="D566" s="253">
        <v>2</v>
      </c>
      <c r="E566" s="254"/>
      <c r="F566" s="253" t="s">
        <v>38</v>
      </c>
      <c r="G566" s="254"/>
      <c r="H566" s="253">
        <v>0</v>
      </c>
      <c r="I566" s="254"/>
      <c r="J566" s="111" t="str">
        <f>IF(H558=3,B559,"")</f>
        <v>LEONARDO FRANCISCO GRIESE</v>
      </c>
      <c r="K566" s="33" t="str">
        <f>IFERROR(IF(J566="","",VLOOKUP(J566,LISTAS!$F$5:$G$1004,2,0)),"0")</f>
        <v>LICEU JARDIM</v>
      </c>
      <c r="L566" s="81"/>
    </row>
    <row r="568" spans="2:12" x14ac:dyDescent="0.25">
      <c r="B568" s="161" t="s">
        <v>614</v>
      </c>
      <c r="C568" s="79"/>
      <c r="D568" s="255" t="s">
        <v>42</v>
      </c>
      <c r="E568" s="256"/>
      <c r="F568" s="256"/>
      <c r="G568" s="257"/>
      <c r="H568" s="113"/>
      <c r="I568" s="255" t="s">
        <v>3</v>
      </c>
      <c r="J568" s="256"/>
      <c r="K568" s="256"/>
      <c r="L568" s="256"/>
    </row>
    <row r="569" spans="2:12" x14ac:dyDescent="0.25">
      <c r="B569" s="132" t="s">
        <v>15</v>
      </c>
      <c r="C569" s="132" t="s">
        <v>0</v>
      </c>
      <c r="D569" s="132" t="s">
        <v>43</v>
      </c>
      <c r="E569" s="132" t="s">
        <v>44</v>
      </c>
      <c r="F569" s="132" t="s">
        <v>77</v>
      </c>
      <c r="G569" s="132" t="s">
        <v>78</v>
      </c>
      <c r="H569" s="114"/>
      <c r="I569" s="132" t="s">
        <v>18</v>
      </c>
      <c r="J569" s="132" t="s">
        <v>15</v>
      </c>
      <c r="K569" s="132" t="s">
        <v>0</v>
      </c>
      <c r="L569" s="132" t="s">
        <v>45</v>
      </c>
    </row>
    <row r="570" spans="2:12" x14ac:dyDescent="0.25">
      <c r="B570" s="33" t="s">
        <v>261</v>
      </c>
      <c r="C570" s="33" t="str">
        <f>IFERROR(IF(B570="","",VLOOKUP(B570,LISTAS!$F$5:$G$1004,2,0)),"0")</f>
        <v>LICEU JARDIM</v>
      </c>
      <c r="D570" s="33" t="str">
        <f>IF(H570&lt;3,"",IF(H570=3,IF(D576&lt;&gt;"",IF(H576&lt;&gt;"",IF(D576&lt;&gt;H576,IF(D576&gt;H576,"V","D"),""),""),"")))</f>
        <v>V</v>
      </c>
      <c r="E570" s="33" t="str">
        <f>IF(H570&lt;3,"",IF(H570=3,IF(D578&lt;&gt;"",IF(H578&lt;&gt;"",IF(D578&lt;&gt;H578,IF(D578&gt;H578,"V","D"),""),""),"")))</f>
        <v>V</v>
      </c>
      <c r="F570" s="33" t="s">
        <v>81</v>
      </c>
      <c r="G570" s="33" t="s">
        <v>81</v>
      </c>
      <c r="H570" s="117">
        <f>COUNTA(B570:B572)</f>
        <v>3</v>
      </c>
      <c r="I570" s="33">
        <f>IF(B570&lt;&gt;"",1,"")</f>
        <v>1</v>
      </c>
      <c r="J570" s="33">
        <f>IF(I570&lt;&gt;"",P570,"")</f>
        <v>0</v>
      </c>
      <c r="K570" s="33" t="str">
        <f>IFERROR(IF(J570="","",VLOOKUP(J570,LISTAS!$F$5:$G$1004,2,0)),"0")</f>
        <v>0</v>
      </c>
      <c r="L570" s="130" t="str">
        <f>IF(H570=3,"OURO",IF(H570=4,"OURO",IF(H570=5,"OURO","")))</f>
        <v>OURO</v>
      </c>
    </row>
    <row r="571" spans="2:12" x14ac:dyDescent="0.25">
      <c r="B571" s="33" t="s">
        <v>272</v>
      </c>
      <c r="C571" s="33" t="str">
        <f>IFERROR(IF(B571="","",VLOOKUP(B571,LISTAS!$F$5:$G$1004,2,0)),"0")</f>
        <v>COLÉGIO ATENEU</v>
      </c>
      <c r="D571" s="33" t="str">
        <f>IF(H570&lt;3,"",IF(H570=3,IF(D577&lt;&gt;"",IF(H577&lt;&gt;"",IF(D577&lt;&gt;H577,IF(D577&gt;H577,"V","D"),""),""),"")))</f>
        <v>D</v>
      </c>
      <c r="E571" s="33" t="str">
        <f>IF(H570&lt;3,"",IF(H570=3,IF(D578&lt;&gt;"",IF(H578&lt;&gt;"",IF(D578&lt;&gt;H578,IF(D578&gt;H578,"D","V"),""),""),"")))</f>
        <v>D</v>
      </c>
      <c r="F571" s="33" t="s">
        <v>81</v>
      </c>
      <c r="G571" s="33" t="s">
        <v>81</v>
      </c>
      <c r="H571" s="117"/>
      <c r="I571" s="33">
        <f>IF(B571&lt;&gt;"",2,"")</f>
        <v>2</v>
      </c>
      <c r="J571" s="33">
        <f>IF(I571&lt;&gt;"",P571,"")</f>
        <v>0</v>
      </c>
      <c r="K571" s="33" t="str">
        <f>IFERROR(IF(J571="","",VLOOKUP(J571,LISTAS!$F$5:$G$1004,2,0)),"0")</f>
        <v>0</v>
      </c>
      <c r="L571" s="130" t="str">
        <f>IF(H570=3,"PRATA",IF(H570=4,"OURO",IF(H570=5,"OURO","")))</f>
        <v>PRATA</v>
      </c>
    </row>
    <row r="572" spans="2:12" x14ac:dyDescent="0.25">
      <c r="B572" s="33" t="s">
        <v>219</v>
      </c>
      <c r="C572" s="33" t="str">
        <f>IFERROR(IF(B572="","",VLOOKUP(B572,LISTAS!$F$5:$G$1004,2,0)),"0")</f>
        <v>COLEGIO PETROPOLIS</v>
      </c>
      <c r="D572" s="33" t="str">
        <f>IF(H570&lt;3,"",IF(H570=3,IF(D576&lt;&gt;"",IF(H576&lt;&gt;"",IF(D576&lt;&gt;H576,IF(D576&gt;H576,"D","V"),""),""),"")))</f>
        <v>D</v>
      </c>
      <c r="E572" s="33" t="str">
        <f>IF(H570&lt;3,"",IF(H570=3,IF(D577&lt;&gt;"",IF(H577&lt;&gt;"",IF(D577&lt;&gt;H577,IF(D577&gt;H577,"D","V"),""),""),"")))</f>
        <v>V</v>
      </c>
      <c r="F572" s="33" t="s">
        <v>81</v>
      </c>
      <c r="G572" s="33" t="s">
        <v>81</v>
      </c>
      <c r="H572" s="117"/>
      <c r="I572" s="33">
        <f>IF(B572&lt;&gt;"",3,"")</f>
        <v>3</v>
      </c>
      <c r="J572" s="33">
        <f>IF(I572&lt;&gt;"",P572,"")</f>
        <v>0</v>
      </c>
      <c r="K572" s="33" t="str">
        <f>IFERROR(IF(J572="","",VLOOKUP(J572,LISTAS!$F$5:$G$1004,2,0)),"0")</f>
        <v>0</v>
      </c>
      <c r="L572" s="130" t="str">
        <f>IF(H570=3,"BRONZE",IF(H570=4,"PRATA",IF(H570=5,"OURO","")))</f>
        <v>BRONZE</v>
      </c>
    </row>
    <row r="573" spans="2:12" x14ac:dyDescent="0.25">
      <c r="B573" s="79"/>
      <c r="C573" s="79"/>
      <c r="D573" s="79"/>
      <c r="E573" s="79"/>
      <c r="F573" s="79"/>
      <c r="G573" s="79"/>
      <c r="I573" s="80"/>
      <c r="J573" s="79"/>
      <c r="K573" s="81"/>
      <c r="L573" s="81"/>
    </row>
    <row r="574" spans="2:12" x14ac:dyDescent="0.25">
      <c r="B574" s="82" t="s">
        <v>40</v>
      </c>
      <c r="C574" s="79"/>
      <c r="D574" s="79"/>
      <c r="E574" s="79"/>
      <c r="F574" s="79"/>
      <c r="G574" s="79"/>
      <c r="H574" s="79"/>
      <c r="I574" s="79"/>
      <c r="J574" s="79"/>
      <c r="K574" s="79"/>
      <c r="L574" s="79"/>
    </row>
    <row r="575" spans="2:12" x14ac:dyDescent="0.25">
      <c r="B575" s="132" t="s">
        <v>15</v>
      </c>
      <c r="C575" s="132" t="s">
        <v>0</v>
      </c>
      <c r="D575" s="258" t="s">
        <v>41</v>
      </c>
      <c r="E575" s="259"/>
      <c r="F575" s="259"/>
      <c r="G575" s="259"/>
      <c r="H575" s="259"/>
      <c r="I575" s="260"/>
      <c r="J575" s="132" t="s">
        <v>15</v>
      </c>
      <c r="K575" s="132" t="s">
        <v>0</v>
      </c>
      <c r="L575" s="79"/>
    </row>
    <row r="576" spans="2:12" x14ac:dyDescent="0.25">
      <c r="B576" s="33" t="str">
        <f>IF(H570=3,B570,"")</f>
        <v>GAEL GARCIA MARQUES</v>
      </c>
      <c r="C576" s="33" t="str">
        <f>IFERROR(IF(B576="","",VLOOKUP(B576,LISTAS!$F$5:$G$1004,2,0)),"0")</f>
        <v>LICEU JARDIM</v>
      </c>
      <c r="D576" s="253">
        <v>2</v>
      </c>
      <c r="E576" s="254"/>
      <c r="F576" s="253" t="s">
        <v>38</v>
      </c>
      <c r="G576" s="254"/>
      <c r="H576" s="253">
        <v>0</v>
      </c>
      <c r="I576" s="254"/>
      <c r="J576" s="111" t="str">
        <f>IF(H570=3,B572,"")</f>
        <v>BENÍCIO MELLO BRITO</v>
      </c>
      <c r="K576" s="33" t="str">
        <f>IFERROR(IF(J576="","",VLOOKUP(J576,LISTAS!$F$5:$G$1004,2,0)),"0")</f>
        <v>COLEGIO PETROPOLIS</v>
      </c>
      <c r="L576" s="81"/>
    </row>
    <row r="577" spans="2:12" x14ac:dyDescent="0.25">
      <c r="B577" s="33" t="str">
        <f>IF(H570=3,B571,"")</f>
        <v>HEITOR PELLEGRINI PICHE</v>
      </c>
      <c r="C577" s="33" t="str">
        <f>IFERROR(IF(B577="","",VLOOKUP(B577,LISTAS!$F$5:$G$1004,2,0)),"0")</f>
        <v>COLÉGIO ATENEU</v>
      </c>
      <c r="D577" s="253">
        <v>0</v>
      </c>
      <c r="E577" s="254"/>
      <c r="F577" s="253" t="s">
        <v>38</v>
      </c>
      <c r="G577" s="254"/>
      <c r="H577" s="253">
        <v>2</v>
      </c>
      <c r="I577" s="254"/>
      <c r="J577" s="111" t="str">
        <f>IF(H570=3,B572,"")</f>
        <v>BENÍCIO MELLO BRITO</v>
      </c>
      <c r="K577" s="33" t="str">
        <f>IFERROR(IF(J577="","",VLOOKUP(J577,LISTAS!$F$5:$G$1004,2,0)),"0")</f>
        <v>COLEGIO PETROPOLIS</v>
      </c>
      <c r="L577" s="79"/>
    </row>
    <row r="578" spans="2:12" x14ac:dyDescent="0.25">
      <c r="B578" s="33" t="str">
        <f>IF(H570=3,B570,"")</f>
        <v>GAEL GARCIA MARQUES</v>
      </c>
      <c r="C578" s="33" t="str">
        <f>IFERROR(IF(B578="","",VLOOKUP(B578,LISTAS!$F$5:$G$1004,2,0)),"0")</f>
        <v>LICEU JARDIM</v>
      </c>
      <c r="D578" s="253">
        <v>2</v>
      </c>
      <c r="E578" s="254"/>
      <c r="F578" s="253" t="s">
        <v>38</v>
      </c>
      <c r="G578" s="254"/>
      <c r="H578" s="253">
        <v>0</v>
      </c>
      <c r="I578" s="254"/>
      <c r="J578" s="111" t="str">
        <f>IF(H570=3,B571,"")</f>
        <v>HEITOR PELLEGRINI PICHE</v>
      </c>
      <c r="K578" s="33" t="str">
        <f>IFERROR(IF(J578="","",VLOOKUP(J578,LISTAS!$F$5:$G$1004,2,0)),"0")</f>
        <v>COLÉGIO ATENEU</v>
      </c>
      <c r="L578" s="81"/>
    </row>
    <row r="580" spans="2:12" x14ac:dyDescent="0.25">
      <c r="B580" s="161" t="s">
        <v>615</v>
      </c>
      <c r="C580" s="79"/>
      <c r="D580" s="255" t="s">
        <v>42</v>
      </c>
      <c r="E580" s="256"/>
      <c r="F580" s="256"/>
      <c r="G580" s="257"/>
      <c r="H580" s="113"/>
      <c r="I580" s="255" t="s">
        <v>3</v>
      </c>
      <c r="J580" s="256"/>
      <c r="K580" s="256"/>
      <c r="L580" s="256"/>
    </row>
    <row r="581" spans="2:12" x14ac:dyDescent="0.25">
      <c r="B581" s="132" t="s">
        <v>15</v>
      </c>
      <c r="C581" s="132" t="s">
        <v>0</v>
      </c>
      <c r="D581" s="132" t="s">
        <v>43</v>
      </c>
      <c r="E581" s="132" t="s">
        <v>44</v>
      </c>
      <c r="F581" s="132" t="s">
        <v>77</v>
      </c>
      <c r="G581" s="132" t="s">
        <v>78</v>
      </c>
      <c r="H581" s="114"/>
      <c r="I581" s="132" t="s">
        <v>18</v>
      </c>
      <c r="J581" s="132" t="s">
        <v>15</v>
      </c>
      <c r="K581" s="132" t="s">
        <v>0</v>
      </c>
      <c r="L581" s="132" t="s">
        <v>45</v>
      </c>
    </row>
    <row r="582" spans="2:12" x14ac:dyDescent="0.25">
      <c r="B582" s="33" t="s">
        <v>280</v>
      </c>
      <c r="C582" s="33" t="str">
        <f>IFERROR(IF(B582="","",VLOOKUP(B582,LISTAS!$F$5:$G$1004,2,0)),"0")</f>
        <v>COLÉGIO ARBOS SÃO CAETANO DO SUL</v>
      </c>
      <c r="D582" s="33" t="str">
        <f>IF(H582&lt;3,"",IF(H582=3,IF(D588&lt;&gt;"",IF(H588&lt;&gt;"",IF(D588&lt;&gt;H588,IF(D588&gt;H588,"V","D"),""),""),"")))</f>
        <v>V</v>
      </c>
      <c r="E582" s="33" t="str">
        <f>IF(H582&lt;3,"",IF(H582=3,IF(D590&lt;&gt;"",IF(H590&lt;&gt;"",IF(D590&lt;&gt;H590,IF(D590&gt;H590,"V","D"),""),""),"")))</f>
        <v>D</v>
      </c>
      <c r="F582" s="33" t="s">
        <v>81</v>
      </c>
      <c r="G582" s="33" t="s">
        <v>81</v>
      </c>
      <c r="H582" s="117">
        <f>COUNTA(B582:B584)</f>
        <v>3</v>
      </c>
      <c r="I582" s="33">
        <f>IF(B582&lt;&gt;"",1,"")</f>
        <v>1</v>
      </c>
      <c r="J582" s="33">
        <f>IF(I582&lt;&gt;"",P582,"")</f>
        <v>0</v>
      </c>
      <c r="K582" s="33" t="str">
        <f>IFERROR(IF(J582="","",VLOOKUP(J582,LISTAS!$F$5:$G$1004,2,0)),"0")</f>
        <v>0</v>
      </c>
      <c r="L582" s="130" t="str">
        <f>IF(H582=3,"OURO",IF(H582=4,"OURO",IF(H582=5,"OURO","")))</f>
        <v>OURO</v>
      </c>
    </row>
    <row r="583" spans="2:12" x14ac:dyDescent="0.25">
      <c r="B583" s="33" t="s">
        <v>360</v>
      </c>
      <c r="C583" s="33" t="str">
        <f>IFERROR(IF(B583="","",VLOOKUP(B583,LISTAS!$F$5:$G$1004,2,0)),"0")</f>
        <v>ABACO IPIRANGA</v>
      </c>
      <c r="D583" s="33" t="str">
        <f>IF(H582&lt;3,"",IF(H582=3,IF(D589&lt;&gt;"",IF(H589&lt;&gt;"",IF(D589&lt;&gt;H589,IF(D589&gt;H589,"V","D"),""),""),"")))</f>
        <v>V</v>
      </c>
      <c r="E583" s="33" t="str">
        <f>IF(H582&lt;3,"",IF(H582=3,IF(D590&lt;&gt;"",IF(H590&lt;&gt;"",IF(D590&lt;&gt;H590,IF(D590&gt;H590,"D","V"),""),""),"")))</f>
        <v>V</v>
      </c>
      <c r="F583" s="33" t="s">
        <v>81</v>
      </c>
      <c r="G583" s="33" t="s">
        <v>81</v>
      </c>
      <c r="H583" s="117"/>
      <c r="I583" s="33">
        <f>IF(B583&lt;&gt;"",2,"")</f>
        <v>2</v>
      </c>
      <c r="J583" s="33">
        <f>IF(I583&lt;&gt;"",P583,"")</f>
        <v>0</v>
      </c>
      <c r="K583" s="33" t="str">
        <f>IFERROR(IF(J583="","",VLOOKUP(J583,LISTAS!$F$5:$G$1004,2,0)),"0")</f>
        <v>0</v>
      </c>
      <c r="L583" s="130" t="str">
        <f>IF(H582=3,"PRATA",IF(H582=4,"OURO",IF(H582=5,"OURO","")))</f>
        <v>PRATA</v>
      </c>
    </row>
    <row r="584" spans="2:12" x14ac:dyDescent="0.25">
      <c r="B584" s="33" t="s">
        <v>654</v>
      </c>
      <c r="C584" s="33" t="str">
        <f>IFERROR(IF(B584="","",VLOOKUP(B584,LISTAS!$F$5:$G$1004,2,0)),"0")</f>
        <v>EDUCANDÁRIO - S.A</v>
      </c>
      <c r="D584" s="33" t="str">
        <f>IF(H582&lt;3,"",IF(H582=3,IF(D588&lt;&gt;"",IF(H588&lt;&gt;"",IF(D588&lt;&gt;H588,IF(D588&gt;H588,"D","V"),""),""),"")))</f>
        <v>D</v>
      </c>
      <c r="E584" s="33" t="str">
        <f>IF(H582&lt;3,"",IF(H582=3,IF(D589&lt;&gt;"",IF(H589&lt;&gt;"",IF(D589&lt;&gt;H589,IF(D589&gt;H589,"D","V"),""),""),"")))</f>
        <v>D</v>
      </c>
      <c r="F584" s="33" t="s">
        <v>81</v>
      </c>
      <c r="G584" s="33" t="s">
        <v>81</v>
      </c>
      <c r="H584" s="117"/>
      <c r="I584" s="33">
        <f>IF(B584&lt;&gt;"",3,"")</f>
        <v>3</v>
      </c>
      <c r="J584" s="33">
        <f>IF(I584&lt;&gt;"",P584,"")</f>
        <v>0</v>
      </c>
      <c r="K584" s="33" t="str">
        <f>IFERROR(IF(J584="","",VLOOKUP(J584,LISTAS!$F$5:$G$1004,2,0)),"0")</f>
        <v>0</v>
      </c>
      <c r="L584" s="130" t="str">
        <f>IF(H582=3,"BRONZE",IF(H582=4,"PRATA",IF(H582=5,"OURO","")))</f>
        <v>BRONZE</v>
      </c>
    </row>
    <row r="585" spans="2:12" x14ac:dyDescent="0.25">
      <c r="B585" s="79"/>
      <c r="C585" s="79"/>
      <c r="D585" s="79"/>
      <c r="E585" s="79"/>
      <c r="F585" s="79"/>
      <c r="G585" s="79"/>
      <c r="I585" s="80"/>
      <c r="J585" s="79"/>
      <c r="K585" s="81"/>
      <c r="L585" s="81"/>
    </row>
    <row r="586" spans="2:12" x14ac:dyDescent="0.25">
      <c r="B586" s="82" t="s">
        <v>40</v>
      </c>
      <c r="C586" s="79"/>
      <c r="D586" s="79"/>
      <c r="E586" s="79"/>
      <c r="F586" s="79"/>
      <c r="G586" s="79"/>
      <c r="H586" s="79"/>
      <c r="I586" s="79"/>
      <c r="J586" s="79"/>
      <c r="K586" s="79"/>
      <c r="L586" s="79"/>
    </row>
    <row r="587" spans="2:12" x14ac:dyDescent="0.25">
      <c r="B587" s="132" t="s">
        <v>15</v>
      </c>
      <c r="C587" s="132" t="s">
        <v>0</v>
      </c>
      <c r="D587" s="258" t="s">
        <v>41</v>
      </c>
      <c r="E587" s="259"/>
      <c r="F587" s="259"/>
      <c r="G587" s="259"/>
      <c r="H587" s="259"/>
      <c r="I587" s="260"/>
      <c r="J587" s="132" t="s">
        <v>15</v>
      </c>
      <c r="K587" s="132" t="s">
        <v>0</v>
      </c>
      <c r="L587" s="79"/>
    </row>
    <row r="588" spans="2:12" x14ac:dyDescent="0.25">
      <c r="B588" s="33" t="str">
        <f>IF(H582=3,B582,"")</f>
        <v>IURI WAHHAB OKINO</v>
      </c>
      <c r="C588" s="33" t="str">
        <f>IFERROR(IF(B588="","",VLOOKUP(B588,LISTAS!$F$5:$G$1004,2,0)),"0")</f>
        <v>COLÉGIO ARBOS SÃO CAETANO DO SUL</v>
      </c>
      <c r="D588" s="253">
        <v>2</v>
      </c>
      <c r="E588" s="254"/>
      <c r="F588" s="253" t="s">
        <v>38</v>
      </c>
      <c r="G588" s="254"/>
      <c r="H588" s="253">
        <v>0</v>
      </c>
      <c r="I588" s="254"/>
      <c r="J588" s="111" t="str">
        <f>IF(H582=3,B584,"")</f>
        <v>ALEXSANDRO DA COSTA ASSIS</v>
      </c>
      <c r="K588" s="33" t="str">
        <f>IFERROR(IF(J588="","",VLOOKUP(J588,LISTAS!$F$5:$G$1004,2,0)),"0")</f>
        <v>EDUCANDÁRIO - S.A</v>
      </c>
      <c r="L588" s="81"/>
    </row>
    <row r="589" spans="2:12" x14ac:dyDescent="0.25">
      <c r="B589" s="33" t="str">
        <f>IF(H582=3,B583,"")</f>
        <v>THEO MUNARO DIAS R SANTOS</v>
      </c>
      <c r="C589" s="33" t="str">
        <f>IFERROR(IF(B589="","",VLOOKUP(B589,LISTAS!$F$5:$G$1004,2,0)),"0")</f>
        <v>ABACO IPIRANGA</v>
      </c>
      <c r="D589" s="253">
        <v>2</v>
      </c>
      <c r="E589" s="254"/>
      <c r="F589" s="253" t="s">
        <v>38</v>
      </c>
      <c r="G589" s="254"/>
      <c r="H589" s="253">
        <v>1</v>
      </c>
      <c r="I589" s="254"/>
      <c r="J589" s="111" t="str">
        <f>IF(H582=3,B584,"")</f>
        <v>ALEXSANDRO DA COSTA ASSIS</v>
      </c>
      <c r="K589" s="33" t="str">
        <f>IFERROR(IF(J589="","",VLOOKUP(J589,LISTAS!$F$5:$G$1004,2,0)),"0")</f>
        <v>EDUCANDÁRIO - S.A</v>
      </c>
      <c r="L589" s="79"/>
    </row>
    <row r="590" spans="2:12" x14ac:dyDescent="0.25">
      <c r="B590" s="33" t="str">
        <f>IF(H582=3,B582,"")</f>
        <v>IURI WAHHAB OKINO</v>
      </c>
      <c r="C590" s="33" t="str">
        <f>IFERROR(IF(B590="","",VLOOKUP(B590,LISTAS!$F$5:$G$1004,2,0)),"0")</f>
        <v>COLÉGIO ARBOS SÃO CAETANO DO SUL</v>
      </c>
      <c r="D590" s="253">
        <v>0</v>
      </c>
      <c r="E590" s="254"/>
      <c r="F590" s="253" t="s">
        <v>38</v>
      </c>
      <c r="G590" s="254"/>
      <c r="H590" s="253">
        <v>2</v>
      </c>
      <c r="I590" s="254"/>
      <c r="J590" s="111" t="str">
        <f>IF(H582=3,B583,"")</f>
        <v>THEO MUNARO DIAS R SANTOS</v>
      </c>
      <c r="K590" s="33" t="str">
        <f>IFERROR(IF(J590="","",VLOOKUP(J590,LISTAS!$F$5:$G$1004,2,0)),"0")</f>
        <v>ABACO IPIRANGA</v>
      </c>
      <c r="L590" s="81"/>
    </row>
    <row r="592" spans="2:12" x14ac:dyDescent="0.25">
      <c r="B592" s="161" t="s">
        <v>616</v>
      </c>
      <c r="C592" s="79"/>
      <c r="D592" s="255" t="s">
        <v>42</v>
      </c>
      <c r="E592" s="256"/>
      <c r="F592" s="256"/>
      <c r="G592" s="257"/>
      <c r="H592" s="113"/>
      <c r="I592" s="255" t="s">
        <v>3</v>
      </c>
      <c r="J592" s="256"/>
      <c r="K592" s="256"/>
      <c r="L592" s="256"/>
    </row>
    <row r="593" spans="2:12" x14ac:dyDescent="0.25">
      <c r="B593" s="132" t="s">
        <v>15</v>
      </c>
      <c r="C593" s="132" t="s">
        <v>0</v>
      </c>
      <c r="D593" s="132" t="s">
        <v>43</v>
      </c>
      <c r="E593" s="132" t="s">
        <v>44</v>
      </c>
      <c r="F593" s="132" t="s">
        <v>77</v>
      </c>
      <c r="G593" s="132" t="s">
        <v>78</v>
      </c>
      <c r="H593" s="114"/>
      <c r="I593" s="132" t="s">
        <v>18</v>
      </c>
      <c r="J593" s="132" t="s">
        <v>15</v>
      </c>
      <c r="K593" s="132" t="s">
        <v>0</v>
      </c>
      <c r="L593" s="132" t="s">
        <v>45</v>
      </c>
    </row>
    <row r="594" spans="2:12" x14ac:dyDescent="0.25">
      <c r="B594" s="33" t="s">
        <v>266</v>
      </c>
      <c r="C594" s="33" t="str">
        <f>IFERROR(IF(B594="","",VLOOKUP(B594,LISTAS!$F$5:$G$1004,2,0)),"0")</f>
        <v>COLEGIO PETROPOLIS</v>
      </c>
      <c r="D594" s="33" t="str">
        <f>IF(H594&lt;3,"",IF(H594=3,IF(D600&lt;&gt;"",IF(H600&lt;&gt;"",IF(D600&lt;&gt;H600,IF(D600&gt;H600,"V","D"),""),""),"")))</f>
        <v>V</v>
      </c>
      <c r="E594" s="33" t="str">
        <f>IF(H594&lt;3,"",IF(H594=3,IF(D602&lt;&gt;"",IF(H602&lt;&gt;"",IF(D602&lt;&gt;H602,IF(D602&gt;H602,"V","D"),""),""),"")))</f>
        <v>V</v>
      </c>
      <c r="F594" s="33" t="s">
        <v>81</v>
      </c>
      <c r="G594" s="33" t="s">
        <v>81</v>
      </c>
      <c r="H594" s="117">
        <f>COUNTA(B594:B596)</f>
        <v>3</v>
      </c>
      <c r="I594" s="33">
        <f>IF(B594&lt;&gt;"",1,"")</f>
        <v>1</v>
      </c>
      <c r="J594" s="33">
        <f>IF(I594&lt;&gt;"",P594,"")</f>
        <v>0</v>
      </c>
      <c r="K594" s="33" t="str">
        <f>IFERROR(IF(J594="","",VLOOKUP(J594,LISTAS!$F$5:$G$1004,2,0)),"0")</f>
        <v>0</v>
      </c>
      <c r="L594" s="130" t="str">
        <f>IF(H594=3,"OURO",IF(H594=4,"OURO",IF(H594=5,"OURO","")))</f>
        <v>OURO</v>
      </c>
    </row>
    <row r="595" spans="2:12" x14ac:dyDescent="0.25">
      <c r="B595" s="33" t="s">
        <v>271</v>
      </c>
      <c r="C595" s="33" t="str">
        <f>IFERROR(IF(B595="","",VLOOKUP(B595,LISTAS!$F$5:$G$1004,2,0)),"0")</f>
        <v>COLÉGIO ATENEU</v>
      </c>
      <c r="D595" s="33" t="str">
        <f>IF(H594&lt;3,"",IF(H594=3,IF(D601&lt;&gt;"",IF(H601&lt;&gt;"",IF(D601&lt;&gt;H601,IF(D601&gt;H601,"V","D"),""),""),"")))</f>
        <v>V</v>
      </c>
      <c r="E595" s="33" t="str">
        <f>IF(H594&lt;3,"",IF(H594=3,IF(D602&lt;&gt;"",IF(H602&lt;&gt;"",IF(D602&lt;&gt;H602,IF(D602&gt;H602,"D","V"),""),""),"")))</f>
        <v>D</v>
      </c>
      <c r="F595" s="33" t="s">
        <v>81</v>
      </c>
      <c r="G595" s="33" t="s">
        <v>81</v>
      </c>
      <c r="H595" s="117"/>
      <c r="I595" s="33">
        <f>IF(B595&lt;&gt;"",2,"")</f>
        <v>2</v>
      </c>
      <c r="J595" s="33">
        <f>IF(I595&lt;&gt;"",P595,"")</f>
        <v>0</v>
      </c>
      <c r="K595" s="33" t="str">
        <f>IFERROR(IF(J595="","",VLOOKUP(J595,LISTAS!$F$5:$G$1004,2,0)),"0")</f>
        <v>0</v>
      </c>
      <c r="L595" s="130" t="str">
        <f>IF(H594=3,"PRATA",IF(H594=4,"OURO",IF(H594=5,"OURO","")))</f>
        <v>PRATA</v>
      </c>
    </row>
    <row r="596" spans="2:12" x14ac:dyDescent="0.25">
      <c r="B596" s="39" t="s">
        <v>683</v>
      </c>
      <c r="C596" s="33" t="str">
        <f>IFERROR(IF(B596="","",VLOOKUP(B596,LISTAS!$F$5:$G$1004,2,0)),"0")</f>
        <v>ESCOLA STAGIUM</v>
      </c>
      <c r="D596" s="33" t="str">
        <f>IF(H594&lt;3,"",IF(H594=3,IF(D600&lt;&gt;"",IF(H600&lt;&gt;"",IF(D600&lt;&gt;H600,IF(D600&gt;H600,"D","V"),""),""),"")))</f>
        <v>D</v>
      </c>
      <c r="E596" s="33" t="str">
        <f>IF(H594&lt;3,"",IF(H594=3,IF(D601&lt;&gt;"",IF(H601&lt;&gt;"",IF(D601&lt;&gt;H601,IF(D601&gt;H601,"D","V"),""),""),"")))</f>
        <v>D</v>
      </c>
      <c r="F596" s="33" t="s">
        <v>81</v>
      </c>
      <c r="G596" s="33" t="s">
        <v>81</v>
      </c>
      <c r="H596" s="117"/>
      <c r="I596" s="33">
        <f>IF(B596&lt;&gt;"",3,"")</f>
        <v>3</v>
      </c>
      <c r="J596" s="33">
        <f>IF(I596&lt;&gt;"",P596,"")</f>
        <v>0</v>
      </c>
      <c r="K596" s="33" t="str">
        <f>IFERROR(IF(J596="","",VLOOKUP(J596,LISTAS!$F$5:$G$1004,2,0)),"0")</f>
        <v>0</v>
      </c>
      <c r="L596" s="130" t="str">
        <f>IF(H594=3,"BRONZE",IF(H594=4,"PRATA",IF(H594=5,"OURO","")))</f>
        <v>BRONZE</v>
      </c>
    </row>
    <row r="597" spans="2:12" x14ac:dyDescent="0.25">
      <c r="B597" s="79"/>
      <c r="C597" s="79"/>
      <c r="D597" s="79"/>
      <c r="E597" s="79"/>
      <c r="F597" s="79"/>
      <c r="G597" s="79"/>
      <c r="I597" s="80"/>
      <c r="J597" s="79"/>
      <c r="K597" s="81"/>
      <c r="L597" s="81"/>
    </row>
    <row r="598" spans="2:12" x14ac:dyDescent="0.25">
      <c r="B598" s="82" t="s">
        <v>40</v>
      </c>
      <c r="C598" s="79"/>
      <c r="D598" s="79"/>
      <c r="E598" s="79"/>
      <c r="F598" s="79"/>
      <c r="G598" s="79"/>
      <c r="H598" s="79"/>
      <c r="I598" s="79"/>
      <c r="J598" s="79"/>
      <c r="K598" s="79"/>
      <c r="L598" s="79"/>
    </row>
    <row r="599" spans="2:12" x14ac:dyDescent="0.25">
      <c r="B599" s="132" t="s">
        <v>15</v>
      </c>
      <c r="C599" s="132" t="s">
        <v>0</v>
      </c>
      <c r="D599" s="258" t="s">
        <v>41</v>
      </c>
      <c r="E599" s="259"/>
      <c r="F599" s="259"/>
      <c r="G599" s="259"/>
      <c r="H599" s="259"/>
      <c r="I599" s="260"/>
      <c r="J599" s="132" t="s">
        <v>15</v>
      </c>
      <c r="K599" s="132" t="s">
        <v>0</v>
      </c>
      <c r="L599" s="79"/>
    </row>
    <row r="600" spans="2:12" x14ac:dyDescent="0.25">
      <c r="B600" s="33" t="str">
        <f>IF(H594=3,B594,"")</f>
        <v>GUILHERME BERNARDI PINTO</v>
      </c>
      <c r="C600" s="33" t="str">
        <f>IFERROR(IF(B600="","",VLOOKUP(B600,LISTAS!$F$5:$G$1004,2,0)),"0")</f>
        <v>COLEGIO PETROPOLIS</v>
      </c>
      <c r="D600" s="253">
        <v>2</v>
      </c>
      <c r="E600" s="254"/>
      <c r="F600" s="253" t="s">
        <v>38</v>
      </c>
      <c r="G600" s="254"/>
      <c r="H600" s="253">
        <v>0</v>
      </c>
      <c r="I600" s="254"/>
      <c r="J600" s="111" t="str">
        <f>IF(H594=3,B596,"")</f>
        <v xml:space="preserve">ARTHUR PEREIRA </v>
      </c>
      <c r="K600" s="33" t="str">
        <f>IFERROR(IF(J600="","",VLOOKUP(J600,LISTAS!$F$5:$G$1004,2,0)),"0")</f>
        <v>ESCOLA STAGIUM</v>
      </c>
      <c r="L600" s="81"/>
    </row>
    <row r="601" spans="2:12" x14ac:dyDescent="0.25">
      <c r="B601" s="33" t="str">
        <f>IF(H594=3,B595,"")</f>
        <v>HEITOR DIOGENES VALARINI</v>
      </c>
      <c r="C601" s="33" t="str">
        <f>IFERROR(IF(B601="","",VLOOKUP(B601,LISTAS!$F$5:$G$1004,2,0)),"0")</f>
        <v>COLÉGIO ATENEU</v>
      </c>
      <c r="D601" s="253">
        <v>2</v>
      </c>
      <c r="E601" s="254"/>
      <c r="F601" s="253" t="s">
        <v>38</v>
      </c>
      <c r="G601" s="254"/>
      <c r="H601" s="253">
        <v>0</v>
      </c>
      <c r="I601" s="254"/>
      <c r="J601" s="111" t="str">
        <f>IF(H594=3,B596,"")</f>
        <v xml:space="preserve">ARTHUR PEREIRA </v>
      </c>
      <c r="K601" s="33" t="str">
        <f>IFERROR(IF(J601="","",VLOOKUP(J601,LISTAS!$F$5:$G$1004,2,0)),"0")</f>
        <v>ESCOLA STAGIUM</v>
      </c>
      <c r="L601" s="79"/>
    </row>
    <row r="602" spans="2:12" x14ac:dyDescent="0.25">
      <c r="B602" s="33" t="str">
        <f>IF(H594=3,B594,"")</f>
        <v>GUILHERME BERNARDI PINTO</v>
      </c>
      <c r="C602" s="33" t="str">
        <f>IFERROR(IF(B602="","",VLOOKUP(B602,LISTAS!$F$5:$G$1004,2,0)),"0")</f>
        <v>COLEGIO PETROPOLIS</v>
      </c>
      <c r="D602" s="253">
        <v>2</v>
      </c>
      <c r="E602" s="254"/>
      <c r="F602" s="253" t="s">
        <v>38</v>
      </c>
      <c r="G602" s="254"/>
      <c r="H602" s="253">
        <v>0</v>
      </c>
      <c r="I602" s="254"/>
      <c r="J602" s="111" t="str">
        <f>IF(H594=3,B595,"")</f>
        <v>HEITOR DIOGENES VALARINI</v>
      </c>
      <c r="K602" s="33" t="str">
        <f>IFERROR(IF(J602="","",VLOOKUP(J602,LISTAS!$F$5:$G$1004,2,0)),"0")</f>
        <v>COLÉGIO ATENEU</v>
      </c>
      <c r="L602" s="81"/>
    </row>
    <row r="604" spans="2:12" x14ac:dyDescent="0.25">
      <c r="B604" s="161" t="s">
        <v>617</v>
      </c>
      <c r="C604" s="79"/>
      <c r="D604" s="255" t="s">
        <v>42</v>
      </c>
      <c r="E604" s="256"/>
      <c r="F604" s="256"/>
      <c r="G604" s="257"/>
      <c r="H604" s="113"/>
      <c r="I604" s="255" t="s">
        <v>3</v>
      </c>
      <c r="J604" s="256"/>
      <c r="K604" s="256"/>
      <c r="L604" s="256"/>
    </row>
    <row r="605" spans="2:12" x14ac:dyDescent="0.25">
      <c r="B605" s="132" t="s">
        <v>15</v>
      </c>
      <c r="C605" s="132" t="s">
        <v>0</v>
      </c>
      <c r="D605" s="132" t="s">
        <v>43</v>
      </c>
      <c r="E605" s="132" t="s">
        <v>44</v>
      </c>
      <c r="F605" s="132" t="s">
        <v>77</v>
      </c>
      <c r="G605" s="132" t="s">
        <v>78</v>
      </c>
      <c r="H605" s="114"/>
      <c r="I605" s="132" t="s">
        <v>18</v>
      </c>
      <c r="J605" s="132" t="s">
        <v>15</v>
      </c>
      <c r="K605" s="132" t="s">
        <v>0</v>
      </c>
      <c r="L605" s="132" t="s">
        <v>45</v>
      </c>
    </row>
    <row r="606" spans="2:12" x14ac:dyDescent="0.25">
      <c r="B606" s="33" t="s">
        <v>308</v>
      </c>
      <c r="C606" s="33" t="str">
        <f>IFERROR(IF(B606="","",VLOOKUP(B606,LISTAS!$F$5:$G$1004,2,0)),"0")</f>
        <v>PEN LIFE</v>
      </c>
      <c r="D606" s="33" t="str">
        <f>IF(H606&lt;3,"",IF(H606=3,IF(D612&lt;&gt;"",IF(H612&lt;&gt;"",IF(D612&lt;&gt;H612,IF(D612&gt;H612,"V","D"),""),""),"")))</f>
        <v>V</v>
      </c>
      <c r="E606" s="33" t="str">
        <f>IF(H606&lt;3,"",IF(H606=3,IF(D614&lt;&gt;"",IF(H614&lt;&gt;"",IF(D614&lt;&gt;H614,IF(D614&gt;H614,"V","D"),""),""),"")))</f>
        <v>V</v>
      </c>
      <c r="F606" s="33" t="s">
        <v>81</v>
      </c>
      <c r="G606" s="33" t="s">
        <v>81</v>
      </c>
      <c r="H606" s="117">
        <f>COUNTA(B606:B608)</f>
        <v>3</v>
      </c>
      <c r="I606" s="33">
        <f>IF(B606&lt;&gt;"",1,"")</f>
        <v>1</v>
      </c>
      <c r="J606" s="33">
        <f>IF(I606&lt;&gt;"",P606,"")</f>
        <v>0</v>
      </c>
      <c r="K606" s="33" t="str">
        <f>IFERROR(IF(J606="","",VLOOKUP(J606,LISTAS!$F$5:$G$1004,2,0)),"0")</f>
        <v>0</v>
      </c>
      <c r="L606" s="130" t="str">
        <f>IF(H606=3,"OURO",IF(H606=4,"OURO",IF(H606=5,"OURO","")))</f>
        <v>OURO</v>
      </c>
    </row>
    <row r="607" spans="2:12" x14ac:dyDescent="0.25">
      <c r="B607" s="33" t="s">
        <v>655</v>
      </c>
      <c r="C607" s="33" t="str">
        <f>IFERROR(IF(B607="","",VLOOKUP(B607,LISTAS!$F$5:$G$1004,2,0)),"0")</f>
        <v>EDUCANDÁRIO - S.A</v>
      </c>
      <c r="D607" s="33" t="str">
        <f>IF(H606&lt;3,"",IF(H606=3,IF(D613&lt;&gt;"",IF(H613&lt;&gt;"",IF(D613&lt;&gt;H613,IF(D613&gt;H613,"V","D"),""),""),"")))</f>
        <v>V</v>
      </c>
      <c r="E607" s="33" t="str">
        <f>IF(H606&lt;3,"",IF(H606=3,IF(D614&lt;&gt;"",IF(H614&lt;&gt;"",IF(D614&lt;&gt;H614,IF(D614&gt;H614,"D","V"),""),""),"")))</f>
        <v>D</v>
      </c>
      <c r="F607" s="33" t="s">
        <v>81</v>
      </c>
      <c r="G607" s="33" t="s">
        <v>81</v>
      </c>
      <c r="H607" s="117"/>
      <c r="I607" s="33">
        <f>IF(B607&lt;&gt;"",2,"")</f>
        <v>2</v>
      </c>
      <c r="J607" s="33">
        <f>IF(I607&lt;&gt;"",P607,"")</f>
        <v>0</v>
      </c>
      <c r="K607" s="33" t="str">
        <f>IFERROR(IF(J607="","",VLOOKUP(J607,LISTAS!$F$5:$G$1004,2,0)),"0")</f>
        <v>0</v>
      </c>
      <c r="L607" s="130" t="str">
        <f>IF(H606=3,"PRATA",IF(H606=4,"OURO",IF(H606=5,"OURO","")))</f>
        <v>PRATA</v>
      </c>
    </row>
    <row r="608" spans="2:12" x14ac:dyDescent="0.25">
      <c r="B608" s="39" t="s">
        <v>685</v>
      </c>
      <c r="C608" s="33" t="str">
        <f>IFERROR(IF(B608="","",VLOOKUP(B608,LISTAS!$F$5:$G$1004,2,0)),"0")</f>
        <v>ESCOLA STAGIUM</v>
      </c>
      <c r="D608" s="33" t="str">
        <f>IF(H606&lt;3,"",IF(H606=3,IF(D612&lt;&gt;"",IF(H612&lt;&gt;"",IF(D612&lt;&gt;H612,IF(D612&gt;H612,"D","V"),""),""),"")))</f>
        <v>D</v>
      </c>
      <c r="E608" s="33" t="str">
        <f>IF(H606&lt;3,"",IF(H606=3,IF(D613&lt;&gt;"",IF(H613&lt;&gt;"",IF(D613&lt;&gt;H613,IF(D613&gt;H613,"D","V"),""),""),"")))</f>
        <v>D</v>
      </c>
      <c r="F608" s="33" t="s">
        <v>81</v>
      </c>
      <c r="G608" s="33" t="s">
        <v>81</v>
      </c>
      <c r="H608" s="117"/>
      <c r="I608" s="33">
        <f>IF(B608&lt;&gt;"",3,"")</f>
        <v>3</v>
      </c>
      <c r="J608" s="33">
        <f>IF(I608&lt;&gt;"",P608,"")</f>
        <v>0</v>
      </c>
      <c r="K608" s="33" t="str">
        <f>IFERROR(IF(J608="","",VLOOKUP(J608,LISTAS!$F$5:$G$1004,2,0)),"0")</f>
        <v>0</v>
      </c>
      <c r="L608" s="130" t="str">
        <f>IF(H606=3,"BRONZE",IF(H606=4,"PRATA",IF(H606=5,"OURO","")))</f>
        <v>BRONZE</v>
      </c>
    </row>
    <row r="609" spans="2:12" x14ac:dyDescent="0.25">
      <c r="B609" s="79"/>
      <c r="C609" s="79"/>
      <c r="D609" s="79"/>
      <c r="E609" s="79"/>
      <c r="F609" s="79"/>
      <c r="G609" s="79"/>
      <c r="I609" s="80"/>
      <c r="J609" s="79"/>
      <c r="K609" s="81"/>
      <c r="L609" s="81"/>
    </row>
    <row r="610" spans="2:12" x14ac:dyDescent="0.25">
      <c r="B610" s="82" t="s">
        <v>40</v>
      </c>
      <c r="C610" s="79"/>
      <c r="D610" s="79"/>
      <c r="E610" s="79"/>
      <c r="F610" s="79"/>
      <c r="G610" s="79"/>
      <c r="H610" s="79"/>
      <c r="I610" s="79"/>
      <c r="J610" s="79"/>
      <c r="K610" s="79"/>
      <c r="L610" s="79"/>
    </row>
    <row r="611" spans="2:12" x14ac:dyDescent="0.25">
      <c r="B611" s="132" t="s">
        <v>15</v>
      </c>
      <c r="C611" s="132" t="s">
        <v>0</v>
      </c>
      <c r="D611" s="258" t="s">
        <v>41</v>
      </c>
      <c r="E611" s="259"/>
      <c r="F611" s="259"/>
      <c r="G611" s="259"/>
      <c r="H611" s="259"/>
      <c r="I611" s="260"/>
      <c r="J611" s="132" t="s">
        <v>15</v>
      </c>
      <c r="K611" s="132" t="s">
        <v>0</v>
      </c>
      <c r="L611" s="79"/>
    </row>
    <row r="612" spans="2:12" x14ac:dyDescent="0.25">
      <c r="B612" s="33" t="str">
        <f>IF(H606=3,B606,"")</f>
        <v>LUCCA DE ALMEIDA BRANCALLIAO</v>
      </c>
      <c r="C612" s="33" t="str">
        <f>IFERROR(IF(B612="","",VLOOKUP(B612,LISTAS!$F$5:$G$1004,2,0)),"0")</f>
        <v>PEN LIFE</v>
      </c>
      <c r="D612" s="253">
        <v>2</v>
      </c>
      <c r="E612" s="254"/>
      <c r="F612" s="253" t="s">
        <v>38</v>
      </c>
      <c r="G612" s="254"/>
      <c r="H612" s="253">
        <v>0</v>
      </c>
      <c r="I612" s="254"/>
      <c r="J612" s="111" t="str">
        <f>IF(H606=3,B608,"")</f>
        <v>RAFAEL LUZ</v>
      </c>
      <c r="K612" s="33" t="str">
        <f>IFERROR(IF(J612="","",VLOOKUP(J612,LISTAS!$F$5:$G$1004,2,0)),"0")</f>
        <v>ESCOLA STAGIUM</v>
      </c>
      <c r="L612" s="81"/>
    </row>
    <row r="613" spans="2:12" x14ac:dyDescent="0.25">
      <c r="B613" s="33" t="str">
        <f>IF(H606=3,B607,"")</f>
        <v>VINICIUS MUNHOS DEL CISTIA</v>
      </c>
      <c r="C613" s="33" t="str">
        <f>IFERROR(IF(B613="","",VLOOKUP(B613,LISTAS!$F$5:$G$1004,2,0)),"0")</f>
        <v>EDUCANDÁRIO - S.A</v>
      </c>
      <c r="D613" s="253">
        <v>2</v>
      </c>
      <c r="E613" s="254"/>
      <c r="F613" s="253" t="s">
        <v>38</v>
      </c>
      <c r="G613" s="254"/>
      <c r="H613" s="253">
        <v>1</v>
      </c>
      <c r="I613" s="254"/>
      <c r="J613" s="111" t="str">
        <f>IF(H606=3,B608,"")</f>
        <v>RAFAEL LUZ</v>
      </c>
      <c r="K613" s="33" t="str">
        <f>IFERROR(IF(J613="","",VLOOKUP(J613,LISTAS!$F$5:$G$1004,2,0)),"0")</f>
        <v>ESCOLA STAGIUM</v>
      </c>
      <c r="L613" s="79"/>
    </row>
    <row r="614" spans="2:12" x14ac:dyDescent="0.25">
      <c r="B614" s="33" t="str">
        <f>IF(H606=3,B606,"")</f>
        <v>LUCCA DE ALMEIDA BRANCALLIAO</v>
      </c>
      <c r="C614" s="33" t="str">
        <f>IFERROR(IF(B614="","",VLOOKUP(B614,LISTAS!$F$5:$G$1004,2,0)),"0")</f>
        <v>PEN LIFE</v>
      </c>
      <c r="D614" s="253">
        <v>2</v>
      </c>
      <c r="E614" s="254"/>
      <c r="F614" s="253" t="s">
        <v>38</v>
      </c>
      <c r="G614" s="254"/>
      <c r="H614" s="253">
        <v>0</v>
      </c>
      <c r="I614" s="254"/>
      <c r="J614" s="111" t="str">
        <f>IF(H606=3,B607,"")</f>
        <v>VINICIUS MUNHOS DEL CISTIA</v>
      </c>
      <c r="K614" s="33" t="str">
        <f>IFERROR(IF(J614="","",VLOOKUP(J614,LISTAS!$F$5:$G$1004,2,0)),"0")</f>
        <v>EDUCANDÁRIO - S.A</v>
      </c>
      <c r="L614" s="81"/>
    </row>
    <row r="616" spans="2:12" x14ac:dyDescent="0.25">
      <c r="B616" s="161" t="s">
        <v>618</v>
      </c>
      <c r="C616" s="79"/>
      <c r="D616" s="255" t="s">
        <v>42</v>
      </c>
      <c r="E616" s="256"/>
      <c r="F616" s="256"/>
      <c r="G616" s="257"/>
      <c r="H616" s="113"/>
      <c r="I616" s="255" t="s">
        <v>3</v>
      </c>
      <c r="J616" s="256"/>
      <c r="K616" s="256"/>
      <c r="L616" s="256"/>
    </row>
    <row r="617" spans="2:12" x14ac:dyDescent="0.25">
      <c r="B617" s="132" t="s">
        <v>15</v>
      </c>
      <c r="C617" s="132" t="s">
        <v>0</v>
      </c>
      <c r="D617" s="132" t="s">
        <v>43</v>
      </c>
      <c r="E617" s="132" t="s">
        <v>44</v>
      </c>
      <c r="F617" s="132" t="s">
        <v>77</v>
      </c>
      <c r="G617" s="132" t="s">
        <v>78</v>
      </c>
      <c r="H617" s="114"/>
      <c r="I617" s="132" t="s">
        <v>18</v>
      </c>
      <c r="J617" s="132" t="s">
        <v>15</v>
      </c>
      <c r="K617" s="132" t="s">
        <v>0</v>
      </c>
      <c r="L617" s="132" t="s">
        <v>45</v>
      </c>
    </row>
    <row r="618" spans="2:12" x14ac:dyDescent="0.25">
      <c r="B618" s="33"/>
      <c r="C618" s="33" t="str">
        <f>IFERROR(IF(B618="","",VLOOKUP(B618,LISTAS!$F$5:$G$1004,2,0)),"0")</f>
        <v/>
      </c>
      <c r="D618" s="33" t="str">
        <f>IF(H618&lt;3,"",IF(H618=3,IF(D624&lt;&gt;"",IF(H624&lt;&gt;"",IF(D624&lt;&gt;H624,IF(D624&gt;H624,"V","D"),""),""),"")))</f>
        <v/>
      </c>
      <c r="E618" s="33" t="str">
        <f>IF(H618&lt;3,"",IF(H618=3,IF(D626&lt;&gt;"",IF(H626&lt;&gt;"",IF(D626&lt;&gt;H626,IF(D626&gt;H626,"V","D"),""),""),"")))</f>
        <v/>
      </c>
      <c r="F618" s="33" t="s">
        <v>81</v>
      </c>
      <c r="G618" s="33" t="s">
        <v>81</v>
      </c>
      <c r="H618" s="117">
        <f>COUNTA(B618:B620)</f>
        <v>0</v>
      </c>
      <c r="I618" s="33" t="str">
        <f>IF(B618&lt;&gt;"",1,"")</f>
        <v/>
      </c>
      <c r="J618" s="33" t="str">
        <f>IF(I618&lt;&gt;"",P618,"")</f>
        <v/>
      </c>
      <c r="K618" s="33" t="str">
        <f>IFERROR(IF(J618="","",VLOOKUP(J618,LISTAS!$F$5:$G$1004,2,0)),"0")</f>
        <v/>
      </c>
      <c r="L618" s="130" t="str">
        <f>IF(H618=3,"OURO",IF(H618=4,"OURO",IF(H618=5,"OURO","")))</f>
        <v/>
      </c>
    </row>
    <row r="619" spans="2:12" x14ac:dyDescent="0.25">
      <c r="B619" s="33"/>
      <c r="C619" s="33" t="str">
        <f>IFERROR(IF(B619="","",VLOOKUP(B619,LISTAS!$F$5:$G$1004,2,0)),"0")</f>
        <v/>
      </c>
      <c r="D619" s="33" t="str">
        <f>IF(H618&lt;3,"",IF(H618=3,IF(D625&lt;&gt;"",IF(H625&lt;&gt;"",IF(D625&lt;&gt;H625,IF(D625&gt;H625,"V","D"),""),""),"")))</f>
        <v/>
      </c>
      <c r="E619" s="33" t="str">
        <f>IF(H618&lt;3,"",IF(H618=3,IF(D626&lt;&gt;"",IF(H626&lt;&gt;"",IF(D626&lt;&gt;H626,IF(D626&gt;H626,"D","V"),""),""),"")))</f>
        <v/>
      </c>
      <c r="F619" s="33" t="s">
        <v>81</v>
      </c>
      <c r="G619" s="33" t="s">
        <v>81</v>
      </c>
      <c r="H619" s="117"/>
      <c r="I619" s="33" t="str">
        <f>IF(B619&lt;&gt;"",2,"")</f>
        <v/>
      </c>
      <c r="J619" s="33" t="str">
        <f>IF(I619&lt;&gt;"",P619,"")</f>
        <v/>
      </c>
      <c r="K619" s="33" t="str">
        <f>IFERROR(IF(J619="","",VLOOKUP(J619,LISTAS!$F$5:$G$1004,2,0)),"0")</f>
        <v/>
      </c>
      <c r="L619" s="130" t="str">
        <f>IF(H618=3,"PRATA",IF(H618=4,"OURO",IF(H618=5,"OURO","")))</f>
        <v/>
      </c>
    </row>
    <row r="620" spans="2:12" x14ac:dyDescent="0.25">
      <c r="B620" s="33"/>
      <c r="C620" s="33" t="str">
        <f>IFERROR(IF(B620="","",VLOOKUP(B620,LISTAS!$F$5:$G$1004,2,0)),"0")</f>
        <v/>
      </c>
      <c r="D620" s="33" t="str">
        <f>IF(H618&lt;3,"",IF(H618=3,IF(D624&lt;&gt;"",IF(H624&lt;&gt;"",IF(D624&lt;&gt;H624,IF(D624&gt;H624,"D","V"),""),""),"")))</f>
        <v/>
      </c>
      <c r="E620" s="33" t="str">
        <f>IF(H618&lt;3,"",IF(H618=3,IF(D625&lt;&gt;"",IF(H625&lt;&gt;"",IF(D625&lt;&gt;H625,IF(D625&gt;H625,"D","V"),""),""),"")))</f>
        <v/>
      </c>
      <c r="F620" s="33" t="s">
        <v>81</v>
      </c>
      <c r="G620" s="33" t="s">
        <v>81</v>
      </c>
      <c r="H620" s="117"/>
      <c r="I620" s="33" t="str">
        <f>IF(B620&lt;&gt;"",3,"")</f>
        <v/>
      </c>
      <c r="J620" s="33" t="str">
        <f>IF(I620&lt;&gt;"",P620,"")</f>
        <v/>
      </c>
      <c r="K620" s="33" t="str">
        <f>IFERROR(IF(J620="","",VLOOKUP(J620,LISTAS!$F$5:$G$1004,2,0)),"0")</f>
        <v/>
      </c>
      <c r="L620" s="130" t="str">
        <f>IF(H618=3,"BRONZE",IF(H618=4,"PRATA",IF(H618=5,"OURO","")))</f>
        <v/>
      </c>
    </row>
    <row r="621" spans="2:12" x14ac:dyDescent="0.25">
      <c r="B621" s="79"/>
      <c r="C621" s="79"/>
      <c r="D621" s="79"/>
      <c r="E621" s="79"/>
      <c r="F621" s="79"/>
      <c r="G621" s="79"/>
      <c r="I621" s="80"/>
      <c r="J621" s="79"/>
      <c r="K621" s="81"/>
      <c r="L621" s="81"/>
    </row>
    <row r="622" spans="2:12" x14ac:dyDescent="0.25">
      <c r="B622" s="82" t="s">
        <v>40</v>
      </c>
      <c r="C622" s="79"/>
      <c r="D622" s="79"/>
      <c r="E622" s="79"/>
      <c r="F622" s="79"/>
      <c r="G622" s="79"/>
      <c r="H622" s="79"/>
      <c r="I622" s="79"/>
      <c r="J622" s="79"/>
      <c r="K622" s="79"/>
      <c r="L622" s="79"/>
    </row>
    <row r="623" spans="2:12" x14ac:dyDescent="0.25">
      <c r="B623" s="132" t="s">
        <v>15</v>
      </c>
      <c r="C623" s="132" t="s">
        <v>0</v>
      </c>
      <c r="D623" s="258" t="s">
        <v>41</v>
      </c>
      <c r="E623" s="259"/>
      <c r="F623" s="259"/>
      <c r="G623" s="259"/>
      <c r="H623" s="259"/>
      <c r="I623" s="260"/>
      <c r="J623" s="132" t="s">
        <v>15</v>
      </c>
      <c r="K623" s="132" t="s">
        <v>0</v>
      </c>
      <c r="L623" s="79"/>
    </row>
    <row r="624" spans="2:12" x14ac:dyDescent="0.25">
      <c r="B624" s="33" t="str">
        <f>IF(H618=3,B618,"")</f>
        <v/>
      </c>
      <c r="C624" s="33" t="str">
        <f>IFERROR(IF(B624="","",VLOOKUP(B624,LISTAS!$F$5:$G$1004,2,0)),"0")</f>
        <v/>
      </c>
      <c r="D624" s="253"/>
      <c r="E624" s="254"/>
      <c r="F624" s="253" t="s">
        <v>38</v>
      </c>
      <c r="G624" s="254"/>
      <c r="H624" s="253"/>
      <c r="I624" s="254"/>
      <c r="J624" s="111" t="str">
        <f>IF(H618=3,B620,"")</f>
        <v/>
      </c>
      <c r="K624" s="33" t="str">
        <f>IFERROR(IF(J624="","",VLOOKUP(J624,LISTAS!$F$5:$G$1004,2,0)),"0")</f>
        <v/>
      </c>
      <c r="L624" s="81"/>
    </row>
    <row r="625" spans="2:12" x14ac:dyDescent="0.25">
      <c r="B625" s="33" t="str">
        <f>IF(H618=3,B619,"")</f>
        <v/>
      </c>
      <c r="C625" s="33" t="str">
        <f>IFERROR(IF(B625="","",VLOOKUP(B625,LISTAS!$F$5:$G$1004,2,0)),"0")</f>
        <v/>
      </c>
      <c r="D625" s="253"/>
      <c r="E625" s="254"/>
      <c r="F625" s="253" t="s">
        <v>38</v>
      </c>
      <c r="G625" s="254"/>
      <c r="H625" s="253"/>
      <c r="I625" s="254"/>
      <c r="J625" s="111" t="str">
        <f>IF(H618=3,B620,"")</f>
        <v/>
      </c>
      <c r="K625" s="33" t="str">
        <f>IFERROR(IF(J625="","",VLOOKUP(J625,LISTAS!$F$5:$G$1004,2,0)),"0")</f>
        <v/>
      </c>
      <c r="L625" s="79"/>
    </row>
    <row r="626" spans="2:12" x14ac:dyDescent="0.25">
      <c r="B626" s="33" t="str">
        <f>IF(H618=3,B618,"")</f>
        <v/>
      </c>
      <c r="C626" s="33" t="str">
        <f>IFERROR(IF(B626="","",VLOOKUP(B626,LISTAS!$F$5:$G$1004,2,0)),"0")</f>
        <v/>
      </c>
      <c r="D626" s="253"/>
      <c r="E626" s="254"/>
      <c r="F626" s="253" t="s">
        <v>38</v>
      </c>
      <c r="G626" s="254"/>
      <c r="H626" s="253"/>
      <c r="I626" s="254"/>
      <c r="J626" s="111" t="str">
        <f>IF(H618=3,B619,"")</f>
        <v/>
      </c>
      <c r="K626" s="33" t="str">
        <f>IFERROR(IF(J626="","",VLOOKUP(J626,LISTAS!$F$5:$G$1004,2,0)),"0")</f>
        <v/>
      </c>
      <c r="L626" s="81"/>
    </row>
  </sheetData>
  <mergeCells count="608">
    <mergeCell ref="D625:E625"/>
    <mergeCell ref="F625:G625"/>
    <mergeCell ref="H625:I625"/>
    <mergeCell ref="D626:E626"/>
    <mergeCell ref="F626:G626"/>
    <mergeCell ref="H626:I626"/>
    <mergeCell ref="D614:E614"/>
    <mergeCell ref="F614:G614"/>
    <mergeCell ref="H614:I614"/>
    <mergeCell ref="D616:G616"/>
    <mergeCell ref="I616:L616"/>
    <mergeCell ref="D623:I623"/>
    <mergeCell ref="D624:E624"/>
    <mergeCell ref="F624:G624"/>
    <mergeCell ref="H624:I624"/>
    <mergeCell ref="D604:G604"/>
    <mergeCell ref="I604:L604"/>
    <mergeCell ref="D611:I611"/>
    <mergeCell ref="D612:E612"/>
    <mergeCell ref="F612:G612"/>
    <mergeCell ref="H612:I612"/>
    <mergeCell ref="D613:E613"/>
    <mergeCell ref="F613:G613"/>
    <mergeCell ref="H613:I613"/>
    <mergeCell ref="D600:E600"/>
    <mergeCell ref="F600:G600"/>
    <mergeCell ref="H600:I600"/>
    <mergeCell ref="D601:E601"/>
    <mergeCell ref="F601:G601"/>
    <mergeCell ref="H601:I601"/>
    <mergeCell ref="D602:E602"/>
    <mergeCell ref="F602:G602"/>
    <mergeCell ref="H602:I602"/>
    <mergeCell ref="D589:E589"/>
    <mergeCell ref="F589:G589"/>
    <mergeCell ref="H589:I589"/>
    <mergeCell ref="D590:E590"/>
    <mergeCell ref="F590:G590"/>
    <mergeCell ref="H590:I590"/>
    <mergeCell ref="D592:G592"/>
    <mergeCell ref="I592:L592"/>
    <mergeCell ref="D599:I599"/>
    <mergeCell ref="D578:E578"/>
    <mergeCell ref="F578:G578"/>
    <mergeCell ref="H578:I578"/>
    <mergeCell ref="D580:G580"/>
    <mergeCell ref="I580:L580"/>
    <mergeCell ref="D587:I587"/>
    <mergeCell ref="D588:E588"/>
    <mergeCell ref="F588:G588"/>
    <mergeCell ref="H588:I588"/>
    <mergeCell ref="D568:G568"/>
    <mergeCell ref="I568:L568"/>
    <mergeCell ref="D575:I575"/>
    <mergeCell ref="D576:E576"/>
    <mergeCell ref="F576:G576"/>
    <mergeCell ref="H576:I576"/>
    <mergeCell ref="D577:E577"/>
    <mergeCell ref="F577:G577"/>
    <mergeCell ref="H577:I577"/>
    <mergeCell ref="D564:E564"/>
    <mergeCell ref="F564:G564"/>
    <mergeCell ref="H564:I564"/>
    <mergeCell ref="D565:E565"/>
    <mergeCell ref="F565:G565"/>
    <mergeCell ref="H565:I565"/>
    <mergeCell ref="D566:E566"/>
    <mergeCell ref="F566:G566"/>
    <mergeCell ref="H566:I566"/>
    <mergeCell ref="D553:E553"/>
    <mergeCell ref="F553:G553"/>
    <mergeCell ref="H553:I553"/>
    <mergeCell ref="D554:E554"/>
    <mergeCell ref="F554:G554"/>
    <mergeCell ref="H554:I554"/>
    <mergeCell ref="D556:G556"/>
    <mergeCell ref="I556:L556"/>
    <mergeCell ref="D563:I563"/>
    <mergeCell ref="D541:E541"/>
    <mergeCell ref="F541:G541"/>
    <mergeCell ref="H541:I541"/>
    <mergeCell ref="D544:G544"/>
    <mergeCell ref="I544:L544"/>
    <mergeCell ref="D551:I551"/>
    <mergeCell ref="D552:E552"/>
    <mergeCell ref="F552:G552"/>
    <mergeCell ref="H552:I552"/>
    <mergeCell ref="D539:E539"/>
    <mergeCell ref="F539:G539"/>
    <mergeCell ref="H539:I539"/>
    <mergeCell ref="D540:E540"/>
    <mergeCell ref="F540:G540"/>
    <mergeCell ref="H540:I540"/>
    <mergeCell ref="D538:I538"/>
    <mergeCell ref="D527:E527"/>
    <mergeCell ref="F527:G527"/>
    <mergeCell ref="H527:I527"/>
    <mergeCell ref="D528:E528"/>
    <mergeCell ref="F528:G528"/>
    <mergeCell ref="H528:I528"/>
    <mergeCell ref="D531:G531"/>
    <mergeCell ref="I531:L531"/>
    <mergeCell ref="D516:E516"/>
    <mergeCell ref="F516:G516"/>
    <mergeCell ref="H516:I516"/>
    <mergeCell ref="D518:G518"/>
    <mergeCell ref="I518:L518"/>
    <mergeCell ref="D525:I525"/>
    <mergeCell ref="D526:E526"/>
    <mergeCell ref="F526:G526"/>
    <mergeCell ref="H526:I526"/>
    <mergeCell ref="D506:G506"/>
    <mergeCell ref="I506:L506"/>
    <mergeCell ref="D513:I513"/>
    <mergeCell ref="D514:E514"/>
    <mergeCell ref="F514:G514"/>
    <mergeCell ref="H514:I514"/>
    <mergeCell ref="D515:E515"/>
    <mergeCell ref="F515:G515"/>
    <mergeCell ref="H515:I515"/>
    <mergeCell ref="D502:E502"/>
    <mergeCell ref="F502:G502"/>
    <mergeCell ref="H502:I502"/>
    <mergeCell ref="D503:E503"/>
    <mergeCell ref="F503:G503"/>
    <mergeCell ref="H503:I503"/>
    <mergeCell ref="D504:E504"/>
    <mergeCell ref="F504:G504"/>
    <mergeCell ref="H504:I504"/>
    <mergeCell ref="D491:E491"/>
    <mergeCell ref="F491:G491"/>
    <mergeCell ref="H491:I491"/>
    <mergeCell ref="D492:E492"/>
    <mergeCell ref="F492:G492"/>
    <mergeCell ref="H492:I492"/>
    <mergeCell ref="D494:G494"/>
    <mergeCell ref="I494:L494"/>
    <mergeCell ref="D501:I501"/>
    <mergeCell ref="D480:E480"/>
    <mergeCell ref="F480:G480"/>
    <mergeCell ref="H480:I480"/>
    <mergeCell ref="D482:G482"/>
    <mergeCell ref="I482:L482"/>
    <mergeCell ref="D489:I489"/>
    <mergeCell ref="D490:E490"/>
    <mergeCell ref="F490:G490"/>
    <mergeCell ref="H490:I490"/>
    <mergeCell ref="D470:G470"/>
    <mergeCell ref="I470:L470"/>
    <mergeCell ref="D477:I477"/>
    <mergeCell ref="D478:E478"/>
    <mergeCell ref="F478:G478"/>
    <mergeCell ref="H478:I478"/>
    <mergeCell ref="D479:E479"/>
    <mergeCell ref="F479:G479"/>
    <mergeCell ref="H479:I479"/>
    <mergeCell ref="D466:E466"/>
    <mergeCell ref="F466:G466"/>
    <mergeCell ref="H466:I466"/>
    <mergeCell ref="D467:E467"/>
    <mergeCell ref="F467:G467"/>
    <mergeCell ref="H467:I467"/>
    <mergeCell ref="D468:E468"/>
    <mergeCell ref="F468:G468"/>
    <mergeCell ref="H468:I468"/>
    <mergeCell ref="D455:E455"/>
    <mergeCell ref="F455:G455"/>
    <mergeCell ref="H455:I455"/>
    <mergeCell ref="D456:E456"/>
    <mergeCell ref="F456:G456"/>
    <mergeCell ref="H456:I456"/>
    <mergeCell ref="D458:G458"/>
    <mergeCell ref="I458:L458"/>
    <mergeCell ref="D465:I465"/>
    <mergeCell ref="D444:E444"/>
    <mergeCell ref="F444:G444"/>
    <mergeCell ref="H444:I444"/>
    <mergeCell ref="D446:G446"/>
    <mergeCell ref="I446:L446"/>
    <mergeCell ref="D453:I453"/>
    <mergeCell ref="D454:E454"/>
    <mergeCell ref="F454:G454"/>
    <mergeCell ref="H454:I454"/>
    <mergeCell ref="D434:G434"/>
    <mergeCell ref="I434:L434"/>
    <mergeCell ref="D441:I441"/>
    <mergeCell ref="D442:E442"/>
    <mergeCell ref="F442:G442"/>
    <mergeCell ref="H442:I442"/>
    <mergeCell ref="D443:E443"/>
    <mergeCell ref="F443:G443"/>
    <mergeCell ref="H443:I443"/>
    <mergeCell ref="B2:L4"/>
    <mergeCell ref="C5:F5"/>
    <mergeCell ref="D6:G6"/>
    <mergeCell ref="I6:L6"/>
    <mergeCell ref="D15:I15"/>
    <mergeCell ref="D16:E16"/>
    <mergeCell ref="F16:G16"/>
    <mergeCell ref="H16:I16"/>
    <mergeCell ref="D19:E19"/>
    <mergeCell ref="F19:G19"/>
    <mergeCell ref="H19:I19"/>
    <mergeCell ref="D20:E20"/>
    <mergeCell ref="F20:G20"/>
    <mergeCell ref="H20:I20"/>
    <mergeCell ref="D17:E17"/>
    <mergeCell ref="F17:G17"/>
    <mergeCell ref="H17:I17"/>
    <mergeCell ref="D18:E18"/>
    <mergeCell ref="F18:G18"/>
    <mergeCell ref="H18:I18"/>
    <mergeCell ref="D23:E23"/>
    <mergeCell ref="F23:G23"/>
    <mergeCell ref="H23:I23"/>
    <mergeCell ref="D24:E24"/>
    <mergeCell ref="F24:G24"/>
    <mergeCell ref="H24:I24"/>
    <mergeCell ref="D21:E21"/>
    <mergeCell ref="F21:G21"/>
    <mergeCell ref="H21:I21"/>
    <mergeCell ref="D22:E22"/>
    <mergeCell ref="F22:G22"/>
    <mergeCell ref="H22:I22"/>
    <mergeCell ref="D37:E37"/>
    <mergeCell ref="F37:G37"/>
    <mergeCell ref="H37:I37"/>
    <mergeCell ref="D38:E38"/>
    <mergeCell ref="F38:G38"/>
    <mergeCell ref="H38:I38"/>
    <mergeCell ref="D25:E25"/>
    <mergeCell ref="F25:G25"/>
    <mergeCell ref="H25:I25"/>
    <mergeCell ref="D28:G28"/>
    <mergeCell ref="I28:L28"/>
    <mergeCell ref="D36:I36"/>
    <mergeCell ref="D41:E41"/>
    <mergeCell ref="F41:G41"/>
    <mergeCell ref="H41:I41"/>
    <mergeCell ref="D42:E42"/>
    <mergeCell ref="F42:G42"/>
    <mergeCell ref="H42:I42"/>
    <mergeCell ref="D39:E39"/>
    <mergeCell ref="F39:G39"/>
    <mergeCell ref="H39:I39"/>
    <mergeCell ref="D40:E40"/>
    <mergeCell ref="F40:G40"/>
    <mergeCell ref="H40:I40"/>
    <mergeCell ref="D54:E54"/>
    <mergeCell ref="F54:G54"/>
    <mergeCell ref="H54:I54"/>
    <mergeCell ref="D55:E55"/>
    <mergeCell ref="F55:G55"/>
    <mergeCell ref="H55:I55"/>
    <mergeCell ref="D45:G45"/>
    <mergeCell ref="I45:L45"/>
    <mergeCell ref="D52:I52"/>
    <mergeCell ref="D53:E53"/>
    <mergeCell ref="F53:G53"/>
    <mergeCell ref="H53:I53"/>
    <mergeCell ref="D67:E67"/>
    <mergeCell ref="F67:G67"/>
    <mergeCell ref="H67:I67"/>
    <mergeCell ref="D68:E68"/>
    <mergeCell ref="F68:G68"/>
    <mergeCell ref="H68:I68"/>
    <mergeCell ref="D58:G58"/>
    <mergeCell ref="I58:L58"/>
    <mergeCell ref="D65:I65"/>
    <mergeCell ref="D66:E66"/>
    <mergeCell ref="F66:G66"/>
    <mergeCell ref="H66:I66"/>
    <mergeCell ref="D80:E80"/>
    <mergeCell ref="F80:G80"/>
    <mergeCell ref="H80:I80"/>
    <mergeCell ref="D81:E81"/>
    <mergeCell ref="F81:G81"/>
    <mergeCell ref="H81:I81"/>
    <mergeCell ref="D71:G71"/>
    <mergeCell ref="I71:L71"/>
    <mergeCell ref="D78:I78"/>
    <mergeCell ref="D79:E79"/>
    <mergeCell ref="F79:G79"/>
    <mergeCell ref="H79:I79"/>
    <mergeCell ref="D93:E93"/>
    <mergeCell ref="F93:G93"/>
    <mergeCell ref="H93:I93"/>
    <mergeCell ref="D94:E94"/>
    <mergeCell ref="F94:G94"/>
    <mergeCell ref="H94:I94"/>
    <mergeCell ref="D84:G84"/>
    <mergeCell ref="I84:L84"/>
    <mergeCell ref="D91:I91"/>
    <mergeCell ref="D92:E92"/>
    <mergeCell ref="F92:G92"/>
    <mergeCell ref="H92:I92"/>
    <mergeCell ref="D106:E106"/>
    <mergeCell ref="F106:G106"/>
    <mergeCell ref="H106:I106"/>
    <mergeCell ref="D107:E107"/>
    <mergeCell ref="F107:G107"/>
    <mergeCell ref="H107:I107"/>
    <mergeCell ref="D97:G97"/>
    <mergeCell ref="I97:L97"/>
    <mergeCell ref="D104:I104"/>
    <mergeCell ref="D105:E105"/>
    <mergeCell ref="F105:G105"/>
    <mergeCell ref="H105:I105"/>
    <mergeCell ref="D119:E119"/>
    <mergeCell ref="F119:G119"/>
    <mergeCell ref="H119:I119"/>
    <mergeCell ref="D120:E120"/>
    <mergeCell ref="F120:G120"/>
    <mergeCell ref="H120:I120"/>
    <mergeCell ref="D110:G110"/>
    <mergeCell ref="I110:L110"/>
    <mergeCell ref="D117:I117"/>
    <mergeCell ref="D118:E118"/>
    <mergeCell ref="F118:G118"/>
    <mergeCell ref="H118:I118"/>
    <mergeCell ref="D132:E132"/>
    <mergeCell ref="F132:G132"/>
    <mergeCell ref="H132:I132"/>
    <mergeCell ref="D133:E133"/>
    <mergeCell ref="F133:G133"/>
    <mergeCell ref="H133:I133"/>
    <mergeCell ref="D123:G123"/>
    <mergeCell ref="I123:L123"/>
    <mergeCell ref="D130:I130"/>
    <mergeCell ref="D131:E131"/>
    <mergeCell ref="F131:G131"/>
    <mergeCell ref="H131:I131"/>
    <mergeCell ref="D145:E145"/>
    <mergeCell ref="F145:G145"/>
    <mergeCell ref="H145:I145"/>
    <mergeCell ref="D146:E146"/>
    <mergeCell ref="F146:G146"/>
    <mergeCell ref="H146:I146"/>
    <mergeCell ref="D136:G136"/>
    <mergeCell ref="I136:L136"/>
    <mergeCell ref="D143:I143"/>
    <mergeCell ref="D144:E144"/>
    <mergeCell ref="F144:G144"/>
    <mergeCell ref="H144:I144"/>
    <mergeCell ref="D158:E158"/>
    <mergeCell ref="F158:G158"/>
    <mergeCell ref="H158:I158"/>
    <mergeCell ref="D159:E159"/>
    <mergeCell ref="F159:G159"/>
    <mergeCell ref="H159:I159"/>
    <mergeCell ref="D149:G149"/>
    <mergeCell ref="I149:L149"/>
    <mergeCell ref="D156:I156"/>
    <mergeCell ref="D157:E157"/>
    <mergeCell ref="F157:G157"/>
    <mergeCell ref="H157:I157"/>
    <mergeCell ref="D171:E171"/>
    <mergeCell ref="F171:G171"/>
    <mergeCell ref="H171:I171"/>
    <mergeCell ref="D172:E172"/>
    <mergeCell ref="F172:G172"/>
    <mergeCell ref="H172:I172"/>
    <mergeCell ref="D162:G162"/>
    <mergeCell ref="I162:L162"/>
    <mergeCell ref="D169:I169"/>
    <mergeCell ref="D170:E170"/>
    <mergeCell ref="F170:G170"/>
    <mergeCell ref="H170:I170"/>
    <mergeCell ref="D184:E184"/>
    <mergeCell ref="F184:G184"/>
    <mergeCell ref="H184:I184"/>
    <mergeCell ref="D185:E185"/>
    <mergeCell ref="F185:G185"/>
    <mergeCell ref="H185:I185"/>
    <mergeCell ref="D175:G175"/>
    <mergeCell ref="I175:L175"/>
    <mergeCell ref="D182:I182"/>
    <mergeCell ref="D183:E183"/>
    <mergeCell ref="F183:G183"/>
    <mergeCell ref="H183:I183"/>
    <mergeCell ref="D197:E197"/>
    <mergeCell ref="F197:G197"/>
    <mergeCell ref="H197:I197"/>
    <mergeCell ref="D198:E198"/>
    <mergeCell ref="F198:G198"/>
    <mergeCell ref="H198:I198"/>
    <mergeCell ref="D188:G188"/>
    <mergeCell ref="I188:L188"/>
    <mergeCell ref="D195:I195"/>
    <mergeCell ref="D196:E196"/>
    <mergeCell ref="F196:G196"/>
    <mergeCell ref="H196:I196"/>
    <mergeCell ref="D210:E210"/>
    <mergeCell ref="F210:G210"/>
    <mergeCell ref="H210:I210"/>
    <mergeCell ref="D211:E211"/>
    <mergeCell ref="F211:G211"/>
    <mergeCell ref="H211:I211"/>
    <mergeCell ref="D201:G201"/>
    <mergeCell ref="I201:L201"/>
    <mergeCell ref="D208:I208"/>
    <mergeCell ref="D209:E209"/>
    <mergeCell ref="F209:G209"/>
    <mergeCell ref="H209:I209"/>
    <mergeCell ref="D223:E223"/>
    <mergeCell ref="F223:G223"/>
    <mergeCell ref="H223:I223"/>
    <mergeCell ref="D224:E224"/>
    <mergeCell ref="F224:G224"/>
    <mergeCell ref="H224:I224"/>
    <mergeCell ref="D214:G214"/>
    <mergeCell ref="I214:L214"/>
    <mergeCell ref="D221:I221"/>
    <mergeCell ref="D222:E222"/>
    <mergeCell ref="F222:G222"/>
    <mergeCell ref="H222:I222"/>
    <mergeCell ref="D236:E236"/>
    <mergeCell ref="F236:G236"/>
    <mergeCell ref="H236:I236"/>
    <mergeCell ref="D237:E237"/>
    <mergeCell ref="F237:G237"/>
    <mergeCell ref="H237:I237"/>
    <mergeCell ref="D227:G227"/>
    <mergeCell ref="I227:L227"/>
    <mergeCell ref="D234:I234"/>
    <mergeCell ref="D235:E235"/>
    <mergeCell ref="F235:G235"/>
    <mergeCell ref="H235:I235"/>
    <mergeCell ref="D249:E249"/>
    <mergeCell ref="F249:G249"/>
    <mergeCell ref="H249:I249"/>
    <mergeCell ref="D250:E250"/>
    <mergeCell ref="F250:G250"/>
    <mergeCell ref="H250:I250"/>
    <mergeCell ref="D240:G240"/>
    <mergeCell ref="I240:L240"/>
    <mergeCell ref="D247:I247"/>
    <mergeCell ref="D248:E248"/>
    <mergeCell ref="F248:G248"/>
    <mergeCell ref="H248:I248"/>
    <mergeCell ref="D262:E262"/>
    <mergeCell ref="F262:G262"/>
    <mergeCell ref="H262:I262"/>
    <mergeCell ref="D263:E263"/>
    <mergeCell ref="F263:G263"/>
    <mergeCell ref="H263:I263"/>
    <mergeCell ref="D253:G253"/>
    <mergeCell ref="I253:L253"/>
    <mergeCell ref="D260:I260"/>
    <mergeCell ref="D261:E261"/>
    <mergeCell ref="F261:G261"/>
    <mergeCell ref="H261:I261"/>
    <mergeCell ref="D275:E275"/>
    <mergeCell ref="F275:G275"/>
    <mergeCell ref="H275:I275"/>
    <mergeCell ref="D276:E276"/>
    <mergeCell ref="F276:G276"/>
    <mergeCell ref="H276:I276"/>
    <mergeCell ref="D266:G266"/>
    <mergeCell ref="I266:L266"/>
    <mergeCell ref="D273:I273"/>
    <mergeCell ref="D274:E274"/>
    <mergeCell ref="F274:G274"/>
    <mergeCell ref="H274:I274"/>
    <mergeCell ref="D288:E288"/>
    <mergeCell ref="F288:G288"/>
    <mergeCell ref="H288:I288"/>
    <mergeCell ref="D289:E289"/>
    <mergeCell ref="F289:G289"/>
    <mergeCell ref="H289:I289"/>
    <mergeCell ref="D279:G279"/>
    <mergeCell ref="I279:L279"/>
    <mergeCell ref="D286:I286"/>
    <mergeCell ref="D287:E287"/>
    <mergeCell ref="F287:G287"/>
    <mergeCell ref="H287:I287"/>
    <mergeCell ref="D301:E301"/>
    <mergeCell ref="F301:G301"/>
    <mergeCell ref="H301:I301"/>
    <mergeCell ref="D302:E302"/>
    <mergeCell ref="F302:G302"/>
    <mergeCell ref="H302:I302"/>
    <mergeCell ref="D292:G292"/>
    <mergeCell ref="I292:L292"/>
    <mergeCell ref="D299:I299"/>
    <mergeCell ref="D300:E300"/>
    <mergeCell ref="F300:G300"/>
    <mergeCell ref="H300:I300"/>
    <mergeCell ref="D314:E314"/>
    <mergeCell ref="F314:G314"/>
    <mergeCell ref="H314:I314"/>
    <mergeCell ref="D315:E315"/>
    <mergeCell ref="F315:G315"/>
    <mergeCell ref="H315:I315"/>
    <mergeCell ref="D305:G305"/>
    <mergeCell ref="I305:L305"/>
    <mergeCell ref="D312:I312"/>
    <mergeCell ref="D313:E313"/>
    <mergeCell ref="F313:G313"/>
    <mergeCell ref="H313:I313"/>
    <mergeCell ref="D327:E327"/>
    <mergeCell ref="F327:G327"/>
    <mergeCell ref="H327:I327"/>
    <mergeCell ref="D328:E328"/>
    <mergeCell ref="F328:G328"/>
    <mergeCell ref="H328:I328"/>
    <mergeCell ref="D318:G318"/>
    <mergeCell ref="I318:L318"/>
    <mergeCell ref="D325:I325"/>
    <mergeCell ref="D326:E326"/>
    <mergeCell ref="F326:G326"/>
    <mergeCell ref="H326:I326"/>
    <mergeCell ref="D340:E340"/>
    <mergeCell ref="F340:G340"/>
    <mergeCell ref="H340:I340"/>
    <mergeCell ref="D341:E341"/>
    <mergeCell ref="F341:G341"/>
    <mergeCell ref="H341:I341"/>
    <mergeCell ref="D331:G331"/>
    <mergeCell ref="I331:L331"/>
    <mergeCell ref="D338:I338"/>
    <mergeCell ref="D339:E339"/>
    <mergeCell ref="F339:G339"/>
    <mergeCell ref="H339:I339"/>
    <mergeCell ref="D353:E353"/>
    <mergeCell ref="F353:G353"/>
    <mergeCell ref="H353:I353"/>
    <mergeCell ref="D354:E354"/>
    <mergeCell ref="F354:G354"/>
    <mergeCell ref="H354:I354"/>
    <mergeCell ref="D344:G344"/>
    <mergeCell ref="I344:L344"/>
    <mergeCell ref="D351:I351"/>
    <mergeCell ref="D352:E352"/>
    <mergeCell ref="F352:G352"/>
    <mergeCell ref="H352:I352"/>
    <mergeCell ref="D366:E366"/>
    <mergeCell ref="F366:G366"/>
    <mergeCell ref="H366:I366"/>
    <mergeCell ref="D367:E367"/>
    <mergeCell ref="F367:G367"/>
    <mergeCell ref="H367:I367"/>
    <mergeCell ref="D357:G357"/>
    <mergeCell ref="I357:L357"/>
    <mergeCell ref="D364:I364"/>
    <mergeCell ref="D365:E365"/>
    <mergeCell ref="F365:G365"/>
    <mergeCell ref="H365:I365"/>
    <mergeCell ref="D379:E379"/>
    <mergeCell ref="F379:G379"/>
    <mergeCell ref="H379:I379"/>
    <mergeCell ref="D380:E380"/>
    <mergeCell ref="F380:G380"/>
    <mergeCell ref="H380:I380"/>
    <mergeCell ref="D370:G370"/>
    <mergeCell ref="I370:L370"/>
    <mergeCell ref="D377:I377"/>
    <mergeCell ref="D378:E378"/>
    <mergeCell ref="F378:G378"/>
    <mergeCell ref="H378:I378"/>
    <mergeCell ref="D392:E392"/>
    <mergeCell ref="F392:G392"/>
    <mergeCell ref="H392:I392"/>
    <mergeCell ref="D393:E393"/>
    <mergeCell ref="F393:G393"/>
    <mergeCell ref="H393:I393"/>
    <mergeCell ref="D383:G383"/>
    <mergeCell ref="I383:L383"/>
    <mergeCell ref="D390:I390"/>
    <mergeCell ref="D391:E391"/>
    <mergeCell ref="F391:G391"/>
    <mergeCell ref="H391:I391"/>
    <mergeCell ref="D405:E405"/>
    <mergeCell ref="F405:G405"/>
    <mergeCell ref="H405:I405"/>
    <mergeCell ref="D406:E406"/>
    <mergeCell ref="F406:G406"/>
    <mergeCell ref="H406:I406"/>
    <mergeCell ref="D396:G396"/>
    <mergeCell ref="I396:L396"/>
    <mergeCell ref="D403:I403"/>
    <mergeCell ref="D404:E404"/>
    <mergeCell ref="F404:G404"/>
    <mergeCell ref="H404:I404"/>
    <mergeCell ref="D418:E418"/>
    <mergeCell ref="F418:G418"/>
    <mergeCell ref="H418:I418"/>
    <mergeCell ref="D419:E419"/>
    <mergeCell ref="F419:G419"/>
    <mergeCell ref="H419:I419"/>
    <mergeCell ref="D409:G409"/>
    <mergeCell ref="I409:L409"/>
    <mergeCell ref="D416:I416"/>
    <mergeCell ref="D417:E417"/>
    <mergeCell ref="F417:G417"/>
    <mergeCell ref="H417:I417"/>
    <mergeCell ref="D431:E431"/>
    <mergeCell ref="F431:G431"/>
    <mergeCell ref="H431:I431"/>
    <mergeCell ref="D432:E432"/>
    <mergeCell ref="F432:G432"/>
    <mergeCell ref="H432:I432"/>
    <mergeCell ref="D422:G422"/>
    <mergeCell ref="I422:L422"/>
    <mergeCell ref="D429:I429"/>
    <mergeCell ref="D430:E430"/>
    <mergeCell ref="F430:G430"/>
    <mergeCell ref="H430:I430"/>
  </mergeCells>
  <conditionalFormatting sqref="L8:L12">
    <cfRule type="cellIs" dxfId="737" priority="145" operator="equal">
      <formula>"BRONZE"</formula>
    </cfRule>
    <cfRule type="cellIs" dxfId="736" priority="146" operator="equal">
      <formula>"PRATA"</formula>
    </cfRule>
    <cfRule type="containsText" dxfId="735" priority="147" operator="containsText" text="OURO">
      <formula>NOT(ISERROR(SEARCH("OURO",L8)))</formula>
    </cfRule>
  </conditionalFormatting>
  <conditionalFormatting sqref="L30:L33">
    <cfRule type="cellIs" dxfId="734" priority="142" operator="equal">
      <formula>"BRONZE"</formula>
    </cfRule>
    <cfRule type="cellIs" dxfId="733" priority="143" operator="equal">
      <formula>"PRATA"</formula>
    </cfRule>
    <cfRule type="containsText" dxfId="732" priority="144" operator="containsText" text="OURO">
      <formula>NOT(ISERROR(SEARCH("OURO",L30)))</formula>
    </cfRule>
  </conditionalFormatting>
  <conditionalFormatting sqref="L47:L49">
    <cfRule type="cellIs" dxfId="731" priority="139" operator="equal">
      <formula>"BRONZE"</formula>
    </cfRule>
    <cfRule type="cellIs" dxfId="730" priority="140" operator="equal">
      <formula>"PRATA"</formula>
    </cfRule>
    <cfRule type="containsText" dxfId="729" priority="141" operator="containsText" text="OURO">
      <formula>NOT(ISERROR(SEARCH("OURO",L47)))</formula>
    </cfRule>
  </conditionalFormatting>
  <conditionalFormatting sqref="L60:L62">
    <cfRule type="cellIs" dxfId="728" priority="136" operator="equal">
      <formula>"BRONZE"</formula>
    </cfRule>
    <cfRule type="cellIs" dxfId="727" priority="137" operator="equal">
      <formula>"PRATA"</formula>
    </cfRule>
    <cfRule type="containsText" dxfId="726" priority="138" operator="containsText" text="OURO">
      <formula>NOT(ISERROR(SEARCH("OURO",L60)))</formula>
    </cfRule>
  </conditionalFormatting>
  <conditionalFormatting sqref="L73:L75">
    <cfRule type="cellIs" dxfId="725" priority="133" operator="equal">
      <formula>"BRONZE"</formula>
    </cfRule>
    <cfRule type="cellIs" dxfId="724" priority="134" operator="equal">
      <formula>"PRATA"</formula>
    </cfRule>
    <cfRule type="containsText" dxfId="723" priority="135" operator="containsText" text="OURO">
      <formula>NOT(ISERROR(SEARCH("OURO",L73)))</formula>
    </cfRule>
  </conditionalFormatting>
  <conditionalFormatting sqref="L86:L88">
    <cfRule type="cellIs" dxfId="722" priority="130" operator="equal">
      <formula>"BRONZE"</formula>
    </cfRule>
    <cfRule type="cellIs" dxfId="721" priority="131" operator="equal">
      <formula>"PRATA"</formula>
    </cfRule>
    <cfRule type="containsText" dxfId="720" priority="132" operator="containsText" text="OURO">
      <formula>NOT(ISERROR(SEARCH("OURO",L86)))</formula>
    </cfRule>
  </conditionalFormatting>
  <conditionalFormatting sqref="L99:L101">
    <cfRule type="cellIs" dxfId="719" priority="127" operator="equal">
      <formula>"BRONZE"</formula>
    </cfRule>
    <cfRule type="cellIs" dxfId="718" priority="128" operator="equal">
      <formula>"PRATA"</formula>
    </cfRule>
    <cfRule type="containsText" dxfId="717" priority="129" operator="containsText" text="OURO">
      <formula>NOT(ISERROR(SEARCH("OURO",L99)))</formula>
    </cfRule>
  </conditionalFormatting>
  <conditionalFormatting sqref="L112:L114">
    <cfRule type="cellIs" dxfId="716" priority="124" operator="equal">
      <formula>"BRONZE"</formula>
    </cfRule>
    <cfRule type="cellIs" dxfId="715" priority="125" operator="equal">
      <formula>"PRATA"</formula>
    </cfRule>
    <cfRule type="containsText" dxfId="714" priority="126" operator="containsText" text="OURO">
      <formula>NOT(ISERROR(SEARCH("OURO",L112)))</formula>
    </cfRule>
  </conditionalFormatting>
  <conditionalFormatting sqref="L125:L127">
    <cfRule type="cellIs" dxfId="713" priority="121" operator="equal">
      <formula>"BRONZE"</formula>
    </cfRule>
    <cfRule type="cellIs" dxfId="712" priority="122" operator="equal">
      <formula>"PRATA"</formula>
    </cfRule>
    <cfRule type="containsText" dxfId="711" priority="123" operator="containsText" text="OURO">
      <formula>NOT(ISERROR(SEARCH("OURO",L125)))</formula>
    </cfRule>
  </conditionalFormatting>
  <conditionalFormatting sqref="L138:L140">
    <cfRule type="cellIs" dxfId="710" priority="118" operator="equal">
      <formula>"BRONZE"</formula>
    </cfRule>
    <cfRule type="cellIs" dxfId="709" priority="119" operator="equal">
      <formula>"PRATA"</formula>
    </cfRule>
    <cfRule type="containsText" dxfId="708" priority="120" operator="containsText" text="OURO">
      <formula>NOT(ISERROR(SEARCH("OURO",L138)))</formula>
    </cfRule>
  </conditionalFormatting>
  <conditionalFormatting sqref="L151:L153">
    <cfRule type="cellIs" dxfId="707" priority="115" operator="equal">
      <formula>"BRONZE"</formula>
    </cfRule>
    <cfRule type="cellIs" dxfId="706" priority="116" operator="equal">
      <formula>"PRATA"</formula>
    </cfRule>
    <cfRule type="containsText" dxfId="705" priority="117" operator="containsText" text="OURO">
      <formula>NOT(ISERROR(SEARCH("OURO",L151)))</formula>
    </cfRule>
  </conditionalFormatting>
  <conditionalFormatting sqref="L164:L166">
    <cfRule type="cellIs" dxfId="704" priority="112" operator="equal">
      <formula>"BRONZE"</formula>
    </cfRule>
    <cfRule type="cellIs" dxfId="703" priority="113" operator="equal">
      <formula>"PRATA"</formula>
    </cfRule>
    <cfRule type="containsText" dxfId="702" priority="114" operator="containsText" text="OURO">
      <formula>NOT(ISERROR(SEARCH("OURO",L164)))</formula>
    </cfRule>
  </conditionalFormatting>
  <conditionalFormatting sqref="L177:L179">
    <cfRule type="cellIs" dxfId="701" priority="109" operator="equal">
      <formula>"BRONZE"</formula>
    </cfRule>
    <cfRule type="cellIs" dxfId="700" priority="110" operator="equal">
      <formula>"PRATA"</formula>
    </cfRule>
    <cfRule type="containsText" dxfId="699" priority="111" operator="containsText" text="OURO">
      <formula>NOT(ISERROR(SEARCH("OURO",L177)))</formula>
    </cfRule>
  </conditionalFormatting>
  <conditionalFormatting sqref="L190:L192">
    <cfRule type="cellIs" dxfId="698" priority="106" operator="equal">
      <formula>"BRONZE"</formula>
    </cfRule>
    <cfRule type="cellIs" dxfId="697" priority="107" operator="equal">
      <formula>"PRATA"</formula>
    </cfRule>
    <cfRule type="containsText" dxfId="696" priority="108" operator="containsText" text="OURO">
      <formula>NOT(ISERROR(SEARCH("OURO",L190)))</formula>
    </cfRule>
  </conditionalFormatting>
  <conditionalFormatting sqref="L203:L205">
    <cfRule type="cellIs" dxfId="695" priority="103" operator="equal">
      <formula>"BRONZE"</formula>
    </cfRule>
    <cfRule type="cellIs" dxfId="694" priority="104" operator="equal">
      <formula>"PRATA"</formula>
    </cfRule>
    <cfRule type="containsText" dxfId="693" priority="105" operator="containsText" text="OURO">
      <formula>NOT(ISERROR(SEARCH("OURO",L203)))</formula>
    </cfRule>
  </conditionalFormatting>
  <conditionalFormatting sqref="L216:L218">
    <cfRule type="cellIs" dxfId="692" priority="100" operator="equal">
      <formula>"BRONZE"</formula>
    </cfRule>
    <cfRule type="cellIs" dxfId="691" priority="101" operator="equal">
      <formula>"PRATA"</formula>
    </cfRule>
    <cfRule type="containsText" dxfId="690" priority="102" operator="containsText" text="OURO">
      <formula>NOT(ISERROR(SEARCH("OURO",L216)))</formula>
    </cfRule>
  </conditionalFormatting>
  <conditionalFormatting sqref="L229:L231">
    <cfRule type="cellIs" dxfId="689" priority="97" operator="equal">
      <formula>"BRONZE"</formula>
    </cfRule>
    <cfRule type="cellIs" dxfId="688" priority="98" operator="equal">
      <formula>"PRATA"</formula>
    </cfRule>
    <cfRule type="containsText" dxfId="687" priority="99" operator="containsText" text="OURO">
      <formula>NOT(ISERROR(SEARCH("OURO",L229)))</formula>
    </cfRule>
  </conditionalFormatting>
  <conditionalFormatting sqref="L242:L244">
    <cfRule type="cellIs" dxfId="686" priority="94" operator="equal">
      <formula>"BRONZE"</formula>
    </cfRule>
    <cfRule type="cellIs" dxfId="685" priority="95" operator="equal">
      <formula>"PRATA"</formula>
    </cfRule>
    <cfRule type="containsText" dxfId="684" priority="96" operator="containsText" text="OURO">
      <formula>NOT(ISERROR(SEARCH("OURO",L242)))</formula>
    </cfRule>
  </conditionalFormatting>
  <conditionalFormatting sqref="L255:L257">
    <cfRule type="cellIs" dxfId="683" priority="91" operator="equal">
      <formula>"BRONZE"</formula>
    </cfRule>
    <cfRule type="cellIs" dxfId="682" priority="92" operator="equal">
      <formula>"PRATA"</formula>
    </cfRule>
    <cfRule type="containsText" dxfId="681" priority="93" operator="containsText" text="OURO">
      <formula>NOT(ISERROR(SEARCH("OURO",L255)))</formula>
    </cfRule>
  </conditionalFormatting>
  <conditionalFormatting sqref="L268:L270">
    <cfRule type="cellIs" dxfId="680" priority="88" operator="equal">
      <formula>"BRONZE"</formula>
    </cfRule>
    <cfRule type="cellIs" dxfId="679" priority="89" operator="equal">
      <formula>"PRATA"</formula>
    </cfRule>
    <cfRule type="containsText" dxfId="678" priority="90" operator="containsText" text="OURO">
      <formula>NOT(ISERROR(SEARCH("OURO",L268)))</formula>
    </cfRule>
  </conditionalFormatting>
  <conditionalFormatting sqref="L281:L283">
    <cfRule type="cellIs" dxfId="677" priority="85" operator="equal">
      <formula>"BRONZE"</formula>
    </cfRule>
    <cfRule type="cellIs" dxfId="676" priority="86" operator="equal">
      <formula>"PRATA"</formula>
    </cfRule>
    <cfRule type="containsText" dxfId="675" priority="87" operator="containsText" text="OURO">
      <formula>NOT(ISERROR(SEARCH("OURO",L281)))</formula>
    </cfRule>
  </conditionalFormatting>
  <conditionalFormatting sqref="L294:L296">
    <cfRule type="cellIs" dxfId="674" priority="82" operator="equal">
      <formula>"BRONZE"</formula>
    </cfRule>
    <cfRule type="cellIs" dxfId="673" priority="83" operator="equal">
      <formula>"PRATA"</formula>
    </cfRule>
    <cfRule type="containsText" dxfId="672" priority="84" operator="containsText" text="OURO">
      <formula>NOT(ISERROR(SEARCH("OURO",L294)))</formula>
    </cfRule>
  </conditionalFormatting>
  <conditionalFormatting sqref="L307:L309">
    <cfRule type="cellIs" dxfId="671" priority="79" operator="equal">
      <formula>"BRONZE"</formula>
    </cfRule>
    <cfRule type="cellIs" dxfId="670" priority="80" operator="equal">
      <formula>"PRATA"</formula>
    </cfRule>
    <cfRule type="containsText" dxfId="669" priority="81" operator="containsText" text="OURO">
      <formula>NOT(ISERROR(SEARCH("OURO",L307)))</formula>
    </cfRule>
  </conditionalFormatting>
  <conditionalFormatting sqref="L320:L322">
    <cfRule type="cellIs" dxfId="668" priority="76" operator="equal">
      <formula>"BRONZE"</formula>
    </cfRule>
    <cfRule type="cellIs" dxfId="667" priority="77" operator="equal">
      <formula>"PRATA"</formula>
    </cfRule>
    <cfRule type="containsText" dxfId="666" priority="78" operator="containsText" text="OURO">
      <formula>NOT(ISERROR(SEARCH("OURO",L320)))</formula>
    </cfRule>
  </conditionalFormatting>
  <conditionalFormatting sqref="L333:L335">
    <cfRule type="cellIs" dxfId="665" priority="73" operator="equal">
      <formula>"BRONZE"</formula>
    </cfRule>
    <cfRule type="cellIs" dxfId="664" priority="74" operator="equal">
      <formula>"PRATA"</formula>
    </cfRule>
    <cfRule type="containsText" dxfId="663" priority="75" operator="containsText" text="OURO">
      <formula>NOT(ISERROR(SEARCH("OURO",L333)))</formula>
    </cfRule>
  </conditionalFormatting>
  <conditionalFormatting sqref="L346:L348">
    <cfRule type="cellIs" dxfId="662" priority="70" operator="equal">
      <formula>"BRONZE"</formula>
    </cfRule>
    <cfRule type="cellIs" dxfId="661" priority="71" operator="equal">
      <formula>"PRATA"</formula>
    </cfRule>
    <cfRule type="containsText" dxfId="660" priority="72" operator="containsText" text="OURO">
      <formula>NOT(ISERROR(SEARCH("OURO",L346)))</formula>
    </cfRule>
  </conditionalFormatting>
  <conditionalFormatting sqref="L359:L361">
    <cfRule type="cellIs" dxfId="659" priority="67" operator="equal">
      <formula>"BRONZE"</formula>
    </cfRule>
    <cfRule type="cellIs" dxfId="658" priority="68" operator="equal">
      <formula>"PRATA"</formula>
    </cfRule>
    <cfRule type="containsText" dxfId="657" priority="69" operator="containsText" text="OURO">
      <formula>NOT(ISERROR(SEARCH("OURO",L359)))</formula>
    </cfRule>
  </conditionalFormatting>
  <conditionalFormatting sqref="L372:L374">
    <cfRule type="cellIs" dxfId="656" priority="64" operator="equal">
      <formula>"BRONZE"</formula>
    </cfRule>
    <cfRule type="cellIs" dxfId="655" priority="65" operator="equal">
      <formula>"PRATA"</formula>
    </cfRule>
    <cfRule type="containsText" dxfId="654" priority="66" operator="containsText" text="OURO">
      <formula>NOT(ISERROR(SEARCH("OURO",L372)))</formula>
    </cfRule>
  </conditionalFormatting>
  <conditionalFormatting sqref="L385:L387">
    <cfRule type="cellIs" dxfId="653" priority="61" operator="equal">
      <formula>"BRONZE"</formula>
    </cfRule>
    <cfRule type="cellIs" dxfId="652" priority="62" operator="equal">
      <formula>"PRATA"</formula>
    </cfRule>
    <cfRule type="containsText" dxfId="651" priority="63" operator="containsText" text="OURO">
      <formula>NOT(ISERROR(SEARCH("OURO",L385)))</formula>
    </cfRule>
  </conditionalFormatting>
  <conditionalFormatting sqref="L398:L400">
    <cfRule type="cellIs" dxfId="650" priority="58" operator="equal">
      <formula>"BRONZE"</formula>
    </cfRule>
    <cfRule type="cellIs" dxfId="649" priority="59" operator="equal">
      <formula>"PRATA"</formula>
    </cfRule>
    <cfRule type="containsText" dxfId="648" priority="60" operator="containsText" text="OURO">
      <formula>NOT(ISERROR(SEARCH("OURO",L398)))</formula>
    </cfRule>
  </conditionalFormatting>
  <conditionalFormatting sqref="L411:L413">
    <cfRule type="cellIs" dxfId="647" priority="55" operator="equal">
      <formula>"BRONZE"</formula>
    </cfRule>
    <cfRule type="cellIs" dxfId="646" priority="56" operator="equal">
      <formula>"PRATA"</formula>
    </cfRule>
    <cfRule type="containsText" dxfId="645" priority="57" operator="containsText" text="OURO">
      <formula>NOT(ISERROR(SEARCH("OURO",L411)))</formula>
    </cfRule>
  </conditionalFormatting>
  <conditionalFormatting sqref="L424:L426">
    <cfRule type="cellIs" dxfId="644" priority="52" operator="equal">
      <formula>"BRONZE"</formula>
    </cfRule>
    <cfRule type="cellIs" dxfId="643" priority="53" operator="equal">
      <formula>"PRATA"</formula>
    </cfRule>
    <cfRule type="containsText" dxfId="642" priority="54" operator="containsText" text="OURO">
      <formula>NOT(ISERROR(SEARCH("OURO",L424)))</formula>
    </cfRule>
  </conditionalFormatting>
  <conditionalFormatting sqref="L436:L438">
    <cfRule type="cellIs" dxfId="641" priority="49" operator="equal">
      <formula>"BRONZE"</formula>
    </cfRule>
    <cfRule type="cellIs" dxfId="640" priority="50" operator="equal">
      <formula>"PRATA"</formula>
    </cfRule>
    <cfRule type="containsText" dxfId="639" priority="51" operator="containsText" text="OURO">
      <formula>NOT(ISERROR(SEARCH("OURO",L436)))</formula>
    </cfRule>
  </conditionalFormatting>
  <conditionalFormatting sqref="L448:L450">
    <cfRule type="cellIs" dxfId="638" priority="46" operator="equal">
      <formula>"BRONZE"</formula>
    </cfRule>
    <cfRule type="cellIs" dxfId="637" priority="47" operator="equal">
      <formula>"PRATA"</formula>
    </cfRule>
    <cfRule type="containsText" dxfId="636" priority="48" operator="containsText" text="OURO">
      <formula>NOT(ISERROR(SEARCH("OURO",L448)))</formula>
    </cfRule>
  </conditionalFormatting>
  <conditionalFormatting sqref="L460:L462">
    <cfRule type="cellIs" dxfId="635" priority="43" operator="equal">
      <formula>"BRONZE"</formula>
    </cfRule>
    <cfRule type="cellIs" dxfId="634" priority="44" operator="equal">
      <formula>"PRATA"</formula>
    </cfRule>
    <cfRule type="containsText" dxfId="633" priority="45" operator="containsText" text="OURO">
      <formula>NOT(ISERROR(SEARCH("OURO",L460)))</formula>
    </cfRule>
  </conditionalFormatting>
  <conditionalFormatting sqref="L472:L474">
    <cfRule type="cellIs" dxfId="632" priority="40" operator="equal">
      <formula>"BRONZE"</formula>
    </cfRule>
    <cfRule type="cellIs" dxfId="631" priority="41" operator="equal">
      <formula>"PRATA"</formula>
    </cfRule>
    <cfRule type="containsText" dxfId="630" priority="42" operator="containsText" text="OURO">
      <formula>NOT(ISERROR(SEARCH("OURO",L472)))</formula>
    </cfRule>
  </conditionalFormatting>
  <conditionalFormatting sqref="L484:L486">
    <cfRule type="cellIs" dxfId="629" priority="37" operator="equal">
      <formula>"BRONZE"</formula>
    </cfRule>
    <cfRule type="cellIs" dxfId="628" priority="38" operator="equal">
      <formula>"PRATA"</formula>
    </cfRule>
    <cfRule type="containsText" dxfId="627" priority="39" operator="containsText" text="OURO">
      <formula>NOT(ISERROR(SEARCH("OURO",L484)))</formula>
    </cfRule>
  </conditionalFormatting>
  <conditionalFormatting sqref="L496:L498">
    <cfRule type="cellIs" dxfId="626" priority="34" operator="equal">
      <formula>"BRONZE"</formula>
    </cfRule>
    <cfRule type="cellIs" dxfId="625" priority="35" operator="equal">
      <formula>"PRATA"</formula>
    </cfRule>
    <cfRule type="containsText" dxfId="624" priority="36" operator="containsText" text="OURO">
      <formula>NOT(ISERROR(SEARCH("OURO",L496)))</formula>
    </cfRule>
  </conditionalFormatting>
  <conditionalFormatting sqref="L508:L510">
    <cfRule type="cellIs" dxfId="623" priority="31" operator="equal">
      <formula>"BRONZE"</formula>
    </cfRule>
    <cfRule type="cellIs" dxfId="622" priority="32" operator="equal">
      <formula>"PRATA"</formula>
    </cfRule>
    <cfRule type="containsText" dxfId="621" priority="33" operator="containsText" text="OURO">
      <formula>NOT(ISERROR(SEARCH("OURO",L508)))</formula>
    </cfRule>
  </conditionalFormatting>
  <conditionalFormatting sqref="L520:L522">
    <cfRule type="cellIs" dxfId="620" priority="28" operator="equal">
      <formula>"BRONZE"</formula>
    </cfRule>
    <cfRule type="cellIs" dxfId="619" priority="29" operator="equal">
      <formula>"PRATA"</formula>
    </cfRule>
    <cfRule type="containsText" dxfId="618" priority="30" operator="containsText" text="OURO">
      <formula>NOT(ISERROR(SEARCH("OURO",L520)))</formula>
    </cfRule>
  </conditionalFormatting>
  <conditionalFormatting sqref="L533:L535">
    <cfRule type="cellIs" dxfId="617" priority="25" operator="equal">
      <formula>"BRONZE"</formula>
    </cfRule>
    <cfRule type="cellIs" dxfId="616" priority="26" operator="equal">
      <formula>"PRATA"</formula>
    </cfRule>
    <cfRule type="containsText" dxfId="615" priority="27" operator="containsText" text="OURO">
      <formula>NOT(ISERROR(SEARCH("OURO",L533)))</formula>
    </cfRule>
  </conditionalFormatting>
  <conditionalFormatting sqref="L546:L548">
    <cfRule type="cellIs" dxfId="614" priority="22" operator="equal">
      <formula>"BRONZE"</formula>
    </cfRule>
    <cfRule type="cellIs" dxfId="613" priority="23" operator="equal">
      <formula>"PRATA"</formula>
    </cfRule>
    <cfRule type="containsText" dxfId="612" priority="24" operator="containsText" text="OURO">
      <formula>NOT(ISERROR(SEARCH("OURO",L546)))</formula>
    </cfRule>
  </conditionalFormatting>
  <conditionalFormatting sqref="L558:L560">
    <cfRule type="cellIs" dxfId="611" priority="19" operator="equal">
      <formula>"BRONZE"</formula>
    </cfRule>
    <cfRule type="cellIs" dxfId="610" priority="20" operator="equal">
      <formula>"PRATA"</formula>
    </cfRule>
    <cfRule type="containsText" dxfId="609" priority="21" operator="containsText" text="OURO">
      <formula>NOT(ISERROR(SEARCH("OURO",L558)))</formula>
    </cfRule>
  </conditionalFormatting>
  <conditionalFormatting sqref="L570:L572">
    <cfRule type="cellIs" dxfId="608" priority="16" operator="equal">
      <formula>"BRONZE"</formula>
    </cfRule>
    <cfRule type="cellIs" dxfId="607" priority="17" operator="equal">
      <formula>"PRATA"</formula>
    </cfRule>
    <cfRule type="containsText" dxfId="606" priority="18" operator="containsText" text="OURO">
      <formula>NOT(ISERROR(SEARCH("OURO",L570)))</formula>
    </cfRule>
  </conditionalFormatting>
  <conditionalFormatting sqref="L582:L584">
    <cfRule type="cellIs" dxfId="605" priority="13" operator="equal">
      <formula>"BRONZE"</formula>
    </cfRule>
    <cfRule type="cellIs" dxfId="604" priority="14" operator="equal">
      <formula>"PRATA"</formula>
    </cfRule>
    <cfRule type="containsText" dxfId="603" priority="15" operator="containsText" text="OURO">
      <formula>NOT(ISERROR(SEARCH("OURO",L582)))</formula>
    </cfRule>
  </conditionalFormatting>
  <conditionalFormatting sqref="L594:L596">
    <cfRule type="cellIs" dxfId="602" priority="10" operator="equal">
      <formula>"BRONZE"</formula>
    </cfRule>
    <cfRule type="cellIs" dxfId="601" priority="11" operator="equal">
      <formula>"PRATA"</formula>
    </cfRule>
    <cfRule type="containsText" dxfId="600" priority="12" operator="containsText" text="OURO">
      <formula>NOT(ISERROR(SEARCH("OURO",L594)))</formula>
    </cfRule>
  </conditionalFormatting>
  <conditionalFormatting sqref="L606:L608">
    <cfRule type="cellIs" dxfId="599" priority="7" operator="equal">
      <formula>"BRONZE"</formula>
    </cfRule>
    <cfRule type="cellIs" dxfId="598" priority="8" operator="equal">
      <formula>"PRATA"</formula>
    </cfRule>
    <cfRule type="containsText" dxfId="597" priority="9" operator="containsText" text="OURO">
      <formula>NOT(ISERROR(SEARCH("OURO",L606)))</formula>
    </cfRule>
  </conditionalFormatting>
  <conditionalFormatting sqref="L618:L620">
    <cfRule type="cellIs" dxfId="596" priority="4" operator="equal">
      <formula>"BRONZE"</formula>
    </cfRule>
    <cfRule type="cellIs" dxfId="595" priority="5" operator="equal">
      <formula>"PRATA"</formula>
    </cfRule>
    <cfRule type="containsText" dxfId="594" priority="6" operator="containsText" text="OURO">
      <formula>NOT(ISERROR(SEARCH("OURO",L618)))</formula>
    </cfRule>
  </conditionalFormatting>
  <pageMargins left="0.51181102362204722" right="0.51181102362204722" top="0.78740157480314965" bottom="0.78740157480314965" header="0.31496062992125984" footer="0.31496062992125984"/>
  <pageSetup paperSize="9" scale="60" orientation="landscape"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LISTAS!$D$10:$D$41</xm:f>
          </x14:formula1>
          <xm:sqref>G5</xm:sqref>
        </x14:dataValidation>
        <x14:dataValidation type="list" allowBlank="1" showInputMessage="1" showErrorMessage="1" xr:uid="{00000000-0002-0000-0600-000001000000}">
          <x14:formula1>
            <xm:f>LISTAS!$F$5:$F$1004</xm:f>
          </x14:formula1>
          <xm:sqref>B606:B607 B47:B49 B60:B62 B73:B75 B86:B88 B99:B101 B112:B114 B125:B127 B138:B140 B151:B153 B164:B166 B177:B179 B190:B192 B203:B205 B216:B218 B229:B231 B8:B12 B255:B257 B268:B270 B281:B283 B294:B296 B307:B309 B244 B333:B335 B346:B348 B359:B361 B372:B374 B385:B387 B398:B400 B411:B413 B424:B426 B436:B438 B448:B450 B460:B462 B472:B474 B484:B486 B320:B321 B594:B595 B520:B522 B533:B535 B546:B548 B558:B560 B570:B572 B582:B584 B618:B620 B508:B509 B242 B496 B30 B32:B33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tabColor theme="4" tint="0.39997558519241921"/>
    <pageSetUpPr fitToPage="1"/>
  </sheetPr>
  <dimension ref="B1:AW200"/>
  <sheetViews>
    <sheetView showGridLines="0" topLeftCell="AK107" zoomScale="62" zoomScaleNormal="85" workbookViewId="0">
      <selection activeCell="AU169" sqref="AU169"/>
    </sheetView>
  </sheetViews>
  <sheetFormatPr defaultColWidth="25.28515625" defaultRowHeight="16.5" x14ac:dyDescent="0.25"/>
  <cols>
    <col min="1" max="1" width="1.140625" style="1" customWidth="1"/>
    <col min="2" max="2" width="4.5703125" style="1" bestFit="1" customWidth="1"/>
    <col min="3" max="3" width="36.42578125" style="163" customWidth="1"/>
    <col min="4" max="4" width="5" style="1" customWidth="1"/>
    <col min="5" max="6" width="3.7109375" style="1" customWidth="1"/>
    <col min="7" max="7" width="18.7109375" style="173" customWidth="1"/>
    <col min="8" max="8" width="5" style="1" customWidth="1"/>
    <col min="9" max="9" width="3.7109375" style="1" customWidth="1"/>
    <col min="10" max="10" width="3.85546875" style="1" customWidth="1"/>
    <col min="11" max="11" width="18.7109375" style="173" customWidth="1"/>
    <col min="12" max="12" width="5" style="1" customWidth="1"/>
    <col min="13" max="14" width="3.7109375" style="1" customWidth="1"/>
    <col min="15" max="15" width="18.7109375" style="173" customWidth="1"/>
    <col min="16" max="16" width="5" style="1" customWidth="1"/>
    <col min="17" max="17" width="6.28515625" style="23" customWidth="1"/>
    <col min="18" max="18" width="18.7109375" style="183" customWidth="1"/>
    <col min="19" max="21" width="3.7109375" style="23" customWidth="1"/>
    <col min="22" max="22" width="18.5703125" style="183" customWidth="1"/>
    <col min="23" max="23" width="6.28515625" style="1" customWidth="1"/>
    <col min="24" max="24" width="5" style="2" customWidth="1"/>
    <col min="25" max="25" width="18.7109375" style="173" customWidth="1"/>
    <col min="26" max="27" width="3.7109375" style="1" customWidth="1"/>
    <col min="28" max="28" width="5" style="1" customWidth="1"/>
    <col min="29" max="29" width="18.85546875" style="173" customWidth="1"/>
    <col min="30" max="31" width="3.7109375" style="1" customWidth="1"/>
    <col min="32" max="32" width="5" style="1" customWidth="1"/>
    <col min="33" max="33" width="18.85546875" style="173" customWidth="1"/>
    <col min="34" max="34" width="3.7109375" style="1" customWidth="1"/>
    <col min="35" max="35" width="3.5703125" style="1" customWidth="1"/>
    <col min="36" max="36" width="5" style="1" customWidth="1"/>
    <col min="37" max="37" width="39.140625" style="173" customWidth="1"/>
    <col min="38" max="38" width="3.28515625" style="23" customWidth="1"/>
    <col min="39" max="41" width="1.42578125" style="20" customWidth="1"/>
    <col min="42" max="42" width="9.7109375" style="1" customWidth="1"/>
    <col min="43" max="43" width="15.5703125" style="1" customWidth="1"/>
    <col min="44" max="44" width="57.28515625" style="1" customWidth="1"/>
    <col min="45" max="45" width="57.28515625" style="1" bestFit="1" customWidth="1"/>
    <col min="46" max="16384" width="25.28515625" style="1"/>
  </cols>
  <sheetData>
    <row r="1" spans="2:49" ht="6" customHeight="1" x14ac:dyDescent="0.25"/>
    <row r="2" spans="2:49" s="3" customFormat="1" ht="60.75" customHeight="1" x14ac:dyDescent="0.25">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5"/>
      <c r="AN2" s="25"/>
      <c r="AO2" s="25"/>
      <c r="AP2" s="233"/>
      <c r="AQ2" s="233"/>
      <c r="AR2" s="233"/>
      <c r="AS2" s="233"/>
      <c r="AT2" s="233"/>
      <c r="AU2" s="233"/>
    </row>
    <row r="3" spans="2:49" s="3" customFormat="1" ht="60.75" customHeight="1" x14ac:dyDescent="0.25">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5"/>
      <c r="AN3" s="25"/>
      <c r="AO3" s="25"/>
      <c r="AP3" s="233"/>
      <c r="AQ3" s="233"/>
      <c r="AR3" s="233"/>
      <c r="AS3" s="233"/>
      <c r="AT3" s="233"/>
      <c r="AU3" s="233"/>
      <c r="AV3" s="1"/>
      <c r="AW3" s="1"/>
    </row>
    <row r="4" spans="2:49" s="3" customFormat="1" ht="13.5" customHeight="1" x14ac:dyDescent="0.25">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5"/>
      <c r="AN4" s="25"/>
      <c r="AO4" s="25"/>
      <c r="AP4" s="4"/>
      <c r="AQ4" s="4"/>
      <c r="AR4" s="4"/>
      <c r="AS4" s="4"/>
      <c r="AT4" s="4"/>
      <c r="AU4" s="4"/>
    </row>
    <row r="5" spans="2:49" s="3" customFormat="1" ht="30" customHeight="1" x14ac:dyDescent="0.25">
      <c r="B5" s="274" t="s">
        <v>24</v>
      </c>
      <c r="C5" s="275"/>
      <c r="D5" s="275"/>
      <c r="E5" s="40"/>
      <c r="G5" s="174"/>
      <c r="H5" s="4"/>
      <c r="K5" s="178"/>
      <c r="O5" s="178"/>
      <c r="Q5" s="24"/>
      <c r="R5" s="184"/>
      <c r="S5" s="24"/>
      <c r="T5" s="24"/>
      <c r="U5" s="24"/>
      <c r="V5" s="184"/>
      <c r="W5" s="24"/>
      <c r="X5" s="24"/>
      <c r="Y5" s="184"/>
      <c r="Z5" s="5"/>
      <c r="AB5" s="4"/>
      <c r="AC5" s="174"/>
      <c r="AG5" s="178"/>
      <c r="AK5" s="178"/>
      <c r="AL5" s="24"/>
      <c r="AM5" s="25"/>
      <c r="AN5" s="25"/>
      <c r="AO5" s="25"/>
      <c r="AP5" s="274" t="s">
        <v>24</v>
      </c>
      <c r="AQ5" s="276"/>
      <c r="AR5" s="6" t="s">
        <v>13</v>
      </c>
      <c r="AS5" s="7" t="s">
        <v>14</v>
      </c>
      <c r="AT5" s="4"/>
      <c r="AU5" s="4"/>
    </row>
    <row r="6" spans="2:49" ht="30" customHeight="1" x14ac:dyDescent="0.25">
      <c r="B6" s="247" t="s">
        <v>21</v>
      </c>
      <c r="C6" s="248"/>
      <c r="D6" s="248"/>
      <c r="E6" s="248"/>
      <c r="F6" s="248"/>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P6" s="246" t="s">
        <v>21</v>
      </c>
      <c r="AQ6" s="246"/>
      <c r="AR6" s="246"/>
      <c r="AS6" s="246"/>
      <c r="AT6" s="246"/>
      <c r="AU6" s="246"/>
    </row>
    <row r="7" spans="2:49" ht="28.5" customHeight="1" thickBot="1" x14ac:dyDescent="0.3">
      <c r="B7" s="135"/>
      <c r="C7" s="187"/>
      <c r="D7" s="27"/>
      <c r="E7" s="27"/>
      <c r="F7" s="27"/>
      <c r="G7" s="191"/>
      <c r="H7" s="27"/>
      <c r="I7" s="27"/>
      <c r="J7" s="27"/>
      <c r="K7" s="195"/>
      <c r="L7" s="27"/>
      <c r="M7" s="27"/>
      <c r="N7" s="27"/>
      <c r="O7" s="195"/>
      <c r="P7" s="27"/>
      <c r="Q7" s="27"/>
      <c r="R7" s="195"/>
      <c r="S7" s="27"/>
      <c r="T7" s="27"/>
      <c r="U7" s="27"/>
      <c r="V7" s="195"/>
      <c r="W7" s="27"/>
      <c r="X7" s="26"/>
      <c r="Y7" s="195"/>
      <c r="Z7" s="27"/>
      <c r="AA7" s="27"/>
      <c r="AB7" s="92"/>
      <c r="AC7" s="195"/>
      <c r="AD7" s="150"/>
      <c r="AE7" s="150"/>
      <c r="AF7" s="150"/>
      <c r="AG7" s="200"/>
      <c r="AH7" s="150"/>
      <c r="AI7" s="150"/>
      <c r="AJ7" s="27"/>
      <c r="AK7" s="195"/>
      <c r="AL7" s="27"/>
      <c r="AP7" s="258" t="s">
        <v>3</v>
      </c>
      <c r="AQ7" s="260"/>
      <c r="AR7" s="132" t="s">
        <v>15</v>
      </c>
      <c r="AS7" s="132" t="s">
        <v>0</v>
      </c>
      <c r="AT7" s="132" t="s">
        <v>16</v>
      </c>
      <c r="AU7" s="132" t="s">
        <v>17</v>
      </c>
    </row>
    <row r="8" spans="2:49" ht="18" customHeight="1" x14ac:dyDescent="0.25">
      <c r="B8" s="136">
        <v>1</v>
      </c>
      <c r="C8" s="162"/>
      <c r="D8" s="266">
        <v>0</v>
      </c>
      <c r="E8" s="101">
        <f>IF(D8&lt;&gt;"",D8,"")</f>
        <v>0</v>
      </c>
      <c r="F8" s="101" t="str">
        <f>IF(D8&lt;&gt;"",IF(C8="","",C8),"")</f>
        <v/>
      </c>
      <c r="G8" s="190">
        <f>IF(E8&lt;&gt;"",IF(E10&lt;&gt;"",SMALL(E8:E10,1),""),"")</f>
        <v>0</v>
      </c>
      <c r="H8" s="101"/>
      <c r="I8" s="101"/>
      <c r="J8" s="101"/>
      <c r="K8" s="190"/>
      <c r="L8" s="101"/>
      <c r="M8" s="151"/>
      <c r="N8" s="30"/>
      <c r="O8" s="196"/>
      <c r="P8" s="30"/>
      <c r="Q8" s="37"/>
      <c r="R8" s="198"/>
      <c r="S8" s="37"/>
      <c r="T8" s="37"/>
      <c r="U8" s="37"/>
      <c r="V8" s="198"/>
      <c r="W8" s="37"/>
      <c r="X8" s="86"/>
      <c r="Y8" s="198"/>
      <c r="Z8" s="37"/>
      <c r="AA8" s="37"/>
      <c r="AB8" s="29"/>
      <c r="AC8" s="198"/>
      <c r="AD8" s="100"/>
      <c r="AE8" s="100"/>
      <c r="AF8" s="100"/>
      <c r="AG8" s="197">
        <f>IF(AJ8&lt;&gt;"",AJ8,"")</f>
        <v>0</v>
      </c>
      <c r="AH8" s="100" t="str">
        <f>IF(AJ8&lt;&gt;"",IF(AK8="","",AK8),"")</f>
        <v>RENATO YUKIO MIYAHIRA PEGGAU</v>
      </c>
      <c r="AI8" s="101">
        <f>IF(AG8&lt;&gt;"",IF(AG10&lt;&gt;"",SMALL(AG8:AG10,1),""),"")</f>
        <v>0</v>
      </c>
      <c r="AJ8" s="266">
        <v>0</v>
      </c>
      <c r="AK8" s="162" t="str">
        <f>IF('11M GRP'!G5&gt;=3,'11M GRP'!J47,IF('11M GRP'!G5=2,IF('11M GRP'!H8=3,"",'11M GRP'!J9),IF('11M GRP'!G5=1,'11M GRP'!J10,"")))</f>
        <v>RENATO YUKIO MIYAHIRA PEGGAU</v>
      </c>
      <c r="AL8" s="99">
        <v>3</v>
      </c>
      <c r="AP8" s="31">
        <f>IF(AR8&lt;&gt;"",1,"")</f>
        <v>1</v>
      </c>
      <c r="AQ8" s="32" t="str">
        <f>IF(AP8&lt;&gt;"","LUGAR","")</f>
        <v>LUGAR</v>
      </c>
      <c r="AR8" s="33" t="str">
        <f>IF(S36&lt;&gt;"",IF(U36&lt;&gt;"",IF(S36=U36,"",IF(S36&gt;U36,R36,V36)),""),"")</f>
        <v>LORENZO BELOTTI</v>
      </c>
      <c r="AS8" s="33" t="str">
        <f>IFERROR(IF(AR8="","",VLOOKUP(AR8,LISTAS!$F$5:$G$1004,2,0)),"0")</f>
        <v>COLÉGIO MARCONI - GRU</v>
      </c>
      <c r="AT8" s="33">
        <f t="shared" ref="AT8:AT23" si="0">IF(AP8="","",IF(AP8=1,400,IF(AP8=2,340,IF(AP8=3,300,IF(AP8=4,280,IF(AP8=5,270,IF(AP8=6,260,IF(AP8=7,250,IF(AP8=8,240,IF(AP8=9,200,IF(AP8=10,200,IF(AP8=11,200,IF(AP8=12,200,IF(AP8=13,200,IF(AP8=14,200,IF(AP8=15,200,IF(AP8=16,200,IF(AP8&gt;16,"",""))))))))))))))))))</f>
        <v>400</v>
      </c>
      <c r="AU8" s="33">
        <f>IF(AP8="","",IF($AS$5="NÃO","",IF(AP8=1,400,IF(AP8=2,340,IF(AP8=3,300,IF(AP8=4,280,IF(AP8=5,270,IF(AP8=6,260,IF(AP8=7,250,IF(AP8=8,240,IF(AP8=9,200,IF(AP8=10,200,IF(AP8=11,200,IF(AP8=12,200,IF(AP8=13,200,IF(AP8=14,200,IF(AP8=15,200,IF(AP8=16,200,IF(AP8&gt;16,"","")))))))))))))))))))</f>
        <v>400</v>
      </c>
    </row>
    <row r="9" spans="2:49" ht="18" customHeight="1" thickBot="1" x14ac:dyDescent="0.3">
      <c r="B9" s="136"/>
      <c r="C9" s="165" t="str">
        <f>IFERROR(IF(C8="","",VLOOKUP(C8,LISTAS!$F$5:$G$1004,2,0)),"0")</f>
        <v/>
      </c>
      <c r="D9" s="267"/>
      <c r="E9" s="101"/>
      <c r="F9" s="101"/>
      <c r="G9" s="190"/>
      <c r="H9" s="101"/>
      <c r="I9" s="101"/>
      <c r="J9" s="101"/>
      <c r="K9" s="190"/>
      <c r="L9" s="101"/>
      <c r="M9" s="151"/>
      <c r="N9" s="30"/>
      <c r="O9" s="198"/>
      <c r="P9" s="30"/>
      <c r="Q9" s="37"/>
      <c r="R9" s="198"/>
      <c r="S9" s="37"/>
      <c r="T9" s="37"/>
      <c r="U9" s="37"/>
      <c r="V9" s="198"/>
      <c r="W9" s="37"/>
      <c r="X9" s="86"/>
      <c r="Y9" s="198"/>
      <c r="Z9" s="37"/>
      <c r="AA9" s="37"/>
      <c r="AB9" s="29"/>
      <c r="AC9" s="198"/>
      <c r="AD9" s="100"/>
      <c r="AE9" s="100"/>
      <c r="AF9" s="100"/>
      <c r="AG9" s="197"/>
      <c r="AH9" s="100"/>
      <c r="AI9" s="101"/>
      <c r="AJ9" s="267"/>
      <c r="AK9" s="165" t="str">
        <f>IFERROR(IF(AK8="","",VLOOKUP(AK8,LISTAS!$F$5:$G$1004,2,0)),"0")</f>
        <v>ESCOLA VILLARE</v>
      </c>
      <c r="AL9" s="99"/>
      <c r="AP9" s="31">
        <f>IF(AR9&lt;&gt;"",1+COUNTIF(AP8,"1"),"")</f>
        <v>2</v>
      </c>
      <c r="AQ9" s="32" t="str">
        <f t="shared" ref="AQ9:AQ55" si="1">IF(AP9&lt;&gt;"","LUGAR","")</f>
        <v>LUGAR</v>
      </c>
      <c r="AR9" s="33" t="str">
        <f>IF(S36&lt;&gt;"",IF(U36&lt;&gt;"",IF(S36=U36,"",IF(S36&lt;U36,R36,V36)),""),"")</f>
        <v>CESAR TRIGLIA</v>
      </c>
      <c r="AS9" s="33" t="str">
        <f>IFERROR(IF(AR9="","",VLOOKUP(AR9,LISTAS!$F$5:$G$1004,2,0)),"0")</f>
        <v>COLÉGIO MARCONI - GRU</v>
      </c>
      <c r="AT9" s="33">
        <f t="shared" si="0"/>
        <v>340</v>
      </c>
      <c r="AU9" s="33">
        <f t="shared" ref="AU9:AU38" si="2">IF(AP9="","",IF($AS$5="NÃO","",IF(AP9=1,400,IF(AP9=2,340,IF(AP9=3,300,IF(AP9=4,280,IF(AP9=5,270,IF(AP9=6,260,IF(AP9=7,250,IF(AP9=8,240,IF(AP9=9,200,IF(AP9=10,200,IF(AP9=11,200,IF(AP9=12,200,IF(AP9=13,200,IF(AP9=14,200,IF(AP9=15,200,IF(AP9=16,200,IF(AP9&gt;16,"","")))))))))))))))))))</f>
        <v>340</v>
      </c>
    </row>
    <row r="10" spans="2:49" ht="18" customHeight="1" x14ac:dyDescent="0.25">
      <c r="B10" s="133">
        <v>32</v>
      </c>
      <c r="C10" s="39" t="s">
        <v>348</v>
      </c>
      <c r="D10" s="266">
        <v>1</v>
      </c>
      <c r="E10" s="107">
        <f>IF(D10&lt;&gt;"",D10,"")</f>
        <v>1</v>
      </c>
      <c r="F10" s="101" t="str">
        <f>IF(D10&lt;&gt;"",IF(C10="","",C10),"")</f>
        <v>RAFAEL ESPERIDIÃO EIRAS</v>
      </c>
      <c r="G10" s="190" t="str">
        <f>VLOOKUP(G8,E8:F10,2,0)</f>
        <v/>
      </c>
      <c r="H10" s="101"/>
      <c r="I10" s="101"/>
      <c r="J10" s="101"/>
      <c r="K10" s="190"/>
      <c r="L10" s="101"/>
      <c r="M10" s="151"/>
      <c r="N10" s="30"/>
      <c r="O10" s="196"/>
      <c r="P10" s="30"/>
      <c r="Q10" s="37"/>
      <c r="R10" s="198"/>
      <c r="S10" s="37"/>
      <c r="T10" s="37"/>
      <c r="U10" s="37"/>
      <c r="V10" s="198"/>
      <c r="W10" s="37"/>
      <c r="X10" s="86"/>
      <c r="Y10" s="198"/>
      <c r="Z10" s="37"/>
      <c r="AA10" s="37"/>
      <c r="AB10" s="29"/>
      <c r="AC10" s="198"/>
      <c r="AD10" s="100"/>
      <c r="AE10" s="100"/>
      <c r="AF10" s="100"/>
      <c r="AG10" s="197">
        <f>IF(AJ10&lt;&gt;"",AJ10,"")</f>
        <v>1</v>
      </c>
      <c r="AH10" s="100" t="str">
        <f>IF(AJ10&lt;&gt;"",IF(AK10="","",AK10),"")</f>
        <v>GUILHERME BERNARDI PINTO</v>
      </c>
      <c r="AI10" s="102" t="str">
        <f>VLOOKUP(AI8,AG8:AH10,2,0)</f>
        <v>RENATO YUKIO MIYAHIRA PEGGAU</v>
      </c>
      <c r="AJ10" s="266">
        <v>1</v>
      </c>
      <c r="AK10" s="33" t="s">
        <v>266</v>
      </c>
      <c r="AL10" s="29">
        <v>30</v>
      </c>
      <c r="AP10" s="31">
        <f>IF(AR10&lt;&gt;"",1+COUNTIF(AP8:AP9,"1")+COUNTIF(AP8:AP9,"2"),"")</f>
        <v>3</v>
      </c>
      <c r="AQ10" s="32" t="str">
        <f t="shared" si="1"/>
        <v>LUGAR</v>
      </c>
      <c r="AR10" s="111" t="str">
        <f>IF(AR8&lt;&gt;"",IF(O35=AR8,O37,IF(O37=AR8,O35,IF(Y35=AR8,Y37,IF(Y37=AR8,Y35)))),"")</f>
        <v>LUCCA DE ALMEIDA BRANCALLIAO</v>
      </c>
      <c r="AS10" s="33" t="str">
        <f>IFERROR(IF(AR10="","",VLOOKUP(AR10,LISTAS!$F$5:$G$1004,2,0)),"0")</f>
        <v>PEN LIFE</v>
      </c>
      <c r="AT10" s="33">
        <f t="shared" si="0"/>
        <v>300</v>
      </c>
      <c r="AU10" s="33">
        <f t="shared" si="2"/>
        <v>300</v>
      </c>
    </row>
    <row r="11" spans="2:49" ht="18" customHeight="1" thickBot="1" x14ac:dyDescent="0.3">
      <c r="B11" s="133"/>
      <c r="C11" s="165" t="str">
        <f>IFERROR(IF(C10="","",VLOOKUP(C10,LISTAS!$F$5:$G$1004,2,0)),"0")</f>
        <v>ABACO IPIRANGA</v>
      </c>
      <c r="D11" s="267"/>
      <c r="E11" s="148"/>
      <c r="F11" s="101"/>
      <c r="G11" s="190"/>
      <c r="H11" s="101"/>
      <c r="I11" s="101"/>
      <c r="J11" s="101"/>
      <c r="K11" s="190"/>
      <c r="L11" s="101"/>
      <c r="M11" s="151"/>
      <c r="N11" s="30"/>
      <c r="O11" s="196"/>
      <c r="P11" s="30"/>
      <c r="Q11" s="37"/>
      <c r="R11" s="198"/>
      <c r="S11" s="37"/>
      <c r="T11" s="37"/>
      <c r="U11" s="37"/>
      <c r="V11" s="198"/>
      <c r="W11" s="37"/>
      <c r="X11" s="86"/>
      <c r="Y11" s="198"/>
      <c r="Z11" s="37"/>
      <c r="AA11" s="37"/>
      <c r="AB11" s="29"/>
      <c r="AC11" s="198"/>
      <c r="AD11" s="100"/>
      <c r="AE11" s="100"/>
      <c r="AF11" s="100"/>
      <c r="AG11" s="197"/>
      <c r="AH11" s="100"/>
      <c r="AI11" s="142"/>
      <c r="AJ11" s="267"/>
      <c r="AK11" s="165" t="str">
        <f>IFERROR(IF(AK10="","",VLOOKUP(AK10,LISTAS!$F$5:$G$1004,2,0)),"0")</f>
        <v>COLEGIO PETROPOLIS</v>
      </c>
      <c r="AL11" s="29"/>
      <c r="AP11" s="31">
        <f>IF(AR11&lt;&gt;"",1+COUNTIF(AP8:AP10,"1")+COUNTIF(AP8:AP10,"2")+COUNTIF(AP8:AP10,"3"),"")</f>
        <v>4</v>
      </c>
      <c r="AQ11" s="32" t="str">
        <f t="shared" si="1"/>
        <v>LUGAR</v>
      </c>
      <c r="AR11" s="111" t="str">
        <f>IF(AR9&lt;&gt;"",IF(O35=AR9,O37,IF(O37=AR9,O35,IF(Y35=AR9,Y37,IF(Y37=AR9,Y35)))),"")</f>
        <v>BERNARDO TOME</v>
      </c>
      <c r="AS11" s="33" t="str">
        <f>IFERROR(IF(AR11="","",VLOOKUP(AR11,LISTAS!$F$5:$G$1004,2,0)),"0")</f>
        <v>PEN LIFE</v>
      </c>
      <c r="AT11" s="33">
        <f t="shared" si="0"/>
        <v>280</v>
      </c>
      <c r="AU11" s="33">
        <f t="shared" si="2"/>
        <v>280</v>
      </c>
    </row>
    <row r="12" spans="2:49" ht="18" customHeight="1" x14ac:dyDescent="0.25">
      <c r="B12" s="133"/>
      <c r="C12" s="188"/>
      <c r="D12" s="29"/>
      <c r="E12" s="29"/>
      <c r="F12" s="34"/>
      <c r="G12" s="162" t="str">
        <f>IF(D8&lt;&gt;"",IF(D10&lt;&gt;"",IF(D8=D10,"",IF(D8&gt;D10,C8,C10)),""),"")</f>
        <v>RAFAEL ESPERIDIÃO EIRAS</v>
      </c>
      <c r="H12" s="266">
        <v>0</v>
      </c>
      <c r="I12" s="101">
        <f>IF(H12&lt;&gt;"",H12,"")</f>
        <v>0</v>
      </c>
      <c r="J12" s="101" t="str">
        <f>IF(H12&lt;&gt;"",IF(G12="","",G12),"")</f>
        <v>RAFAEL ESPERIDIÃO EIRAS</v>
      </c>
      <c r="K12" s="190">
        <f>IF(I12&lt;&gt;"",IF(I14&lt;&gt;"",SMALL(I12:J14,1),""),"")</f>
        <v>0</v>
      </c>
      <c r="L12" s="101"/>
      <c r="M12" s="101"/>
      <c r="N12" s="101"/>
      <c r="O12" s="190"/>
      <c r="P12" s="29"/>
      <c r="Q12" s="37"/>
      <c r="R12" s="198"/>
      <c r="S12" s="37"/>
      <c r="T12" s="37"/>
      <c r="U12" s="37"/>
      <c r="V12" s="198"/>
      <c r="W12" s="37"/>
      <c r="X12" s="86"/>
      <c r="Y12" s="198"/>
      <c r="Z12" s="37"/>
      <c r="AA12" s="37"/>
      <c r="AB12" s="29"/>
      <c r="AC12" s="198"/>
      <c r="AD12" s="37"/>
      <c r="AE12" s="95"/>
      <c r="AF12" s="266">
        <v>1</v>
      </c>
      <c r="AG12" s="162" t="str">
        <f>IF(AJ8&lt;&gt;"",IF(AJ10&lt;&gt;"",IF(AJ8=AJ10,"",IF(AJ8&gt;AJ10,AK8,AK10)),""),"")</f>
        <v>GUILHERME BERNARDI PINTO</v>
      </c>
      <c r="AH12" s="94"/>
      <c r="AI12" s="37"/>
      <c r="AJ12" s="29"/>
      <c r="AK12" s="188"/>
      <c r="AL12" s="29"/>
      <c r="AP12" s="31">
        <f>IF(AR12&lt;&gt;"",1+COUNTIF(AP8:AP11,"1")+COUNTIF(AP8:AP11,"2")+COUNTIF(AP8:AP11,"3")+COUNTIF(AP8:AP11,"4"),"")</f>
        <v>5</v>
      </c>
      <c r="AQ12" s="32" t="str">
        <f t="shared" si="1"/>
        <v>LUGAR</v>
      </c>
      <c r="AR12" s="111" t="str">
        <f>IF(AR8&lt;&gt;"",IF(K20=AR8,K22,IF(K22=AR8,K20,IF(K50=AR8,K52,IF(K52=AR8,K50,IF(AC20=AR8,AC22,IF(AC22=AR8,AC20,IF(AC50=AR8,AC52,IF(AC52=AR8,AC50)))))))),"")</f>
        <v>GUILHERME BERNARDI PINTO</v>
      </c>
      <c r="AS12" s="33" t="str">
        <f>IFERROR(IF(AR12="","",VLOOKUP(AR12,LISTAS!$F$5:$G$1004,2,0)),"0")</f>
        <v>COLEGIO PETROPOLIS</v>
      </c>
      <c r="AT12" s="33">
        <f t="shared" si="0"/>
        <v>270</v>
      </c>
      <c r="AU12" s="33">
        <f t="shared" si="2"/>
        <v>270</v>
      </c>
    </row>
    <row r="13" spans="2:49" ht="18" customHeight="1" thickBot="1" x14ac:dyDescent="0.3">
      <c r="B13" s="133"/>
      <c r="C13" s="188"/>
      <c r="D13" s="29"/>
      <c r="E13" s="29"/>
      <c r="F13" s="34"/>
      <c r="G13" s="165" t="str">
        <f>IFERROR(IF(G12="","",VLOOKUP(G12,LISTAS!$F$5:$G$1004,2,0)),"0")</f>
        <v>ABACO IPIRANGA</v>
      </c>
      <c r="H13" s="267"/>
      <c r="I13" s="101"/>
      <c r="J13" s="101"/>
      <c r="K13" s="190"/>
      <c r="L13" s="101"/>
      <c r="M13" s="101"/>
      <c r="N13" s="101"/>
      <c r="O13" s="190"/>
      <c r="P13" s="29"/>
      <c r="Q13" s="37"/>
      <c r="R13" s="198"/>
      <c r="S13" s="37"/>
      <c r="T13" s="37"/>
      <c r="U13" s="37"/>
      <c r="V13" s="198"/>
      <c r="W13" s="37"/>
      <c r="X13" s="86"/>
      <c r="Y13" s="198"/>
      <c r="Z13" s="37"/>
      <c r="AA13" s="37"/>
      <c r="AB13" s="29"/>
      <c r="AC13" s="198"/>
      <c r="AD13" s="37"/>
      <c r="AE13" s="95"/>
      <c r="AF13" s="267"/>
      <c r="AG13" s="165" t="str">
        <f>IFERROR(IF(AG12="","",VLOOKUP(AG12,LISTAS!$F$5:$G$1004,2,0)),"0")</f>
        <v>COLEGIO PETROPOLIS</v>
      </c>
      <c r="AH13" s="94"/>
      <c r="AI13" s="37"/>
      <c r="AJ13" s="29"/>
      <c r="AK13" s="188"/>
      <c r="AL13" s="29"/>
      <c r="AP13" s="31">
        <f>IF(AR13&lt;&gt;"",1+COUNTIF(AP8:AP12,"1")+COUNTIF(AP8:AP12,"2")+COUNTIF(AP8:AP12,"3")+COUNTIF(AP8:AP12,"4")+COUNTIF(AP8:AP12,"5"),"")</f>
        <v>6</v>
      </c>
      <c r="AQ13" s="32" t="str">
        <f t="shared" si="1"/>
        <v>LUGAR</v>
      </c>
      <c r="AR13" s="111" t="str">
        <f>IF(AR9&lt;&gt;"",IF(K20=AR9,K22,IF(K22=AR9,K20,IF(K50=AR9,K52,IF(K52=AR9,K50,IF(AC20=AR9,AC22,IF(AC22=AR9,AC20,IF(AC50=AR9,AC52,IF(AC52=AR9,AC50)))))))),"")</f>
        <v>GAEL GARCIA MARQUES</v>
      </c>
      <c r="AS13" s="33" t="str">
        <f>IFERROR(IF(AR13="","",VLOOKUP(AR13,LISTAS!$F$5:$G$1004,2,0)),"0")</f>
        <v>LICEU JARDIM</v>
      </c>
      <c r="AT13" s="33">
        <f t="shared" si="0"/>
        <v>260</v>
      </c>
      <c r="AU13" s="33">
        <f t="shared" si="2"/>
        <v>260</v>
      </c>
    </row>
    <row r="14" spans="2:49" ht="18" customHeight="1" x14ac:dyDescent="0.25">
      <c r="B14" s="133"/>
      <c r="C14" s="188"/>
      <c r="D14" s="29"/>
      <c r="E14" s="35"/>
      <c r="F14" s="36"/>
      <c r="G14" s="162" t="str">
        <f>IF(D16&lt;&gt;"",IF(D18&lt;&gt;"",IF(D16=D18,"",IF(D16&gt;D18,C16,C18)),""),"")</f>
        <v>OLAVO ZOTELLI DE ANDRADE</v>
      </c>
      <c r="H14" s="266">
        <v>1</v>
      </c>
      <c r="I14" s="107">
        <f>IF(H14&lt;&gt;"",H14,"")</f>
        <v>1</v>
      </c>
      <c r="J14" s="101" t="str">
        <f>IF(H14&lt;&gt;"",IF(G14="","",G14),"")</f>
        <v>OLAVO ZOTELLI DE ANDRADE</v>
      </c>
      <c r="K14" s="190" t="str">
        <f>VLOOKUP(K12,I12:J14,2,0)</f>
        <v>RAFAEL ESPERIDIÃO EIRAS</v>
      </c>
      <c r="L14" s="101"/>
      <c r="M14" s="101"/>
      <c r="N14" s="101"/>
      <c r="O14" s="190"/>
      <c r="P14" s="29"/>
      <c r="Q14" s="37"/>
      <c r="R14" s="198"/>
      <c r="S14" s="37"/>
      <c r="T14" s="37"/>
      <c r="U14" s="37"/>
      <c r="V14" s="198"/>
      <c r="W14" s="37"/>
      <c r="X14" s="86"/>
      <c r="Y14" s="198"/>
      <c r="Z14" s="37"/>
      <c r="AA14" s="37"/>
      <c r="AB14" s="29"/>
      <c r="AC14" s="198"/>
      <c r="AD14" s="94"/>
      <c r="AE14" s="96"/>
      <c r="AF14" s="266">
        <v>0</v>
      </c>
      <c r="AG14" s="162" t="str">
        <f>IF(AJ16&lt;&gt;"",IF(AJ18&lt;&gt;"",IF(AJ16=AJ18,"",IF(AJ16&gt;AJ18,AK16,AK18)),""),"")</f>
        <v>MIGUEL MELO LOPES</v>
      </c>
      <c r="AH14" s="98"/>
      <c r="AI14" s="37"/>
      <c r="AJ14" s="29"/>
      <c r="AK14" s="188"/>
      <c r="AL14" s="29"/>
      <c r="AP14" s="31">
        <f>IF(AR14&lt;&gt;"",1+COUNTIF(AP8:AP13,"1")+COUNTIF(AP8:AP13,"2")+COUNTIF(AP8:AP13,"3")+COUNTIF(AP8:AP13,"4")+COUNTIF(AP8:AP13,"5")+COUNTIF(AP8:AP13,"6"),"")</f>
        <v>7</v>
      </c>
      <c r="AQ14" s="32" t="str">
        <f t="shared" si="1"/>
        <v>LUGAR</v>
      </c>
      <c r="AR14" s="111" t="str">
        <f>IF(AR10&lt;&gt;"",IF(K20=AR10,K22,IF(K22=AR10,K20,IF(K50=AR10,K52,IF(K52=AR10,K50,IF(AC20=AR10,AC22,IF(AC22=AR10,AC20,IF(AC50=AR10,AC52,IF(AC52=AR10,AC50)))))))),"")</f>
        <v>MURILO XAVIER OLIVEIRA ALBUQUERQUE</v>
      </c>
      <c r="AS14" s="33" t="str">
        <f>IFERROR(IF(AR14="","",VLOOKUP(AR14,LISTAS!$F$5:$G$1004,2,0)),"0")</f>
        <v>ESCOLA VILLARE</v>
      </c>
      <c r="AT14" s="33">
        <f t="shared" si="0"/>
        <v>250</v>
      </c>
      <c r="AU14" s="33">
        <f t="shared" si="2"/>
        <v>250</v>
      </c>
    </row>
    <row r="15" spans="2:49" ht="18" customHeight="1" thickBot="1" x14ac:dyDescent="0.3">
      <c r="B15" s="133"/>
      <c r="C15" s="188"/>
      <c r="D15" s="29"/>
      <c r="E15" s="35"/>
      <c r="F15" s="29"/>
      <c r="G15" s="165" t="str">
        <f>IFERROR(IF(G14="","",VLOOKUP(G14,LISTAS!$F$5:$G$1004,2,0)),"0")</f>
        <v>COLÉGIO SINGULAR SÃO CAETANO</v>
      </c>
      <c r="H15" s="267"/>
      <c r="I15" s="138"/>
      <c r="J15" s="101"/>
      <c r="K15" s="190"/>
      <c r="L15" s="101"/>
      <c r="M15" s="101"/>
      <c r="N15" s="101"/>
      <c r="O15" s="190"/>
      <c r="P15" s="29"/>
      <c r="Q15" s="37"/>
      <c r="R15" s="198"/>
      <c r="S15" s="37"/>
      <c r="T15" s="37"/>
      <c r="U15" s="37"/>
      <c r="V15" s="198"/>
      <c r="W15" s="37"/>
      <c r="X15" s="86"/>
      <c r="Y15" s="198"/>
      <c r="Z15" s="37"/>
      <c r="AA15" s="37"/>
      <c r="AB15" s="29"/>
      <c r="AC15" s="198"/>
      <c r="AD15" s="94"/>
      <c r="AE15" s="37"/>
      <c r="AF15" s="267"/>
      <c r="AG15" s="165" t="str">
        <f>IFERROR(IF(AG14="","",VLOOKUP(AG14,LISTAS!$F$5:$G$1004,2,0)),"0")</f>
        <v>COLÉGIO SÃO JOSÉ</v>
      </c>
      <c r="AH15" s="37"/>
      <c r="AI15" s="89"/>
      <c r="AJ15" s="29"/>
      <c r="AK15" s="188"/>
      <c r="AL15" s="29"/>
      <c r="AP15" s="31">
        <f>IF(AR15&lt;&gt;"",1+COUNTIF(AP8:AP14,"1")+COUNTIF(AP8:AP14,"2")+COUNTIF(AP8:AP14,"3")+COUNTIF(AP8:AP14,"4")+COUNTIF(AP8:AP14,"5")+COUNTIF(AP8:AP14,"6")+COUNTIF(AP8:AP14,"7"),"")</f>
        <v>8</v>
      </c>
      <c r="AQ15" s="32" t="str">
        <f t="shared" si="1"/>
        <v>LUGAR</v>
      </c>
      <c r="AR15" s="111" t="str">
        <f>IF(AR11&lt;&gt;"",IF(K20=AR11,K22,IF(K22=AR11,K20,IF(K50=AR11,K52,IF(K52=AR11,K50,IF(AC20=AR11,AC22,IF(AC22=AR11,AC20,IF(AC50=AR11,AC52,IF(AC52=AR11,AC50)))))))),"")</f>
        <v>OLAVO ZOTELLI DE ANDRADE</v>
      </c>
      <c r="AS15" s="33" t="str">
        <f>IFERROR(IF(AR15="","",VLOOKUP(AR15,LISTAS!$F$5:$G$1004,2,0)),"0")</f>
        <v>COLÉGIO SINGULAR SÃO CAETANO</v>
      </c>
      <c r="AT15" s="33">
        <f t="shared" si="0"/>
        <v>240</v>
      </c>
      <c r="AU15" s="33">
        <f t="shared" si="2"/>
        <v>240</v>
      </c>
    </row>
    <row r="16" spans="2:49" ht="18" customHeight="1" x14ac:dyDescent="0.25">
      <c r="B16" s="133">
        <v>17</v>
      </c>
      <c r="C16" s="33" t="s">
        <v>332</v>
      </c>
      <c r="D16" s="266">
        <v>1</v>
      </c>
      <c r="E16" s="148">
        <f>IF(D16&lt;&gt;"",D16,"")</f>
        <v>1</v>
      </c>
      <c r="F16" s="101" t="str">
        <f>IF(D16&lt;&gt;"",IF(C16="","",C16),"")</f>
        <v>OLAVO ZOTELLI DE ANDRADE</v>
      </c>
      <c r="G16" s="190">
        <f>IF(E16&lt;&gt;"",IF(E18&lt;&gt;"",SMALL(E16:E18,1),""),"")</f>
        <v>0</v>
      </c>
      <c r="H16" s="101"/>
      <c r="I16" s="138"/>
      <c r="J16" s="101"/>
      <c r="K16" s="190"/>
      <c r="L16" s="101"/>
      <c r="M16" s="101"/>
      <c r="N16" s="101"/>
      <c r="O16" s="190"/>
      <c r="P16" s="29"/>
      <c r="Q16" s="37"/>
      <c r="R16" s="198"/>
      <c r="S16" s="37"/>
      <c r="T16" s="37"/>
      <c r="U16" s="37"/>
      <c r="V16" s="198"/>
      <c r="W16" s="37"/>
      <c r="X16" s="86"/>
      <c r="Y16" s="198"/>
      <c r="Z16" s="37"/>
      <c r="AA16" s="37"/>
      <c r="AB16" s="29"/>
      <c r="AC16" s="198"/>
      <c r="AD16" s="94"/>
      <c r="AE16" s="100"/>
      <c r="AF16" s="100"/>
      <c r="AG16" s="197">
        <f>IF(AJ16&lt;&gt;"",AJ16,"")</f>
        <v>1</v>
      </c>
      <c r="AH16" s="100" t="str">
        <f>IF(AJ16&lt;&gt;"",IF(AK16="","",AK16),"")</f>
        <v>MIGUEL MELO LOPES</v>
      </c>
      <c r="AI16" s="137">
        <f>IF(AG16&lt;&gt;"",IF(AG18&lt;&gt;"",SMALL(AG16:AG18,1),""),"")</f>
        <v>0</v>
      </c>
      <c r="AJ16" s="266">
        <v>1</v>
      </c>
      <c r="AK16" s="162" t="str">
        <f>IF('11M GRP'!G5&gt;=3,'11M GRP'!J190,IF('11M GRP'!G5=2,"",IF('11M GRP'!G5=1,"","")))</f>
        <v>MIGUEL MELO LOPES</v>
      </c>
      <c r="AL16" s="29">
        <v>14</v>
      </c>
      <c r="AP16" s="31">
        <f>IF(AR16&lt;&gt;"",1+COUNTIF(AP8:AP15,"1")+COUNTIF(AP8:AP15,"2")+COUNTIF(AP8:AP15,"3")+COUNTIF(AP8:AP15,"4")+COUNTIF(AP8:AP15,"5")+COUNTIF(AP8:AP15,"6")+COUNTIF(AP8:AP15,"7")+COUNTIF(AP8:AP15,"8"),"")</f>
        <v>9</v>
      </c>
      <c r="AQ16" s="32" t="str">
        <f t="shared" si="1"/>
        <v>LUGAR</v>
      </c>
      <c r="AR16" s="111" t="str">
        <f>IF(AR8&lt;&gt;"",IF(G12=AR8,G14,IF(G14=AR8,G12,IF(G28=AR8,G30,IF(G30=AR8,G28,IF(AG12=AR8,AG14,IF(AG14=AR8,AG12,IF(AG28=AR8,AG30,IF(AG30=AR8,AG28,IF(G42=AR8,G44,IF(G44=AR8,G42,IF(G58=AR8,G60,IF(G60=AR8,G58,IF(AG42=AR8,AG44,IF(AG44=AR8,AG42,IF(AG58=AR8,AG60,IF(AG60=AR8,AG58)))))))))))))))),"")</f>
        <v>OLYNTHO VOLTARELLI</v>
      </c>
      <c r="AS16" s="33" t="str">
        <f>IFERROR(IF(AR16="","",VLOOKUP(AR16,LISTAS!$F$5:$G$1004,2,0)),"0")</f>
        <v>ESCOLA VILLARE</v>
      </c>
      <c r="AT16" s="33">
        <f t="shared" si="0"/>
        <v>200</v>
      </c>
      <c r="AU16" s="33">
        <f t="shared" si="2"/>
        <v>200</v>
      </c>
    </row>
    <row r="17" spans="2:47" ht="18" customHeight="1" thickBot="1" x14ac:dyDescent="0.3">
      <c r="B17" s="133"/>
      <c r="C17" s="165" t="str">
        <f>IFERROR(IF(C16="","",VLOOKUP(C16,LISTAS!$F$5:$G$1004,2,0)),"0")</f>
        <v>COLÉGIO SINGULAR SÃO CAETANO</v>
      </c>
      <c r="D17" s="267"/>
      <c r="E17" s="105"/>
      <c r="F17" s="101"/>
      <c r="G17" s="190"/>
      <c r="H17" s="101"/>
      <c r="I17" s="138"/>
      <c r="J17" s="101"/>
      <c r="K17" s="190"/>
      <c r="L17" s="101"/>
      <c r="M17" s="101"/>
      <c r="N17" s="101"/>
      <c r="O17" s="190"/>
      <c r="P17" s="29"/>
      <c r="Q17" s="37"/>
      <c r="R17" s="198"/>
      <c r="S17" s="37"/>
      <c r="T17" s="37"/>
      <c r="U17" s="37"/>
      <c r="V17" s="198"/>
      <c r="W17" s="37"/>
      <c r="X17" s="86"/>
      <c r="Y17" s="198"/>
      <c r="Z17" s="37"/>
      <c r="AA17" s="37"/>
      <c r="AB17" s="29"/>
      <c r="AC17" s="198"/>
      <c r="AD17" s="94"/>
      <c r="AE17" s="100"/>
      <c r="AF17" s="100"/>
      <c r="AG17" s="197"/>
      <c r="AH17" s="100"/>
      <c r="AI17" s="143"/>
      <c r="AJ17" s="267"/>
      <c r="AK17" s="165" t="str">
        <f>IFERROR(IF(AK16="","",VLOOKUP(AK16,LISTAS!$F$5:$G$1004,2,0)),"0")</f>
        <v>COLÉGIO SÃO JOSÉ</v>
      </c>
      <c r="AL17" s="29"/>
      <c r="AP17" s="31">
        <f>IF(AR17&lt;&gt;"",1+COUNTIF(AP8:AP16,"1")+COUNTIF(AP8:AP16,"2")+COUNTIF(AP8:AP16,"3")+COUNTIF(AP8:AP16,"4")+COUNTIF(AP8:AP16,"5")+COUNTIF(AP8:AP16,"6")+COUNTIF(AP8:AP16,"7")+COUNTIF(AP8:AP16,"8")+COUNTIF(AP8:AP16,"9"),"")</f>
        <v>10</v>
      </c>
      <c r="AQ17" s="32" t="str">
        <f t="shared" si="1"/>
        <v>LUGAR</v>
      </c>
      <c r="AR17" s="111" t="str">
        <f>IF(AR9&lt;&gt;"",IF(G12=AR9,G14,IF(G14=AR9,G12,IF(G28=AR9,G30,IF(G30=AR9,G28,IF(AG12=AR9,AG14,IF(AG14=AR9,AG12,IF(AG28=AR9,AG30,IF(AG30=AR9,AG28,IF(G42=AR9,G44,IF(G44=AR9,G42,IF(G58=AR9,G60,IF(G60=AR9,G58,IF(AG42=AR9,AG44,IF(AG44=AR9,AG42,IF(AG58=AR9,AG60,IF(AG60=AR9,AG58)))))))))))))))),"")</f>
        <v>PEDRO PEREIRA  DAMÁSIO</v>
      </c>
      <c r="AS17" s="33" t="str">
        <f>IFERROR(IF(AR17="","",VLOOKUP(AR17,LISTAS!$F$5:$G$1004,2,0)),"0")</f>
        <v>ABACO IPIRANGA</v>
      </c>
      <c r="AT17" s="33">
        <f t="shared" si="0"/>
        <v>200</v>
      </c>
      <c r="AU17" s="33">
        <f t="shared" si="2"/>
        <v>200</v>
      </c>
    </row>
    <row r="18" spans="2:47" ht="18" customHeight="1" x14ac:dyDescent="0.25">
      <c r="B18" s="133">
        <v>16</v>
      </c>
      <c r="C18" s="162" t="str">
        <f>IF('11M GRP'!G5&gt;=3,'11M GRP'!J216,IF('11M GRP'!G5=2,"",IF('11M GRP'!G5=1,"","")))</f>
        <v>BENÍCIO PEPINELI MOLERO</v>
      </c>
      <c r="D18" s="266">
        <v>0</v>
      </c>
      <c r="E18" s="106">
        <f>IF(D18&lt;&gt;"",D18,"")</f>
        <v>0</v>
      </c>
      <c r="F18" s="101" t="str">
        <f>IF(D18&lt;&gt;"",IF(C18="","",C18),"")</f>
        <v>BENÍCIO PEPINELI MOLERO</v>
      </c>
      <c r="G18" s="190" t="str">
        <f>VLOOKUP(G16,E16:F18,2,0)</f>
        <v>BENÍCIO PEPINELI MOLERO</v>
      </c>
      <c r="H18" s="101"/>
      <c r="I18" s="138"/>
      <c r="J18" s="101"/>
      <c r="K18" s="190"/>
      <c r="L18" s="101"/>
      <c r="M18" s="101"/>
      <c r="N18" s="101"/>
      <c r="O18" s="190"/>
      <c r="P18" s="29"/>
      <c r="Q18" s="37"/>
      <c r="R18" s="198"/>
      <c r="S18" s="37"/>
      <c r="T18" s="37"/>
      <c r="U18" s="37"/>
      <c r="V18" s="198"/>
      <c r="W18" s="37"/>
      <c r="X18" s="86"/>
      <c r="Y18" s="198"/>
      <c r="Z18" s="37"/>
      <c r="AA18" s="37"/>
      <c r="AB18" s="29"/>
      <c r="AC18" s="198"/>
      <c r="AD18" s="94"/>
      <c r="AE18" s="100"/>
      <c r="AF18" s="100"/>
      <c r="AG18" s="197">
        <f>IF(AJ18&lt;&gt;"",AJ18,"")</f>
        <v>0</v>
      </c>
      <c r="AH18" s="100" t="str">
        <f>IF(AJ18&lt;&gt;"",IF(AK18="","",AK18),"")</f>
        <v>LUCCA PONCE SANTOS</v>
      </c>
      <c r="AI18" s="104" t="str">
        <f>VLOOKUP(AI16,AG16:AH18,2,0)</f>
        <v>LUCCA PONCE SANTOS</v>
      </c>
      <c r="AJ18" s="266">
        <v>0</v>
      </c>
      <c r="AK18" s="33" t="s">
        <v>310</v>
      </c>
      <c r="AL18" s="29">
        <v>19</v>
      </c>
      <c r="AP18" s="31">
        <f>IF(AR18&lt;&gt;"",1+COUNTIF(AP8:AP17,"1")+COUNTIF(AP8:AP17,"2")+COUNTIF(AP8:AP17,"3")+COUNTIF(AP8:AP17,"4")+COUNTIF(AP8:AP17,"5")+COUNTIF(AP8:AP17,"6")+COUNTIF(AP8:AP17,"7")+COUNTIF(AP8:AP17,"8")+COUNTIF(AP8:AP17,"9")+COUNTIF(AP8:AP17,"10"),"")</f>
        <v>11</v>
      </c>
      <c r="AQ18" s="32" t="str">
        <f t="shared" si="1"/>
        <v>LUGAR</v>
      </c>
      <c r="AR18" s="111" t="str">
        <f>IF(AR10&lt;&gt;"",IF(G12=AR10,G14,IF(G14=AR10,G12,IF(G28=AR10,G30,IF(G30=AR10,G28,IF(AG12=AR10,AG14,IF(AG14=AR10,AG12,IF(AG28=AR10,AG30,IF(AG30=AR10,AG28,IF(G42=AR10,G44,IF(G44=AR10,G42,IF(G58=AR10,G60,IF(G60=AR10,G58,IF(AG42=AR10,AG44,IF(AG44=AR10,AG42,IF(AG58=AR10,AG60,IF(AG60=AR10,AG58)))))))))))))))),"")</f>
        <v>ENZO KAZUO YSHIKAWA</v>
      </c>
      <c r="AS18" s="33" t="str">
        <f>IFERROR(IF(AR18="","",VLOOKUP(AR18,LISTAS!$F$5:$G$1004,2,0)),"0")</f>
        <v>COLÉGIO ARBOS - UNIDADE SANTO ANDRÉ</v>
      </c>
      <c r="AT18" s="33">
        <f t="shared" si="0"/>
        <v>200</v>
      </c>
      <c r="AU18" s="33">
        <f t="shared" si="2"/>
        <v>200</v>
      </c>
    </row>
    <row r="19" spans="2:47" ht="18" customHeight="1" thickBot="1" x14ac:dyDescent="0.3">
      <c r="B19" s="133"/>
      <c r="C19" s="165" t="str">
        <f>IFERROR(IF(C18="","",VLOOKUP(C18,LISTAS!$F$5:$G$1004,2,0)),"0")</f>
        <v>LICEU JARDIM</v>
      </c>
      <c r="D19" s="267"/>
      <c r="E19" s="101"/>
      <c r="F19" s="101"/>
      <c r="G19" s="190"/>
      <c r="H19" s="101"/>
      <c r="I19" s="138"/>
      <c r="J19" s="101"/>
      <c r="K19" s="190"/>
      <c r="L19" s="101"/>
      <c r="M19" s="101"/>
      <c r="N19" s="101"/>
      <c r="O19" s="190"/>
      <c r="P19" s="29"/>
      <c r="Q19" s="37"/>
      <c r="R19" s="198"/>
      <c r="S19" s="37"/>
      <c r="T19" s="37"/>
      <c r="U19" s="37"/>
      <c r="V19" s="198"/>
      <c r="W19" s="37"/>
      <c r="X19" s="86"/>
      <c r="Y19" s="198"/>
      <c r="Z19" s="37"/>
      <c r="AA19" s="37"/>
      <c r="AB19" s="29"/>
      <c r="AC19" s="198"/>
      <c r="AD19" s="94"/>
      <c r="AE19" s="100"/>
      <c r="AF19" s="100"/>
      <c r="AG19" s="197"/>
      <c r="AH19" s="100"/>
      <c r="AI19" s="101"/>
      <c r="AJ19" s="267"/>
      <c r="AK19" s="165" t="str">
        <f>IFERROR(IF(AK18="","",VLOOKUP(AK18,LISTAS!$F$5:$G$1004,2,0)),"0")</f>
        <v>COLÉGIO ENGENHEIRO SALVADOR ARENA</v>
      </c>
      <c r="AL19" s="29"/>
      <c r="AP19" s="31">
        <f>IF(AR19&lt;&gt;"",1+COUNTIF(AP8:AP18,"1")+COUNTIF(AP8:AP18,"2")+COUNTIF(AP8:AP18,"3")+COUNTIF(AP8:AP18,"4")+COUNTIF(AP8:AP18,"5")+COUNTIF(AP8:AP18,"6")+COUNTIF(AP8:AP18,"7")+COUNTIF(AP8:AP18,"8")+COUNTIF(AP8:AP18,"9")+COUNTIF(AP8:AP18,"10")+COUNTIF(AP8:AP18,"11"),"")</f>
        <v>12</v>
      </c>
      <c r="AQ19" s="32" t="str">
        <f t="shared" si="1"/>
        <v>LUGAR</v>
      </c>
      <c r="AR19" s="111" t="str">
        <f>IF(AR11&lt;&gt;"",IF(G12=AR11,G14,IF(G14=AR11,G12,IF(G28=AR11,G30,IF(G30=AR11,G28,IF(AG12=AR11,AG14,IF(AG14=AR11,AG12,IF(AG28=AR11,AG30,IF(AG30=AR11,AG28,IF(G42=AR11,G44,IF(G44=AR11,G42,IF(G58=AR11,G60,IF(G60=AR11,G58,IF(AG42=AR11,AG44,IF(AG44=AR11,AG42,IF(AG58=AR11,AG60,IF(AG60=AR11,AG58)))))))))))))))),"")</f>
        <v>NICOLAS KOU</v>
      </c>
      <c r="AS19" s="33" t="str">
        <f>IFERROR(IF(AR19="","",VLOOKUP(AR19,LISTAS!$F$5:$G$1004,2,0)),"0")</f>
        <v>COLÉGIO ARBOS - UNIDADE SANTO ANDRÉ</v>
      </c>
      <c r="AT19" s="33">
        <f t="shared" si="0"/>
        <v>200</v>
      </c>
      <c r="AU19" s="33">
        <f t="shared" si="2"/>
        <v>200</v>
      </c>
    </row>
    <row r="20" spans="2:47" ht="18" customHeight="1" x14ac:dyDescent="0.25">
      <c r="B20" s="133"/>
      <c r="C20" s="188"/>
      <c r="D20" s="29"/>
      <c r="E20" s="87"/>
      <c r="F20" s="87"/>
      <c r="G20" s="192"/>
      <c r="H20" s="29"/>
      <c r="I20" s="35"/>
      <c r="J20" s="29"/>
      <c r="K20" s="162" t="str">
        <f>IF(H12&lt;&gt;"",IF(H14&lt;&gt;"",IF(H12=H14,"",IF(H12&gt;H14,G12,G14)),""),"")</f>
        <v>OLAVO ZOTELLI DE ANDRADE</v>
      </c>
      <c r="L20" s="266">
        <v>0</v>
      </c>
      <c r="M20" s="101">
        <f>IF(L20&lt;&gt;"",L20,"")</f>
        <v>0</v>
      </c>
      <c r="N20" s="101" t="str">
        <f>IF(L20&lt;&gt;"",IF(K20="","",K20),"")</f>
        <v>OLAVO ZOTELLI DE ANDRADE</v>
      </c>
      <c r="O20" s="190">
        <f>IF(M20&lt;&gt;"",IF(M22&lt;&gt;"",SMALL(M20:N22,1),""),"")</f>
        <v>0</v>
      </c>
      <c r="P20" s="101"/>
      <c r="Q20" s="100"/>
      <c r="R20" s="272" t="s">
        <v>21</v>
      </c>
      <c r="S20" s="273"/>
      <c r="T20" s="273"/>
      <c r="U20" s="273"/>
      <c r="V20" s="273"/>
      <c r="W20" s="37"/>
      <c r="X20" s="86"/>
      <c r="Y20" s="198"/>
      <c r="Z20" s="37"/>
      <c r="AA20" s="37"/>
      <c r="AB20" s="266">
        <v>0</v>
      </c>
      <c r="AC20" s="162" t="str">
        <f>IF(AF12&lt;&gt;"",IF(AF14&lt;&gt;"",IF(AF12=AF14,"",IF(AF12&gt;AF14,AG12,AG14)),""),"")</f>
        <v>GUILHERME BERNARDI PINTO</v>
      </c>
      <c r="AD20" s="141"/>
      <c r="AE20" s="100"/>
      <c r="AF20" s="100"/>
      <c r="AG20" s="197"/>
      <c r="AH20" s="100"/>
      <c r="AI20" s="100"/>
      <c r="AJ20" s="29"/>
      <c r="AK20" s="188"/>
      <c r="AL20" s="29"/>
      <c r="AM20" s="23"/>
      <c r="AN20" s="23"/>
      <c r="AO20" s="23"/>
      <c r="AP20" s="31">
        <f>IF(AR20&lt;&gt;"",1+COUNTIF(AP8:AP19,"1")+COUNTIF(AP8:AP19,"2")+COUNTIF(AP8:AP19,"3")+COUNTIF(AP8:AP19,"4")+COUNTIF(AP8:AP19,"5")+COUNTIF(AP8:AP19,"6")+COUNTIF(AP8:AP19,"7")+COUNTIF(AP8:AP19,"8")+COUNTIF(AP8:AP19,"9")+COUNTIF(AP8:AP19,"10")+COUNTIF(AP8:AP19,"11")+COUNTIF(AP8:AP19,"12"),"")</f>
        <v>13</v>
      </c>
      <c r="AQ20" s="32" t="str">
        <f t="shared" si="1"/>
        <v>LUGAR</v>
      </c>
      <c r="AR20" s="111" t="str">
        <f>IF(AR12&lt;&gt;"",IF(G12=AR12,G14,IF(G14=AR12,G12,IF(G28=AR12,G30,IF(G30=AR12,G28,IF(AG12=AR12,AG14,IF(AG14=AR12,AG12,IF(AG28=AR12,AG30,IF(AG30=AR12,AG28,IF(G42=AR12,G44,IF(G44=AR12,G42,IF(G58=AR12,G60,IF(G60=AR12,G58,IF(AG42=AR12,AG44,IF(AG44=AR12,AG42,IF(AG58=AR12,AG60,IF(AG60=AR12,AG58)))))))))))))))),"")</f>
        <v>MIGUEL MELO LOPES</v>
      </c>
      <c r="AS20" s="33" t="str">
        <f>IFERROR(IF(AR20="","",VLOOKUP(AR20,LISTAS!$F$5:$G$1004,2,0)),"0")</f>
        <v>COLÉGIO SÃO JOSÉ</v>
      </c>
      <c r="AT20" s="33">
        <f t="shared" si="0"/>
        <v>200</v>
      </c>
      <c r="AU20" s="33">
        <f t="shared" si="2"/>
        <v>200</v>
      </c>
    </row>
    <row r="21" spans="2:47" ht="18" customHeight="1" thickBot="1" x14ac:dyDescent="0.3">
      <c r="B21" s="133"/>
      <c r="C21" s="188"/>
      <c r="D21" s="29"/>
      <c r="E21" s="29"/>
      <c r="F21" s="29"/>
      <c r="G21" s="188"/>
      <c r="H21" s="29"/>
      <c r="I21" s="35"/>
      <c r="J21" s="29"/>
      <c r="K21" s="165" t="str">
        <f>IFERROR(IF(K20="","",VLOOKUP(K20,LISTAS!$F$5:$G$1004,2,0)),"0")</f>
        <v>COLÉGIO SINGULAR SÃO CAETANO</v>
      </c>
      <c r="L21" s="267"/>
      <c r="M21" s="101">
        <v>0</v>
      </c>
      <c r="N21" s="101"/>
      <c r="O21" s="190"/>
      <c r="P21" s="101"/>
      <c r="Q21" s="100"/>
      <c r="R21" s="272" t="s">
        <v>24</v>
      </c>
      <c r="S21" s="273"/>
      <c r="T21" s="273"/>
      <c r="U21" s="273"/>
      <c r="V21" s="273"/>
      <c r="W21" s="37"/>
      <c r="X21" s="86"/>
      <c r="Y21" s="198"/>
      <c r="Z21" s="37"/>
      <c r="AA21" s="37"/>
      <c r="AB21" s="267"/>
      <c r="AC21" s="165" t="str">
        <f>IFERROR(IF(AC20="","",VLOOKUP(AC20,LISTAS!$F$5:$G$1004,2,0)),"0")</f>
        <v>COLEGIO PETROPOLIS</v>
      </c>
      <c r="AD21" s="37"/>
      <c r="AE21" s="144"/>
      <c r="AF21" s="100"/>
      <c r="AG21" s="197"/>
      <c r="AH21" s="100"/>
      <c r="AI21" s="100"/>
      <c r="AJ21" s="29"/>
      <c r="AK21" s="188"/>
      <c r="AL21" s="29"/>
      <c r="AM21" s="23"/>
      <c r="AN21" s="23"/>
      <c r="AO21" s="23"/>
      <c r="AP21" s="31">
        <f>IF(AR21&lt;&gt;"",1+COUNTIF(AP8:AP20,"1")+COUNTIF(AP8:AP20,"2")+COUNTIF(AP8:AP20,"3")+COUNTIF(AP8:AP20,"4")+COUNTIF(AP8:AP20,"5")+COUNTIF(AP8:AP20,"6")+COUNTIF(AP8:AP20,"7")+COUNTIF(AP8:AP20,"8")+COUNTIF(AP8:AP20,"9")+COUNTIF(AP8:AP20,"10")+COUNTIF(AP8:AP20,"11")+COUNTIF(AP8:AP20,"12")+COUNTIF(AP8:AP20,"13"),"")</f>
        <v>14</v>
      </c>
      <c r="AQ21" s="32" t="str">
        <f t="shared" si="1"/>
        <v>LUGAR</v>
      </c>
      <c r="AR21" s="111" t="str">
        <f>IF(AR13&lt;&gt;"",IF(G12=AR13,G14,IF(G14=AR13,G12,IF(G28=AR13,G30,IF(G30=AR13,G28,IF(AG12=AR13,AG14,IF(AG14=AR13,AG12,IF(AG28=AR13,AG30,IF(AG30=AR13,AG28,IF(G42=AR13,G44,IF(G44=AR13,G42,IF(G58=AR13,G60,IF(G60=AR13,G58,IF(AG42=AR13,AG44,IF(AG44=AR13,AG42,IF(AG58=AR13,AG60,IF(AG60=AR13,AG58)))))))))))))))),"")</f>
        <v>DAVI MAIA SANTICIOLI</v>
      </c>
      <c r="AS21" s="33" t="str">
        <f>IFERROR(IF(AR21="","",VLOOKUP(AR21,LISTAS!$F$5:$G$1004,2,0)),"0")</f>
        <v>ESCOLA VILLARE</v>
      </c>
      <c r="AT21" s="33">
        <f t="shared" si="0"/>
        <v>200</v>
      </c>
      <c r="AU21" s="33">
        <f t="shared" si="2"/>
        <v>200</v>
      </c>
    </row>
    <row r="22" spans="2:47" ht="18" customHeight="1" x14ac:dyDescent="0.25">
      <c r="B22" s="133"/>
      <c r="C22" s="188"/>
      <c r="D22" s="29"/>
      <c r="E22" s="29"/>
      <c r="F22" s="29"/>
      <c r="G22" s="188"/>
      <c r="H22" s="29"/>
      <c r="I22" s="35"/>
      <c r="J22" s="36"/>
      <c r="K22" s="162" t="str">
        <f>IF(H28&lt;&gt;"",IF(H30&lt;&gt;"",IF(H28=H30,"",IF(H28&gt;H30,G28,G30)),""),"")</f>
        <v>BERNARDO TOME</v>
      </c>
      <c r="L22" s="266">
        <v>1</v>
      </c>
      <c r="M22" s="107">
        <f>IF(L22&lt;&gt;"",L22,"")</f>
        <v>1</v>
      </c>
      <c r="N22" s="101" t="str">
        <f>IF(L22&lt;&gt;"",IF(K22="","",K22),"")</f>
        <v>BERNARDO TOME</v>
      </c>
      <c r="O22" s="190" t="str">
        <f>VLOOKUP(O20,M20:N22,2,0)</f>
        <v>OLAVO ZOTELLI DE ANDRADE</v>
      </c>
      <c r="P22" s="101"/>
      <c r="Q22" s="100"/>
      <c r="R22" s="198"/>
      <c r="S22" s="37"/>
      <c r="T22" s="37"/>
      <c r="U22" s="37"/>
      <c r="V22" s="198"/>
      <c r="W22" s="37"/>
      <c r="X22" s="86"/>
      <c r="Y22" s="198"/>
      <c r="Z22" s="94"/>
      <c r="AA22" s="96"/>
      <c r="AB22" s="266">
        <v>1</v>
      </c>
      <c r="AC22" s="162" t="str">
        <f>IF(AF28&lt;&gt;"",IF(AF30&lt;&gt;"",IF(AF28=AF30,"",IF(AF28&gt;AF30,AG28,AG30)),""),"")</f>
        <v>LORENZO BELOTTI</v>
      </c>
      <c r="AD22" s="37"/>
      <c r="AE22" s="144"/>
      <c r="AF22" s="100"/>
      <c r="AG22" s="197"/>
      <c r="AH22" s="100"/>
      <c r="AI22" s="100"/>
      <c r="AJ22" s="29"/>
      <c r="AK22" s="188"/>
      <c r="AL22" s="29"/>
      <c r="AP22" s="31">
        <f>IF(AR22&lt;&gt;"",1+COUNTIF(AP8:AP21,"1")+COUNTIF(AP8:AP21,"2")+COUNTIF(AP8:AP21,"3")+COUNTIF(AP8:AP21,"4")+COUNTIF(AP8:AP21,"5")+COUNTIF(AP8:AP21,"6")+COUNTIF(AP8:AP21,"7")+COUNTIF(AP8:AP21,"8")+COUNTIF(AP8:AP21,"9")+COUNTIF(AP8:AP21,"10")+COUNTIF(AP8:AP21,"11")+COUNTIF(AP8:AP21,"12")+COUNTIF(AP8:AP21,"13")+COUNTIF(AP8:AP21,"14"),"")</f>
        <v>15</v>
      </c>
      <c r="AQ22" s="32" t="str">
        <f t="shared" si="1"/>
        <v>LUGAR</v>
      </c>
      <c r="AR22" s="111" t="str">
        <f>IF(AR14&lt;&gt;"",IF(G12=AR14,G14,IF(G14=AR14,G12,IF(G28=AR14,G30,IF(G30=AR14,G28,IF(AG12=AR14,AG14,IF(AG14=AR14,AG12,IF(AG28=AR14,AG30,IF(AG30=AR14,AG28,IF(G42=AR14,G44,IF(G44=AR14,G42,IF(G58=AR14,G60,IF(G60=AR14,G58,IF(AG42=AR14,AG44,IF(AG44=AR14,AG42,IF(AG58=AR14,AG60,IF(AG60=AR14,AG58)))))))))))))))),"")</f>
        <v>CAIO SILVA RAMALHO OLIVEIRA</v>
      </c>
      <c r="AS22" s="33" t="str">
        <f>IFERROR(IF(AR22="","",VLOOKUP(AR22,LISTAS!$F$5:$G$1004,2,0)),"0")</f>
        <v>COLÉGIO ARBOS - UNIDADE SANTO ANDRÉ</v>
      </c>
      <c r="AT22" s="33">
        <f t="shared" si="0"/>
        <v>200</v>
      </c>
      <c r="AU22" s="33">
        <f t="shared" si="2"/>
        <v>200</v>
      </c>
    </row>
    <row r="23" spans="2:47" ht="18" customHeight="1" thickBot="1" x14ac:dyDescent="0.3">
      <c r="B23" s="133"/>
      <c r="C23" s="188"/>
      <c r="D23" s="29"/>
      <c r="E23" s="29"/>
      <c r="F23" s="29"/>
      <c r="G23" s="188"/>
      <c r="H23" s="29"/>
      <c r="I23" s="35"/>
      <c r="J23" s="29"/>
      <c r="K23" s="165" t="str">
        <f>IFERROR(IF(K22="","",VLOOKUP(K22,LISTAS!$F$5:$G$1004,2,0)),"0")</f>
        <v>PEN LIFE</v>
      </c>
      <c r="L23" s="267"/>
      <c r="M23" s="138"/>
      <c r="N23" s="101"/>
      <c r="O23" s="190"/>
      <c r="P23" s="101"/>
      <c r="Q23" s="100"/>
      <c r="R23" s="198"/>
      <c r="S23" s="37"/>
      <c r="T23" s="37"/>
      <c r="U23" s="37"/>
      <c r="V23" s="198"/>
      <c r="W23" s="37"/>
      <c r="X23" s="86"/>
      <c r="Y23" s="198"/>
      <c r="Z23" s="94"/>
      <c r="AA23" s="37"/>
      <c r="AB23" s="267"/>
      <c r="AC23" s="165" t="str">
        <f>IFERROR(IF(AC22="","",VLOOKUP(AC22,LISTAS!$F$5:$G$1004,2,0)),"0")</f>
        <v>COLÉGIO MARCONI - GRU</v>
      </c>
      <c r="AD23" s="37"/>
      <c r="AE23" s="144"/>
      <c r="AF23" s="100"/>
      <c r="AG23" s="197"/>
      <c r="AH23" s="100"/>
      <c r="AI23" s="100"/>
      <c r="AJ23" s="29"/>
      <c r="AK23" s="188"/>
      <c r="AL23" s="29"/>
      <c r="AP23" s="31">
        <f>IF(AR23&lt;&gt;"",1+COUNTIF(AP8:AP22,"1")+COUNTIF(AP8:AP22,"2")+COUNTIF(AP8:AP22,"3")+COUNTIF(AP8:AP22,"4")+COUNTIF(AP8:AP22,"5")+COUNTIF(AP8:AP22,"6")+COUNTIF(AP8:AP22,"7")+COUNTIF(AP8:AP22,"8")+COUNTIF(AP8:AP22,"9")+COUNTIF(AP8:AP22,"10")+COUNTIF(AP8:AP22,"11")+COUNTIF(AP8:AP22,"12")+COUNTIF(AP8:AP22,"13")+COUNTIF(AP8:AP22,"14")+COUNTIF(AP8:AP22,"15"),"")</f>
        <v>16</v>
      </c>
      <c r="AQ23" s="32" t="str">
        <f t="shared" si="1"/>
        <v>LUGAR</v>
      </c>
      <c r="AR23" s="111" t="str">
        <f>IF(AR15&lt;&gt;"",IF(G12=AR15,G14,IF(G14=AR15,G12,IF(G28=AR15,G30,IF(G30=AR15,G28,IF(AG12=AR15,AG14,IF(AG14=AR15,AG12,IF(AG28=AR15,AG30,IF(AG30=AR15,AG28,IF(G42=AR15,G44,IF(G44=AR15,G42,IF(G58=AR15,G60,IF(G60=AR15,G58,IF(AG42=AR15,AG44,IF(AG44=AR15,AG42,IF(AG58=AR15,AG60,IF(AG60=AR15,AG58)))))))))))))))),"")</f>
        <v>RAFAEL ESPERIDIÃO EIRAS</v>
      </c>
      <c r="AS23" s="33" t="str">
        <f>IFERROR(IF(AR23="","",VLOOKUP(AR23,LISTAS!$F$5:$G$1004,2,0)),"0")</f>
        <v>ABACO IPIRANGA</v>
      </c>
      <c r="AT23" s="33">
        <f t="shared" si="0"/>
        <v>200</v>
      </c>
      <c r="AU23" s="33">
        <f t="shared" si="2"/>
        <v>200</v>
      </c>
    </row>
    <row r="24" spans="2:47" ht="18" customHeight="1" x14ac:dyDescent="0.25">
      <c r="B24" s="133">
        <v>9</v>
      </c>
      <c r="C24" s="162" t="str">
        <f>IF('11M GRP'!G5&gt;=3,'11M GRP'!J125,IF('11M GRP'!G5=2,"",IF('11M GRP'!G5=1,"","")))</f>
        <v>OTÁVIO RODRIGUES CARLI</v>
      </c>
      <c r="D24" s="266">
        <v>0</v>
      </c>
      <c r="E24" s="101">
        <f>IF(D24&lt;&gt;"",D24,"")</f>
        <v>0</v>
      </c>
      <c r="F24" s="101" t="str">
        <f>IF(D24&lt;&gt;"",IF(C24="","",C24),"")</f>
        <v>OTÁVIO RODRIGUES CARLI</v>
      </c>
      <c r="G24" s="190">
        <f>IF(E24&lt;&gt;"",IF(E26&lt;&gt;"",SMALL(E24:E26,1),""),"")</f>
        <v>0</v>
      </c>
      <c r="H24" s="101"/>
      <c r="I24" s="138"/>
      <c r="J24" s="101"/>
      <c r="K24" s="190"/>
      <c r="L24" s="101"/>
      <c r="M24" s="138"/>
      <c r="N24" s="101"/>
      <c r="O24" s="190"/>
      <c r="P24" s="101"/>
      <c r="Q24" s="100"/>
      <c r="R24" s="198"/>
      <c r="S24" s="37"/>
      <c r="T24" s="37"/>
      <c r="U24" s="37"/>
      <c r="V24" s="198"/>
      <c r="W24" s="37"/>
      <c r="X24" s="86"/>
      <c r="Y24" s="198"/>
      <c r="Z24" s="94"/>
      <c r="AA24" s="37"/>
      <c r="AB24" s="29"/>
      <c r="AC24" s="198"/>
      <c r="AD24" s="37"/>
      <c r="AE24" s="144"/>
      <c r="AF24" s="100"/>
      <c r="AG24" s="197">
        <f>IF(AJ24&lt;&gt;"",AJ24,"")</f>
        <v>0</v>
      </c>
      <c r="AH24" s="100" t="e">
        <f>IF(AJ24&lt;&gt;"",IF(#REF!="","",#REF!),"")</f>
        <v>#REF!</v>
      </c>
      <c r="AI24" s="101">
        <f>IF(AG24&lt;&gt;"",IF(AG26&lt;&gt;"",SMALL(AG24:AG26,1),""),"")</f>
        <v>0</v>
      </c>
      <c r="AJ24" s="266">
        <v>0</v>
      </c>
      <c r="AK24" s="33" t="s">
        <v>244</v>
      </c>
      <c r="AL24" s="29">
        <v>22</v>
      </c>
      <c r="AP24" s="31">
        <v>17</v>
      </c>
      <c r="AQ24" s="32" t="str">
        <f t="shared" si="1"/>
        <v>LUGAR</v>
      </c>
      <c r="AR24" s="111" t="s">
        <v>244</v>
      </c>
      <c r="AS24" s="33" t="str">
        <f>IFERROR(IF(AR24="","",VLOOKUP(AR24,LISTAS!$F$5:$G$1004,2,0)),"0")</f>
        <v>COLEGIO PETROPOLIS</v>
      </c>
      <c r="AT24" s="33">
        <v>190</v>
      </c>
      <c r="AU24" s="33" t="str">
        <f t="shared" si="2"/>
        <v/>
      </c>
    </row>
    <row r="25" spans="2:47" ht="18" customHeight="1" thickBot="1" x14ac:dyDescent="0.3">
      <c r="B25" s="133"/>
      <c r="C25" s="165" t="str">
        <f>IFERROR(IF(C24="","",VLOOKUP(C24,LISTAS!$F$5:$G$1004,2,0)),"0")</f>
        <v>COLÉGIO ARBOS SÃO CAETANO DO SUL</v>
      </c>
      <c r="D25" s="267"/>
      <c r="E25" s="101"/>
      <c r="F25" s="101"/>
      <c r="G25" s="190"/>
      <c r="H25" s="101"/>
      <c r="I25" s="138"/>
      <c r="J25" s="101"/>
      <c r="K25" s="190"/>
      <c r="L25" s="101"/>
      <c r="M25" s="138"/>
      <c r="N25" s="101"/>
      <c r="O25" s="190"/>
      <c r="P25" s="101"/>
      <c r="Q25" s="100"/>
      <c r="R25" s="198"/>
      <c r="S25" s="37"/>
      <c r="T25" s="37"/>
      <c r="U25" s="37"/>
      <c r="V25" s="198"/>
      <c r="W25" s="37"/>
      <c r="X25" s="86"/>
      <c r="Y25" s="198"/>
      <c r="Z25" s="94"/>
      <c r="AA25" s="37"/>
      <c r="AB25" s="29"/>
      <c r="AC25" s="198"/>
      <c r="AD25" s="37"/>
      <c r="AE25" s="144"/>
      <c r="AF25" s="100"/>
      <c r="AG25" s="197"/>
      <c r="AH25" s="100"/>
      <c r="AI25" s="101"/>
      <c r="AJ25" s="267"/>
      <c r="AK25" s="165" t="s">
        <v>188</v>
      </c>
      <c r="AL25" s="29"/>
      <c r="AP25" s="31">
        <f>IF(AR25&lt;&gt;"",1+COUNTIF(AP8:AP24,"1")+COUNTIF(AP8:AP24,"2")+COUNTIF(AP8:AP24,"3")+COUNTIF(AP8:AP24,"4")+COUNTIF(AP8:AP24,"5")+COUNTIF(AP8:AP24,"6")+COUNTIF(AP8:AP24,"7")+COUNTIF(AP8:AP24,"8")+COUNTIF(AP8:AP24,"9")+COUNTIF(AP8:AP24,"10")+COUNTIF(AP8:AP24,"11")+COUNTIF(AP8:AP24,"12")+COUNTIF(AP8:AP24,"13")+COUNTIF(AP8:AP24,"14")+COUNTIF(AP8:AP24,"15")+COUNTIF(AP8:AP24,"16")+COUNTIF(AP8:AP24,"17"),"")</f>
        <v>18</v>
      </c>
      <c r="AQ25" s="32" t="str">
        <f t="shared" si="1"/>
        <v>LUGAR</v>
      </c>
      <c r="AR25" s="111" t="str">
        <f>IF(AR9&lt;&gt;"",IF(C8=AR9,G10,IF(C10=AR9,G10,IF(C16=AR9,G18,IF(C18=AR9,G18,IF(C38=AR9,G40,IF(C40=AR9,G40,IF(C46=AR9,G48,IF(C48=AR9,G48,IF(C24=AR9,G26,IF(C26=AR9,G26,IF(C32=AR9,G34,IF(C34=AR9,G34,IF(C54=AR9,G56,IF(C56=AR9,G56,IF(C62=AR9,G64,IF(C64=AR9,G64,IF(AK8=AR9,AI10,IF(AK10=AR9,AI10,IF(AK16=AR9,AI18,IF(AK18=AR9,AI18,IF(AK38=AR9,AI40,IF(AK40=AR9,AI40,IF(AK46=AR9,AI48,IF(AK48=AR9,AI48,IF(#REF!=AR9,AI26,IF(AK26=AR9,AI26,IF(AK32=AR9,AI34,IF(AK34=AR9,AI34,IF(AK54=AR9,AI56,IF(AK56=AR9,AI56,IF(AK62=AR9,AI64,IF(AK64=AR9,AI64)))))))))))))))))))))))))))))))),"")</f>
        <v>MIGUEL PEREIRA SORRENTINO</v>
      </c>
      <c r="AS25" s="33" t="str">
        <f>IFERROR(IF(AR25="","",VLOOKUP(AR25,LISTAS!$F$5:$G$1004,2,0)),"0")</f>
        <v>PEN LIFE</v>
      </c>
      <c r="AT25" s="33">
        <v>190</v>
      </c>
      <c r="AU25" s="33" t="str">
        <f t="shared" si="2"/>
        <v/>
      </c>
    </row>
    <row r="26" spans="2:47" ht="18" customHeight="1" x14ac:dyDescent="0.25">
      <c r="B26" s="133">
        <v>24</v>
      </c>
      <c r="C26" s="39" t="s">
        <v>687</v>
      </c>
      <c r="D26" s="266">
        <v>1</v>
      </c>
      <c r="E26" s="107">
        <f>IF(D26&lt;&gt;"",D26,"")</f>
        <v>1</v>
      </c>
      <c r="F26" s="101" t="str">
        <f>IF(D26&lt;&gt;"",IF(C26="","",C26),"")</f>
        <v>BERNARDO TOME</v>
      </c>
      <c r="G26" s="190" t="str">
        <f>VLOOKUP(G24,E24:F26,2,0)</f>
        <v>OTÁVIO RODRIGUES CARLI</v>
      </c>
      <c r="H26" s="101"/>
      <c r="I26" s="138"/>
      <c r="J26" s="101"/>
      <c r="K26" s="190"/>
      <c r="L26" s="101"/>
      <c r="M26" s="138"/>
      <c r="N26" s="101"/>
      <c r="O26" s="190"/>
      <c r="P26" s="101"/>
      <c r="Q26" s="100"/>
      <c r="R26" s="198"/>
      <c r="S26" s="37"/>
      <c r="T26" s="37"/>
      <c r="U26" s="37"/>
      <c r="V26" s="198"/>
      <c r="W26" s="37"/>
      <c r="X26" s="86"/>
      <c r="Y26" s="198"/>
      <c r="Z26" s="94"/>
      <c r="AA26" s="37"/>
      <c r="AB26" s="29"/>
      <c r="AC26" s="198"/>
      <c r="AD26" s="37"/>
      <c r="AE26" s="144"/>
      <c r="AF26" s="100"/>
      <c r="AG26" s="197">
        <f>IF(AJ26&lt;&gt;"",AJ26,"")</f>
        <v>1</v>
      </c>
      <c r="AH26" s="100" t="str">
        <f>IF(AJ26&lt;&gt;"",IF(AK26="","",AK26),"")</f>
        <v>LORENZO BELOTTI</v>
      </c>
      <c r="AI26" s="102" t="e">
        <f>VLOOKUP(AI24,AG24:AH26,2,0)</f>
        <v>#REF!</v>
      </c>
      <c r="AJ26" s="266">
        <v>1</v>
      </c>
      <c r="AK26" s="162" t="str">
        <f>IF('11M GRP'!G5&gt;=3,'11M GRP'!J151,IF('11M GRP'!G5=2,"",IF('11M GRP'!G5=1,"","")))</f>
        <v>LORENZO BELOTTI</v>
      </c>
      <c r="AL26" s="29">
        <v>11</v>
      </c>
      <c r="AM26" s="23"/>
      <c r="AN26" s="23"/>
      <c r="AO26" s="23"/>
      <c r="AP26" s="31">
        <v>19</v>
      </c>
      <c r="AQ26" s="32" t="str">
        <f t="shared" si="1"/>
        <v>LUGAR</v>
      </c>
      <c r="AR26" s="111" t="s">
        <v>214</v>
      </c>
      <c r="AS26" s="33" t="str">
        <f>IFERROR(IF(AR26="","",VLOOKUP(AR26,LISTAS!$F$5:$G$1004,2,0)),"0")</f>
        <v>ESCOLA VILLARE</v>
      </c>
      <c r="AT26" s="33">
        <v>190</v>
      </c>
      <c r="AU26" s="33" t="str">
        <f t="shared" si="2"/>
        <v/>
      </c>
    </row>
    <row r="27" spans="2:47" ht="18" customHeight="1" thickBot="1" x14ac:dyDescent="0.3">
      <c r="B27" s="133"/>
      <c r="C27" s="165" t="str">
        <f>IFERROR(IF(C26="","",VLOOKUP(C26,LISTAS!$F$5:$G$1004,2,0)),"0")</f>
        <v>PEN LIFE</v>
      </c>
      <c r="D27" s="267"/>
      <c r="E27" s="148"/>
      <c r="F27" s="101"/>
      <c r="G27" s="190"/>
      <c r="H27" s="101"/>
      <c r="I27" s="138"/>
      <c r="J27" s="101"/>
      <c r="K27" s="190"/>
      <c r="L27" s="101"/>
      <c r="M27" s="138"/>
      <c r="N27" s="101"/>
      <c r="O27" s="190"/>
      <c r="P27" s="101"/>
      <c r="Q27" s="100"/>
      <c r="R27" s="198"/>
      <c r="S27" s="37"/>
      <c r="T27" s="37"/>
      <c r="U27" s="37"/>
      <c r="V27" s="198"/>
      <c r="W27" s="37"/>
      <c r="X27" s="86"/>
      <c r="Y27" s="198"/>
      <c r="Z27" s="94"/>
      <c r="AA27" s="37"/>
      <c r="AB27" s="29"/>
      <c r="AC27" s="198"/>
      <c r="AD27" s="37"/>
      <c r="AE27" s="144"/>
      <c r="AF27" s="100"/>
      <c r="AG27" s="197"/>
      <c r="AH27" s="100"/>
      <c r="AI27" s="142"/>
      <c r="AJ27" s="267"/>
      <c r="AK27" s="165" t="str">
        <f>IFERROR(IF(AK26="","",VLOOKUP(AK26,LISTAS!$F$5:$G$1004,2,0)),"0")</f>
        <v>COLÉGIO MARCONI - GRU</v>
      </c>
      <c r="AL27" s="29"/>
      <c r="AP27" s="31">
        <f>IF(AR27&lt;&gt;"",1+COUNTIF(AP8:AP26,"1")+COUNTIF(AP8:AP26,"2")+COUNTIF(AP8:AP26,"3")+COUNTIF(AP8:AP26,"4")+COUNTIF(AP8:AP26,"5")+COUNTIF(AP8:AP26,"6")+COUNTIF(AP8:AP26,"7")+COUNTIF(AP8:AP26,"8")+COUNTIF(AP8:AP26,"9")+COUNTIF(AP8:AP26,"10")+COUNTIF(AP8:AP26,"11")+COUNTIF(AP8:AP26,"12")+COUNTIF(AP8:AP26,"13")+COUNTIF(AP8:AP26,"14")+COUNTIF(AP8:AP26,"15")+COUNTIF(AP8:AP26,"16")+COUNTIF(AP8:AP26,"17")+COUNTIF(AP8:AP26,"18")+COUNTIF(AP8:AP26,"19"),"")</f>
        <v>20</v>
      </c>
      <c r="AQ27" s="32" t="str">
        <f t="shared" si="1"/>
        <v>LUGAR</v>
      </c>
      <c r="AR27" s="111" t="str">
        <f>IF(AR11&lt;&gt;"",IF(C8=AR11,G10,IF(C10=AR11,G10,IF(C16=AR11,G18,IF(C18=AR11,G18,IF(C38=AR11,G40,IF(C40=AR11,G40,IF(C46=AR11,G48,IF(C48=AR11,G48,IF(C24=AR11,G26,IF(C26=AR11,G26,IF(C32=AR11,G34,IF(C34=AR11,G34,IF(C54=AR11,G56,IF(C56=AR11,G56,IF(C62=AR11,G64,IF(C64=AR11,G64,IF(AK8=AR11,AI10,IF(AK10=AR11,AI10,IF(AK16=AR11,AI18,IF(AK18=AR11,AI18,IF(AK38=AR11,AI40,IF(AK40=AR11,AI40,IF(AK46=AR11,AI48,IF(AK48=AR11,AI48,IF(#REF!=AR11,AI26,IF(AK26=AR11,AI26,IF(AK32=AR11,AI34,IF(AK34=AR11,AI34,IF(AK54=AR11,AI56,IF(AK56=AR11,AI56,IF(AK62=AR11,AI64,IF(AK64=AR11,AI64)))))))))))))))))))))))))))))))),"")</f>
        <v>OTÁVIO RODRIGUES CARLI</v>
      </c>
      <c r="AS27" s="33" t="str">
        <f>IFERROR(IF(AR27="","",VLOOKUP(AR27,LISTAS!$F$5:$G$1004,2,0)),"0")</f>
        <v>COLÉGIO ARBOS SÃO CAETANO DO SUL</v>
      </c>
      <c r="AT27" s="33">
        <v>190</v>
      </c>
      <c r="AU27" s="33" t="str">
        <f t="shared" si="2"/>
        <v/>
      </c>
    </row>
    <row r="28" spans="2:47" ht="18" customHeight="1" x14ac:dyDescent="0.25">
      <c r="B28" s="133"/>
      <c r="C28" s="188"/>
      <c r="D28" s="29"/>
      <c r="E28" s="29"/>
      <c r="F28" s="34"/>
      <c r="G28" s="162" t="str">
        <f>IF(D24&lt;&gt;"",IF(D26&lt;&gt;"",IF(D24=D26,"",IF(D24&gt;D26,C24,C26)),""),"")</f>
        <v>BERNARDO TOME</v>
      </c>
      <c r="H28" s="266">
        <v>1</v>
      </c>
      <c r="I28" s="148">
        <f>IF(H28&lt;&gt;"",H28,"")</f>
        <v>1</v>
      </c>
      <c r="J28" s="101" t="str">
        <f>IF(H28&lt;&gt;"",IF(G28="","",G28),"")</f>
        <v>BERNARDO TOME</v>
      </c>
      <c r="K28" s="190">
        <f>IF(I28&lt;&gt;"",IF(I30&lt;&gt;"",SMALL(I28:J30,1),""),"")</f>
        <v>0</v>
      </c>
      <c r="L28" s="101"/>
      <c r="M28" s="138"/>
      <c r="N28" s="101"/>
      <c r="O28" s="188"/>
      <c r="P28" s="29"/>
      <c r="Q28" s="37"/>
      <c r="R28" s="198"/>
      <c r="S28" s="37"/>
      <c r="T28" s="37"/>
      <c r="U28" s="37"/>
      <c r="V28" s="198"/>
      <c r="W28" s="37"/>
      <c r="X28" s="86"/>
      <c r="Y28" s="198"/>
      <c r="Z28" s="94"/>
      <c r="AA28" s="37"/>
      <c r="AB28" s="29"/>
      <c r="AC28" s="198"/>
      <c r="AD28" s="37"/>
      <c r="AE28" s="34"/>
      <c r="AF28" s="266">
        <v>1</v>
      </c>
      <c r="AG28" s="162" t="str">
        <f>IF(AJ24&lt;&gt;"",IF(AJ26&lt;&gt;"",IF(AJ24=AJ26,"",IF(AJ24&gt;AJ26,#REF!,AK26)),""),"")</f>
        <v>LORENZO BELOTTI</v>
      </c>
      <c r="AH28" s="94"/>
      <c r="AI28" s="37"/>
      <c r="AJ28" s="29"/>
      <c r="AK28" s="188"/>
      <c r="AL28" s="29"/>
      <c r="AP28" s="31">
        <f>IF(AR28&lt;&gt;"",1+COUNTIF(AP8:AP27,"1")+COUNTIF(AP8:AP27,"2")+COUNTIF(AP8:AP27,"3")+COUNTIF(AP8:AP27,"4")+COUNTIF(AP8:AP27,"5")+COUNTIF(AP8:AP27,"6")+COUNTIF(AP8:AP27,"7")+COUNTIF(AP8:AP27,"8")+COUNTIF(AP8:AP27,"9")+COUNTIF(AP8:AP27,"10")+COUNTIF(AP8:AP27,"11")+COUNTIF(AP8:AP27,"12")+COUNTIF(AP8:AP27,"13")+COUNTIF(AP8:AP27,"14")+COUNTIF(AP8:AP27,"15")+COUNTIF(AP8:AP27,"16")+COUNTIF(AP8:AP27,"17")+COUNTIF(AP8:AP27,"18")+COUNTIF(AP8:AP27,"19")+COUNTIF(AP8:AP27,"20"),"")</f>
        <v>21</v>
      </c>
      <c r="AQ28" s="32" t="str">
        <f t="shared" si="1"/>
        <v>LUGAR</v>
      </c>
      <c r="AR28" s="111" t="str">
        <f>IF(AR12&lt;&gt;"",IF(C8=AR12,G10,IF(C10=AR12,G10,IF(C16=AR12,G18,IF(C18=AR12,G18,IF(C38=AR12,G40,IF(C40=AR12,G40,IF(C46=AR12,G48,IF(C48=AR12,G48,IF(C24=AR12,G26,IF(C26=AR12,G26,IF(C32=AR12,G34,IF(C34=AR12,G34,IF(C54=AR12,G56,IF(C56=AR12,G56,IF(C62=AR12,G64,IF(C64=AR12,G64,IF(AK8=AR12,AI10,IF(AK10=AR12,AI10,IF(AK16=AR12,AI18,IF(AK18=AR12,AI18,IF(AK38=AR12,AI40,IF(AK40=AR12,AI40,IF(AK46=AR12,AI48,IF(AK48=AR12,AI48,IF(#REF!=AR12,AI26,IF(AK26=AR12,AI26,IF(AK32=AR12,AI34,IF(AK34=AR12,AI34,IF(AK54=AR12,AI56,IF(AK56=AR12,AI56,IF(AK62=AR12,AI64,IF(AK64=AR12,AI64)))))))))))))))))))))))))))))))),"")</f>
        <v>RENATO YUKIO MIYAHIRA PEGGAU</v>
      </c>
      <c r="AS28" s="33" t="str">
        <f>IFERROR(IF(AR28="","",VLOOKUP(AR28,LISTAS!$F$5:$G$1004,2,0)),"0")</f>
        <v>ESCOLA VILLARE</v>
      </c>
      <c r="AT28" s="33">
        <v>190</v>
      </c>
      <c r="AU28" s="33" t="str">
        <f t="shared" si="2"/>
        <v/>
      </c>
    </row>
    <row r="29" spans="2:47" ht="18" customHeight="1" thickBot="1" x14ac:dyDescent="0.3">
      <c r="B29" s="133"/>
      <c r="C29" s="188"/>
      <c r="D29" s="29"/>
      <c r="E29" s="29"/>
      <c r="F29" s="34"/>
      <c r="G29" s="165" t="str">
        <f>IFERROR(IF(G28="","",VLOOKUP(G28,LISTAS!$F$5:$G$1004,2,0)),"0")</f>
        <v>PEN LIFE</v>
      </c>
      <c r="H29" s="267"/>
      <c r="I29" s="105"/>
      <c r="J29" s="101"/>
      <c r="K29" s="190"/>
      <c r="L29" s="101"/>
      <c r="M29" s="138"/>
      <c r="N29" s="101"/>
      <c r="O29" s="188"/>
      <c r="P29" s="29"/>
      <c r="Q29" s="37"/>
      <c r="R29" s="198"/>
      <c r="S29" s="37"/>
      <c r="T29" s="37"/>
      <c r="U29" s="37"/>
      <c r="V29" s="198"/>
      <c r="W29" s="37"/>
      <c r="X29" s="86"/>
      <c r="Y29" s="198"/>
      <c r="Z29" s="94"/>
      <c r="AA29" s="37"/>
      <c r="AB29" s="29"/>
      <c r="AC29" s="198"/>
      <c r="AD29" s="37"/>
      <c r="AE29" s="140"/>
      <c r="AF29" s="267"/>
      <c r="AG29" s="165" t="str">
        <f>IFERROR(IF(AG28="","",VLOOKUP(AG28,LISTAS!$F$5:$G$1004,2,0)),"0")</f>
        <v>COLÉGIO MARCONI - GRU</v>
      </c>
      <c r="AH29" s="94"/>
      <c r="AI29" s="37"/>
      <c r="AJ29" s="29"/>
      <c r="AK29" s="188"/>
      <c r="AL29" s="29"/>
      <c r="AP29" s="31">
        <f>IF(AR29&lt;&gt;"",1+COUNTIF(AP8:AP28,"1")+COUNTIF(AP8:AP28,"2")+COUNTIF(AP8:AP28,"3")+COUNTIF(AP8:AP28,"4")+COUNTIF(AP8:AP28,"5")+COUNTIF(AP8:AP28,"6")+COUNTIF(AP8:AP28,"7")+COUNTIF(AP8:AP28,"8")+COUNTIF(AP8:AP28,"9")+COUNTIF(AP8:AP28,"10")+COUNTIF(AP8:AP28,"11")+COUNTIF(AP8:AP28,"12")+COUNTIF(AP8:AP28,"13")+COUNTIF(AP8:AP28,"14")+COUNTIF(AP8:AP28,"15")+COUNTIF(AP8:AP28,"16")+COUNTIF(AP8:AP28,"17")+COUNTIF(AP8:AP28,"18")+COUNTIF(AP8:AP28,"19")+COUNTIF(AP8:AP28,"20")+COUNTIF(AP8:AP28,"21"),"")</f>
        <v>22</v>
      </c>
      <c r="AQ29" s="32" t="str">
        <f t="shared" si="1"/>
        <v>LUGAR</v>
      </c>
      <c r="AR29" s="111" t="str">
        <f>IF(AR13&lt;&gt;"",IF(C8=AR13,G10,IF(C10=AR13,G10,IF(C16=AR13,G18,IF(C18=AR13,G18,IF(C38=AR13,G40,IF(C40=AR13,G40,IF(C46=AR13,G48,IF(C48=AR13,G48,IF(C24=AR13,G26,IF(C26=AR13,G26,IF(C32=AR13,G34,IF(C34=AR13,G34,IF(C54=AR13,G56,IF(C56=AR13,G56,IF(C62=AR13,G64,IF(C64=AR13,G64,IF(AK8=AR13,AI10,IF(AK10=AR13,AI10,IF(AK16=AR13,AI18,IF(AK18=AR13,AI18,IF(AK38=AR13,AI40,IF(AK40=AR13,AI40,IF(AK46=AR13,AI48,IF(AK48=AR13,AI48,IF(#REF!=AR13,AI26,IF(AK26=AR13,AI26,IF(AK32=AR13,AI34,IF(AK34=AR13,AI34,IF(AK54=AR13,AI56,IF(AK56=AR13,AI56,IF(AK62=AR13,AI64,IF(AK64=AR13,AI64)))))))))))))))))))))))))))))))),"")</f>
        <v>BRUNO SALLES</v>
      </c>
      <c r="AS29" s="33" t="str">
        <f>IFERROR(IF(AR29="","",VLOOKUP(AR29,LISTAS!$F$5:$G$1004,2,0)),"0")</f>
        <v>COLÉGIO MARCONI - GRU</v>
      </c>
      <c r="AT29" s="33">
        <v>190</v>
      </c>
      <c r="AU29" s="33" t="str">
        <f t="shared" si="2"/>
        <v/>
      </c>
    </row>
    <row r="30" spans="2:47" ht="18" customHeight="1" x14ac:dyDescent="0.25">
      <c r="B30" s="133"/>
      <c r="C30" s="188"/>
      <c r="D30" s="29"/>
      <c r="E30" s="35"/>
      <c r="F30" s="36"/>
      <c r="G30" s="162" t="str">
        <f>IF(D32&lt;&gt;"",IF(D34&lt;&gt;"",IF(D32=D34,"",IF(D32&gt;D34,C32,C34)),""),"")</f>
        <v>NICOLAS KOU</v>
      </c>
      <c r="H30" s="266">
        <v>0</v>
      </c>
      <c r="I30" s="106">
        <f>IF(H30&lt;&gt;"",H30,"")</f>
        <v>0</v>
      </c>
      <c r="J30" s="101" t="str">
        <f>IF(H30&lt;&gt;"",IF(G30="","",G30),"")</f>
        <v>NICOLAS KOU</v>
      </c>
      <c r="K30" s="190" t="str">
        <f>VLOOKUP(K28,I28:J30,2,0)</f>
        <v>NICOLAS KOU</v>
      </c>
      <c r="L30" s="101"/>
      <c r="M30" s="138"/>
      <c r="N30" s="101"/>
      <c r="O30" s="188"/>
      <c r="P30" s="29"/>
      <c r="Q30" s="37"/>
      <c r="R30" s="198"/>
      <c r="S30" s="37"/>
      <c r="T30" s="37"/>
      <c r="U30" s="37"/>
      <c r="V30" s="198"/>
      <c r="W30" s="37"/>
      <c r="X30" s="86"/>
      <c r="Y30" s="198"/>
      <c r="Z30" s="94"/>
      <c r="AA30" s="37"/>
      <c r="AB30" s="29"/>
      <c r="AC30" s="198"/>
      <c r="AD30" s="37"/>
      <c r="AE30" s="91"/>
      <c r="AF30" s="266">
        <v>0</v>
      </c>
      <c r="AG30" s="162" t="str">
        <f>IF(AJ32&lt;&gt;"",IF(AJ34&lt;&gt;"",IF(AJ32=AJ34,"",IF(AJ32&gt;AJ34,AK32,AK34)),""),"")</f>
        <v>OLYNTHO VOLTARELLI</v>
      </c>
      <c r="AH30" s="98"/>
      <c r="AI30" s="37"/>
      <c r="AJ30" s="29"/>
      <c r="AK30" s="188"/>
      <c r="AL30" s="29"/>
      <c r="AP30" s="31">
        <f>IF(AR30&lt;&gt;"",1+COUNTIF(AP8:AP29,"1")+COUNTIF(AP8:AP29,"2")+COUNTIF(AP8:AP29,"3")+COUNTIF(AP8:AP29,"4")+COUNTIF(AP8:AP29,"5")+COUNTIF(AP8:AP29,"6")+COUNTIF(AP8:AP29,"7")+COUNTIF(AP8:AP29,"8")+COUNTIF(AP8:AP29,"9")+COUNTIF(AP8:AP29,"10")+COUNTIF(AP8:AP29,"11")+COUNTIF(AP8:AP29,"12")+COUNTIF(AP8:AP29,"13")+COUNTIF(AP8:AP29,"14")+COUNTIF(AP8:AP29,"15")+COUNTIF(AP8:AP29,"16")+COUNTIF(AP8:AP29,"17")+COUNTIF(AP8:AP29,"18")+COUNTIF(AP8:AP29,"19")+COUNTIF(AP8:AP29,"20")+COUNTIF(AP8:AP29,"21")+COUNTIF(AP8:AP29,"22"),"")</f>
        <v>23</v>
      </c>
      <c r="AQ30" s="32" t="str">
        <f t="shared" si="1"/>
        <v>LUGAR</v>
      </c>
      <c r="AR30" s="111" t="str">
        <f>IF(AR14&lt;&gt;"",IF(C8=AR14,G10,IF(C10=AR14,G10,IF(C16=AR14,G18,IF(C18=AR14,G18,IF(C38=AR14,G40,IF(C40=AR14,G40,IF(C46=AR14,G48,IF(C48=AR14,G48,IF(C24=AR14,G26,IF(C26=AR14,G26,IF(C32=AR14,G34,IF(C34=AR14,G34,IF(C54=AR14,G56,IF(C56=AR14,G56,IF(C62=AR14,G64,IF(C64=AR14,G64,IF(AK8=AR14,AI10,IF(AK10=AR14,AI10,IF(AK16=AR14,AI18,IF(AK18=AR14,AI18,IF(AK38=AR14,AI40,IF(AK40=AR14,AI40,IF(AK46=AR14,AI48,IF(AK48=AR14,AI48,IF(#REF!=AR14,AI26,IF(AK26=AR14,AI26,IF(AK32=AR14,AI34,IF(AK34=AR14,AI34,IF(AK54=AR14,AI56,IF(AK56=AR14,AI56,IF(AK62=AR14,AI64,IF(AK64=AR14,AI64)))))))))))))))))))))))))))))))),"")</f>
        <v>DANILO RICO ALVES REGINALDO</v>
      </c>
      <c r="AS30" s="33" t="str">
        <f>IFERROR(IF(AR30="","",VLOOKUP(AR30,LISTAS!$F$5:$G$1004,2,0)),"0")</f>
        <v>ESCOLA VILLARE</v>
      </c>
      <c r="AT30" s="33">
        <v>190</v>
      </c>
      <c r="AU30" s="33" t="str">
        <f t="shared" si="2"/>
        <v/>
      </c>
    </row>
    <row r="31" spans="2:47" ht="18" customHeight="1" thickBot="1" x14ac:dyDescent="0.3">
      <c r="B31" s="133"/>
      <c r="C31" s="188"/>
      <c r="D31" s="29"/>
      <c r="E31" s="35"/>
      <c r="F31" s="29"/>
      <c r="G31" s="165" t="str">
        <f>IFERROR(IF(G30="","",VLOOKUP(G30,LISTAS!$F$5:$G$1004,2,0)),"0")</f>
        <v>COLÉGIO ARBOS - UNIDADE SANTO ANDRÉ</v>
      </c>
      <c r="H31" s="267"/>
      <c r="I31" s="101"/>
      <c r="J31" s="101"/>
      <c r="K31" s="190"/>
      <c r="L31" s="101"/>
      <c r="M31" s="138"/>
      <c r="N31" s="101"/>
      <c r="O31" s="188"/>
      <c r="P31" s="29"/>
      <c r="Q31" s="37"/>
      <c r="R31" s="198"/>
      <c r="S31" s="37"/>
      <c r="T31" s="37"/>
      <c r="U31" s="37"/>
      <c r="V31" s="198"/>
      <c r="W31" s="37"/>
      <c r="X31" s="86"/>
      <c r="Y31" s="198"/>
      <c r="Z31" s="94"/>
      <c r="AA31" s="37"/>
      <c r="AB31" s="29"/>
      <c r="AC31" s="198"/>
      <c r="AD31" s="37"/>
      <c r="AE31" s="37"/>
      <c r="AF31" s="267"/>
      <c r="AG31" s="165" t="str">
        <f>IFERROR(IF(AG30="","",VLOOKUP(AG30,LISTAS!$F$5:$G$1004,2,0)),"0")</f>
        <v>ESCOLA VILLARE</v>
      </c>
      <c r="AH31" s="37"/>
      <c r="AI31" s="89"/>
      <c r="AJ31" s="29"/>
      <c r="AK31" s="188"/>
      <c r="AL31" s="29"/>
      <c r="AP31" s="31">
        <f>IF(AR31&lt;&gt;"",1+COUNTIF(AP8:AP30,"1")+COUNTIF(AP8:AP30,"2")+COUNTIF(AP8:AP30,"3")+COUNTIF(AP8:AP30,"4")+COUNTIF(AP8:AP30,"5")+COUNTIF(AP8:AP30,"6")+COUNTIF(AP8:AP30,"7")+COUNTIF(AP8:AP30,"8")+COUNTIF(AP8:AP30,"9")+COUNTIF(AP8:AP30,"10")+COUNTIF(AP8:AP30,"11")+COUNTIF(AP8:AP30,"12")+COUNTIF(AP8:AP30,"13")+COUNTIF(AP8:AP30,"14")+COUNTIF(AP8:AP30,"15")+COUNTIF(AP8:AP30,"16")+COUNTIF(AP8:AP30,"17")+COUNTIF(AP8:AP30,"18")+COUNTIF(AP8:AP30,"19")+COUNTIF(AP8:AP30,"20")+COUNTIF(AP8:AP30,"21")+COUNTIF(AP8:AP30,"22")+COUNTIF(AP8:AP30,"23"),"")</f>
        <v>24</v>
      </c>
      <c r="AQ31" s="32" t="str">
        <f t="shared" si="1"/>
        <v>LUGAR</v>
      </c>
      <c r="AR31" s="111" t="str">
        <f>IF(AR15&lt;&gt;"",IF(C8=AR15,G10,IF(C10=AR15,G10,IF(C16=AR15,G18,IF(C18=AR15,G18,IF(C38=AR15,G40,IF(C40=AR15,G40,IF(C46=AR15,G48,IF(C48=AR15,G48,IF(C24=AR15,G26,IF(C26=AR15,G26,IF(C32=AR15,G34,IF(C34=AR15,G34,IF(C54=AR15,G56,IF(C56=AR15,G56,IF(C62=AR15,G64,IF(C64=AR15,G64,IF(AK8=AR15,AI10,IF(AK10=AR15,AI10,IF(AK16=AR15,AI18,IF(AK18=AR15,AI18,IF(AK38=AR15,AI40,IF(AK40=AR15,AI40,IF(AK46=AR15,AI48,IF(AK48=AR15,AI48,IF(#REF!=AR15,AI26,IF(AK26=AR15,AI26,IF(AK32=AR15,AI34,IF(AK34=AR15,AI34,IF(AK54=AR15,AI56,IF(AK56=AR15,AI56,IF(AK62=AR15,AI64,IF(AK64=AR15,AI64)))))))))))))))))))))))))))))))),"")</f>
        <v>BENÍCIO PEPINELI MOLERO</v>
      </c>
      <c r="AS31" s="33" t="str">
        <f>IFERROR(IF(AR31="","",VLOOKUP(AR31,LISTAS!$F$5:$G$1004,2,0)),"0")</f>
        <v>LICEU JARDIM</v>
      </c>
      <c r="AT31" s="33">
        <v>190</v>
      </c>
      <c r="AU31" s="33" t="str">
        <f t="shared" si="2"/>
        <v/>
      </c>
    </row>
    <row r="32" spans="2:47" ht="18" customHeight="1" x14ac:dyDescent="0.25">
      <c r="B32" s="133">
        <v>25</v>
      </c>
      <c r="C32" s="33" t="s">
        <v>330</v>
      </c>
      <c r="D32" s="266">
        <v>1</v>
      </c>
      <c r="E32" s="148">
        <f>IF(D32&lt;&gt;"",D32,"")</f>
        <v>1</v>
      </c>
      <c r="F32" s="101" t="str">
        <f>IF(D32&lt;&gt;"",IF(C32="","",C32),"")</f>
        <v>NICOLAS KOU</v>
      </c>
      <c r="G32" s="190">
        <f>IF(E32&lt;&gt;"",IF(E34&lt;&gt;"",SMALL(E32:E34,1),""),"")</f>
        <v>0</v>
      </c>
      <c r="H32" s="101"/>
      <c r="I32" s="101"/>
      <c r="J32" s="101"/>
      <c r="K32" s="190"/>
      <c r="L32" s="101"/>
      <c r="M32" s="138"/>
      <c r="N32" s="101"/>
      <c r="O32" s="188"/>
      <c r="P32" s="29"/>
      <c r="Q32" s="37"/>
      <c r="R32" s="198"/>
      <c r="S32" s="37"/>
      <c r="T32" s="37"/>
      <c r="U32" s="37"/>
      <c r="V32" s="198"/>
      <c r="W32" s="37"/>
      <c r="X32" s="86"/>
      <c r="Y32" s="198"/>
      <c r="Z32" s="94"/>
      <c r="AA32" s="37"/>
      <c r="AB32" s="29"/>
      <c r="AC32" s="198"/>
      <c r="AD32" s="100"/>
      <c r="AE32" s="100"/>
      <c r="AF32" s="100"/>
      <c r="AG32" s="197">
        <f>IF(AJ32&lt;&gt;"",AJ32,"")</f>
        <v>1</v>
      </c>
      <c r="AH32" s="100" t="str">
        <f>IF(AJ32&lt;&gt;"",IF(AK32="","",AK32),"")</f>
        <v>OLYNTHO VOLTARELLI</v>
      </c>
      <c r="AI32" s="137">
        <f>IF(AG32&lt;&gt;"",IF(AG34&lt;&gt;"",SMALL(AG32:AG34,1),""),"")</f>
        <v>0</v>
      </c>
      <c r="AJ32" s="266">
        <v>1</v>
      </c>
      <c r="AK32" s="33" t="s">
        <v>333</v>
      </c>
      <c r="AL32" s="29">
        <v>27</v>
      </c>
      <c r="AP32" s="31">
        <v>25</v>
      </c>
      <c r="AQ32" s="32" t="str">
        <f t="shared" si="1"/>
        <v>LUGAR</v>
      </c>
      <c r="AR32" s="111" t="s">
        <v>211</v>
      </c>
      <c r="AS32" s="33" t="str">
        <f>IFERROR(IF(AR32="","",VLOOKUP(AR32,LISTAS!$F$5:$G$1004,2,0)),"0")</f>
        <v>RIO BRANCO - SBC</v>
      </c>
      <c r="AT32" s="33">
        <v>190</v>
      </c>
      <c r="AU32" s="33" t="str">
        <f t="shared" si="2"/>
        <v/>
      </c>
    </row>
    <row r="33" spans="2:47" ht="18" customHeight="1" thickBot="1" x14ac:dyDescent="0.3">
      <c r="B33" s="133"/>
      <c r="C33" s="165" t="str">
        <f>IFERROR(IF(C32="","",VLOOKUP(C32,LISTAS!$F$5:$G$1004,2,0)),"0")</f>
        <v>COLÉGIO ARBOS - UNIDADE SANTO ANDRÉ</v>
      </c>
      <c r="D33" s="267"/>
      <c r="E33" s="105"/>
      <c r="F33" s="101"/>
      <c r="G33" s="190"/>
      <c r="H33" s="101"/>
      <c r="I33" s="101"/>
      <c r="J33" s="101"/>
      <c r="K33" s="190"/>
      <c r="L33" s="101"/>
      <c r="M33" s="138"/>
      <c r="N33" s="101"/>
      <c r="O33" s="188"/>
      <c r="P33" s="29"/>
      <c r="Q33" s="37"/>
      <c r="R33" s="198"/>
      <c r="S33" s="37"/>
      <c r="T33" s="37"/>
      <c r="U33" s="37"/>
      <c r="V33" s="198"/>
      <c r="W33" s="37"/>
      <c r="X33" s="86"/>
      <c r="Y33" s="198"/>
      <c r="Z33" s="94"/>
      <c r="AA33" s="37"/>
      <c r="AB33" s="29"/>
      <c r="AC33" s="198"/>
      <c r="AD33" s="100"/>
      <c r="AE33" s="100"/>
      <c r="AF33" s="100"/>
      <c r="AG33" s="197"/>
      <c r="AH33" s="100"/>
      <c r="AI33" s="143"/>
      <c r="AJ33" s="267"/>
      <c r="AK33" s="165" t="str">
        <f>IFERROR(IF(AK32="","",VLOOKUP(AK32,LISTAS!$F$5:$G$1004,2,0)),"0")</f>
        <v>ESCOLA VILLARE</v>
      </c>
      <c r="AL33" s="29"/>
      <c r="AP33" s="31">
        <f>IF(AR33&lt;&gt;"",1+COUNTIF(AP8:AP32,"1")+COUNTIF(AP8:AP32,"2")+COUNTIF(AP8:AP32,"3")+COUNTIF(AP8:AP32,"4")+COUNTIF(AP8:AP32,"5")+COUNTIF(AP8:AP32,"6")+COUNTIF(AP8:AP32,"7")+COUNTIF(AP8:AP32,"8")+COUNTIF(AP8:AP32,"9")+COUNTIF(AP8:AP32,"10")+COUNTIF(AP8:AP32,"11")+COUNTIF(AP8:AP32,"12")+COUNTIF(AP8:AP32,"13")+COUNTIF(AP8:AP32,"14")+COUNTIF(AP8:AP32,"15")+COUNTIF(AP8:AP32,"16")+COUNTIF(AP8:AP32,"17")+COUNTIF(AP8:AP32,"18")+COUNTIF(AP8:AP32,"19")+COUNTIF(AP8:AP32,"20")+COUNTIF(AP8:AP32,"21")+COUNTIF(AP8:AP32,"22")+COUNTIF(AP8:AP32,"23")+COUNTIF(AP8:AP32,"24")+COUNTIF(AP8:AP32,"25"),"")</f>
        <v>26</v>
      </c>
      <c r="AQ33" s="32" t="str">
        <f t="shared" si="1"/>
        <v>LUGAR</v>
      </c>
      <c r="AR33" s="111" t="str">
        <f>IF(AR17&lt;&gt;"",IF(C8=AR17,G10,IF(C10=AR17,G10,IF(C16=AR17,G18,IF(C18=AR17,G18,IF(C38=AR17,G40,IF(C40=AR17,G40,IF(C46=AR17,G48,IF(C48=AR17,G48,IF(C24=AR17,G26,IF(C26=AR17,G26,IF(C32=AR17,G34,IF(C34=AR17,G34,IF(C54=AR17,G56,IF(C56=AR17,G56,IF(C62=AR17,G64,IF(C64=AR17,G64,IF(AK8=AR17,AI10,IF(AK10=AR17,AI10,IF(AK16=AR17,AI18,IF(AK18=AR17,AI18,IF(AK38=AR17,AI40,IF(AK40=AR17,AI40,IF(AK46=AR17,AI48,IF(AK48=AR17,AI48,IF(#REF!=AR17,AI26,IF(AK26=AR17,AI26,IF(AK32=AR17,AI34,IF(AK34=AR17,AI34,IF(AK54=AR17,AI56,IF(AK56=AR17,AI56,IF(AK62=AR17,AI64,IF(AK64=AR17,AI64)))))))))))))))))))))))))))))))),"")</f>
        <v>YURI FONSECA CABALEIRO COSTA</v>
      </c>
      <c r="AS33" s="33" t="str">
        <f>IFERROR(IF(AR33="","",VLOOKUP(AR33,LISTAS!$F$5:$G$1004,2,0)),"0")</f>
        <v>LICEU JARDIM</v>
      </c>
      <c r="AT33" s="33">
        <v>190</v>
      </c>
      <c r="AU33" s="33" t="str">
        <f t="shared" si="2"/>
        <v/>
      </c>
    </row>
    <row r="34" spans="2:47" ht="18" customHeight="1" thickBot="1" x14ac:dyDescent="0.3">
      <c r="B34" s="133">
        <v>8</v>
      </c>
      <c r="C34" s="162" t="str">
        <f>IF('11M GRP'!G5&gt;=3,'11M GRP'!J112,IF('11M GRP'!G5=2,"",IF('11M GRP'!G5=1,"","")))</f>
        <v>RICARDO SALVADOR DE MATTOS</v>
      </c>
      <c r="D34" s="266">
        <v>0</v>
      </c>
      <c r="E34" s="106">
        <f>IF(D34&lt;&gt;"",D34,"")</f>
        <v>0</v>
      </c>
      <c r="F34" s="101" t="str">
        <f>IF(D34&lt;&gt;"",IF(C34="","",C34),"")</f>
        <v>RICARDO SALVADOR DE MATTOS</v>
      </c>
      <c r="G34" s="190" t="str">
        <f>VLOOKUP(G32,E32:F34,2,0)</f>
        <v>RICARDO SALVADOR DE MATTOS</v>
      </c>
      <c r="H34" s="101"/>
      <c r="I34" s="101"/>
      <c r="J34" s="101"/>
      <c r="K34" s="190"/>
      <c r="L34" s="101"/>
      <c r="M34" s="138"/>
      <c r="N34" s="101"/>
      <c r="O34" s="188"/>
      <c r="P34" s="29"/>
      <c r="Q34" s="37"/>
      <c r="R34" s="268" t="s">
        <v>37</v>
      </c>
      <c r="S34" s="268"/>
      <c r="T34" s="268"/>
      <c r="U34" s="268"/>
      <c r="V34" s="268"/>
      <c r="W34" s="37"/>
      <c r="X34" s="86"/>
      <c r="Y34" s="198"/>
      <c r="Z34" s="94"/>
      <c r="AA34" s="37"/>
      <c r="AB34" s="29"/>
      <c r="AC34" s="198"/>
      <c r="AD34" s="100"/>
      <c r="AE34" s="100"/>
      <c r="AF34" s="100"/>
      <c r="AG34" s="197">
        <f>IF(AJ34&lt;&gt;"",AJ34,"")</f>
        <v>0</v>
      </c>
      <c r="AH34" s="100" t="str">
        <f>IF(AJ34&lt;&gt;"",IF(AK34="","",AK34),"")</f>
        <v>ARTHUR COSTA MACIEL</v>
      </c>
      <c r="AI34" s="145" t="str">
        <f>VLOOKUP(AI32,AG32:AH34,2,0)</f>
        <v>ARTHUR COSTA MACIEL</v>
      </c>
      <c r="AJ34" s="266">
        <v>0</v>
      </c>
      <c r="AK34" s="162" t="str">
        <f>IF('11M GRP'!G5&gt;=3,'11M GRP'!J86,IF('11M GRP'!G5=2,"",IF('11M GRP'!G5=1,"","")))</f>
        <v>ARTHUR COSTA MACIEL</v>
      </c>
      <c r="AL34" s="29">
        <v>6</v>
      </c>
      <c r="AP34" s="31">
        <v>27</v>
      </c>
      <c r="AQ34" s="32" t="str">
        <f t="shared" si="1"/>
        <v>LUGAR</v>
      </c>
      <c r="AR34" s="111" t="s">
        <v>225</v>
      </c>
      <c r="AS34" s="33" t="str">
        <f>IFERROR(IF(AR34="","",VLOOKUP(AR34,LISTAS!$F$5:$G$1004,2,0)),"0")</f>
        <v>IEBURIX -SBC</v>
      </c>
      <c r="AT34" s="33">
        <v>190</v>
      </c>
      <c r="AU34" s="33" t="str">
        <f t="shared" si="2"/>
        <v/>
      </c>
    </row>
    <row r="35" spans="2:47" ht="18" customHeight="1" thickBot="1" x14ac:dyDescent="0.3">
      <c r="B35" s="133"/>
      <c r="C35" s="165" t="str">
        <f>IFERROR(IF(C34="","",VLOOKUP(C34,LISTAS!$F$5:$G$1004,2,0)),"0")</f>
        <v>COLÉGIO ARBOS SÃO CAETANO DO SUL</v>
      </c>
      <c r="D35" s="267"/>
      <c r="E35" s="101"/>
      <c r="F35" s="101"/>
      <c r="G35" s="190"/>
      <c r="H35" s="101"/>
      <c r="I35" s="101"/>
      <c r="J35" s="101"/>
      <c r="K35" s="190"/>
      <c r="L35" s="101"/>
      <c r="M35" s="138"/>
      <c r="N35" s="101"/>
      <c r="O35" s="162" t="str">
        <f>IF(L20&lt;&gt;"",IF(L22&lt;&gt;"",IF(L20=L22,"",IF(L20&gt;L22,K20,K22)),""),"")</f>
        <v>BERNARDO TOME</v>
      </c>
      <c r="P35" s="266">
        <v>0</v>
      </c>
      <c r="Q35" s="37"/>
      <c r="R35" s="189"/>
      <c r="S35" s="84"/>
      <c r="T35" s="84"/>
      <c r="U35" s="84"/>
      <c r="V35" s="189"/>
      <c r="W35" s="37"/>
      <c r="X35" s="266">
        <v>1</v>
      </c>
      <c r="Y35" s="162" t="str">
        <f>IF(AB20&lt;&gt;"",IF(AB22&lt;&gt;"",IF(AB20=AB22,"",IF(AB20&gt;AB22,AC20,AC22)),""),"")</f>
        <v>LORENZO BELOTTI</v>
      </c>
      <c r="Z35" s="94"/>
      <c r="AA35" s="37"/>
      <c r="AB35" s="29"/>
      <c r="AC35" s="198"/>
      <c r="AD35" s="100"/>
      <c r="AE35" s="100"/>
      <c r="AF35" s="100"/>
      <c r="AG35" s="197"/>
      <c r="AH35" s="100"/>
      <c r="AI35" s="101"/>
      <c r="AJ35" s="267"/>
      <c r="AK35" s="165" t="str">
        <f>IFERROR(IF(AK34="","",VLOOKUP(AK34,LISTAS!$F$5:$G$1004,2,0)),"0")</f>
        <v>ESCOLA VILLARE</v>
      </c>
      <c r="AL35" s="29"/>
      <c r="AP35" s="31">
        <f>IF(AR35&lt;&gt;"",1+COUNTIF(AP8:AP34,"1")+COUNTIF(AP8:AP34,"2")+COUNTIF(AP8:AP34,"3")+COUNTIF(AP8:AP34,"4")+COUNTIF(AP8:AP34,"5")+COUNTIF(AP8:AP34,"6")+COUNTIF(AP8:AP34,"7")+COUNTIF(AP8:AP34,"8")+COUNTIF(AP8:AP34,"9")+COUNTIF(AP8:AP34,"10")+COUNTIF(AP8:AP34,"11")+COUNTIF(AP8:AP34,"12")+COUNTIF(AP8:AP34,"13")+COUNTIF(AP8:AP34,"14")+COUNTIF(AP8:AP34,"15")+COUNTIF(AP8:AP34,"16")+COUNTIF(AP8:AP34,"17")+COUNTIF(AP8:AP34,"18")+COUNTIF(AP8:AP34,"19")+COUNTIF(AP8:AP34,"20")+COUNTIF(AP8:AP34,"21")+COUNTIF(AP8:AP34,"22")+COUNTIF(AP8:AP34,"23")+COUNTIF(AP8:AP34,"24")+COUNTIF(AP8:AP34,"25")+COUNTIF(AP8:AP34,"26")+COUNTIF(AP8:AP34,"27"),"")</f>
        <v>28</v>
      </c>
      <c r="AQ35" s="32" t="str">
        <f t="shared" si="1"/>
        <v>LUGAR</v>
      </c>
      <c r="AR35" s="111" t="str">
        <f>IF(AR19&lt;&gt;"",IF(C8=AR19,G10,IF(C10=AR19,G10,IF(C16=AR19,G18,IF(C18=AR19,G18,IF(C38=AR19,G40,IF(C40=AR19,G40,IF(C46=AR19,G48,IF(C48=AR19,G48,IF(C24=AR19,G26,IF(C26=AR19,G26,IF(C32=AR19,G34,IF(C34=AR19,G34,IF(C54=AR19,G56,IF(C56=AR19,G56,IF(C62=AR19,G64,IF(C64=AR19,G64,IF(AK8=AR19,AI10,IF(AK10=AR19,AI10,IF(AK16=AR19,AI18,IF(AK18=AR19,AI18,IF(AK38=AR19,AI40,IF(AK40=AR19,AI40,IF(AK46=AR19,AI48,IF(AK48=AR19,AI48,IF(#REF!=AR19,AI26,IF(AK26=AR19,AI26,IF(AK32=AR19,AI34,IF(AK34=AR19,AI34,IF(AK54=AR19,AI56,IF(AK56=AR19,AI56,IF(AK62=AR19,AI64,IF(AK64=AR19,AI64)))))))))))))))))))))))))))))))),"")</f>
        <v>RICARDO SALVADOR DE MATTOS</v>
      </c>
      <c r="AS35" s="33" t="str">
        <f>IFERROR(IF(AR35="","",VLOOKUP(AR35,LISTAS!$F$5:$G$1004,2,0)),"0")</f>
        <v>COLÉGIO ARBOS SÃO CAETANO DO SUL</v>
      </c>
      <c r="AT35" s="33">
        <v>190</v>
      </c>
      <c r="AU35" s="33" t="str">
        <f t="shared" si="2"/>
        <v/>
      </c>
    </row>
    <row r="36" spans="2:47" ht="18" customHeight="1" thickBot="1" x14ac:dyDescent="0.3">
      <c r="B36" s="133"/>
      <c r="C36" s="188"/>
      <c r="D36" s="29"/>
      <c r="E36" s="101"/>
      <c r="F36" s="101"/>
      <c r="G36" s="190"/>
      <c r="H36" s="101"/>
      <c r="I36" s="101"/>
      <c r="J36" s="101"/>
      <c r="K36" s="190"/>
      <c r="L36" s="101"/>
      <c r="M36" s="138"/>
      <c r="N36" s="101"/>
      <c r="O36" s="165" t="str">
        <f>IFERROR(IF(O35="","",VLOOKUP(O35,LISTAS!$F$5:$G$1004,2,0)),"0")</f>
        <v>PEN LIFE</v>
      </c>
      <c r="P36" s="267"/>
      <c r="Q36" s="37"/>
      <c r="R36" s="162" t="str">
        <f>IF(P35&lt;&gt;"",IF(P37&lt;&gt;"",IF(P35=P37,"",IF(P35&gt;P37,O35,O37)),""),"")</f>
        <v>CESAR TRIGLIA</v>
      </c>
      <c r="S36" s="266">
        <v>0</v>
      </c>
      <c r="T36" s="269" t="s">
        <v>38</v>
      </c>
      <c r="U36" s="266">
        <v>1</v>
      </c>
      <c r="V36" s="162" t="str">
        <f>IF(X35&lt;&gt;"",IF(X37&lt;&gt;"",IF(X35=X37,"",IF(X35&gt;X37,Y35,Y37)),""),"")</f>
        <v>LORENZO BELOTTI</v>
      </c>
      <c r="W36" s="141"/>
      <c r="X36" s="267"/>
      <c r="Y36" s="165" t="str">
        <f>IFERROR(IF(Y35="","",VLOOKUP(Y35,LISTAS!$F$5:$G$1004,2,0)),"0")</f>
        <v>COLÉGIO MARCONI - GRU</v>
      </c>
      <c r="Z36" s="141"/>
      <c r="AA36" s="37"/>
      <c r="AB36" s="29"/>
      <c r="AC36" s="198"/>
      <c r="AD36" s="100"/>
      <c r="AE36" s="100"/>
      <c r="AF36" s="100"/>
      <c r="AG36" s="197"/>
      <c r="AH36" s="100"/>
      <c r="AI36" s="100"/>
      <c r="AJ36" s="29"/>
      <c r="AK36" s="188"/>
      <c r="AL36" s="29"/>
      <c r="AP36" s="31">
        <f>IF(AR36&lt;&gt;"",1+COUNTIF(AP8:AP35,"1")+COUNTIF(AP8:AP35,"2")+COUNTIF(AP8:AP35,"3")+COUNTIF(AP8:AP35,"4")+COUNTIF(AP8:AP35,"5")+COUNTIF(AP8:AP35,"6")+COUNTIF(AP8:AP35,"7")+COUNTIF(AP8:AP35,"8")+COUNTIF(AP8:AP35,"9")+COUNTIF(AP8:AP35,"10")+COUNTIF(AP8:AP35,"11")+COUNTIF(AP8:AP35,"12")+COUNTIF(AP8:AP35,"13")+COUNTIF(AP8:AP35,"14")+COUNTIF(AP8:AP35,"15")+COUNTIF(AP8:AP35,"16")+COUNTIF(AP8:AP35,"17")+COUNTIF(AP8:AP35,"18")+COUNTIF(AP8:AP35,"19")+COUNTIF(AP8:AP35,"20")+COUNTIF(AP8:AP35,"21")+COUNTIF(AP8:AP35,"22")+COUNTIF(AP8:AP35,"23")+COUNTIF(AP8:AP35,"24")+COUNTIF(AP8:AP35,"25")+COUNTIF(AP8:AP35,"26")+COUNTIF(AP8:AP35,"27")+COUNTIF(AP8:AP35,"28"),"")</f>
        <v>29</v>
      </c>
      <c r="AQ36" s="32" t="str">
        <f t="shared" si="1"/>
        <v>LUGAR</v>
      </c>
      <c r="AR36" s="111" t="str">
        <f>IF(AR20&lt;&gt;"",IF(C8=AR20,G10,IF(C10=AR20,G10,IF(C16=AR20,G18,IF(C18=AR20,G18,IF(C38=AR20,G40,IF(C40=AR20,G40,IF(C46=AR20,G48,IF(C48=AR20,G48,IF(C24=AR20,G26,IF(C26=AR20,G26,IF(C32=AR20,G34,IF(C34=AR20,G34,IF(C54=AR20,G56,IF(C56=AR20,G56,IF(C62=AR20,G64,IF(C64=AR20,G64,IF(AK8=AR20,AI10,IF(AK10=AR20,AI10,IF(AK16=AR20,AI18,IF(AK18=AR20,AI18,IF(AK38=AR20,AI40,IF(AK40=AR20,AI40,IF(AK46=AR20,AI48,IF(AK48=AR20,AI48,IF(#REF!=AR20,AI26,IF(AK26=AR20,AI26,IF(AK32=AR20,AI34,IF(AK34=AR20,AI34,IF(AK54=AR20,AI56,IF(AK56=AR20,AI56,IF(AK62=AR20,AI64,IF(AK64=AR20,AI64)))))))))))))))))))))))))))))))),"")</f>
        <v>LUCCA PONCE SANTOS</v>
      </c>
      <c r="AS36" s="33" t="str">
        <f>IFERROR(IF(AR36="","",VLOOKUP(AR36,LISTAS!$F$5:$G$1004,2,0)),"0")</f>
        <v>COLÉGIO ENGENHEIRO SALVADOR ARENA</v>
      </c>
      <c r="AT36" s="33">
        <v>190</v>
      </c>
      <c r="AU36" s="33" t="str">
        <f t="shared" si="2"/>
        <v/>
      </c>
    </row>
    <row r="37" spans="2:47" ht="18" customHeight="1" thickBot="1" x14ac:dyDescent="0.3">
      <c r="B37" s="133"/>
      <c r="C37" s="188"/>
      <c r="D37" s="29"/>
      <c r="E37" s="101"/>
      <c r="F37" s="101"/>
      <c r="G37" s="190"/>
      <c r="H37" s="101"/>
      <c r="I37" s="101"/>
      <c r="J37" s="101"/>
      <c r="K37" s="190"/>
      <c r="L37" s="101"/>
      <c r="M37" s="138"/>
      <c r="N37" s="102"/>
      <c r="O37" s="162" t="str">
        <f>IF(L50&lt;&gt;"",IF(L52&lt;&gt;"",IF(L50=L52,"",IF(L50&gt;L52,K50,K52)),""),"")</f>
        <v>CESAR TRIGLIA</v>
      </c>
      <c r="P37" s="266">
        <v>1</v>
      </c>
      <c r="Q37" s="97"/>
      <c r="R37" s="165" t="str">
        <f>IFERROR(IF(R36="","",VLOOKUP(R36,LISTAS!$F$5:$G$1004,2,0)),"0")</f>
        <v>COLÉGIO MARCONI - GRU</v>
      </c>
      <c r="S37" s="267"/>
      <c r="T37" s="269"/>
      <c r="U37" s="267"/>
      <c r="V37" s="165" t="str">
        <f>IFERROR(IF(V36="","",VLOOKUP(V36,LISTAS!$F$5:$G$1004,2,0)),"0")</f>
        <v>COLÉGIO MARCONI - GRU</v>
      </c>
      <c r="W37" s="98"/>
      <c r="X37" s="266">
        <v>0</v>
      </c>
      <c r="Y37" s="162" t="str">
        <f>IF(AB50&lt;&gt;"",IF(AB52&lt;&gt;"",IF(AB50=AB52,"",IF(AB50&gt;AB52,AC50,AC52)),""),"")</f>
        <v>LUCCA DE ALMEIDA BRANCALLIAO</v>
      </c>
      <c r="Z37" s="98"/>
      <c r="AA37" s="37"/>
      <c r="AB37" s="29"/>
      <c r="AC37" s="198"/>
      <c r="AD37" s="100"/>
      <c r="AE37" s="100"/>
      <c r="AF37" s="100"/>
      <c r="AG37" s="197"/>
      <c r="AH37" s="100"/>
      <c r="AI37" s="100"/>
      <c r="AJ37" s="29"/>
      <c r="AK37" s="188"/>
      <c r="AL37" s="29"/>
      <c r="AP37" s="31">
        <f>IF(AR37&lt;&gt;"",1+COUNTIF(AP8:AP36,"1")+COUNTIF(AP8:AP36,"2")+COUNTIF(AP8:AP36,"3")+COUNTIF(AP8:AP36,"4")+COUNTIF(AP8:AP36,"5")+COUNTIF(AP8:AP36,"6")+COUNTIF(AP8:AP36,"7")+COUNTIF(AP8:AP36,"8")+COUNTIF(AP8:AP36,"9")+COUNTIF(AP8:AP36,"10")+COUNTIF(AP8:AP36,"11")+COUNTIF(AP8:AP36,"12")+COUNTIF(AP8:AP36,"13")+COUNTIF(AP8:AP36,"14")+COUNTIF(AP8:AP36,"15")+COUNTIF(AP8:AP36,"16")+COUNTIF(AP8:AP36,"17")+COUNTIF(AP8:AP36,"18")+COUNTIF(AP8:AP36,"19")+COUNTIF(AP8:AP36,"20")+COUNTIF(AP8:AP36,"21")+COUNTIF(AP8:AP36,"22")+COUNTIF(AP8:AP36,"23")+COUNTIF(AP8:AP36,"24")+COUNTIF(AP8:AP36,"25")+COUNTIF(AP8:AP36,"26")+COUNTIF(AP8:AP36,"27")+COUNTIF(AP8:AP36,"28")+COUNTIF(AP8:AP36,"29"),"")</f>
        <v>30</v>
      </c>
      <c r="AQ37" s="32" t="str">
        <f t="shared" si="1"/>
        <v>LUGAR</v>
      </c>
      <c r="AR37" s="111" t="str">
        <f>IF(AR21&lt;&gt;"",IF(C8=AR21,G10,IF(C10=AR21,G10,IF(C16=AR21,G18,IF(C18=AR21,G18,IF(C38=AR21,G40,IF(C40=AR21,G40,IF(C46=AR21,G48,IF(C48=AR21,G48,IF(C24=AR21,G26,IF(C26=AR21,G26,IF(C32=AR21,G34,IF(C34=AR21,G34,IF(C54=AR21,G56,IF(C56=AR21,G56,IF(C62=AR21,G64,IF(C64=AR21,G64,IF(AK8=AR21,AI10,IF(AK10=AR21,AI10,IF(AK16=AR21,AI18,IF(AK18=AR21,AI18,IF(AK38=AR21,AI40,IF(AK40=AR21,AI40,IF(AK46=AR21,AI48,IF(AK48=AR21,AI48,IF(#REF!=AR21,AI26,IF(AK26=AR21,AI26,IF(AK32=AR21,AI34,IF(AK34=AR21,AI34,IF(AK54=AR21,AI56,IF(AK56=AR21,AI56,IF(AK62=AR21,AI64,IF(AK64=AR21,AI64)))))))))))))))))))))))))))))))),"")</f>
        <v>SAMUEL FERNANDES MARTINS</v>
      </c>
      <c r="AS37" s="33" t="str">
        <f>IFERROR(IF(AR37="","",VLOOKUP(AR37,LISTAS!$F$5:$G$1004,2,0)),"0")</f>
        <v>ABACO IPIRANGA</v>
      </c>
      <c r="AT37" s="33">
        <v>190</v>
      </c>
      <c r="AU37" s="33" t="str">
        <f t="shared" si="2"/>
        <v/>
      </c>
    </row>
    <row r="38" spans="2:47" ht="18" customHeight="1" thickBot="1" x14ac:dyDescent="0.3">
      <c r="B38" s="133">
        <v>5</v>
      </c>
      <c r="C38" s="162" t="str">
        <f>IF('11M GRP'!G5&gt;=3,'11M GRP'!J73,IF('11M GRP'!G5=2,"",IF('11M GRP'!G5=1,'11M GRP'!J12,"")))</f>
        <v>BRUNO SALLES</v>
      </c>
      <c r="D38" s="266">
        <v>0</v>
      </c>
      <c r="E38" s="101">
        <f>IF(D38&lt;&gt;"",D38,"")</f>
        <v>0</v>
      </c>
      <c r="F38" s="101" t="str">
        <f>IF(D38&lt;&gt;"",IF(C38="","",C38),"")</f>
        <v>BRUNO SALLES</v>
      </c>
      <c r="G38" s="190">
        <f>IF(E38&lt;&gt;"",IF(E40&lt;&gt;"",SMALL(E38:E40,1),""),"")</f>
        <v>0</v>
      </c>
      <c r="H38" s="101"/>
      <c r="I38" s="101"/>
      <c r="J38" s="101"/>
      <c r="K38" s="190"/>
      <c r="L38" s="101"/>
      <c r="M38" s="138"/>
      <c r="N38" s="100"/>
      <c r="O38" s="165" t="str">
        <f>IFERROR(IF(O37="","",VLOOKUP(O37,LISTAS!$F$5:$G$1004,2,0)),"0")</f>
        <v>COLÉGIO MARCONI - GRU</v>
      </c>
      <c r="P38" s="267"/>
      <c r="Q38" s="85"/>
      <c r="R38" s="198"/>
      <c r="S38" s="37"/>
      <c r="T38" s="37"/>
      <c r="U38" s="37"/>
      <c r="V38" s="198"/>
      <c r="W38" s="37"/>
      <c r="X38" s="267"/>
      <c r="Y38" s="165" t="str">
        <f>IFERROR(IF(Y37="","",VLOOKUP(Y37,LISTAS!$F$5:$G$1004,2,0)),"0")</f>
        <v>PEN LIFE</v>
      </c>
      <c r="Z38" s="94"/>
      <c r="AA38" s="37"/>
      <c r="AB38" s="29"/>
      <c r="AC38" s="198"/>
      <c r="AD38" s="100"/>
      <c r="AE38" s="100"/>
      <c r="AF38" s="100"/>
      <c r="AG38" s="197">
        <f>IF(AJ38&lt;&gt;"",AJ38,"")</f>
        <v>0</v>
      </c>
      <c r="AH38" s="100" t="str">
        <f>IF(AJ38&lt;&gt;"",IF(AK38="","",AK38),"")</f>
        <v>DANILO RICO ALVES REGINALDO</v>
      </c>
      <c r="AI38" s="101">
        <f>IF(AG38&lt;&gt;"",IF(AG40&lt;&gt;"",SMALL(AG38:AG40,1),""),"")</f>
        <v>0</v>
      </c>
      <c r="AJ38" s="266">
        <v>0</v>
      </c>
      <c r="AK38" s="162" t="str">
        <f>IF('11M GRP'!G5&gt;=3,'11M GRP'!J99,IF('11M GRP'!G5=2,"",IF('11M GRP'!G5=1,"","")))</f>
        <v>DANILO RICO ALVES REGINALDO</v>
      </c>
      <c r="AL38" s="29">
        <v>7</v>
      </c>
      <c r="AP38" s="31">
        <f>IF(AR38&lt;&gt;"",1+COUNTIF(AP8:AP37,"1")+COUNTIF(AP8:AP37,"2")+COUNTIF(AP8:AP37,"3")+COUNTIF(AP8:AP37,"4")+COUNTIF(AP8:AP37,"5")+COUNTIF(AP8:AP37,"6")+COUNTIF(AP8:AP37,"7")+COUNTIF(AP8:AP37,"8")+COUNTIF(AP8:AP37,"9")+COUNTIF(AP8:AP37,"10")+COUNTIF(AP8:AP37,"11")+COUNTIF(AP8:AP37,"12")+COUNTIF(AP8:AP37,"13")+COUNTIF(AP8:AP37,"14")+COUNTIF(AP8:AP37,"15")+COUNTIF(AP8:AP37,"16")+COUNTIF(AP8:AP37,"17")+COUNTIF(AP8:AP37,"18")+COUNTIF(AP8:AP37,"19")+COUNTIF(AP8:AP37,"20")+COUNTIF(AP8:AP37,"21")+COUNTIF(AP8:AP37,"22")+COUNTIF(AP8:AP37,"23")+COUNTIF(AP8:AP37,"24")+COUNTIF(AP8:AP37,"25")+COUNTIF(AP8:AP37,"26")+COUNTIF(AP8:AP37,"27")+COUNTIF(AP8:AP37,"28")+COUNTIF(AP8:AP37,"29")+COUNTIF(AP8:AP37,"30"),"")</f>
        <v>31</v>
      </c>
      <c r="AQ38" s="32" t="str">
        <f t="shared" si="1"/>
        <v>LUGAR</v>
      </c>
      <c r="AR38" s="111" t="str">
        <f>IF(AR22&lt;&gt;"",IF(C8=AR22,G10,IF(C10=AR22,G10,IF(C16=AR22,G18,IF(C18=AR22,G18,IF(C38=AR22,G40,IF(C40=AR22,G40,IF(C46=AR22,G48,IF(C48=AR22,G48,IF(C24=AR22,G26,IF(C26=AR22,G26,IF(C32=AR22,G34,IF(C34=AR22,G34,IF(C54=AR22,G56,IF(C56=AR22,G56,IF(C62=AR22,G64,IF(C64=AR22,G64,IF(AK8=AR22,AI10,IF(AK10=AR22,AI10,IF(AK16=AR22,AI18,IF(AK18=AR22,AI18,IF(AK38=AR22,AI40,IF(AK40=AR22,AI40,IF(AK46=AR22,AI48,IF(AK48=AR22,AI48,IF(#REF!=AR22,AI26,IF(AK26=AR22,AI26,IF(AK32=AR22,AI34,IF(AK34=AR22,AI34,IF(AK54=AR22,AI56,IF(AK56=AR22,AI56,IF(AK62=AR22,AI64,IF(AK64=AR22,AI64)))))))))))))))))))))))))))))))),"")</f>
        <v>GABRIEL STRACHINO BARBALHO</v>
      </c>
      <c r="AS38" s="33" t="str">
        <f>IFERROR(IF(AR38="","",VLOOKUP(AR38,LISTAS!$F$5:$G$1004,2,0)),"0")</f>
        <v>ABACO IPIRANGA</v>
      </c>
      <c r="AT38" s="33">
        <v>190</v>
      </c>
      <c r="AU38" s="33" t="str">
        <f t="shared" si="2"/>
        <v/>
      </c>
    </row>
    <row r="39" spans="2:47" ht="18" customHeight="1" thickBot="1" x14ac:dyDescent="0.3">
      <c r="B39" s="133"/>
      <c r="C39" s="165" t="str">
        <f>IFERROR(IF(C38="","",VLOOKUP(C38,LISTAS!$F$5:$G$1004,2,0)),"0")</f>
        <v>COLÉGIO MARCONI - GRU</v>
      </c>
      <c r="D39" s="267"/>
      <c r="E39" s="101"/>
      <c r="F39" s="101"/>
      <c r="G39" s="190"/>
      <c r="H39" s="101"/>
      <c r="I39" s="101"/>
      <c r="J39" s="101"/>
      <c r="K39" s="190"/>
      <c r="L39" s="101"/>
      <c r="M39" s="138"/>
      <c r="N39" s="100"/>
      <c r="O39" s="197"/>
      <c r="P39" s="100"/>
      <c r="Q39" s="100"/>
      <c r="R39" s="198"/>
      <c r="S39" s="37"/>
      <c r="T39" s="37"/>
      <c r="U39" s="37"/>
      <c r="V39" s="198"/>
      <c r="W39" s="37"/>
      <c r="X39" s="86"/>
      <c r="Y39" s="198"/>
      <c r="Z39" s="94"/>
      <c r="AA39" s="37"/>
      <c r="AB39" s="29"/>
      <c r="AC39" s="198"/>
      <c r="AD39" s="100"/>
      <c r="AE39" s="100"/>
      <c r="AF39" s="100"/>
      <c r="AG39" s="197"/>
      <c r="AH39" s="100"/>
      <c r="AI39" s="101"/>
      <c r="AJ39" s="267"/>
      <c r="AK39" s="165" t="str">
        <f>IFERROR(IF(AK38="","",VLOOKUP(AK38,LISTAS!$F$5:$G$1004,2,0)),"0")</f>
        <v>ESCOLA VILLARE</v>
      </c>
      <c r="AL39" s="29"/>
      <c r="AP39" s="31">
        <v>32</v>
      </c>
      <c r="AQ39" s="32" t="str">
        <f t="shared" si="1"/>
        <v>LUGAR</v>
      </c>
      <c r="AR39" s="111" t="s">
        <v>343</v>
      </c>
      <c r="AS39" s="33" t="s">
        <v>695</v>
      </c>
      <c r="AT39" s="33">
        <v>190</v>
      </c>
      <c r="AU39" s="33"/>
    </row>
    <row r="40" spans="2:47" ht="18" customHeight="1" x14ac:dyDescent="0.25">
      <c r="B40" s="133">
        <v>28</v>
      </c>
      <c r="C40" s="33" t="s">
        <v>261</v>
      </c>
      <c r="D40" s="266">
        <v>1</v>
      </c>
      <c r="E40" s="107">
        <f>IF(D40&lt;&gt;"",D40,"")</f>
        <v>1</v>
      </c>
      <c r="F40" s="101" t="str">
        <f>IF(D40&lt;&gt;"",IF(C40="","",C40),"")</f>
        <v>GAEL GARCIA MARQUES</v>
      </c>
      <c r="G40" s="190" t="str">
        <f>VLOOKUP(G38,E38:F40,2,0)</f>
        <v>BRUNO SALLES</v>
      </c>
      <c r="H40" s="101"/>
      <c r="I40" s="101"/>
      <c r="J40" s="101"/>
      <c r="K40" s="190"/>
      <c r="L40" s="101"/>
      <c r="M40" s="138"/>
      <c r="N40" s="101">
        <f>IF(P35&lt;&gt;"",P35,"")</f>
        <v>0</v>
      </c>
      <c r="O40" s="190" t="str">
        <f>IF(P35&lt;&gt;"",O35,"")</f>
        <v>BERNARDO TOME</v>
      </c>
      <c r="P40" s="101">
        <f>IF(N40&lt;&gt;"",IF(N42&lt;&gt;"",LARGE(N40:N42,1),""),"")</f>
        <v>1</v>
      </c>
      <c r="Q40" s="100"/>
      <c r="R40" s="198"/>
      <c r="S40" s="37"/>
      <c r="T40" s="37"/>
      <c r="U40" s="37"/>
      <c r="V40" s="198"/>
      <c r="W40" s="37"/>
      <c r="X40" s="86"/>
      <c r="Y40" s="198"/>
      <c r="Z40" s="94"/>
      <c r="AA40" s="37"/>
      <c r="AB40" s="29"/>
      <c r="AC40" s="198"/>
      <c r="AD40" s="100"/>
      <c r="AE40" s="100"/>
      <c r="AF40" s="100"/>
      <c r="AG40" s="197">
        <f>IF(AJ40&lt;&gt;"",AJ40,"")</f>
        <v>1</v>
      </c>
      <c r="AH40" s="100" t="str">
        <f>IF(AJ40&lt;&gt;"",IF(AK40="","",AK40),"")</f>
        <v>MURILO XAVIER OLIVEIRA ALBUQUERQUE</v>
      </c>
      <c r="AI40" s="102" t="str">
        <f>VLOOKUP(AI38,AG38:AH40,2,0)</f>
        <v>DANILO RICO ALVES REGINALDO</v>
      </c>
      <c r="AJ40" s="266">
        <v>1</v>
      </c>
      <c r="AK40" s="33" t="s">
        <v>328</v>
      </c>
      <c r="AL40" s="29">
        <v>26</v>
      </c>
      <c r="AP40" s="31">
        <v>33</v>
      </c>
      <c r="AQ40" s="32" t="str">
        <f t="shared" si="1"/>
        <v>LUGAR</v>
      </c>
      <c r="AR40" s="111" t="s">
        <v>696</v>
      </c>
      <c r="AS40" s="33" t="s">
        <v>697</v>
      </c>
      <c r="AT40" s="33">
        <v>190</v>
      </c>
      <c r="AU40" s="33"/>
    </row>
    <row r="41" spans="2:47" ht="18" customHeight="1" thickBot="1" x14ac:dyDescent="0.3">
      <c r="B41" s="133"/>
      <c r="C41" s="165" t="str">
        <f>IFERROR(IF(C40="","",VLOOKUP(C40,LISTAS!$F$5:$G$1004,2,0)),"0")</f>
        <v>LICEU JARDIM</v>
      </c>
      <c r="D41" s="267"/>
      <c r="E41" s="148"/>
      <c r="F41" s="101"/>
      <c r="G41" s="190"/>
      <c r="H41" s="101"/>
      <c r="I41" s="101"/>
      <c r="J41" s="101"/>
      <c r="K41" s="190"/>
      <c r="L41" s="101"/>
      <c r="M41" s="138"/>
      <c r="N41" s="101"/>
      <c r="O41" s="190"/>
      <c r="P41" s="101"/>
      <c r="Q41" s="100"/>
      <c r="R41" s="198"/>
      <c r="S41" s="37"/>
      <c r="T41" s="37"/>
      <c r="U41" s="37"/>
      <c r="V41" s="198"/>
      <c r="W41" s="37"/>
      <c r="X41" s="86"/>
      <c r="Y41" s="198"/>
      <c r="Z41" s="94"/>
      <c r="AA41" s="37"/>
      <c r="AB41" s="29"/>
      <c r="AC41" s="198"/>
      <c r="AD41" s="100"/>
      <c r="AE41" s="100"/>
      <c r="AF41" s="100"/>
      <c r="AG41" s="197"/>
      <c r="AH41" s="100"/>
      <c r="AI41" s="142"/>
      <c r="AJ41" s="267"/>
      <c r="AK41" s="165" t="str">
        <f>IFERROR(IF(AK40="","",VLOOKUP(AK40,LISTAS!$F$5:$G$1004,2,0)),"0")</f>
        <v>ESCOLA VILLARE</v>
      </c>
      <c r="AL41" s="29"/>
      <c r="AP41" s="31">
        <v>34</v>
      </c>
      <c r="AQ41" s="32" t="str">
        <f t="shared" si="1"/>
        <v>LUGAR</v>
      </c>
      <c r="AR41" s="111" t="s">
        <v>698</v>
      </c>
      <c r="AS41" s="33" t="s">
        <v>699</v>
      </c>
      <c r="AT41" s="33">
        <v>190</v>
      </c>
      <c r="AU41" s="33"/>
    </row>
    <row r="42" spans="2:47" ht="45" x14ac:dyDescent="0.25">
      <c r="B42" s="133"/>
      <c r="C42" s="188"/>
      <c r="D42" s="29"/>
      <c r="E42" s="29"/>
      <c r="F42" s="34"/>
      <c r="G42" s="162" t="str">
        <f>IF(D38&lt;&gt;"",IF(D40&lt;&gt;"",IF(D38=D40,"",IF(D38&gt;D40,C38,C40)),""),"")</f>
        <v>GAEL GARCIA MARQUES</v>
      </c>
      <c r="H42" s="266">
        <v>1</v>
      </c>
      <c r="I42" s="101">
        <f>IF(H42&lt;&gt;"",H42,"")</f>
        <v>1</v>
      </c>
      <c r="J42" s="101" t="str">
        <f>IF(H42&lt;&gt;"",IF(G42="","",G42),"")</f>
        <v>GAEL GARCIA MARQUES</v>
      </c>
      <c r="K42" s="190">
        <f>IF(I42&lt;&gt;"",IF(I44&lt;&gt;"",SMALL(I42:J44,1),""),"")</f>
        <v>0</v>
      </c>
      <c r="L42" s="101"/>
      <c r="M42" s="138"/>
      <c r="N42" s="101">
        <f>IF(P37&lt;&gt;"",P37,"")</f>
        <v>1</v>
      </c>
      <c r="O42" s="190" t="str">
        <f>IF(P37&lt;&gt;"",O37,"")</f>
        <v>CESAR TRIGLIA</v>
      </c>
      <c r="P42" s="101" t="str">
        <f>VLOOKUP(P40,N40:O42,2,0)</f>
        <v>CESAR TRIGLIA</v>
      </c>
      <c r="Q42" s="100"/>
      <c r="R42" s="198"/>
      <c r="S42" s="37"/>
      <c r="T42" s="37"/>
      <c r="U42" s="37"/>
      <c r="V42" s="198"/>
      <c r="W42" s="37"/>
      <c r="X42" s="86"/>
      <c r="Y42" s="198"/>
      <c r="Z42" s="94"/>
      <c r="AA42" s="37"/>
      <c r="AB42" s="29"/>
      <c r="AC42" s="198"/>
      <c r="AD42" s="37"/>
      <c r="AE42" s="95"/>
      <c r="AF42" s="266">
        <v>1</v>
      </c>
      <c r="AG42" s="162" t="str">
        <f>IF(AJ38&lt;&gt;"",IF(AJ40&lt;&gt;"",IF(AJ38=AJ40,"",IF(AJ38&gt;AJ40,AK38,AK40)),""),"")</f>
        <v>MURILO XAVIER OLIVEIRA ALBUQUERQUE</v>
      </c>
      <c r="AH42" s="94"/>
      <c r="AI42" s="37"/>
      <c r="AJ42" s="29"/>
      <c r="AK42" s="188"/>
      <c r="AL42" s="29"/>
      <c r="AP42" s="31">
        <v>35</v>
      </c>
      <c r="AQ42" s="32" t="str">
        <f t="shared" si="1"/>
        <v>LUGAR</v>
      </c>
      <c r="AR42" s="111" t="s">
        <v>700</v>
      </c>
      <c r="AS42" s="33" t="s">
        <v>120</v>
      </c>
      <c r="AT42" s="33">
        <v>190</v>
      </c>
      <c r="AU42" s="33"/>
    </row>
    <row r="43" spans="2:47" ht="17.25" thickBot="1" x14ac:dyDescent="0.3">
      <c r="B43" s="133"/>
      <c r="C43" s="188"/>
      <c r="D43" s="29"/>
      <c r="E43" s="29"/>
      <c r="F43" s="34"/>
      <c r="G43" s="165" t="str">
        <f>IFERROR(IF(G42="","",VLOOKUP(G42,LISTAS!$F$5:$G$1004,2,0)),"0")</f>
        <v>LICEU JARDIM</v>
      </c>
      <c r="H43" s="267"/>
      <c r="I43" s="101"/>
      <c r="J43" s="101"/>
      <c r="K43" s="190"/>
      <c r="L43" s="101"/>
      <c r="M43" s="138"/>
      <c r="N43" s="101"/>
      <c r="O43" s="190"/>
      <c r="P43" s="101"/>
      <c r="Q43" s="100"/>
      <c r="R43" s="198"/>
      <c r="S43" s="37"/>
      <c r="T43" s="37"/>
      <c r="U43" s="37"/>
      <c r="V43" s="198"/>
      <c r="W43" s="37"/>
      <c r="X43" s="86"/>
      <c r="Y43" s="198"/>
      <c r="Z43" s="94"/>
      <c r="AA43" s="37"/>
      <c r="AB43" s="29"/>
      <c r="AC43" s="198"/>
      <c r="AD43" s="37"/>
      <c r="AE43" s="95"/>
      <c r="AF43" s="267"/>
      <c r="AG43" s="165" t="str">
        <f>IFERROR(IF(AG42="","",VLOOKUP(AG42,LISTAS!$F$5:$G$1004,2,0)),"0")</f>
        <v>ESCOLA VILLARE</v>
      </c>
      <c r="AH43" s="94"/>
      <c r="AI43" s="37"/>
      <c r="AJ43" s="29"/>
      <c r="AK43" s="188"/>
      <c r="AL43" s="29"/>
      <c r="AP43" s="31">
        <v>36</v>
      </c>
      <c r="AQ43" s="32" t="str">
        <f t="shared" si="1"/>
        <v>LUGAR</v>
      </c>
      <c r="AR43" s="111" t="s">
        <v>701</v>
      </c>
      <c r="AS43" s="33" t="s">
        <v>697</v>
      </c>
      <c r="AT43" s="33">
        <v>190</v>
      </c>
      <c r="AU43" s="33"/>
    </row>
    <row r="44" spans="2:47" ht="18" customHeight="1" x14ac:dyDescent="0.25">
      <c r="B44" s="133"/>
      <c r="C44" s="188"/>
      <c r="D44" s="29"/>
      <c r="E44" s="35"/>
      <c r="F44" s="36"/>
      <c r="G44" s="162" t="str">
        <f>IF(D46&lt;&gt;"",IF(D48&lt;&gt;"",IF(D46=D48,"",IF(D46&gt;D48,C46,C48)),""),"")</f>
        <v>DAVI MAIA SANTICIOLI</v>
      </c>
      <c r="H44" s="266">
        <v>0</v>
      </c>
      <c r="I44" s="107">
        <f>IF(H44&lt;&gt;"",H44,"")</f>
        <v>0</v>
      </c>
      <c r="J44" s="101" t="str">
        <f>IF(H44&lt;&gt;"",IF(G44="","",G44),"")</f>
        <v>DAVI MAIA SANTICIOLI</v>
      </c>
      <c r="K44" s="190" t="str">
        <f>VLOOKUP(K42,I42:J44,2,0)</f>
        <v>DAVI MAIA SANTICIOLI</v>
      </c>
      <c r="L44" s="101"/>
      <c r="M44" s="138"/>
      <c r="N44" s="101">
        <f>IF(P35&lt;&gt;"",P35,"")</f>
        <v>0</v>
      </c>
      <c r="O44" s="190" t="str">
        <f>IF(P35&lt;&gt;"",O35,"")</f>
        <v>BERNARDO TOME</v>
      </c>
      <c r="P44" s="101">
        <f>IF(N44&lt;&gt;"",IF(N46&lt;&gt;"",SMALL(N44:N46,1),""),"")</f>
        <v>0</v>
      </c>
      <c r="Q44" s="100"/>
      <c r="R44" s="198"/>
      <c r="S44" s="37"/>
      <c r="T44" s="37"/>
      <c r="U44" s="37"/>
      <c r="V44" s="198"/>
      <c r="W44" s="37"/>
      <c r="X44" s="86"/>
      <c r="Y44" s="198"/>
      <c r="Z44" s="94"/>
      <c r="AA44" s="37"/>
      <c r="AB44" s="29"/>
      <c r="AC44" s="198"/>
      <c r="AD44" s="94"/>
      <c r="AE44" s="96"/>
      <c r="AF44" s="266">
        <v>0</v>
      </c>
      <c r="AG44" s="162" t="str">
        <f>IF(AJ46&lt;&gt;"",IF(AJ48&lt;&gt;"",IF(AJ46=AJ48,"",IF(AJ46&gt;AJ48,AK46,AK48)),""),"")</f>
        <v>CAIO SILVA RAMALHO OLIVEIRA</v>
      </c>
      <c r="AH44" s="98"/>
      <c r="AI44" s="37"/>
      <c r="AJ44" s="29"/>
      <c r="AK44" s="188"/>
      <c r="AL44" s="29"/>
      <c r="AP44" s="31">
        <v>37</v>
      </c>
      <c r="AQ44" s="32" t="str">
        <f t="shared" si="1"/>
        <v>LUGAR</v>
      </c>
      <c r="AR44" s="111" t="s">
        <v>702</v>
      </c>
      <c r="AS44" s="33" t="s">
        <v>127</v>
      </c>
      <c r="AT44" s="33">
        <v>190</v>
      </c>
      <c r="AU44" s="33"/>
    </row>
    <row r="45" spans="2:47" ht="18" customHeight="1" thickBot="1" x14ac:dyDescent="0.3">
      <c r="B45" s="133"/>
      <c r="C45" s="188"/>
      <c r="D45" s="29"/>
      <c r="E45" s="35"/>
      <c r="F45" s="29"/>
      <c r="G45" s="165" t="str">
        <f>IFERROR(IF(G44="","",VLOOKUP(G44,LISTAS!$F$5:$G$1004,2,0)),"0")</f>
        <v>ESCOLA VILLARE</v>
      </c>
      <c r="H45" s="267"/>
      <c r="I45" s="138"/>
      <c r="J45" s="101"/>
      <c r="K45" s="190"/>
      <c r="L45" s="101"/>
      <c r="M45" s="138"/>
      <c r="N45" s="101"/>
      <c r="O45" s="190"/>
      <c r="P45" s="101"/>
      <c r="Q45" s="100"/>
      <c r="R45" s="198"/>
      <c r="S45" s="37"/>
      <c r="T45" s="37"/>
      <c r="U45" s="37"/>
      <c r="V45" s="198"/>
      <c r="W45" s="37"/>
      <c r="X45" s="86"/>
      <c r="Y45" s="198"/>
      <c r="Z45" s="37"/>
      <c r="AA45" s="89"/>
      <c r="AB45" s="29"/>
      <c r="AC45" s="198"/>
      <c r="AD45" s="94"/>
      <c r="AE45" s="37"/>
      <c r="AF45" s="267"/>
      <c r="AG45" s="165" t="str">
        <f>IFERROR(IF(AG44="","",VLOOKUP(AG44,LISTAS!$F$5:$G$1004,2,0)),"0")</f>
        <v>COLÉGIO ARBOS - UNIDADE SANTO ANDRÉ</v>
      </c>
      <c r="AH45" s="37"/>
      <c r="AI45" s="89"/>
      <c r="AJ45" s="29"/>
      <c r="AK45" s="188"/>
      <c r="AL45" s="29"/>
      <c r="AP45" s="31">
        <v>38</v>
      </c>
      <c r="AQ45" s="32" t="str">
        <f t="shared" si="1"/>
        <v>LUGAR</v>
      </c>
      <c r="AR45" s="111" t="s">
        <v>703</v>
      </c>
      <c r="AS45" s="33" t="s">
        <v>127</v>
      </c>
      <c r="AT45" s="33">
        <v>190</v>
      </c>
      <c r="AU45" s="33"/>
    </row>
    <row r="46" spans="2:47" ht="18" customHeight="1" x14ac:dyDescent="0.25">
      <c r="B46" s="133">
        <v>12</v>
      </c>
      <c r="C46" s="162" t="str">
        <f>IF('11M GRP'!G5&gt;=3,'11M GRP'!J164,IF('11M GRP'!G5=2,"",IF('11M GRP'!G5=1,"","")))</f>
        <v>DAVI MAIA SANTICIOLI</v>
      </c>
      <c r="D46" s="266">
        <v>1</v>
      </c>
      <c r="E46" s="148">
        <f>IF(D46&lt;&gt;"",D46,"")</f>
        <v>1</v>
      </c>
      <c r="F46" s="101" t="str">
        <f>IF(D46&lt;&gt;"",IF(C46="","",C46),"")</f>
        <v>DAVI MAIA SANTICIOLI</v>
      </c>
      <c r="G46" s="190">
        <f>IF(E46&lt;&gt;"",IF(E48&lt;&gt;"",SMALL(E46:E48,1),""),"")</f>
        <v>0</v>
      </c>
      <c r="H46" s="101"/>
      <c r="I46" s="138"/>
      <c r="J46" s="101"/>
      <c r="K46" s="190"/>
      <c r="L46" s="101"/>
      <c r="M46" s="138"/>
      <c r="N46" s="101">
        <f>IF(P37&lt;&gt;"",P37,"")</f>
        <v>1</v>
      </c>
      <c r="O46" s="190" t="str">
        <f>IF(P37&lt;&gt;"",O37,"")</f>
        <v>CESAR TRIGLIA</v>
      </c>
      <c r="P46" s="101" t="str">
        <f>VLOOKUP(P44,N44:O46,2,0)</f>
        <v>BERNARDO TOME</v>
      </c>
      <c r="Q46" s="100"/>
      <c r="R46" s="198"/>
      <c r="S46" s="37"/>
      <c r="T46" s="37"/>
      <c r="U46" s="37"/>
      <c r="V46" s="198"/>
      <c r="W46" s="37"/>
      <c r="X46" s="86"/>
      <c r="Y46" s="198"/>
      <c r="Z46" s="37"/>
      <c r="AA46" s="89"/>
      <c r="AB46" s="29"/>
      <c r="AC46" s="198"/>
      <c r="AD46" s="94"/>
      <c r="AE46" s="100"/>
      <c r="AF46" s="100"/>
      <c r="AG46" s="197">
        <f>IF(AJ46&lt;&gt;"",AJ46,"")</f>
        <v>1</v>
      </c>
      <c r="AH46" s="100" t="str">
        <f>IF(AJ46&lt;&gt;"",IF(AK46="","",AK46),"")</f>
        <v>CAIO SILVA RAMALHO OLIVEIRA</v>
      </c>
      <c r="AI46" s="137">
        <f>IF(AG46&lt;&gt;"",IF(AG48&lt;&gt;"",SMALL(AG46:AG48,1),""),"")</f>
        <v>0</v>
      </c>
      <c r="AJ46" s="266">
        <v>1</v>
      </c>
      <c r="AK46" s="162" t="str">
        <f>IF('11M GRP'!G5&gt;=3,'11M GRP'!J138,IF('11M GRP'!G5=2,"",IF('11M GRP'!G5=1,"","")))</f>
        <v>CAIO SILVA RAMALHO OLIVEIRA</v>
      </c>
      <c r="AL46" s="29">
        <v>10</v>
      </c>
      <c r="AP46" s="31">
        <v>39</v>
      </c>
      <c r="AQ46" s="32" t="str">
        <f t="shared" si="1"/>
        <v>LUGAR</v>
      </c>
      <c r="AR46" s="111" t="s">
        <v>704</v>
      </c>
      <c r="AS46" s="33" t="s">
        <v>705</v>
      </c>
      <c r="AT46" s="33">
        <v>190</v>
      </c>
      <c r="AU46" s="33"/>
    </row>
    <row r="47" spans="2:47" ht="18" customHeight="1" thickBot="1" x14ac:dyDescent="0.3">
      <c r="B47" s="133"/>
      <c r="C47" s="165" t="str">
        <f>IFERROR(IF(C46="","",VLOOKUP(C46,LISTAS!$F$5:$G$1004,2,0)),"0")</f>
        <v>ESCOLA VILLARE</v>
      </c>
      <c r="D47" s="267"/>
      <c r="E47" s="105"/>
      <c r="F47" s="101"/>
      <c r="G47" s="190"/>
      <c r="H47" s="101"/>
      <c r="I47" s="138"/>
      <c r="J47" s="101"/>
      <c r="K47" s="190"/>
      <c r="L47" s="101"/>
      <c r="M47" s="138"/>
      <c r="N47" s="101"/>
      <c r="O47" s="190"/>
      <c r="P47" s="101"/>
      <c r="Q47" s="100"/>
      <c r="R47" s="198"/>
      <c r="S47" s="37"/>
      <c r="T47" s="37"/>
      <c r="U47" s="37"/>
      <c r="V47" s="198"/>
      <c r="W47" s="37"/>
      <c r="X47" s="86"/>
      <c r="Y47" s="198"/>
      <c r="Z47" s="37"/>
      <c r="AA47" s="89"/>
      <c r="AB47" s="29"/>
      <c r="AC47" s="198"/>
      <c r="AD47" s="94"/>
      <c r="AE47" s="100"/>
      <c r="AF47" s="100"/>
      <c r="AG47" s="197"/>
      <c r="AH47" s="100"/>
      <c r="AI47" s="143"/>
      <c r="AJ47" s="267"/>
      <c r="AK47" s="165" t="str">
        <f>IFERROR(IF(AK46="","",VLOOKUP(AK46,LISTAS!$F$5:$G$1004,2,0)),"0")</f>
        <v>COLÉGIO ARBOS - UNIDADE SANTO ANDRÉ</v>
      </c>
      <c r="AL47" s="29"/>
      <c r="AP47" s="31">
        <v>40</v>
      </c>
      <c r="AQ47" s="32" t="str">
        <f t="shared" si="1"/>
        <v>LUGAR</v>
      </c>
      <c r="AR47" s="111" t="s">
        <v>706</v>
      </c>
      <c r="AS47" s="33" t="s">
        <v>129</v>
      </c>
      <c r="AT47" s="33">
        <v>190</v>
      </c>
      <c r="AU47" s="33"/>
    </row>
    <row r="48" spans="2:47" ht="18" customHeight="1" x14ac:dyDescent="0.25">
      <c r="B48" s="133">
        <v>21</v>
      </c>
      <c r="C48" s="33" t="s">
        <v>354</v>
      </c>
      <c r="D48" s="266">
        <v>0</v>
      </c>
      <c r="E48" s="106">
        <f>IF(D48&lt;&gt;"",D48,"")</f>
        <v>0</v>
      </c>
      <c r="F48" s="101" t="str">
        <f>IF(D48&lt;&gt;"",IF(C48="","",C48),"")</f>
        <v>SAMUEL FERNANDES MARTINS</v>
      </c>
      <c r="G48" s="190" t="str">
        <f>VLOOKUP(G46,E46:F48,2,0)</f>
        <v>SAMUEL FERNANDES MARTINS</v>
      </c>
      <c r="H48" s="101"/>
      <c r="I48" s="138"/>
      <c r="J48" s="101"/>
      <c r="K48" s="190"/>
      <c r="L48" s="101"/>
      <c r="M48" s="138"/>
      <c r="N48" s="101"/>
      <c r="O48" s="190"/>
      <c r="P48" s="101"/>
      <c r="Q48" s="100"/>
      <c r="R48" s="198"/>
      <c r="S48" s="37"/>
      <c r="T48" s="37"/>
      <c r="U48" s="37"/>
      <c r="V48" s="198"/>
      <c r="W48" s="37"/>
      <c r="X48" s="86"/>
      <c r="Y48" s="198"/>
      <c r="Z48" s="37"/>
      <c r="AA48" s="89"/>
      <c r="AB48" s="29"/>
      <c r="AC48" s="198"/>
      <c r="AD48" s="94"/>
      <c r="AE48" s="100"/>
      <c r="AF48" s="100"/>
      <c r="AG48" s="197">
        <f>IF(AJ48&lt;&gt;"",AJ48,"")</f>
        <v>0</v>
      </c>
      <c r="AH48" s="100" t="str">
        <f>IF(AJ48&lt;&gt;"",IF(AK48="","",AK48),"")</f>
        <v>GABRIEL STRACHINO BARBALHO</v>
      </c>
      <c r="AI48" s="145" t="str">
        <f>VLOOKUP(AI46,AG46:AH48,2,0)</f>
        <v>GABRIEL STRACHINO BARBALHO</v>
      </c>
      <c r="AJ48" s="266">
        <v>0</v>
      </c>
      <c r="AK48" s="33" t="s">
        <v>259</v>
      </c>
      <c r="AL48" s="29">
        <v>23</v>
      </c>
      <c r="AP48" s="31">
        <v>41</v>
      </c>
      <c r="AQ48" s="32" t="str">
        <f t="shared" si="1"/>
        <v>LUGAR</v>
      </c>
      <c r="AR48" s="111" t="s">
        <v>707</v>
      </c>
      <c r="AS48" s="33" t="s">
        <v>122</v>
      </c>
      <c r="AT48" s="33">
        <v>190</v>
      </c>
      <c r="AU48" s="33"/>
    </row>
    <row r="49" spans="2:47" ht="18" customHeight="1" thickBot="1" x14ac:dyDescent="0.3">
      <c r="B49" s="133"/>
      <c r="C49" s="165" t="str">
        <f>IFERROR(IF(C48="","",VLOOKUP(C48,LISTAS!$F$5:$G$1004,2,0)),"0")</f>
        <v>ABACO IPIRANGA</v>
      </c>
      <c r="D49" s="267"/>
      <c r="E49" s="101"/>
      <c r="F49" s="101"/>
      <c r="G49" s="190"/>
      <c r="H49" s="101"/>
      <c r="I49" s="138"/>
      <c r="J49" s="101"/>
      <c r="K49" s="190"/>
      <c r="L49" s="101"/>
      <c r="M49" s="138"/>
      <c r="N49" s="101"/>
      <c r="O49" s="190"/>
      <c r="P49" s="101"/>
      <c r="Q49" s="100"/>
      <c r="R49" s="198"/>
      <c r="S49" s="37"/>
      <c r="T49" s="37"/>
      <c r="U49" s="37"/>
      <c r="V49" s="198"/>
      <c r="W49" s="37"/>
      <c r="X49" s="86"/>
      <c r="Y49" s="198"/>
      <c r="Z49" s="37"/>
      <c r="AA49" s="89"/>
      <c r="AB49" s="29"/>
      <c r="AC49" s="198"/>
      <c r="AD49" s="94"/>
      <c r="AE49" s="100"/>
      <c r="AF49" s="100"/>
      <c r="AG49" s="197"/>
      <c r="AH49" s="100"/>
      <c r="AI49" s="101"/>
      <c r="AJ49" s="267"/>
      <c r="AK49" s="165" t="str">
        <f>IFERROR(IF(AK48="","",VLOOKUP(AK48,LISTAS!$F$5:$G$1004,2,0)),"0")</f>
        <v>ABACO IPIRANGA</v>
      </c>
      <c r="AL49" s="29"/>
      <c r="AP49" s="31">
        <v>42</v>
      </c>
      <c r="AQ49" s="32" t="str">
        <f t="shared" si="1"/>
        <v>LUGAR</v>
      </c>
      <c r="AR49" s="111" t="s">
        <v>708</v>
      </c>
      <c r="AS49" s="33" t="s">
        <v>699</v>
      </c>
      <c r="AT49" s="33">
        <v>190</v>
      </c>
      <c r="AU49" s="33"/>
    </row>
    <row r="50" spans="2:47" ht="18" customHeight="1" x14ac:dyDescent="0.25">
      <c r="B50" s="133"/>
      <c r="C50" s="188"/>
      <c r="D50" s="29"/>
      <c r="E50" s="101"/>
      <c r="F50" s="101"/>
      <c r="G50" s="190"/>
      <c r="H50" s="101"/>
      <c r="I50" s="138"/>
      <c r="J50" s="101"/>
      <c r="K50" s="162" t="str">
        <f>IF(H42&lt;&gt;"",IF(H44&lt;&gt;"",IF(H42=H44,"",IF(H42&gt;H44,G42,G44)),""),"")</f>
        <v>GAEL GARCIA MARQUES</v>
      </c>
      <c r="L50" s="266">
        <v>0</v>
      </c>
      <c r="M50" s="148">
        <f>IF(L50&lt;&gt;"",L50,"")</f>
        <v>0</v>
      </c>
      <c r="N50" s="101" t="str">
        <f>IF(L50&lt;&gt;"",IF(K50="","",K50),"")</f>
        <v>GAEL GARCIA MARQUES</v>
      </c>
      <c r="O50" s="190">
        <f>IF(M50&lt;&gt;"",IF(M52&lt;&gt;"",SMALL(M50:N52,1),""),"")</f>
        <v>0</v>
      </c>
      <c r="P50" s="101"/>
      <c r="Q50" s="88"/>
      <c r="R50" s="198"/>
      <c r="S50" s="37"/>
      <c r="T50" s="37"/>
      <c r="U50" s="37"/>
      <c r="V50" s="198"/>
      <c r="W50" s="37"/>
      <c r="X50" s="86"/>
      <c r="Y50" s="198"/>
      <c r="Z50" s="37"/>
      <c r="AA50" s="89"/>
      <c r="AB50" s="266">
        <v>0</v>
      </c>
      <c r="AC50" s="162" t="str">
        <f>IF(AF42&lt;&gt;"",IF(AF44&lt;&gt;"",IF(AF42=AF44,"",IF(AF42&gt;AF44,AG42,AG44)),""),"")</f>
        <v>MURILO XAVIER OLIVEIRA ALBUQUERQUE</v>
      </c>
      <c r="AD50" s="141"/>
      <c r="AE50" s="100"/>
      <c r="AF50" s="100"/>
      <c r="AG50" s="197"/>
      <c r="AH50" s="100"/>
      <c r="AI50" s="100"/>
      <c r="AJ50" s="29"/>
      <c r="AK50" s="188"/>
      <c r="AL50" s="29"/>
      <c r="AP50" s="31">
        <v>43</v>
      </c>
      <c r="AQ50" s="32" t="str">
        <f t="shared" si="1"/>
        <v>LUGAR</v>
      </c>
      <c r="AR50" s="111" t="s">
        <v>709</v>
      </c>
      <c r="AS50" s="33" t="s">
        <v>120</v>
      </c>
      <c r="AT50" s="33">
        <v>190</v>
      </c>
      <c r="AU50" s="33"/>
    </row>
    <row r="51" spans="2:47" ht="18" customHeight="1" thickBot="1" x14ac:dyDescent="0.3">
      <c r="B51" s="133"/>
      <c r="C51" s="188"/>
      <c r="D51" s="29"/>
      <c r="E51" s="101"/>
      <c r="F51" s="101"/>
      <c r="G51" s="190"/>
      <c r="H51" s="101"/>
      <c r="I51" s="138"/>
      <c r="J51" s="101"/>
      <c r="K51" s="165" t="str">
        <f>IFERROR(IF(K50="","",VLOOKUP(K50,LISTAS!$F$5:$G$1004,2,0)),"0")</f>
        <v>LICEU JARDIM</v>
      </c>
      <c r="L51" s="267"/>
      <c r="M51" s="105"/>
      <c r="N51" s="101"/>
      <c r="O51" s="190"/>
      <c r="P51" s="101"/>
      <c r="Q51" s="88"/>
      <c r="R51" s="198"/>
      <c r="S51" s="37"/>
      <c r="T51" s="37"/>
      <c r="U51" s="37"/>
      <c r="V51" s="198"/>
      <c r="W51" s="37"/>
      <c r="X51" s="86"/>
      <c r="Y51" s="198"/>
      <c r="Z51" s="37"/>
      <c r="AA51" s="139"/>
      <c r="AB51" s="267"/>
      <c r="AC51" s="165" t="str">
        <f>IFERROR(IF(AC50="","",VLOOKUP(AC50,LISTAS!$F$5:$G$1004,2,0)),"0")</f>
        <v>ESCOLA VILLARE</v>
      </c>
      <c r="AD51" s="37"/>
      <c r="AE51" s="144"/>
      <c r="AF51" s="100"/>
      <c r="AG51" s="197"/>
      <c r="AH51" s="100"/>
      <c r="AI51" s="100"/>
      <c r="AJ51" s="29"/>
      <c r="AK51" s="188"/>
      <c r="AL51" s="29"/>
      <c r="AP51" s="31">
        <v>44</v>
      </c>
      <c r="AQ51" s="32" t="str">
        <f t="shared" si="1"/>
        <v>LUGAR</v>
      </c>
      <c r="AR51" s="111" t="s">
        <v>710</v>
      </c>
      <c r="AS51" s="33" t="s">
        <v>376</v>
      </c>
      <c r="AT51" s="33">
        <v>190</v>
      </c>
      <c r="AU51" s="33"/>
    </row>
    <row r="52" spans="2:47" ht="18" customHeight="1" x14ac:dyDescent="0.25">
      <c r="B52" s="133"/>
      <c r="C52" s="188"/>
      <c r="D52" s="29"/>
      <c r="E52" s="101"/>
      <c r="F52" s="101"/>
      <c r="G52" s="190"/>
      <c r="H52" s="101"/>
      <c r="I52" s="138"/>
      <c r="J52" s="102"/>
      <c r="K52" s="162" t="str">
        <f>IF(H58&lt;&gt;"",IF(H60&lt;&gt;"",IF(H58=H60,"",IF(H58&gt;H60,G58,G60)),""),"")</f>
        <v>CESAR TRIGLIA</v>
      </c>
      <c r="L52" s="266">
        <v>1</v>
      </c>
      <c r="M52" s="106">
        <f>IF(L52&lt;&gt;"",L52,"")</f>
        <v>1</v>
      </c>
      <c r="N52" s="101" t="str">
        <f>IF(L52&lt;&gt;"",IF(K52="","",K52),"")</f>
        <v>CESAR TRIGLIA</v>
      </c>
      <c r="O52" s="190" t="str">
        <f>VLOOKUP(O50,M50:N52,2,0)</f>
        <v>GAEL GARCIA MARQUES</v>
      </c>
      <c r="P52" s="101"/>
      <c r="Q52" s="88"/>
      <c r="R52" s="198"/>
      <c r="S52" s="37"/>
      <c r="T52" s="37"/>
      <c r="U52" s="37"/>
      <c r="V52" s="198"/>
      <c r="W52" s="37"/>
      <c r="X52" s="86"/>
      <c r="Y52" s="198"/>
      <c r="Z52" s="37"/>
      <c r="AA52" s="37"/>
      <c r="AB52" s="266">
        <v>1</v>
      </c>
      <c r="AC52" s="162" t="str">
        <f>IF(AF58&lt;&gt;"",IF(AF60&lt;&gt;"",IF(AF58=AF60,"",IF(AF58&gt;AF60,AG58,AG60)),""),"")</f>
        <v>LUCCA DE ALMEIDA BRANCALLIAO</v>
      </c>
      <c r="AD52" s="37"/>
      <c r="AE52" s="144"/>
      <c r="AF52" s="100"/>
      <c r="AG52" s="197"/>
      <c r="AH52" s="100"/>
      <c r="AI52" s="100"/>
      <c r="AJ52" s="29"/>
      <c r="AK52" s="188"/>
      <c r="AL52" s="29"/>
      <c r="AP52" s="31">
        <v>45</v>
      </c>
      <c r="AQ52" s="32" t="str">
        <f t="shared" si="1"/>
        <v>LUGAR</v>
      </c>
      <c r="AR52" s="111" t="s">
        <v>711</v>
      </c>
      <c r="AS52" s="33" t="s">
        <v>712</v>
      </c>
      <c r="AT52" s="33">
        <v>190</v>
      </c>
      <c r="AU52" s="33"/>
    </row>
    <row r="53" spans="2:47" ht="18" customHeight="1" thickBot="1" x14ac:dyDescent="0.3">
      <c r="B53" s="133"/>
      <c r="C53" s="188"/>
      <c r="D53" s="29"/>
      <c r="E53" s="101"/>
      <c r="F53" s="101"/>
      <c r="G53" s="190"/>
      <c r="H53" s="101"/>
      <c r="I53" s="138"/>
      <c r="J53" s="101"/>
      <c r="K53" s="165" t="str">
        <f>IFERROR(IF(K52="","",VLOOKUP(K52,LISTAS!$F$5:$G$1004,2,0)),"0")</f>
        <v>COLÉGIO MARCONI - GRU</v>
      </c>
      <c r="L53" s="267"/>
      <c r="M53" s="101"/>
      <c r="N53" s="101"/>
      <c r="O53" s="190"/>
      <c r="P53" s="101"/>
      <c r="Q53" s="88"/>
      <c r="R53" s="198"/>
      <c r="S53" s="37"/>
      <c r="T53" s="37"/>
      <c r="U53" s="37"/>
      <c r="V53" s="198"/>
      <c r="W53" s="37"/>
      <c r="X53" s="86"/>
      <c r="Y53" s="198"/>
      <c r="Z53" s="37"/>
      <c r="AA53" s="37"/>
      <c r="AB53" s="267"/>
      <c r="AC53" s="165" t="str">
        <f>IFERROR(IF(AC52="","",VLOOKUP(AC52,LISTAS!$F$5:$G$1004,2,0)),"0")</f>
        <v>PEN LIFE</v>
      </c>
      <c r="AD53" s="37"/>
      <c r="AE53" s="144"/>
      <c r="AF53" s="100"/>
      <c r="AG53" s="197"/>
      <c r="AH53" s="100"/>
      <c r="AI53" s="100"/>
      <c r="AJ53" s="29"/>
      <c r="AK53" s="188"/>
      <c r="AL53" s="29"/>
      <c r="AP53" s="31">
        <v>46</v>
      </c>
      <c r="AQ53" s="32" t="str">
        <f t="shared" si="1"/>
        <v>LUGAR</v>
      </c>
      <c r="AR53" s="111" t="s">
        <v>713</v>
      </c>
      <c r="AS53" s="33" t="s">
        <v>113</v>
      </c>
      <c r="AT53" s="33">
        <v>190</v>
      </c>
      <c r="AU53" s="33"/>
    </row>
    <row r="54" spans="2:47" ht="18" customHeight="1" x14ac:dyDescent="0.25">
      <c r="B54" s="133">
        <v>20</v>
      </c>
      <c r="C54" s="33" t="s">
        <v>324</v>
      </c>
      <c r="D54" s="266">
        <v>0</v>
      </c>
      <c r="E54" s="101">
        <f>IF(D54&lt;&gt;"",D54,"")</f>
        <v>0</v>
      </c>
      <c r="F54" s="101" t="str">
        <f>IF(D54&lt;&gt;"",IF(C54="","",C54),"")</f>
        <v>MIGUEL PEREIRA SORRENTINO</v>
      </c>
      <c r="G54" s="190">
        <f>IF(E54&lt;&gt;"",IF(E56&lt;&gt;"",SMALL(E54:E56,1),""),"")</f>
        <v>0</v>
      </c>
      <c r="H54" s="101"/>
      <c r="I54" s="138"/>
      <c r="J54" s="101"/>
      <c r="K54" s="192"/>
      <c r="L54" s="87"/>
      <c r="M54" s="101"/>
      <c r="N54" s="101"/>
      <c r="O54" s="190"/>
      <c r="P54" s="101"/>
      <c r="Q54" s="37"/>
      <c r="R54" s="198"/>
      <c r="S54" s="37"/>
      <c r="T54" s="37"/>
      <c r="U54" s="37"/>
      <c r="V54" s="198"/>
      <c r="W54" s="37"/>
      <c r="X54" s="86"/>
      <c r="Y54" s="198"/>
      <c r="Z54" s="37"/>
      <c r="AA54" s="37"/>
      <c r="AB54" s="29"/>
      <c r="AC54" s="198"/>
      <c r="AD54" s="37"/>
      <c r="AE54" s="144"/>
      <c r="AF54" s="100"/>
      <c r="AG54" s="197">
        <f>IF(AJ54&lt;&gt;"",AJ54,"")</f>
        <v>0</v>
      </c>
      <c r="AH54" s="100" t="str">
        <f>IF(AJ54&lt;&gt;"",IF(AK54="","",AK54),"")</f>
        <v>BRUNO PEREZ MARTIN BIANCO</v>
      </c>
      <c r="AI54" s="101">
        <f>IF(AG54&lt;&gt;"",IF(AG56&lt;&gt;"",SMALL(AG54:AG56,1),""),"")</f>
        <v>0</v>
      </c>
      <c r="AJ54" s="266">
        <v>0</v>
      </c>
      <c r="AK54" s="162" t="str">
        <f>IF('11M GRP'!G5&gt;=3,'11M GRP'!J203,IF('11M GRP'!G5=2,"",IF('11M GRP'!G5=1,"","")))</f>
        <v>BRUNO PEREZ MARTIN BIANCO</v>
      </c>
      <c r="AL54" s="29">
        <v>15</v>
      </c>
      <c r="AP54" s="31">
        <v>47</v>
      </c>
      <c r="AQ54" s="32" t="str">
        <f t="shared" si="1"/>
        <v>LUGAR</v>
      </c>
      <c r="AR54" s="111"/>
      <c r="AS54" s="33"/>
      <c r="AT54" s="33"/>
      <c r="AU54" s="33"/>
    </row>
    <row r="55" spans="2:47" ht="18" customHeight="1" thickBot="1" x14ac:dyDescent="0.3">
      <c r="B55" s="133"/>
      <c r="C55" s="165" t="str">
        <f>IFERROR(IF(C54="","",VLOOKUP(C54,LISTAS!$F$5:$G$1004,2,0)),"0")</f>
        <v>PEN LIFE</v>
      </c>
      <c r="D55" s="267"/>
      <c r="E55" s="101"/>
      <c r="F55" s="101"/>
      <c r="G55" s="190"/>
      <c r="H55" s="101"/>
      <c r="I55" s="138"/>
      <c r="J55" s="101"/>
      <c r="K55" s="192"/>
      <c r="L55" s="87"/>
      <c r="M55" s="101"/>
      <c r="N55" s="101"/>
      <c r="O55" s="190"/>
      <c r="P55" s="101"/>
      <c r="Q55" s="37"/>
      <c r="R55" s="198"/>
      <c r="S55" s="37"/>
      <c r="T55" s="37"/>
      <c r="U55" s="37"/>
      <c r="V55" s="198"/>
      <c r="W55" s="37"/>
      <c r="X55" s="86"/>
      <c r="Y55" s="198"/>
      <c r="Z55" s="37"/>
      <c r="AA55" s="37"/>
      <c r="AB55" s="29"/>
      <c r="AC55" s="198"/>
      <c r="AD55" s="37"/>
      <c r="AE55" s="144"/>
      <c r="AF55" s="100"/>
      <c r="AG55" s="197"/>
      <c r="AH55" s="100"/>
      <c r="AI55" s="101"/>
      <c r="AJ55" s="267"/>
      <c r="AK55" s="165" t="str">
        <f>IFERROR(IF(AK54="","",VLOOKUP(AK54,LISTAS!$F$5:$G$1004,2,0)),"0")</f>
        <v>IEBURIX -SBC</v>
      </c>
      <c r="AL55" s="29"/>
      <c r="AP55" s="31">
        <v>44</v>
      </c>
      <c r="AQ55" s="32" t="str">
        <f t="shared" si="1"/>
        <v>LUGAR</v>
      </c>
      <c r="AR55" s="111"/>
      <c r="AS55" s="33"/>
      <c r="AT55" s="33"/>
      <c r="AU55" s="33"/>
    </row>
    <row r="56" spans="2:47" ht="18" customHeight="1" x14ac:dyDescent="0.25">
      <c r="B56" s="133">
        <v>13</v>
      </c>
      <c r="C56" s="162" t="str">
        <f>IF('11M GRP'!G5&gt;=3,'11M GRP'!J177,IF('11M GRP'!G5=2,"",IF('11M GRP'!G5=1,"","")))</f>
        <v>CESAR TRIGLIA</v>
      </c>
      <c r="D56" s="266">
        <v>1</v>
      </c>
      <c r="E56" s="107">
        <f>IF(D56&lt;&gt;"",D56,"")</f>
        <v>1</v>
      </c>
      <c r="F56" s="101" t="str">
        <f>IF(D56&lt;&gt;"",IF(C56="","",C56),"")</f>
        <v>CESAR TRIGLIA</v>
      </c>
      <c r="G56" s="190" t="str">
        <f>VLOOKUP(G54,E54:F56,2,0)</f>
        <v>MIGUEL PEREIRA SORRENTINO</v>
      </c>
      <c r="H56" s="101"/>
      <c r="I56" s="138"/>
      <c r="J56" s="101"/>
      <c r="K56" s="192"/>
      <c r="L56" s="87"/>
      <c r="M56" s="87"/>
      <c r="N56" s="29"/>
      <c r="O56" s="188"/>
      <c r="P56" s="29"/>
      <c r="Q56" s="37"/>
      <c r="R56" s="198"/>
      <c r="S56" s="37"/>
      <c r="T56" s="37"/>
      <c r="U56" s="37"/>
      <c r="V56" s="198"/>
      <c r="W56" s="37"/>
      <c r="X56" s="86"/>
      <c r="Y56" s="198"/>
      <c r="Z56" s="37"/>
      <c r="AA56" s="37"/>
      <c r="AB56" s="29"/>
      <c r="AC56" s="198"/>
      <c r="AD56" s="37"/>
      <c r="AE56" s="144"/>
      <c r="AF56" s="100"/>
      <c r="AG56" s="197">
        <f>IF(AJ56&lt;&gt;"",AJ56,"")</f>
        <v>1</v>
      </c>
      <c r="AH56" s="100" t="str">
        <f>IF(AJ56&lt;&gt;"",IF(AK56="","",AK56),"")</f>
        <v>ENZO KAZUO YSHIKAWA</v>
      </c>
      <c r="AI56" s="102" t="str">
        <f>VLOOKUP(AI54,AG54:AH56,2,0)</f>
        <v>BRUNO PEREZ MARTIN BIANCO</v>
      </c>
      <c r="AJ56" s="266">
        <v>1</v>
      </c>
      <c r="AK56" s="33" t="s">
        <v>242</v>
      </c>
      <c r="AL56" s="29">
        <v>18</v>
      </c>
      <c r="AN56" s="23"/>
      <c r="AO56" s="23"/>
      <c r="AP56" s="31"/>
      <c r="AQ56" s="32"/>
      <c r="AR56" s="111"/>
      <c r="AS56" s="33"/>
      <c r="AT56" s="33"/>
      <c r="AU56" s="33"/>
    </row>
    <row r="57" spans="2:47" ht="18" customHeight="1" thickBot="1" x14ac:dyDescent="0.3">
      <c r="B57" s="133"/>
      <c r="C57" s="165" t="str">
        <f>IFERROR(IF(C56="","",VLOOKUP(C56,LISTAS!$F$5:$G$1004,2,0)),"0")</f>
        <v>COLÉGIO MARCONI - GRU</v>
      </c>
      <c r="D57" s="267"/>
      <c r="E57" s="148"/>
      <c r="F57" s="101"/>
      <c r="G57" s="190"/>
      <c r="H57" s="101"/>
      <c r="I57" s="138"/>
      <c r="J57" s="101"/>
      <c r="K57" s="192"/>
      <c r="L57" s="87"/>
      <c r="M57" s="87"/>
      <c r="N57" s="29"/>
      <c r="O57" s="188"/>
      <c r="P57" s="29"/>
      <c r="Q57" s="37"/>
      <c r="R57" s="198"/>
      <c r="S57" s="37"/>
      <c r="T57" s="37"/>
      <c r="U57" s="37"/>
      <c r="V57" s="198"/>
      <c r="W57" s="37"/>
      <c r="X57" s="86"/>
      <c r="Y57" s="198"/>
      <c r="Z57" s="37"/>
      <c r="AA57" s="37"/>
      <c r="AB57" s="29"/>
      <c r="AC57" s="198"/>
      <c r="AD57" s="37"/>
      <c r="AE57" s="144"/>
      <c r="AF57" s="100"/>
      <c r="AG57" s="197"/>
      <c r="AH57" s="146"/>
      <c r="AI57" s="101"/>
      <c r="AJ57" s="267"/>
      <c r="AK57" s="165" t="str">
        <f>IFERROR(IF(AK56="","",VLOOKUP(AK56,LISTAS!$F$5:$G$1004,2,0)),"0")</f>
        <v>COLÉGIO ARBOS - UNIDADE SANTO ANDRÉ</v>
      </c>
      <c r="AL57" s="29"/>
      <c r="AM57" s="23"/>
      <c r="AN57" s="23"/>
      <c r="AO57" s="23"/>
      <c r="AP57" s="31"/>
      <c r="AQ57" s="32"/>
      <c r="AR57" s="111"/>
      <c r="AS57" s="33"/>
      <c r="AT57" s="33"/>
      <c r="AU57" s="33"/>
    </row>
    <row r="58" spans="2:47" ht="18" customHeight="1" x14ac:dyDescent="0.25">
      <c r="B58" s="133"/>
      <c r="C58" s="188"/>
      <c r="D58" s="29"/>
      <c r="E58" s="29"/>
      <c r="F58" s="34"/>
      <c r="G58" s="162" t="str">
        <f>IF(D54&lt;&gt;"",IF(D56&lt;&gt;"",IF(D54=D56,"",IF(D54&gt;D56,C54,C56)),""),"")</f>
        <v>CESAR TRIGLIA</v>
      </c>
      <c r="H58" s="266">
        <v>1</v>
      </c>
      <c r="I58" s="148">
        <f>IF(H58&lt;&gt;"",H58,"")</f>
        <v>1</v>
      </c>
      <c r="J58" s="101" t="str">
        <f>IF(H58&lt;&gt;"",IF(G58="","",G58),"")</f>
        <v>CESAR TRIGLIA</v>
      </c>
      <c r="K58" s="190">
        <f>IF(I58&lt;&gt;"",IF(I60&lt;&gt;"",SMALL(I58:J60,1),""),"")</f>
        <v>0</v>
      </c>
      <c r="L58" s="101"/>
      <c r="M58" s="101"/>
      <c r="N58" s="29"/>
      <c r="O58" s="188"/>
      <c r="P58" s="29"/>
      <c r="Q58" s="37"/>
      <c r="R58" s="198"/>
      <c r="S58" s="37"/>
      <c r="T58" s="37"/>
      <c r="U58" s="37"/>
      <c r="V58" s="198"/>
      <c r="W58" s="37"/>
      <c r="X58" s="86"/>
      <c r="Y58" s="198"/>
      <c r="Z58" s="37"/>
      <c r="AA58" s="37"/>
      <c r="AB58" s="29"/>
      <c r="AC58" s="198"/>
      <c r="AD58" s="37"/>
      <c r="AE58" s="89"/>
      <c r="AF58" s="266">
        <v>0</v>
      </c>
      <c r="AG58" s="162" t="str">
        <f>IF(AJ54&lt;&gt;"",IF(AJ56&lt;&gt;"",IF(AJ54=AJ56,"",IF(AJ54&gt;AJ56,AK54,AK56)),""),"")</f>
        <v>ENZO KAZUO YSHIKAWA</v>
      </c>
      <c r="AH58" s="94"/>
      <c r="AI58" s="37"/>
      <c r="AJ58" s="29"/>
      <c r="AK58" s="188"/>
      <c r="AL58" s="29"/>
      <c r="AM58" s="23"/>
      <c r="AP58" s="31"/>
      <c r="AQ58" s="32"/>
      <c r="AR58" s="111"/>
      <c r="AS58" s="33"/>
      <c r="AT58" s="33"/>
      <c r="AU58" s="33"/>
    </row>
    <row r="59" spans="2:47" ht="18" customHeight="1" thickBot="1" x14ac:dyDescent="0.3">
      <c r="B59" s="133"/>
      <c r="C59" s="188"/>
      <c r="D59" s="29"/>
      <c r="E59" s="29"/>
      <c r="F59" s="34"/>
      <c r="G59" s="165" t="str">
        <f>IFERROR(IF(G58="","",VLOOKUP(G58,LISTAS!$F$5:$G$1004,2,0)),"0")</f>
        <v>COLÉGIO MARCONI - GRU</v>
      </c>
      <c r="H59" s="267"/>
      <c r="I59" s="105"/>
      <c r="J59" s="101"/>
      <c r="K59" s="190"/>
      <c r="L59" s="101"/>
      <c r="M59" s="101"/>
      <c r="N59" s="29"/>
      <c r="O59" s="188"/>
      <c r="P59" s="29"/>
      <c r="Q59" s="37"/>
      <c r="R59" s="198"/>
      <c r="S59" s="37"/>
      <c r="T59" s="37"/>
      <c r="U59" s="37"/>
      <c r="V59" s="198"/>
      <c r="W59" s="37"/>
      <c r="X59" s="86"/>
      <c r="Y59" s="198"/>
      <c r="Z59" s="37"/>
      <c r="AA59" s="37"/>
      <c r="AB59" s="29"/>
      <c r="AC59" s="198"/>
      <c r="AD59" s="37"/>
      <c r="AE59" s="90"/>
      <c r="AF59" s="267"/>
      <c r="AG59" s="165" t="str">
        <f>IFERROR(IF(AG58="","",VLOOKUP(AG58,LISTAS!$F$5:$G$1004,2,0)),"0")</f>
        <v>COLÉGIO ARBOS - UNIDADE SANTO ANDRÉ</v>
      </c>
      <c r="AH59" s="94"/>
      <c r="AI59" s="37"/>
      <c r="AJ59" s="29"/>
      <c r="AK59" s="188"/>
      <c r="AL59" s="29"/>
      <c r="AP59" s="31"/>
      <c r="AQ59" s="32"/>
      <c r="AR59" s="111"/>
      <c r="AS59" s="33"/>
      <c r="AT59" s="33"/>
      <c r="AU59" s="33"/>
    </row>
    <row r="60" spans="2:47" ht="18" customHeight="1" x14ac:dyDescent="0.25">
      <c r="B60" s="133"/>
      <c r="C60" s="188"/>
      <c r="D60" s="29"/>
      <c r="E60" s="35"/>
      <c r="F60" s="36"/>
      <c r="G60" s="162" t="str">
        <f>IF(D62&lt;&gt;"",IF(D64&lt;&gt;"",IF(D62=D64,"",IF(D62&gt;D64,C62,C64)),""),"")</f>
        <v>PEDRO PEREIRA  DAMÁSIO</v>
      </c>
      <c r="H60" s="266">
        <v>0</v>
      </c>
      <c r="I60" s="106">
        <f>IF(H60&lt;&gt;"",H60,"")</f>
        <v>0</v>
      </c>
      <c r="J60" s="101" t="str">
        <f>IF(H60&lt;&gt;"",IF(G60="","",G60),"")</f>
        <v>PEDRO PEREIRA  DAMÁSIO</v>
      </c>
      <c r="K60" s="190" t="str">
        <f>VLOOKUP(K58,I58:J60,2,0)</f>
        <v>PEDRO PEREIRA  DAMÁSIO</v>
      </c>
      <c r="L60" s="101"/>
      <c r="M60" s="101"/>
      <c r="N60" s="29"/>
      <c r="O60" s="188"/>
      <c r="P60" s="29"/>
      <c r="Q60" s="37"/>
      <c r="R60" s="198"/>
      <c r="S60" s="37"/>
      <c r="T60" s="37"/>
      <c r="U60" s="37"/>
      <c r="V60" s="198"/>
      <c r="W60" s="37"/>
      <c r="X60" s="86"/>
      <c r="Y60" s="198"/>
      <c r="Z60" s="37"/>
      <c r="AA60" s="37"/>
      <c r="AB60" s="29"/>
      <c r="AC60" s="198"/>
      <c r="AD60" s="37"/>
      <c r="AE60" s="91"/>
      <c r="AF60" s="266">
        <v>1</v>
      </c>
      <c r="AG60" s="162" t="str">
        <f>IF(AJ62&lt;&gt;"",IF(AJ64&lt;&gt;"",IF(AJ62=AJ64,"",IF(AJ62&gt;AJ64,AK62,AK64)),""),"")</f>
        <v>LUCCA DE ALMEIDA BRANCALLIAO</v>
      </c>
      <c r="AH60" s="98"/>
      <c r="AI60" s="37"/>
      <c r="AJ60" s="29"/>
      <c r="AK60" s="188"/>
      <c r="AL60" s="29"/>
    </row>
    <row r="61" spans="2:47" ht="18" customHeight="1" thickBot="1" x14ac:dyDescent="0.3">
      <c r="B61" s="133"/>
      <c r="C61" s="188"/>
      <c r="D61" s="29"/>
      <c r="E61" s="35"/>
      <c r="F61" s="29"/>
      <c r="G61" s="165" t="str">
        <f>IFERROR(IF(G60="","",VLOOKUP(G60,LISTAS!$F$5:$G$1004,2,0)),"0")</f>
        <v>ABACO IPIRANGA</v>
      </c>
      <c r="H61" s="267"/>
      <c r="I61" s="101"/>
      <c r="J61" s="101"/>
      <c r="K61" s="190"/>
      <c r="L61" s="101"/>
      <c r="M61" s="101"/>
      <c r="N61" s="29"/>
      <c r="O61" s="188"/>
      <c r="P61" s="29"/>
      <c r="Q61" s="37"/>
      <c r="R61" s="198"/>
      <c r="S61" s="37"/>
      <c r="T61" s="37"/>
      <c r="U61" s="37"/>
      <c r="V61" s="198"/>
      <c r="W61" s="37"/>
      <c r="X61" s="86"/>
      <c r="Y61" s="198"/>
      <c r="Z61" s="37"/>
      <c r="AA61" s="37"/>
      <c r="AB61" s="29"/>
      <c r="AC61" s="198"/>
      <c r="AD61" s="37"/>
      <c r="AE61" s="37"/>
      <c r="AF61" s="267"/>
      <c r="AG61" s="165" t="str">
        <f>IFERROR(IF(AG60="","",VLOOKUP(AG60,LISTAS!$F$5:$G$1004,2,0)),"0")</f>
        <v>PEN LIFE</v>
      </c>
      <c r="AH61" s="37"/>
      <c r="AI61" s="89"/>
      <c r="AJ61" s="29"/>
      <c r="AK61" s="188"/>
      <c r="AL61" s="29"/>
    </row>
    <row r="62" spans="2:47" ht="18" customHeight="1" x14ac:dyDescent="0.25">
      <c r="B62" s="133">
        <v>29</v>
      </c>
      <c r="C62" s="33" t="s">
        <v>345</v>
      </c>
      <c r="D62" s="266">
        <v>1</v>
      </c>
      <c r="E62" s="148">
        <f>IF(D62&lt;&gt;"",D62,"")</f>
        <v>1</v>
      </c>
      <c r="F62" s="101" t="str">
        <f>IF(D62&lt;&gt;"",IF(C62="","",C62),"")</f>
        <v>PEDRO PEREIRA  DAMÁSIO</v>
      </c>
      <c r="G62" s="190">
        <f>IF(E62&lt;&gt;"",IF(E64&lt;&gt;"",SMALL(E62:E64,1),""),"")</f>
        <v>0</v>
      </c>
      <c r="H62" s="101"/>
      <c r="I62" s="101"/>
      <c r="J62" s="101"/>
      <c r="K62" s="190"/>
      <c r="L62" s="101"/>
      <c r="M62" s="101"/>
      <c r="N62" s="29"/>
      <c r="O62" s="188"/>
      <c r="P62" s="29"/>
      <c r="Q62" s="37"/>
      <c r="R62" s="198"/>
      <c r="S62" s="37"/>
      <c r="T62" s="37"/>
      <c r="U62" s="37"/>
      <c r="V62" s="198"/>
      <c r="W62" s="37"/>
      <c r="X62" s="86"/>
      <c r="Y62" s="198"/>
      <c r="Z62" s="37"/>
      <c r="AA62" s="37"/>
      <c r="AB62" s="29"/>
      <c r="AC62" s="198"/>
      <c r="AD62" s="37"/>
      <c r="AE62" s="100"/>
      <c r="AF62" s="100"/>
      <c r="AG62" s="197">
        <f>IF(AJ62&lt;&gt;"",AJ62,"")</f>
        <v>1</v>
      </c>
      <c r="AH62" s="100" t="str">
        <f>IF(AJ62&lt;&gt;"",IF(AK62="","",AK62),"")</f>
        <v>LUCCA DE ALMEIDA BRANCALLIAO</v>
      </c>
      <c r="AI62" s="137">
        <f>IF(AG62&lt;&gt;"",IF(AG64&lt;&gt;"",SMALL(AG62:AG64,1),""),"")</f>
        <v>0</v>
      </c>
      <c r="AJ62" s="266">
        <v>1</v>
      </c>
      <c r="AK62" s="33" t="s">
        <v>308</v>
      </c>
      <c r="AL62" s="29">
        <v>31</v>
      </c>
    </row>
    <row r="63" spans="2:47" ht="18" customHeight="1" thickBot="1" x14ac:dyDescent="0.3">
      <c r="B63" s="133"/>
      <c r="C63" s="165" t="str">
        <f>IFERROR(IF(C62="","",VLOOKUP(C62,LISTAS!$F$5:$G$1004,2,0)),"0")</f>
        <v>ABACO IPIRANGA</v>
      </c>
      <c r="D63" s="267"/>
      <c r="E63" s="105"/>
      <c r="F63" s="101"/>
      <c r="G63" s="190"/>
      <c r="H63" s="101"/>
      <c r="I63" s="101"/>
      <c r="J63" s="87"/>
      <c r="K63" s="188"/>
      <c r="L63" s="29"/>
      <c r="M63" s="29"/>
      <c r="N63" s="29"/>
      <c r="O63" s="188"/>
      <c r="P63" s="29"/>
      <c r="Q63" s="37"/>
      <c r="R63" s="198"/>
      <c r="S63" s="37"/>
      <c r="T63" s="37"/>
      <c r="U63" s="37"/>
      <c r="V63" s="198"/>
      <c r="W63" s="37"/>
      <c r="X63" s="86"/>
      <c r="Y63" s="198"/>
      <c r="Z63" s="37"/>
      <c r="AA63" s="37"/>
      <c r="AB63" s="29"/>
      <c r="AC63" s="198"/>
      <c r="AD63" s="37"/>
      <c r="AE63" s="100"/>
      <c r="AF63" s="100"/>
      <c r="AG63" s="197"/>
      <c r="AH63" s="100"/>
      <c r="AI63" s="103"/>
      <c r="AJ63" s="267"/>
      <c r="AK63" s="165" t="str">
        <f>IFERROR(IF(AK62="","",VLOOKUP(AK62,LISTAS!$F$5:$G$1004,2,0)),"0")</f>
        <v>PEN LIFE</v>
      </c>
      <c r="AL63" s="29"/>
    </row>
    <row r="64" spans="2:47" ht="18" customHeight="1" x14ac:dyDescent="0.25">
      <c r="B64" s="133">
        <v>4</v>
      </c>
      <c r="C64" s="162" t="str">
        <f>IF('11M GRP'!G5&gt;=3,'11M GRP'!J60,IF('11M GRP'!G5=2,IF('11M GRP'!H8=3,"",'11M GRP'!J31),IF('11M GRP'!G5=1,'11M GRP'!J11,"")))</f>
        <v>YURI FONSECA CABALEIRO COSTA</v>
      </c>
      <c r="D64" s="266">
        <v>0</v>
      </c>
      <c r="E64" s="106">
        <f>IF(D64&lt;&gt;"",D64,"")</f>
        <v>0</v>
      </c>
      <c r="F64" s="101" t="str">
        <f>IF(D64&lt;&gt;"",IF(C64="","",C64),"")</f>
        <v>YURI FONSECA CABALEIRO COSTA</v>
      </c>
      <c r="G64" s="190" t="str">
        <f>VLOOKUP(G62,E62:F64,2,0)</f>
        <v>YURI FONSECA CABALEIRO COSTA</v>
      </c>
      <c r="H64" s="101"/>
      <c r="I64" s="101"/>
      <c r="J64" s="87"/>
      <c r="K64" s="188"/>
      <c r="L64" s="29"/>
      <c r="M64" s="29"/>
      <c r="N64" s="29"/>
      <c r="O64" s="188"/>
      <c r="P64" s="29"/>
      <c r="Q64" s="37"/>
      <c r="R64" s="198"/>
      <c r="S64" s="37"/>
      <c r="T64" s="37"/>
      <c r="U64" s="37"/>
      <c r="V64" s="198"/>
      <c r="W64" s="37"/>
      <c r="X64" s="86"/>
      <c r="Y64" s="198"/>
      <c r="Z64" s="37"/>
      <c r="AA64" s="37"/>
      <c r="AB64" s="29"/>
      <c r="AC64" s="198"/>
      <c r="AD64" s="37"/>
      <c r="AE64" s="100"/>
      <c r="AF64" s="100"/>
      <c r="AG64" s="197">
        <f>IF(AJ64&lt;&gt;"",AJ64,"")</f>
        <v>0</v>
      </c>
      <c r="AH64" s="100" t="str">
        <f>IF(AJ64&lt;&gt;"",IF(AK64="","",AK64),"")</f>
        <v>ALLAN DUQUE</v>
      </c>
      <c r="AI64" s="104" t="str">
        <f>VLOOKUP(AI62,AG62:AH64,2,0)</f>
        <v>ALLAN DUQUE</v>
      </c>
      <c r="AJ64" s="266">
        <v>0</v>
      </c>
      <c r="AK64" s="162" t="str">
        <f>IF('11M GRP'!G5&gt;=3,'11M GRP'!J30,IF('11M GRP'!G5=2,IF('11M GRP'!H8=3,'11M GRP'!J30,'11M GRP'!J30),IF('11M GRP'!G5=1,'11M GRP'!J9,"")))</f>
        <v>ALLAN DUQUE</v>
      </c>
      <c r="AL64" s="29">
        <v>2</v>
      </c>
    </row>
    <row r="65" spans="2:47" ht="18" customHeight="1" thickBot="1" x14ac:dyDescent="0.3">
      <c r="B65" s="133"/>
      <c r="C65" s="165" t="str">
        <f>IFERROR(IF(C64="","",VLOOKUP(C64,LISTAS!$F$5:$G$1004,2,0)),"0")</f>
        <v>LICEU JARDIM</v>
      </c>
      <c r="D65" s="267"/>
      <c r="E65" s="101"/>
      <c r="F65" s="101"/>
      <c r="G65" s="190"/>
      <c r="H65" s="101"/>
      <c r="I65" s="101"/>
      <c r="J65" s="87"/>
      <c r="K65" s="188"/>
      <c r="L65" s="29"/>
      <c r="M65" s="29"/>
      <c r="N65" s="29"/>
      <c r="O65" s="188"/>
      <c r="P65" s="29"/>
      <c r="Q65" s="37"/>
      <c r="R65" s="198"/>
      <c r="S65" s="37"/>
      <c r="T65" s="37"/>
      <c r="U65" s="37"/>
      <c r="V65" s="198"/>
      <c r="W65" s="37"/>
      <c r="X65" s="86"/>
      <c r="Y65" s="198"/>
      <c r="Z65" s="37"/>
      <c r="AA65" s="37"/>
      <c r="AB65" s="29"/>
      <c r="AC65" s="198"/>
      <c r="AD65" s="37"/>
      <c r="AE65" s="100"/>
      <c r="AF65" s="100"/>
      <c r="AG65" s="197"/>
      <c r="AH65" s="100"/>
      <c r="AI65" s="101"/>
      <c r="AJ65" s="267"/>
      <c r="AK65" s="165" t="str">
        <f>IFERROR(IF(AK64="","",VLOOKUP(AK64,LISTAS!$F$5:$G$1004,2,0)),"0")</f>
        <v>RIO BRANCO - SBC</v>
      </c>
      <c r="AL65" s="29"/>
    </row>
    <row r="66" spans="2:47" ht="18" customHeight="1" x14ac:dyDescent="0.25">
      <c r="B66" s="133"/>
      <c r="C66" s="189"/>
      <c r="D66" s="84"/>
      <c r="E66" s="134"/>
      <c r="F66" s="134"/>
      <c r="G66" s="193"/>
      <c r="H66" s="134"/>
      <c r="I66" s="134"/>
      <c r="J66" s="134"/>
      <c r="K66" s="189"/>
      <c r="L66" s="84"/>
      <c r="M66" s="84"/>
      <c r="N66" s="84"/>
      <c r="O66" s="189"/>
      <c r="P66" s="84"/>
      <c r="Q66" s="37"/>
      <c r="R66" s="198"/>
      <c r="S66" s="37"/>
      <c r="T66" s="37"/>
      <c r="U66" s="37"/>
      <c r="V66" s="198"/>
      <c r="W66" s="37"/>
      <c r="X66" s="86"/>
      <c r="Y66" s="198"/>
      <c r="Z66" s="37"/>
      <c r="AA66" s="37"/>
      <c r="AB66" s="29"/>
      <c r="AC66" s="198"/>
      <c r="AD66" s="37"/>
      <c r="AE66" s="100"/>
      <c r="AF66" s="100"/>
      <c r="AG66" s="197"/>
      <c r="AH66" s="100"/>
      <c r="AI66" s="100"/>
      <c r="AJ66" s="84"/>
      <c r="AK66" s="189"/>
      <c r="AL66" s="29"/>
    </row>
    <row r="67" spans="2:47" ht="18" customHeight="1" x14ac:dyDescent="0.25">
      <c r="B67" s="29"/>
      <c r="C67" s="189"/>
      <c r="D67" s="84"/>
      <c r="E67" s="84"/>
      <c r="F67" s="84"/>
      <c r="G67" s="189"/>
      <c r="H67" s="84"/>
      <c r="I67" s="84"/>
      <c r="J67" s="84"/>
      <c r="K67" s="189"/>
      <c r="L67" s="84"/>
      <c r="M67" s="84"/>
      <c r="N67" s="84"/>
      <c r="O67" s="189"/>
      <c r="P67" s="84"/>
      <c r="Q67" s="37"/>
      <c r="R67" s="198"/>
      <c r="S67" s="37"/>
      <c r="T67" s="37"/>
      <c r="U67" s="37"/>
      <c r="V67" s="198"/>
      <c r="W67" s="37"/>
      <c r="X67" s="86"/>
      <c r="Y67" s="198"/>
      <c r="Z67" s="37"/>
      <c r="AA67" s="37"/>
      <c r="AB67" s="29"/>
      <c r="AC67" s="198"/>
      <c r="AD67" s="37"/>
      <c r="AE67" s="100"/>
      <c r="AF67" s="100"/>
      <c r="AG67" s="197"/>
      <c r="AH67" s="100"/>
      <c r="AI67" s="100"/>
      <c r="AJ67" s="84"/>
      <c r="AK67" s="189"/>
      <c r="AL67" s="29"/>
    </row>
    <row r="68" spans="2:47" ht="18" customHeight="1" x14ac:dyDescent="0.25">
      <c r="B68" s="22"/>
      <c r="C68" s="168"/>
      <c r="D68" s="22"/>
      <c r="E68" s="22"/>
      <c r="F68" s="22"/>
      <c r="G68" s="168"/>
      <c r="H68" s="22"/>
      <c r="I68" s="22"/>
      <c r="J68" s="22"/>
      <c r="K68" s="168"/>
      <c r="L68" s="22"/>
      <c r="M68" s="22"/>
      <c r="N68" s="22"/>
      <c r="O68" s="168"/>
      <c r="P68" s="22"/>
      <c r="W68" s="22"/>
      <c r="X68" s="22"/>
      <c r="Y68" s="168"/>
      <c r="Z68" s="22"/>
      <c r="AA68" s="22"/>
      <c r="AB68" s="22"/>
      <c r="AC68" s="168"/>
      <c r="AD68" s="22"/>
      <c r="AE68" s="22"/>
      <c r="AF68" s="22"/>
      <c r="AG68" s="168"/>
      <c r="AH68" s="22"/>
      <c r="AI68" s="22"/>
      <c r="AJ68" s="22"/>
      <c r="AK68" s="168"/>
    </row>
    <row r="69" spans="2:47" ht="18" customHeight="1" x14ac:dyDescent="0.25">
      <c r="B69" s="22"/>
      <c r="C69" s="168"/>
      <c r="D69" s="22"/>
      <c r="E69" s="22"/>
      <c r="F69" s="22"/>
      <c r="G69" s="168"/>
      <c r="H69" s="22"/>
      <c r="I69" s="22"/>
      <c r="J69" s="22"/>
      <c r="K69" s="168"/>
      <c r="L69" s="22"/>
      <c r="M69" s="22"/>
      <c r="N69" s="22"/>
      <c r="O69" s="168"/>
      <c r="P69" s="22"/>
      <c r="W69" s="22"/>
      <c r="X69" s="22"/>
      <c r="Y69" s="168"/>
      <c r="Z69" s="22"/>
      <c r="AA69" s="22"/>
      <c r="AB69" s="22"/>
      <c r="AC69" s="168"/>
      <c r="AD69" s="22"/>
      <c r="AE69" s="22"/>
      <c r="AF69" s="22"/>
      <c r="AG69" s="168"/>
      <c r="AH69" s="22"/>
      <c r="AI69" s="22"/>
      <c r="AJ69" s="22"/>
      <c r="AK69" s="168"/>
    </row>
    <row r="70" spans="2:47" ht="30" customHeight="1" x14ac:dyDescent="0.25">
      <c r="B70" s="249" t="s">
        <v>20</v>
      </c>
      <c r="C70" s="250"/>
      <c r="D70" s="250"/>
      <c r="E70" s="250"/>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0"/>
      <c r="AI70" s="250"/>
      <c r="AJ70" s="250"/>
      <c r="AK70" s="250"/>
      <c r="AL70" s="250"/>
      <c r="AP70" s="240" t="s">
        <v>4</v>
      </c>
      <c r="AQ70" s="240"/>
      <c r="AR70" s="240"/>
      <c r="AS70" s="240"/>
      <c r="AT70" s="240"/>
      <c r="AU70" s="240"/>
    </row>
    <row r="71" spans="2:47" ht="18" customHeight="1" thickBot="1" x14ac:dyDescent="0.3">
      <c r="B71" s="135"/>
      <c r="C71" s="187"/>
      <c r="D71" s="27"/>
      <c r="E71" s="27"/>
      <c r="F71" s="27"/>
      <c r="G71" s="191"/>
      <c r="H71" s="27"/>
      <c r="I71" s="27"/>
      <c r="J71" s="27"/>
      <c r="K71" s="195"/>
      <c r="L71" s="27"/>
      <c r="M71" s="27"/>
      <c r="N71" s="27"/>
      <c r="O71" s="195"/>
      <c r="P71" s="27"/>
      <c r="Q71" s="27"/>
      <c r="R71" s="195"/>
      <c r="S71" s="27"/>
      <c r="T71" s="27"/>
      <c r="U71" s="27"/>
      <c r="V71" s="195"/>
      <c r="W71" s="27"/>
      <c r="X71" s="26"/>
      <c r="Y71" s="195"/>
      <c r="Z71" s="27"/>
      <c r="AA71" s="27"/>
      <c r="AB71" s="92"/>
      <c r="AC71" s="195"/>
      <c r="AD71" s="27"/>
      <c r="AE71" s="150"/>
      <c r="AF71" s="150"/>
      <c r="AG71" s="200"/>
      <c r="AH71" s="150"/>
      <c r="AI71" s="150"/>
      <c r="AJ71" s="27"/>
      <c r="AK71" s="195"/>
      <c r="AL71" s="27"/>
      <c r="AP71" s="258" t="s">
        <v>3</v>
      </c>
      <c r="AQ71" s="260"/>
      <c r="AR71" s="132" t="s">
        <v>15</v>
      </c>
      <c r="AS71" s="132" t="s">
        <v>0</v>
      </c>
      <c r="AT71" s="132" t="s">
        <v>16</v>
      </c>
      <c r="AU71" s="132" t="s">
        <v>17</v>
      </c>
    </row>
    <row r="72" spans="2:47" ht="18" customHeight="1" x14ac:dyDescent="0.25">
      <c r="B72" s="136">
        <v>1</v>
      </c>
      <c r="C72" s="169" t="str">
        <f>IF('11M GRP'!G5&gt;=3,'11M GRP'!J9,IF('11M GRP'!G5=2,IF('11M GRP'!H8=3,'11M GRP'!J9,'11M GRP'!J10),IF('11M GRP'!G5=1,"","")))</f>
        <v>Heitor Dias de Oliveira Tamayoshi</v>
      </c>
      <c r="D72" s="266">
        <v>1</v>
      </c>
      <c r="E72" s="101">
        <f>IF(D72&lt;&gt;"",D72,"")</f>
        <v>1</v>
      </c>
      <c r="F72" s="101" t="str">
        <f>IF(D72&lt;&gt;"",IF(C72="","",C72),"")</f>
        <v>Heitor Dias de Oliveira Tamayoshi</v>
      </c>
      <c r="G72" s="190">
        <f>IF(E72&lt;&gt;"",IF(E74&lt;&gt;"",SMALL(E72:E74,1),""),"")</f>
        <v>0</v>
      </c>
      <c r="H72" s="101"/>
      <c r="I72" s="101"/>
      <c r="J72" s="101"/>
      <c r="K72" s="188"/>
      <c r="L72" s="29"/>
      <c r="M72" s="30"/>
      <c r="N72" s="30"/>
      <c r="O72" s="196"/>
      <c r="P72" s="30"/>
      <c r="Q72" s="37"/>
      <c r="R72" s="198"/>
      <c r="S72" s="37"/>
      <c r="T72" s="37"/>
      <c r="U72" s="37"/>
      <c r="V72" s="198"/>
      <c r="W72" s="37"/>
      <c r="X72" s="86"/>
      <c r="Y72" s="198"/>
      <c r="Z72" s="37"/>
      <c r="AA72" s="37"/>
      <c r="AB72" s="29"/>
      <c r="AC72" s="198"/>
      <c r="AD72" s="37"/>
      <c r="AE72" s="100"/>
      <c r="AF72" s="100"/>
      <c r="AG72" s="197">
        <f>IF(AJ72&lt;&gt;"",AJ72,"")</f>
        <v>0</v>
      </c>
      <c r="AH72" s="100" t="str">
        <f>IF(AJ72&lt;&gt;"",IF(AK72="","",AK72),"")</f>
        <v>FELIPE BRITO RUAS</v>
      </c>
      <c r="AI72" s="101">
        <f>IF(AG72&lt;&gt;"",IF(AG74&lt;&gt;"",SMALL(AG72:AG74,1),""),"")</f>
        <v>0</v>
      </c>
      <c r="AJ72" s="266">
        <v>0</v>
      </c>
      <c r="AK72" s="169" t="str">
        <f>IF('11M GRP'!G5&gt;=3,'11M GRP'!J48,IF('11M GRP'!G5=2,IF('11M GRP'!H8=3,"",'11M GRP'!J11),IF('11M GRP'!G5=1,"","")))</f>
        <v>FELIPE BRITO RUAS</v>
      </c>
      <c r="AL72" s="99">
        <v>3</v>
      </c>
      <c r="AP72" s="31">
        <f>IF(AR72&lt;&gt;"",1,"")</f>
        <v>1</v>
      </c>
      <c r="AQ72" s="32" t="str">
        <f>IF(AP72&lt;&gt;"","LUGAR","")</f>
        <v>LUGAR</v>
      </c>
      <c r="AR72" s="33" t="str">
        <f>IF(S100&lt;&gt;"",IF(U100&lt;&gt;"",IF(S100=U100,"",IF(S100&gt;U100,R100,V100)),""),"")</f>
        <v>BERNARDO HISSA DOS SANTOS</v>
      </c>
      <c r="AS72" s="33" t="str">
        <f>IFERROR(IF(AR72="","",VLOOKUP(AR72,LISTAS!$F$5:$G$1004,2,0)),"0")</f>
        <v>ABACO IPIRANGA</v>
      </c>
      <c r="AT72" s="33">
        <f>IF(AP72="","",IF(AP72=1,180,IF(AP72=2,170,IF(AP72=3,150,IF(AP72=4,140,IF(AP72=5,135,IF(AP72=6,130,IF(AP72=7,120,IF(AP72=8,110,IF(AP72=9,105,IF(AP72=10,105,IF(AP72=11,105,IF(AP72=12,105,IF(AP72=13,105,IF(AP72=14,105,IF(AP72=15,105,IF(AP72=16,105,IF(AP72&gt;16,"",""))))))))))))))))))</f>
        <v>180</v>
      </c>
      <c r="AU72" s="33">
        <f>IF(AP72="","",IF($AS$5="NÃO","",IF(AP72=1,180,IF(AP72=2,170,IF(AP72=3,150,IF(AP72=4,140,IF(AP72=5,135,IF(AP72=6,130,IF(AP72=7,120,IF(AP72=8,110,IF(AP72=9,105,IF(AP72=10,105,IF(AP72=11,105,IF(AP72=12,105,IF(AP72=13,105,IF(AP72=14,105,IF(AP72=15,105,IF(AP72=16,105,IF(AP72&gt;16,"","")))))))))))))))))))</f>
        <v>180</v>
      </c>
    </row>
    <row r="73" spans="2:47" ht="18" customHeight="1" thickBot="1" x14ac:dyDescent="0.3">
      <c r="B73" s="136"/>
      <c r="C73" s="170" t="str">
        <f>IFERROR(IF(C72="","",VLOOKUP(C72,LISTAS!$F$5:$G$1004,2,0)),"0")</f>
        <v>ESCOLA INTERAÇÃO</v>
      </c>
      <c r="D73" s="267"/>
      <c r="E73" s="101"/>
      <c r="F73" s="101"/>
      <c r="G73" s="190"/>
      <c r="H73" s="101"/>
      <c r="I73" s="101"/>
      <c r="J73" s="101"/>
      <c r="K73" s="188"/>
      <c r="L73" s="29"/>
      <c r="M73" s="30"/>
      <c r="N73" s="30"/>
      <c r="O73" s="196"/>
      <c r="P73" s="30"/>
      <c r="Q73" s="37"/>
      <c r="R73" s="198"/>
      <c r="S73" s="37"/>
      <c r="T73" s="37"/>
      <c r="U73" s="37"/>
      <c r="V73" s="198"/>
      <c r="W73" s="37"/>
      <c r="X73" s="86"/>
      <c r="Y73" s="198"/>
      <c r="Z73" s="37"/>
      <c r="AA73" s="37"/>
      <c r="AB73" s="29"/>
      <c r="AC73" s="198"/>
      <c r="AD73" s="37"/>
      <c r="AE73" s="100"/>
      <c r="AF73" s="100"/>
      <c r="AG73" s="197"/>
      <c r="AH73" s="100"/>
      <c r="AI73" s="101"/>
      <c r="AJ73" s="267"/>
      <c r="AK73" s="170" t="str">
        <f>IFERROR(IF(AK72="","",VLOOKUP(AK72,LISTAS!$F$5:$G$1004,2,0)),"0")</f>
        <v>EVOLUTION TEENS</v>
      </c>
      <c r="AL73" s="99"/>
      <c r="AP73" s="31">
        <f>IF(AR73&lt;&gt;"",1+COUNTIF(AP72,"1"),"")</f>
        <v>2</v>
      </c>
      <c r="AQ73" s="32" t="str">
        <f t="shared" ref="AQ73:AQ103" si="3">IF(AP73&lt;&gt;"","LUGAR","")</f>
        <v>LUGAR</v>
      </c>
      <c r="AR73" s="33" t="str">
        <f>IF(S100&lt;&gt;"",IF(U100&lt;&gt;"",IF(S100=U100,"",IF(S100&lt;U100,R100,V100)),""),"")</f>
        <v>HEITOR SOARES CAVALCANTE</v>
      </c>
      <c r="AS73" s="33" t="str">
        <f>IFERROR(IF(AR73="","",VLOOKUP(AR73,LISTAS!$F$5:$G$1004,2,0)),"0")</f>
        <v>COLÉGIO ARBOS SÃO CAETANO DO SUL</v>
      </c>
      <c r="AT73" s="33">
        <f t="shared" ref="AT73:AT87" si="4">IF(AP73="","",IF(AP73=1,180,IF(AP73=2,170,IF(AP73=3,150,IF(AP73=4,140,IF(AP73=5,135,IF(AP73=6,130,IF(AP73=7,120,IF(AP73=8,110,IF(AP73=9,105,IF(AP73=10,105,IF(AP73=11,105,IF(AP73=12,105,IF(AP73=13,105,IF(AP73=14,105,IF(AP73=15,105,IF(AP73=16,105,IF(AP73&gt;16,"",""))))))))))))))))))</f>
        <v>170</v>
      </c>
      <c r="AU73" s="33">
        <f t="shared" ref="AU73:AU102" si="5">IF(AP73="","",IF($AS$5="NÃO","",IF(AP73=1,180,IF(AP73=2,170,IF(AP73=3,150,IF(AP73=4,140,IF(AP73=5,135,IF(AP73=6,130,IF(AP73=7,120,IF(AP73=8,110,IF(AP73=9,105,IF(AP73=10,105,IF(AP73=11,105,IF(AP73=12,105,IF(AP73=13,105,IF(AP73=14,105,IF(AP73=15,105,IF(AP73=16,105,IF(AP73&gt;16,"","")))))))))))))))))))</f>
        <v>170</v>
      </c>
    </row>
    <row r="74" spans="2:47" ht="18" customHeight="1" x14ac:dyDescent="0.25">
      <c r="B74" s="133">
        <v>32</v>
      </c>
      <c r="C74" s="33" t="s">
        <v>282</v>
      </c>
      <c r="D74" s="266">
        <v>0</v>
      </c>
      <c r="E74" s="107">
        <f>IF(D74&lt;&gt;"",D74,"")</f>
        <v>0</v>
      </c>
      <c r="F74" s="101" t="str">
        <f>IF(D74&lt;&gt;"",IF(C74="","",C74),"")</f>
        <v>JOÃO PEDRO BRITES PEREIRA</v>
      </c>
      <c r="G74" s="190" t="str">
        <f>VLOOKUP(G72,E72:F74,2,0)</f>
        <v>JOÃO PEDRO BRITES PEREIRA</v>
      </c>
      <c r="H74" s="101"/>
      <c r="I74" s="101"/>
      <c r="J74" s="101"/>
      <c r="K74" s="188"/>
      <c r="L74" s="29"/>
      <c r="M74" s="30"/>
      <c r="N74" s="30"/>
      <c r="O74" s="196"/>
      <c r="P74" s="30"/>
      <c r="Q74" s="37"/>
      <c r="R74" s="198"/>
      <c r="S74" s="37"/>
      <c r="T74" s="37"/>
      <c r="U74" s="37"/>
      <c r="V74" s="198"/>
      <c r="W74" s="37"/>
      <c r="X74" s="86"/>
      <c r="Y74" s="198"/>
      <c r="Z74" s="37"/>
      <c r="AA74" s="37"/>
      <c r="AB74" s="29"/>
      <c r="AC74" s="198"/>
      <c r="AD74" s="37"/>
      <c r="AE74" s="100"/>
      <c r="AF74" s="100"/>
      <c r="AG74" s="197">
        <f>IF(AJ74&lt;&gt;"",AJ74,"")</f>
        <v>1</v>
      </c>
      <c r="AH74" s="100" t="str">
        <f>IF(AJ74&lt;&gt;"",IF(AK74="","",AK74),"")</f>
        <v>HEITOR DIOGENES VALARINI</v>
      </c>
      <c r="AI74" s="102" t="str">
        <f>VLOOKUP(AI72,AG72:AH74,2,0)</f>
        <v>FELIPE BRITO RUAS</v>
      </c>
      <c r="AJ74" s="266">
        <v>1</v>
      </c>
      <c r="AK74" s="33" t="s">
        <v>271</v>
      </c>
      <c r="AL74" s="29">
        <v>30</v>
      </c>
      <c r="AP74" s="31">
        <f>IF(AR74&lt;&gt;"",1+COUNTIF(AP72:AP73,"1")+COUNTIF(AP72:AP73,"2"),"")</f>
        <v>3</v>
      </c>
      <c r="AQ74" s="32" t="str">
        <f t="shared" si="3"/>
        <v>LUGAR</v>
      </c>
      <c r="AR74" s="111" t="str">
        <f>IF(AR72&lt;&gt;"",IF(O99=AR72,O101,IF(O101=AR72,O99,IF(Y99=AR72,Y101,IF(Y101=AR72,Y99)))),"")</f>
        <v>BERNARDO FERREIRA FIGUEIREDO</v>
      </c>
      <c r="AS74" s="33" t="str">
        <f>IFERROR(IF(AR74="","",VLOOKUP(AR74,LISTAS!$F$5:$G$1004,2,0)),"0")</f>
        <v>ABACO IPIRANGA</v>
      </c>
      <c r="AT74" s="33">
        <f t="shared" si="4"/>
        <v>150</v>
      </c>
      <c r="AU74" s="33">
        <f t="shared" si="5"/>
        <v>150</v>
      </c>
    </row>
    <row r="75" spans="2:47" ht="18" customHeight="1" thickBot="1" x14ac:dyDescent="0.3">
      <c r="B75" s="133"/>
      <c r="C75" s="170" t="str">
        <f>IFERROR(IF(C74="","",VLOOKUP(C74,LISTAS!$F$5:$G$1004,2,0)),"0")</f>
        <v>COLEGIO PETROPOLIS</v>
      </c>
      <c r="D75" s="267"/>
      <c r="E75" s="148"/>
      <c r="F75" s="101"/>
      <c r="G75" s="190"/>
      <c r="H75" s="101"/>
      <c r="I75" s="101"/>
      <c r="J75" s="101"/>
      <c r="K75" s="188"/>
      <c r="L75" s="29"/>
      <c r="M75" s="30"/>
      <c r="N75" s="30"/>
      <c r="O75" s="196"/>
      <c r="P75" s="30"/>
      <c r="Q75" s="37"/>
      <c r="R75" s="198"/>
      <c r="S75" s="37"/>
      <c r="T75" s="37"/>
      <c r="U75" s="37"/>
      <c r="V75" s="198"/>
      <c r="W75" s="37"/>
      <c r="X75" s="86"/>
      <c r="Y75" s="198"/>
      <c r="Z75" s="37"/>
      <c r="AA75" s="37"/>
      <c r="AB75" s="29"/>
      <c r="AC75" s="198"/>
      <c r="AD75" s="37"/>
      <c r="AE75" s="100"/>
      <c r="AF75" s="100"/>
      <c r="AG75" s="197"/>
      <c r="AH75" s="100"/>
      <c r="AI75" s="142"/>
      <c r="AJ75" s="267"/>
      <c r="AK75" s="170" t="str">
        <f>IFERROR(IF(AK74="","",VLOOKUP(AK74,LISTAS!$F$5:$G$1004,2,0)),"0")</f>
        <v>COLÉGIO ATENEU</v>
      </c>
      <c r="AL75" s="29"/>
      <c r="AP75" s="31">
        <f>IF(AR75&lt;&gt;"",1+COUNTIF(AP72:AP74,"1")+COUNTIF(AP72:AP74,"2")+COUNTIF(AP72:AP74,"3"),"")</f>
        <v>4</v>
      </c>
      <c r="AQ75" s="32" t="str">
        <f t="shared" si="3"/>
        <v>LUGAR</v>
      </c>
      <c r="AR75" s="111" t="str">
        <f>IF(AR73&lt;&gt;"",IF(O99=AR73,O101,IF(O101=AR73,O99,IF(Y99=AR73,Y101,IF(Y101=AR73,Y99)))),"")</f>
        <v>LUCA YUJI VOLPE FUGITA</v>
      </c>
      <c r="AS75" s="33" t="str">
        <f>IFERROR(IF(AR75="","",VLOOKUP(AR75,LISTAS!$F$5:$G$1004,2,0)),"0")</f>
        <v>COLEGIO PETROPOLIS</v>
      </c>
      <c r="AT75" s="33">
        <f t="shared" si="4"/>
        <v>140</v>
      </c>
      <c r="AU75" s="33">
        <f t="shared" si="5"/>
        <v>140</v>
      </c>
    </row>
    <row r="76" spans="2:47" ht="18" customHeight="1" x14ac:dyDescent="0.25">
      <c r="B76" s="133"/>
      <c r="C76" s="188"/>
      <c r="D76" s="29"/>
      <c r="E76" s="29"/>
      <c r="F76" s="34"/>
      <c r="G76" s="169" t="str">
        <f>IF(D72&lt;&gt;"",IF(D74&lt;&gt;"",IF(D72=D74,"",IF(D72&gt;D74,C72,C74)),""),"")</f>
        <v>Heitor Dias de Oliveira Tamayoshi</v>
      </c>
      <c r="H76" s="266">
        <v>1</v>
      </c>
      <c r="I76" s="101">
        <f>IF(H76&lt;&gt;"",H76,"")</f>
        <v>1</v>
      </c>
      <c r="J76" s="101" t="str">
        <f>IF(H76&lt;&gt;"",IF(G76="","",G76),"")</f>
        <v>Heitor Dias de Oliveira Tamayoshi</v>
      </c>
      <c r="K76" s="190">
        <f>IF(I76&lt;&gt;"",IF(I78&lt;&gt;"",SMALL(I76:J78,1),""),"")</f>
        <v>0</v>
      </c>
      <c r="L76" s="101"/>
      <c r="M76" s="101"/>
      <c r="N76" s="29"/>
      <c r="O76" s="188"/>
      <c r="P76" s="29"/>
      <c r="Q76" s="37"/>
      <c r="R76" s="198"/>
      <c r="S76" s="37"/>
      <c r="T76" s="37"/>
      <c r="U76" s="37"/>
      <c r="V76" s="198"/>
      <c r="W76" s="37"/>
      <c r="X76" s="86"/>
      <c r="Y76" s="198"/>
      <c r="Z76" s="37"/>
      <c r="AA76" s="37"/>
      <c r="AB76" s="29"/>
      <c r="AC76" s="198"/>
      <c r="AD76" s="37"/>
      <c r="AE76" s="95"/>
      <c r="AF76" s="266">
        <v>1</v>
      </c>
      <c r="AG76" s="169" t="str">
        <f>IF(AJ72&lt;&gt;"",IF(AJ74&lt;&gt;"",IF(AJ72=AJ74,"",IF(AJ72&gt;AJ74,AK72,AK74)),""),"")</f>
        <v>HEITOR DIOGENES VALARINI</v>
      </c>
      <c r="AH76" s="94"/>
      <c r="AI76" s="37"/>
      <c r="AJ76" s="29"/>
      <c r="AK76" s="188"/>
      <c r="AL76" s="29"/>
      <c r="AP76" s="31">
        <f>IF(AR76&lt;&gt;"",1+COUNTIF(AP72:AP75,"1")+COUNTIF(AP72:AP75,"2")+COUNTIF(AP72:AP75,"3")+COUNTIF(AP72:AP75,"4"),"")</f>
        <v>5</v>
      </c>
      <c r="AQ76" s="32" t="str">
        <f t="shared" si="3"/>
        <v>LUGAR</v>
      </c>
      <c r="AR76" s="111" t="str">
        <f>IF(AR72&lt;&gt;"",IF(K84=AR72,K86,IF(K86=AR72,K84,IF(K114=AR72,K116,IF(K116=AR72,K114,IF(AC84=AR72,AC86,IF(AC86=AR72,AC84,IF(AC114=AR72,AC116,IF(AC116=AR72,AC114)))))))),"")</f>
        <v>Heitor Dias de Oliveira Tamayoshi</v>
      </c>
      <c r="AS76" s="33" t="str">
        <f>IFERROR(IF(AR76="","",VLOOKUP(AR76,LISTAS!$F$5:$G$1004,2,0)),"0")</f>
        <v>ESCOLA INTERAÇÃO</v>
      </c>
      <c r="AT76" s="33">
        <f t="shared" si="4"/>
        <v>135</v>
      </c>
      <c r="AU76" s="33">
        <f t="shared" si="5"/>
        <v>135</v>
      </c>
    </row>
    <row r="77" spans="2:47" ht="18" customHeight="1" thickBot="1" x14ac:dyDescent="0.3">
      <c r="B77" s="133"/>
      <c r="C77" s="188"/>
      <c r="D77" s="29"/>
      <c r="E77" s="29"/>
      <c r="F77" s="34"/>
      <c r="G77" s="170" t="str">
        <f>IFERROR(IF(G76="","",VLOOKUP(G76,LISTAS!$F$5:$G$1004,2,0)),"0")</f>
        <v>ESCOLA INTERAÇÃO</v>
      </c>
      <c r="H77" s="267"/>
      <c r="I77" s="101"/>
      <c r="J77" s="101"/>
      <c r="K77" s="190"/>
      <c r="L77" s="101"/>
      <c r="M77" s="101"/>
      <c r="N77" s="29"/>
      <c r="O77" s="188"/>
      <c r="P77" s="29"/>
      <c r="Q77" s="37"/>
      <c r="R77" s="198"/>
      <c r="S77" s="37"/>
      <c r="T77" s="37"/>
      <c r="U77" s="37"/>
      <c r="V77" s="198"/>
      <c r="W77" s="37"/>
      <c r="X77" s="86"/>
      <c r="Y77" s="198"/>
      <c r="Z77" s="37"/>
      <c r="AA77" s="37"/>
      <c r="AB77" s="29"/>
      <c r="AC77" s="198"/>
      <c r="AD77" s="37"/>
      <c r="AE77" s="95"/>
      <c r="AF77" s="267"/>
      <c r="AG77" s="170" t="str">
        <f>IFERROR(IF(AG76="","",VLOOKUP(AG76,LISTAS!$F$5:$G$1004,2,0)),"0")</f>
        <v>COLÉGIO ATENEU</v>
      </c>
      <c r="AH77" s="94"/>
      <c r="AI77" s="37"/>
      <c r="AJ77" s="29"/>
      <c r="AK77" s="188"/>
      <c r="AL77" s="29"/>
      <c r="AP77" s="31">
        <f>IF(AR77&lt;&gt;"",1+COUNTIF(AP72:AP76,"1")+COUNTIF(AP72:AP76,"2")+COUNTIF(AP72:AP76,"3")+COUNTIF(AP72:AP76,"4")+COUNTIF(AP72:AP76,"5"),"")</f>
        <v>6</v>
      </c>
      <c r="AQ77" s="32" t="str">
        <f t="shared" si="3"/>
        <v>LUGAR</v>
      </c>
      <c r="AR77" s="111" t="str">
        <f>IF(AR73&lt;&gt;"",IF(K84=AR73,K86,IF(K86=AR73,K84,IF(K114=AR73,K116,IF(K116=AR73,K114,IF(AC84=AR73,AC86,IF(AC86=AR73,AC84,IF(AC114=AR73,AC116,IF(AC116=AR73,AC114)))))))),"")</f>
        <v>HEITOR DIOGENES VALARINI</v>
      </c>
      <c r="AS77" s="33" t="str">
        <f>IFERROR(IF(AR77="","",VLOOKUP(AR77,LISTAS!$F$5:$G$1004,2,0)),"0")</f>
        <v>COLÉGIO ATENEU</v>
      </c>
      <c r="AT77" s="33">
        <f t="shared" si="4"/>
        <v>130</v>
      </c>
      <c r="AU77" s="33">
        <f t="shared" si="5"/>
        <v>130</v>
      </c>
    </row>
    <row r="78" spans="2:47" ht="30" x14ac:dyDescent="0.25">
      <c r="B78" s="133"/>
      <c r="C78" s="188"/>
      <c r="D78" s="29"/>
      <c r="E78" s="35"/>
      <c r="F78" s="36"/>
      <c r="G78" s="169" t="str">
        <f>IF(D80&lt;&gt;"",IF(D82&lt;&gt;"",IF(D80=D82,"",IF(D80&gt;D82,C80,C82)),""),"")</f>
        <v>GABRIEL ANDRADE DE MELO</v>
      </c>
      <c r="H78" s="266">
        <v>0</v>
      </c>
      <c r="I78" s="107">
        <f>IF(H78&lt;&gt;"",H78,"")</f>
        <v>0</v>
      </c>
      <c r="J78" s="101" t="str">
        <f>IF(H78&lt;&gt;"",IF(G78="","",G78),"")</f>
        <v>GABRIEL ANDRADE DE MELO</v>
      </c>
      <c r="K78" s="190" t="str">
        <f>VLOOKUP(K76,I76:J78,2,0)</f>
        <v>GABRIEL ANDRADE DE MELO</v>
      </c>
      <c r="L78" s="101"/>
      <c r="M78" s="101"/>
      <c r="N78" s="29"/>
      <c r="O78" s="188"/>
      <c r="P78" s="29"/>
      <c r="Q78" s="37"/>
      <c r="R78" s="198"/>
      <c r="S78" s="37"/>
      <c r="T78" s="37"/>
      <c r="U78" s="37"/>
      <c r="V78" s="198"/>
      <c r="W78" s="37"/>
      <c r="X78" s="86"/>
      <c r="Y78" s="198"/>
      <c r="Z78" s="37"/>
      <c r="AA78" s="37"/>
      <c r="AB78" s="29"/>
      <c r="AC78" s="198"/>
      <c r="AD78" s="94"/>
      <c r="AE78" s="96"/>
      <c r="AF78" s="266">
        <v>0</v>
      </c>
      <c r="AG78" s="169" t="str">
        <f>IF(AJ80&lt;&gt;"",IF(AJ82&lt;&gt;"",IF(AJ80=AJ82,"",IF(AJ80&gt;AJ82,AK80,AK82)),""),"")</f>
        <v>RAFAEL PIETTA COSTA</v>
      </c>
      <c r="AH78" s="98"/>
      <c r="AI78" s="37"/>
      <c r="AJ78" s="29"/>
      <c r="AK78" s="188"/>
      <c r="AL78" s="29"/>
      <c r="AP78" s="31">
        <f>IF(AR78&lt;&gt;"",1+COUNTIF(AP72:AP77,"1")+COUNTIF(AP72:AP77,"2")+COUNTIF(AP72:AP77,"3")+COUNTIF(AP72:AP77,"4")+COUNTIF(AP72:AP77,"5")+COUNTIF(AP72:AP77,"6"),"")</f>
        <v>7</v>
      </c>
      <c r="AQ78" s="32" t="str">
        <f t="shared" si="3"/>
        <v>LUGAR</v>
      </c>
      <c r="AR78" s="111" t="str">
        <f>IF(AR74&lt;&gt;"",IF(K84=AR74,K86,IF(K86=AR74,K84,IF(K114=AR74,K116,IF(K116=AR74,K114,IF(AC84=AR74,AC86,IF(AC86=AR74,AC84,IF(AC114=AR74,AC116,IF(AC116=AR74,AC114)))))))),"")</f>
        <v>DANIEL QUADRINI AROCA</v>
      </c>
      <c r="AS78" s="33" t="str">
        <f>IFERROR(IF(AR78="","",VLOOKUP(AR78,LISTAS!$F$5:$G$1004,2,0)),"0")</f>
        <v>COLÉGIO SÃO JOSÉ</v>
      </c>
      <c r="AT78" s="33">
        <f t="shared" si="4"/>
        <v>120</v>
      </c>
      <c r="AU78" s="33">
        <f t="shared" si="5"/>
        <v>120</v>
      </c>
    </row>
    <row r="79" spans="2:47" ht="45.75" thickBot="1" x14ac:dyDescent="0.3">
      <c r="B79" s="133"/>
      <c r="C79" s="188"/>
      <c r="D79" s="29"/>
      <c r="E79" s="35"/>
      <c r="F79" s="29"/>
      <c r="G79" s="170" t="str">
        <f>IFERROR(IF(G78="","",VLOOKUP(G78,LISTAS!$F$5:$G$1004,2,0)),"0")</f>
        <v>COLÉGIO ARBOS - UNIDADE SANTO ANDRÉ</v>
      </c>
      <c r="H79" s="267"/>
      <c r="I79" s="138"/>
      <c r="J79" s="101"/>
      <c r="K79" s="190"/>
      <c r="L79" s="101"/>
      <c r="M79" s="101"/>
      <c r="N79" s="29"/>
      <c r="O79" s="188"/>
      <c r="P79" s="29"/>
      <c r="Q79" s="37"/>
      <c r="R79" s="198"/>
      <c r="S79" s="37"/>
      <c r="T79" s="37"/>
      <c r="U79" s="37"/>
      <c r="V79" s="198"/>
      <c r="W79" s="37"/>
      <c r="X79" s="86"/>
      <c r="Y79" s="198"/>
      <c r="Z79" s="37"/>
      <c r="AA79" s="37"/>
      <c r="AB79" s="29"/>
      <c r="AC79" s="198"/>
      <c r="AD79" s="94"/>
      <c r="AE79" s="37"/>
      <c r="AF79" s="267"/>
      <c r="AG79" s="170" t="str">
        <f>IFERROR(IF(AG78="","",VLOOKUP(AG78,LISTAS!$F$5:$G$1004,2,0)),"0")</f>
        <v>COLÉGIO ARBOS DE SÃO BERNARDO DO CAMPO</v>
      </c>
      <c r="AH79" s="37"/>
      <c r="AI79" s="89"/>
      <c r="AJ79" s="29"/>
      <c r="AK79" s="188"/>
      <c r="AL79" s="29"/>
      <c r="AP79" s="31">
        <f>IF(AR79&lt;&gt;"",1+COUNTIF(AP72:AP78,"1")+COUNTIF(AP72:AP78,"2")+COUNTIF(AP72:AP78,"3")+COUNTIF(AP72:AP78,"4")+COUNTIF(AP72:AP78,"5")+COUNTIF(AP72:AP78,"6")+COUNTIF(AP72:AP78,"7"),"")</f>
        <v>8</v>
      </c>
      <c r="AQ79" s="32" t="str">
        <f t="shared" si="3"/>
        <v>LUGAR</v>
      </c>
      <c r="AR79" s="111" t="str">
        <f>IF(AR75&lt;&gt;"",IF(K84=AR75,K86,IF(K86=AR75,K84,IF(K114=AR75,K116,IF(K116=AR75,K114,IF(AC84=AR75,AC86,IF(AC86=AR75,AC84,IF(AC114=AR75,AC116,IF(AC116=AR75,AC114)))))))),"")</f>
        <v>MATHEUS SILVA PINTO</v>
      </c>
      <c r="AS79" s="33" t="str">
        <f>IFERROR(IF(AR79="","",VLOOKUP(AR79,LISTAS!$F$5:$G$1004,2,0)),"0")</f>
        <v>LICEU JARDIM</v>
      </c>
      <c r="AT79" s="33">
        <f t="shared" si="4"/>
        <v>110</v>
      </c>
      <c r="AU79" s="33">
        <f t="shared" si="5"/>
        <v>110</v>
      </c>
    </row>
    <row r="80" spans="2:47" ht="18" customHeight="1" x14ac:dyDescent="0.25">
      <c r="B80" s="133">
        <v>17</v>
      </c>
      <c r="C80" s="33" t="s">
        <v>257</v>
      </c>
      <c r="D80" s="266">
        <v>1</v>
      </c>
      <c r="E80" s="148">
        <f>IF(D80&lt;&gt;"",D80,"")</f>
        <v>1</v>
      </c>
      <c r="F80" s="101" t="str">
        <f>IF(D80&lt;&gt;"",IF(C80="","",C80),"")</f>
        <v>GABRIEL ANDRADE DE MELO</v>
      </c>
      <c r="G80" s="190">
        <f>IF(E80&lt;&gt;"",IF(E82&lt;&gt;"",SMALL(E80:E82,1),""),"")</f>
        <v>0</v>
      </c>
      <c r="H80" s="101"/>
      <c r="I80" s="138"/>
      <c r="J80" s="101"/>
      <c r="K80" s="190"/>
      <c r="L80" s="101"/>
      <c r="M80" s="101"/>
      <c r="N80" s="29"/>
      <c r="O80" s="188"/>
      <c r="P80" s="29"/>
      <c r="Q80" s="37"/>
      <c r="R80" s="198"/>
      <c r="S80" s="37"/>
      <c r="T80" s="37"/>
      <c r="U80" s="37"/>
      <c r="V80" s="198"/>
      <c r="W80" s="37"/>
      <c r="X80" s="86"/>
      <c r="Y80" s="198"/>
      <c r="Z80" s="37"/>
      <c r="AA80" s="37"/>
      <c r="AB80" s="29"/>
      <c r="AC80" s="198"/>
      <c r="AD80" s="146"/>
      <c r="AE80" s="100"/>
      <c r="AF80" s="100"/>
      <c r="AG80" s="197">
        <f>IF(AJ80&lt;&gt;"",AJ80,"")</f>
        <v>1</v>
      </c>
      <c r="AH80" s="100" t="str">
        <f>IF(AJ80&lt;&gt;"",IF(AK80="","",AK80),"")</f>
        <v>RAFAEL PIETTA COSTA</v>
      </c>
      <c r="AI80" s="137">
        <f>IF(AG80&lt;&gt;"",IF(AG82&lt;&gt;"",SMALL(AG80:AG82,1),""),"")</f>
        <v>0</v>
      </c>
      <c r="AJ80" s="266">
        <v>1</v>
      </c>
      <c r="AK80" s="169" t="str">
        <f>IF('11M GRP'!G5&gt;=3,'11M GRP'!J191,IF('11M GRP'!G5=2,"",IF('11M GRP'!G5=1,"","")))</f>
        <v>RAFAEL PIETTA COSTA</v>
      </c>
      <c r="AL80" s="29">
        <v>14</v>
      </c>
      <c r="AP80" s="31">
        <f>IF(AR80&lt;&gt;"",1+COUNTIF(AP72:AP79,"1")+COUNTIF(AP72:AP79,"2")+COUNTIF(AP72:AP79,"3")+COUNTIF(AP72:AP79,"4")+COUNTIF(AP72:AP79,"5")+COUNTIF(AP72:AP79,"6")+COUNTIF(AP72:AP79,"7")+COUNTIF(AP72:AP79,"8"),"")</f>
        <v>9</v>
      </c>
      <c r="AQ80" s="32" t="str">
        <f t="shared" si="3"/>
        <v>LUGAR</v>
      </c>
      <c r="AR80" s="111" t="str">
        <f>IF(AR72&lt;&gt;"",IF(G76=AR72,G78,IF(G78=AR72,G76,IF(G92=AR72,G94,IF(G94=AR72,G92,IF(AG76=AR72,AG78,IF(AG78=AR72,AG76,IF(AG92=AR72,AG94,IF(AG94=AR72,AG92,IF(G106=AR72,G108,IF(G108=AR72,G106,IF(G122=AR72,G124,IF(G124=AR72,G122,IF(AG106=AR72,AG108,IF(AG108=AR72,AG106,IF(AG122=AR72,AG124,IF(AG124=AR72,AG122)))))))))))))))),"")</f>
        <v>LUCCA MAFRA THEODORO</v>
      </c>
      <c r="AS80" s="33" t="str">
        <f>IFERROR(IF(AR80="","",VLOOKUP(AR80,LISTAS!$F$5:$G$1004,2,0)),"0")</f>
        <v>ESCOLA VILLARE</v>
      </c>
      <c r="AT80" s="33">
        <f t="shared" si="4"/>
        <v>105</v>
      </c>
      <c r="AU80" s="33">
        <f t="shared" si="5"/>
        <v>105</v>
      </c>
    </row>
    <row r="81" spans="2:47" ht="18" customHeight="1" thickBot="1" x14ac:dyDescent="0.3">
      <c r="B81" s="133"/>
      <c r="C81" s="170" t="str">
        <f>IFERROR(IF(C80="","",VLOOKUP(C80,LISTAS!$F$5:$G$1004,2,0)),"0")</f>
        <v>COLÉGIO ARBOS - UNIDADE SANTO ANDRÉ</v>
      </c>
      <c r="D81" s="267"/>
      <c r="E81" s="105"/>
      <c r="F81" s="101"/>
      <c r="G81" s="190"/>
      <c r="H81" s="101"/>
      <c r="I81" s="138"/>
      <c r="J81" s="29"/>
      <c r="K81" s="188"/>
      <c r="L81" s="29"/>
      <c r="M81" s="29"/>
      <c r="N81" s="29"/>
      <c r="O81" s="188"/>
      <c r="P81" s="29"/>
      <c r="Q81" s="37"/>
      <c r="R81" s="198"/>
      <c r="S81" s="37"/>
      <c r="T81" s="37"/>
      <c r="U81" s="37"/>
      <c r="V81" s="198"/>
      <c r="W81" s="37"/>
      <c r="X81" s="86"/>
      <c r="Y81" s="198"/>
      <c r="Z81" s="37"/>
      <c r="AA81" s="37"/>
      <c r="AB81" s="29"/>
      <c r="AC81" s="198"/>
      <c r="AD81" s="146"/>
      <c r="AE81" s="100"/>
      <c r="AF81" s="100"/>
      <c r="AG81" s="197"/>
      <c r="AH81" s="100"/>
      <c r="AI81" s="143">
        <v>0</v>
      </c>
      <c r="AJ81" s="267"/>
      <c r="AK81" s="170" t="str">
        <f>IFERROR(IF(AK80="","",VLOOKUP(AK80,LISTAS!$F$5:$G$1004,2,0)),"0")</f>
        <v>COLÉGIO ARBOS DE SÃO BERNARDO DO CAMPO</v>
      </c>
      <c r="AL81" s="29"/>
      <c r="AP81" s="31">
        <f>IF(AR81&lt;&gt;"",1+COUNTIF(AP72:AP80,"1")+COUNTIF(AP72:AP80,"2")+COUNTIF(AP72:AP80,"3")+COUNTIF(AP72:AP80,"4")+COUNTIF(AP72:AP80,"5")+COUNTIF(AP72:AP80,"6")+COUNTIF(AP72:AP80,"7")+COUNTIF(AP72:AP80,"8")+COUNTIF(AP72:AP80,"9"),"")</f>
        <v>10</v>
      </c>
      <c r="AQ81" s="32" t="str">
        <f t="shared" si="3"/>
        <v>LUGAR</v>
      </c>
      <c r="AR81" s="111" t="str">
        <f>IF(AR73&lt;&gt;"",IF(G76=AR73,G78,IF(G78=AR73,G76,IF(G92=AR73,G94,IF(G94=AR73,G92,IF(AG76=AR73,AG78,IF(AG78=AR73,AG76,IF(AG92=AR73,AG94,IF(AG94=AR73,AG92,IF(G106=AR73,G108,IF(G108=AR73,G106,IF(G122=AR73,G124,IF(G124=AR73,G122,IF(AG106=AR73,AG108,IF(AG108=AR73,AG106,IF(AG122=AR73,AG124,IF(AG124=AR73,AG122)))))))))))))))),"")</f>
        <v>GHAEL DOS SANTOS PERES</v>
      </c>
      <c r="AS81" s="33" t="str">
        <f>IFERROR(IF(AR81="","",VLOOKUP(AR81,LISTAS!$F$5:$G$1004,2,0)),"0")</f>
        <v>COLÉGIO ARBOS - UNIDADE SANTO ANDRÉ</v>
      </c>
      <c r="AT81" s="33">
        <f t="shared" si="4"/>
        <v>105</v>
      </c>
      <c r="AU81" s="33">
        <f t="shared" si="5"/>
        <v>105</v>
      </c>
    </row>
    <row r="82" spans="2:47" ht="18" customHeight="1" x14ac:dyDescent="0.25">
      <c r="B82" s="133">
        <v>16</v>
      </c>
      <c r="C82" s="169" t="str">
        <f>IF('11M GRP'!G5&gt;=3,'11M GRP'!J217,IF('11M GRP'!G5=2,"",IF('11M GRP'!G5=1,"","")))</f>
        <v>THEO GUEDES RIBEIRO</v>
      </c>
      <c r="D82" s="266">
        <v>0</v>
      </c>
      <c r="E82" s="106">
        <f>IF(D82&lt;&gt;"",D82,"")</f>
        <v>0</v>
      </c>
      <c r="F82" s="101" t="str">
        <f>IF(D82&lt;&gt;"",IF(C82="","",C82),"")</f>
        <v>THEO GUEDES RIBEIRO</v>
      </c>
      <c r="G82" s="190" t="str">
        <f>VLOOKUP(G80,E80:F82,2,0)</f>
        <v>THEO GUEDES RIBEIRO</v>
      </c>
      <c r="H82" s="101"/>
      <c r="I82" s="138"/>
      <c r="J82" s="29"/>
      <c r="K82" s="188"/>
      <c r="L82" s="29"/>
      <c r="M82" s="29"/>
      <c r="N82" s="29"/>
      <c r="O82" s="188"/>
      <c r="P82" s="29"/>
      <c r="Q82" s="37"/>
      <c r="R82" s="198"/>
      <c r="S82" s="37"/>
      <c r="T82" s="37"/>
      <c r="U82" s="37"/>
      <c r="V82" s="198"/>
      <c r="W82" s="37"/>
      <c r="X82" s="86"/>
      <c r="Y82" s="198"/>
      <c r="Z82" s="37"/>
      <c r="AA82" s="37"/>
      <c r="AB82" s="29"/>
      <c r="AC82" s="198"/>
      <c r="AD82" s="146"/>
      <c r="AE82" s="100"/>
      <c r="AF82" s="100"/>
      <c r="AG82" s="197">
        <f>IF(AJ82&lt;&gt;"",AJ82,"")</f>
        <v>0</v>
      </c>
      <c r="AH82" s="100" t="str">
        <f>IF(AJ82&lt;&gt;"",IF(AK82="","",AK82),"")</f>
        <v>Lorenzo Segalla Gama</v>
      </c>
      <c r="AI82" s="104" t="str">
        <f>VLOOKUP(AI80,AG80:AH82,2,0)</f>
        <v>Lorenzo Segalla Gama</v>
      </c>
      <c r="AJ82" s="266">
        <v>0</v>
      </c>
      <c r="AK82" s="33" t="s">
        <v>632</v>
      </c>
      <c r="AL82" s="29">
        <v>19</v>
      </c>
      <c r="AP82" s="31">
        <f>IF(AR82&lt;&gt;"",1+COUNTIF(AP72:AP81,"1")+COUNTIF(AP72:AP81,"2")+COUNTIF(AP72:AP81,"3")+COUNTIF(AP72:AP81,"4")+COUNTIF(AP72:AP81,"5")+COUNTIF(AP72:AP81,"6")+COUNTIF(AP72:AP81,"7")+COUNTIF(AP72:AP81,"8")+COUNTIF(AP72:AP81,"9")+COUNTIF(AP72:AP81,"10"),"")</f>
        <v>11</v>
      </c>
      <c r="AQ82" s="32" t="str">
        <f t="shared" si="3"/>
        <v>LUGAR</v>
      </c>
      <c r="AR82" s="111" t="str">
        <f>IF(AR74&lt;&gt;"",IF(G76=AR74,G78,IF(G78=AR74,G76,IF(G92=AR74,G94,IF(G94=AR74,G92,IF(AG76=AR74,AG78,IF(AG78=AR74,AG76,IF(AG92=AR74,AG94,IF(AG94=AR74,AG92,IF(G106=AR74,G108,IF(G108=AR74,G106,IF(G122=AR74,G124,IF(G124=AR74,G122,IF(AG106=AR74,AG108,IF(AG108=AR74,AG106,IF(AG122=AR74,AG124,IF(AG124=AR74,AG122)))))))))))))))),"")</f>
        <v>GAEL EGAMI</v>
      </c>
      <c r="AS82" s="33" t="str">
        <f>IFERROR(IF(AR82="","",VLOOKUP(AR82,LISTAS!$F$5:$G$1004,2,0)),"0")</f>
        <v>COLÉGIO ARBOS DE SÃO BERNARDO DO CAMPO</v>
      </c>
      <c r="AT82" s="33">
        <f t="shared" si="4"/>
        <v>105</v>
      </c>
      <c r="AU82" s="33">
        <f t="shared" si="5"/>
        <v>105</v>
      </c>
    </row>
    <row r="83" spans="2:47" ht="18" customHeight="1" thickBot="1" x14ac:dyDescent="0.3">
      <c r="B83" s="133"/>
      <c r="C83" s="170" t="str">
        <f>IFERROR(IF(C82="","",VLOOKUP(C82,LISTAS!$F$5:$G$1004,2,0)),"0")</f>
        <v>EXTERNATO SANTO ANTONIO</v>
      </c>
      <c r="D83" s="267"/>
      <c r="E83" s="101"/>
      <c r="F83" s="101"/>
      <c r="G83" s="190"/>
      <c r="H83" s="101"/>
      <c r="I83" s="138"/>
      <c r="J83" s="29"/>
      <c r="K83" s="188"/>
      <c r="L83" s="29"/>
      <c r="M83" s="29"/>
      <c r="N83" s="29"/>
      <c r="O83" s="188"/>
      <c r="P83" s="29"/>
      <c r="Q83" s="37"/>
      <c r="R83" s="198"/>
      <c r="S83" s="37"/>
      <c r="T83" s="37"/>
      <c r="U83" s="37"/>
      <c r="V83" s="198"/>
      <c r="W83" s="37"/>
      <c r="X83" s="86"/>
      <c r="Y83" s="198"/>
      <c r="Z83" s="37"/>
      <c r="AA83" s="37"/>
      <c r="AB83" s="29"/>
      <c r="AC83" s="198"/>
      <c r="AD83" s="146"/>
      <c r="AE83" s="100"/>
      <c r="AF83" s="100"/>
      <c r="AG83" s="197"/>
      <c r="AH83" s="100"/>
      <c r="AI83" s="101"/>
      <c r="AJ83" s="267"/>
      <c r="AK83" s="170" t="str">
        <f>IFERROR(IF(AK82="","",VLOOKUP(AK82,LISTAS!$F$5:$G$1004,2,0)),"0")</f>
        <v>ESCOLA INTERAÇÃO</v>
      </c>
      <c r="AL83" s="29"/>
      <c r="AP83" s="31">
        <f>IF(AR83&lt;&gt;"",1+COUNTIF(AP72:AP82,"1")+COUNTIF(AP72:AP82,"2")+COUNTIF(AP72:AP82,"3")+COUNTIF(AP72:AP82,"4")+COUNTIF(AP72:AP82,"5")+COUNTIF(AP72:AP82,"6")+COUNTIF(AP72:AP82,"7")+COUNTIF(AP72:AP82,"8")+COUNTIF(AP72:AP82,"9")+COUNTIF(AP72:AP82,"10")+COUNTIF(AP72:AP82,"11"),"")</f>
        <v>12</v>
      </c>
      <c r="AQ83" s="32" t="str">
        <f t="shared" si="3"/>
        <v>LUGAR</v>
      </c>
      <c r="AR83" s="111" t="str">
        <f>IF(AR75&lt;&gt;"",IF(G76=AR75,G78,IF(G78=AR75,G76,IF(G92=AR75,G94,IF(G94=AR75,G92,IF(AG76=AR75,AG78,IF(AG78=AR75,AG76,IF(AG92=AR75,AG94,IF(AG94=AR75,AG92,IF(G106=AR75,G108,IF(G108=AR75,G106,IF(G122=AR75,G124,IF(G124=AR75,G122,IF(AG106=AR75,AG108,IF(AG108=AR75,AG106,IF(AG122=AR75,AG124,IF(AG124=AR75,AG122)))))))))))))))),"")</f>
        <v>VINICIUS MUNHOS DEL CISTIA</v>
      </c>
      <c r="AS83" s="33" t="str">
        <f>IFERROR(IF(AR83="","",VLOOKUP(AR83,LISTAS!$F$5:$G$1004,2,0)),"0")</f>
        <v>EDUCANDÁRIO - S.A</v>
      </c>
      <c r="AT83" s="33">
        <f t="shared" si="4"/>
        <v>105</v>
      </c>
      <c r="AU83" s="33">
        <f t="shared" si="5"/>
        <v>105</v>
      </c>
    </row>
    <row r="84" spans="2:47" ht="18" customHeight="1" x14ac:dyDescent="0.25">
      <c r="B84" s="133"/>
      <c r="C84" s="188"/>
      <c r="D84" s="29"/>
      <c r="E84" s="29"/>
      <c r="F84" s="29"/>
      <c r="G84" s="188"/>
      <c r="H84" s="29"/>
      <c r="I84" s="35"/>
      <c r="J84" s="29"/>
      <c r="K84" s="169" t="str">
        <f>IF(H76&lt;&gt;"",IF(H78&lt;&gt;"",IF(H76=H78,"",IF(H76&gt;H78,G76,G78)),""),"")</f>
        <v>Heitor Dias de Oliveira Tamayoshi</v>
      </c>
      <c r="L84" s="266">
        <v>0</v>
      </c>
      <c r="M84" s="101">
        <f>IF(L84&lt;&gt;"",L84,"")</f>
        <v>0</v>
      </c>
      <c r="N84" s="101" t="str">
        <f>IF(L84&lt;&gt;"",IF(K84="","",K84),"")</f>
        <v>Heitor Dias de Oliveira Tamayoshi</v>
      </c>
      <c r="O84" s="190">
        <f>IF(M84&lt;&gt;"",IF(M86&lt;&gt;"",SMALL(M84:N86,1),""),"")</f>
        <v>0</v>
      </c>
      <c r="P84" s="101"/>
      <c r="Q84" s="37"/>
      <c r="R84" s="272" t="s">
        <v>88</v>
      </c>
      <c r="S84" s="273"/>
      <c r="T84" s="273"/>
      <c r="U84" s="273"/>
      <c r="V84" s="273"/>
      <c r="W84" s="37"/>
      <c r="X84" s="86"/>
      <c r="Y84" s="198"/>
      <c r="Z84" s="37"/>
      <c r="AA84" s="37"/>
      <c r="AB84" s="266">
        <v>0</v>
      </c>
      <c r="AC84" s="169" t="str">
        <f>IF(AF76&lt;&gt;"",IF(AF78&lt;&gt;"",IF(AF76=AF78,"",IF(AF76&gt;AF78,AG76,AG78)),""),"")</f>
        <v>HEITOR DIOGENES VALARINI</v>
      </c>
      <c r="AD84" s="147"/>
      <c r="AE84" s="100"/>
      <c r="AF84" s="100"/>
      <c r="AG84" s="197"/>
      <c r="AH84" s="100"/>
      <c r="AI84" s="100"/>
      <c r="AJ84" s="29"/>
      <c r="AK84" s="188"/>
      <c r="AL84" s="29"/>
      <c r="AP84" s="31">
        <f>IF(AR84&lt;&gt;"",1+COUNTIF(AP72:AP83,"1")+COUNTIF(AP72:AP83,"2")+COUNTIF(AP72:AP83,"3")+COUNTIF(AP72:AP83,"4")+COUNTIF(AP72:AP83,"5")+COUNTIF(AP72:AP83,"6")+COUNTIF(AP72:AP83,"7")+COUNTIF(AP72:AP83,"8")+COUNTIF(AP72:AP83,"9")+COUNTIF(AP72:AP83,"10")+COUNTIF(AP72:AP83,"11")+COUNTIF(AP72:AP83,"12"),"")</f>
        <v>13</v>
      </c>
      <c r="AQ84" s="32" t="str">
        <f t="shared" si="3"/>
        <v>LUGAR</v>
      </c>
      <c r="AR84" s="111" t="str">
        <f>IF(AR76&lt;&gt;"",IF(G76=AR76,G78,IF(G78=AR76,G76,IF(G92=AR76,G94,IF(G94=AR76,G92,IF(AG76=AR76,AG78,IF(AG78=AR76,AG76,IF(AG92=AR76,AG94,IF(AG94=AR76,AG92,IF(G106=AR76,G108,IF(G108=AR76,G106,IF(G122=AR76,G124,IF(G124=AR76,G122,IF(AG106=AR76,AG108,IF(AG108=AR76,AG106,IF(AG122=AR76,AG124,IF(AG124=AR76,AG122)))))))))))))))),"")</f>
        <v>GABRIEL ANDRADE DE MELO</v>
      </c>
      <c r="AS84" s="33" t="str">
        <f>IFERROR(IF(AR84="","",VLOOKUP(AR84,LISTAS!$F$5:$G$1004,2,0)),"0")</f>
        <v>COLÉGIO ARBOS - UNIDADE SANTO ANDRÉ</v>
      </c>
      <c r="AT84" s="33">
        <f t="shared" si="4"/>
        <v>105</v>
      </c>
      <c r="AU84" s="33">
        <f t="shared" si="5"/>
        <v>105</v>
      </c>
    </row>
    <row r="85" spans="2:47" ht="18" customHeight="1" thickBot="1" x14ac:dyDescent="0.3">
      <c r="B85" s="133"/>
      <c r="C85" s="188"/>
      <c r="D85" s="29"/>
      <c r="E85" s="29"/>
      <c r="F85" s="29"/>
      <c r="G85" s="188"/>
      <c r="H85" s="29"/>
      <c r="I85" s="35"/>
      <c r="J85" s="29"/>
      <c r="K85" s="170" t="str">
        <f>IFERROR(IF(K84="","",VLOOKUP(K84,LISTAS!$F$5:$G$1004,2,0)),"0")</f>
        <v>ESCOLA INTERAÇÃO</v>
      </c>
      <c r="L85" s="267"/>
      <c r="M85" s="101"/>
      <c r="N85" s="101"/>
      <c r="O85" s="190"/>
      <c r="P85" s="101"/>
      <c r="Q85" s="37"/>
      <c r="R85" s="272" t="s">
        <v>24</v>
      </c>
      <c r="S85" s="273"/>
      <c r="T85" s="273"/>
      <c r="U85" s="273"/>
      <c r="V85" s="273"/>
      <c r="W85" s="37"/>
      <c r="X85" s="86"/>
      <c r="Y85" s="198"/>
      <c r="Z85" s="37"/>
      <c r="AA85" s="37"/>
      <c r="AB85" s="267"/>
      <c r="AC85" s="170" t="str">
        <f>IFERROR(IF(AC84="","",VLOOKUP(AC84,LISTAS!$F$5:$G$1004,2,0)),"0")</f>
        <v>COLÉGIO ATENEU</v>
      </c>
      <c r="AD85" s="37"/>
      <c r="AE85" s="89"/>
      <c r="AF85" s="37"/>
      <c r="AG85" s="198"/>
      <c r="AH85" s="37"/>
      <c r="AI85" s="37"/>
      <c r="AJ85" s="29"/>
      <c r="AK85" s="188"/>
      <c r="AL85" s="29"/>
      <c r="AP85" s="31">
        <f>IF(AR85&lt;&gt;"",1+COUNTIF(AP72:AP84,"1")+COUNTIF(AP72:AP84,"2")+COUNTIF(AP72:AP84,"3")+COUNTIF(AP72:AP84,"4")+COUNTIF(AP72:AP84,"5")+COUNTIF(AP72:AP84,"6")+COUNTIF(AP72:AP84,"7")+COUNTIF(AP72:AP84,"8")+COUNTIF(AP72:AP84,"9")+COUNTIF(AP72:AP84,"10")+COUNTIF(AP72:AP84,"11")+COUNTIF(AP72:AP84,"12")+COUNTIF(AP72:AP84,"13"),"")</f>
        <v>14</v>
      </c>
      <c r="AQ85" s="32" t="str">
        <f t="shared" si="3"/>
        <v>LUGAR</v>
      </c>
      <c r="AR85" s="111" t="str">
        <f>IF(AR77&lt;&gt;"",IF(G76=AR77,G78,IF(G78=AR77,G76,IF(G92=AR77,G94,IF(G94=AR77,G92,IF(AG76=AR77,AG78,IF(AG78=AR77,AG76,IF(AG92=AR77,AG94,IF(AG94=AR77,AG92,IF(G106=AR77,G108,IF(G108=AR77,G106,IF(G122=AR77,G124,IF(G124=AR77,G122,IF(AG106=AR77,AG108,IF(AG108=AR77,AG106,IF(AG122=AR77,AG124,IF(AG124=AR77,AG122)))))))))))))))),"")</f>
        <v>RAFAEL PIETTA COSTA</v>
      </c>
      <c r="AS85" s="33" t="str">
        <f>IFERROR(IF(AR85="","",VLOOKUP(AR85,LISTAS!$F$5:$G$1004,2,0)),"0")</f>
        <v>COLÉGIO ARBOS DE SÃO BERNARDO DO CAMPO</v>
      </c>
      <c r="AT85" s="33">
        <f t="shared" si="4"/>
        <v>105</v>
      </c>
      <c r="AU85" s="33">
        <f t="shared" si="5"/>
        <v>105</v>
      </c>
    </row>
    <row r="86" spans="2:47" ht="18" customHeight="1" x14ac:dyDescent="0.25">
      <c r="B86" s="133"/>
      <c r="C86" s="188"/>
      <c r="D86" s="29"/>
      <c r="E86" s="29"/>
      <c r="F86" s="29"/>
      <c r="G86" s="188"/>
      <c r="H86" s="29"/>
      <c r="I86" s="35"/>
      <c r="J86" s="36"/>
      <c r="K86" s="169" t="str">
        <f>IF(H92&lt;&gt;"",IF(H94&lt;&gt;"",IF(H92=H94,"",IF(H92&gt;H94,G92,G94)),""),"")</f>
        <v>BERNARDO HISSA DOS SANTOS</v>
      </c>
      <c r="L86" s="266">
        <v>1</v>
      </c>
      <c r="M86" s="107">
        <f>IF(L86&lt;&gt;"",L86,"")</f>
        <v>1</v>
      </c>
      <c r="N86" s="101" t="str">
        <f>IF(L86&lt;&gt;"",IF(K86="","",K86),"")</f>
        <v>BERNARDO HISSA DOS SANTOS</v>
      </c>
      <c r="O86" s="190" t="str">
        <f>VLOOKUP(O84,M84:N86,2,0)</f>
        <v>Heitor Dias de Oliveira Tamayoshi</v>
      </c>
      <c r="P86" s="101"/>
      <c r="Q86" s="37"/>
      <c r="R86" s="198"/>
      <c r="S86" s="37"/>
      <c r="T86" s="37"/>
      <c r="U86" s="37"/>
      <c r="V86" s="198"/>
      <c r="W86" s="37"/>
      <c r="X86" s="86"/>
      <c r="Y86" s="198"/>
      <c r="Z86" s="94"/>
      <c r="AA86" s="96"/>
      <c r="AB86" s="266">
        <v>1</v>
      </c>
      <c r="AC86" s="169" t="str">
        <f>IF(AF92&lt;&gt;"",IF(AF94&lt;&gt;"",IF(AF92=AF94,"",IF(AF92&gt;AF94,AG92,AG94)),""),"")</f>
        <v>HEITOR SOARES CAVALCANTE</v>
      </c>
      <c r="AD86" s="37"/>
      <c r="AE86" s="89"/>
      <c r="AF86" s="37"/>
      <c r="AG86" s="198"/>
      <c r="AH86" s="37"/>
      <c r="AI86" s="37"/>
      <c r="AJ86" s="29"/>
      <c r="AK86" s="188"/>
      <c r="AL86" s="29"/>
      <c r="AP86" s="31">
        <f>IF(AR86&lt;&gt;"",1+COUNTIF(AP72:AP85,"1")+COUNTIF(AP72:AP85,"2")+COUNTIF(AP72:AP85,"3")+COUNTIF(AP72:AP85,"4")+COUNTIF(AP72:AP85,"5")+COUNTIF(AP72:AP85,"6")+COUNTIF(AP72:AP85,"7")+COUNTIF(AP72:AP85,"8")+COUNTIF(AP72:AP85,"9")+COUNTIF(AP72:AP85,"10")+COUNTIF(AP72:AP85,"11")+COUNTIF(AP72:AP85,"12")+COUNTIF(AP72:AP85,"13")+COUNTIF(AP72:AP85,"14"),"")</f>
        <v>15</v>
      </c>
      <c r="AQ86" s="32" t="str">
        <f t="shared" si="3"/>
        <v>LUGAR</v>
      </c>
      <c r="AR86" s="111" t="str">
        <f>IF(AR78&lt;&gt;"",IF(G76=AR78,G78,IF(G78=AR78,G76,IF(G92=AR78,G94,IF(G94=AR78,G92,IF(AG76=AR78,AG78,IF(AG78=AR78,AG76,IF(AG92=AR78,AG94,IF(AG94=AR78,AG92,IF(G106=AR78,G108,IF(G108=AR78,G106,IF(G122=AR78,G124,IF(G124=AR78,G122,IF(AG106=AR78,AG108,IF(AG108=AR78,AG106,IF(AG122=AR78,AG124,IF(AG124=AR78,AG122)))))))))))))))),"")</f>
        <v>IURI WAHHAB OKINO</v>
      </c>
      <c r="AS86" s="33" t="str">
        <f>IFERROR(IF(AR86="","",VLOOKUP(AR86,LISTAS!$F$5:$G$1004,2,0)),"0")</f>
        <v>COLÉGIO ARBOS SÃO CAETANO DO SUL</v>
      </c>
      <c r="AT86" s="33">
        <f t="shared" si="4"/>
        <v>105</v>
      </c>
      <c r="AU86" s="33">
        <f t="shared" si="5"/>
        <v>105</v>
      </c>
    </row>
    <row r="87" spans="2:47" ht="18" customHeight="1" thickBot="1" x14ac:dyDescent="0.3">
      <c r="B87" s="133"/>
      <c r="C87" s="188"/>
      <c r="D87" s="29"/>
      <c r="E87" s="29"/>
      <c r="F87" s="29"/>
      <c r="G87" s="188"/>
      <c r="H87" s="29"/>
      <c r="I87" s="35"/>
      <c r="J87" s="29"/>
      <c r="K87" s="170" t="str">
        <f>IFERROR(IF(K86="","",VLOOKUP(K86,LISTAS!$F$5:$G$1004,2,0)),"0")</f>
        <v>ABACO IPIRANGA</v>
      </c>
      <c r="L87" s="267"/>
      <c r="M87" s="138"/>
      <c r="N87" s="101"/>
      <c r="O87" s="190"/>
      <c r="P87" s="101"/>
      <c r="Q87" s="37"/>
      <c r="R87" s="198"/>
      <c r="S87" s="37"/>
      <c r="T87" s="37"/>
      <c r="U87" s="37"/>
      <c r="V87" s="198"/>
      <c r="W87" s="37"/>
      <c r="X87" s="86"/>
      <c r="Y87" s="198"/>
      <c r="Z87" s="94"/>
      <c r="AA87" s="37"/>
      <c r="AB87" s="267"/>
      <c r="AC87" s="170" t="str">
        <f>IFERROR(IF(AC86="","",VLOOKUP(AC86,LISTAS!$F$5:$G$1004,2,0)),"0")</f>
        <v>COLÉGIO ARBOS SÃO CAETANO DO SUL</v>
      </c>
      <c r="AD87" s="37"/>
      <c r="AE87" s="89"/>
      <c r="AF87" s="37"/>
      <c r="AG87" s="198"/>
      <c r="AH87" s="37"/>
      <c r="AI87" s="37"/>
      <c r="AJ87" s="29"/>
      <c r="AK87" s="188"/>
      <c r="AL87" s="29"/>
      <c r="AP87" s="31">
        <f>IF(AR87&lt;&gt;"",1+COUNTIF(AP72:AP86,"1")+COUNTIF(AP72:AP86,"2")+COUNTIF(AP72:AP86,"3")+COUNTIF(AP72:AP86,"4")+COUNTIF(AP72:AP86,"5")+COUNTIF(AP72:AP86,"6")+COUNTIF(AP72:AP86,"7")+COUNTIF(AP72:AP86,"8")+COUNTIF(AP72:AP86,"9")+COUNTIF(AP72:AP86,"10")+COUNTIF(AP72:AP86,"11")+COUNTIF(AP72:AP86,"12")+COUNTIF(AP72:AP86,"13")+COUNTIF(AP72:AP86,"14")+COUNTIF(AP72:AP86,"15"),"")</f>
        <v>16</v>
      </c>
      <c r="AQ87" s="32" t="str">
        <f t="shared" si="3"/>
        <v>LUGAR</v>
      </c>
      <c r="AR87" s="111" t="str">
        <f>IF(AR79&lt;&gt;"",IF(G76=AR79,G78,IF(G78=AR79,G76,IF(G92=AR79,G94,IF(G94=AR79,G92,IF(AG76=AR79,AG78,IF(AG78=AR79,AG76,IF(AG92=AR79,AG94,IF(AG94=AR79,AG92,IF(G106=AR79,G108,IF(G108=AR79,G106,IF(G122=AR79,G124,IF(G124=AR79,G122,IF(AG106=AR79,AG108,IF(AG108=AR79,AG106,IF(AG122=AR79,AG124,IF(AG124=AR79,AG122)))))))))))))))),"")</f>
        <v>PEDRO PICHELLI ZUCHETTO</v>
      </c>
      <c r="AS87" s="33" t="str">
        <f>IFERROR(IF(AR87="","",VLOOKUP(AR87,LISTAS!$F$5:$G$1004,2,0)),"0")</f>
        <v>COLÉGIO SINGULAR SÃO CAETANO</v>
      </c>
      <c r="AT87" s="33">
        <f t="shared" si="4"/>
        <v>105</v>
      </c>
      <c r="AU87" s="33">
        <f t="shared" si="5"/>
        <v>105</v>
      </c>
    </row>
    <row r="88" spans="2:47" ht="18" customHeight="1" x14ac:dyDescent="0.25">
      <c r="B88" s="133">
        <v>9</v>
      </c>
      <c r="C88" s="169" t="str">
        <f>IF('11M GRP'!G5&gt;=3,'11M GRP'!J126,IF('11M GRP'!G5=2,"",IF('11M GRP'!G5=1,"","")))</f>
        <v>BERNARDO HISSA DOS SANTOS</v>
      </c>
      <c r="D88" s="266">
        <v>1</v>
      </c>
      <c r="E88" s="101">
        <f>IF(D88&lt;&gt;"",D88,"")</f>
        <v>1</v>
      </c>
      <c r="F88" s="101" t="str">
        <f>IF(D88&lt;&gt;"",IF(C88="","",C88),"")</f>
        <v>BERNARDO HISSA DOS SANTOS</v>
      </c>
      <c r="G88" s="190">
        <f>IF(E88&lt;&gt;"",IF(E90&lt;&gt;"",SMALL(E88:E90,1),""),"")</f>
        <v>0</v>
      </c>
      <c r="H88" s="101"/>
      <c r="I88" s="138"/>
      <c r="J88" s="101"/>
      <c r="K88" s="190"/>
      <c r="L88" s="29"/>
      <c r="M88" s="138"/>
      <c r="N88" s="101"/>
      <c r="O88" s="190"/>
      <c r="P88" s="101"/>
      <c r="Q88" s="37"/>
      <c r="R88" s="198"/>
      <c r="S88" s="37"/>
      <c r="T88" s="37"/>
      <c r="U88" s="37"/>
      <c r="V88" s="198"/>
      <c r="W88" s="37"/>
      <c r="X88" s="86"/>
      <c r="Y88" s="198"/>
      <c r="Z88" s="94"/>
      <c r="AA88" s="37"/>
      <c r="AB88" s="29"/>
      <c r="AC88" s="198"/>
      <c r="AD88" s="100"/>
      <c r="AE88" s="144"/>
      <c r="AF88" s="100"/>
      <c r="AG88" s="197">
        <f>IF(AJ88&lt;&gt;"",AJ88,"")</f>
        <v>1</v>
      </c>
      <c r="AH88" s="100" t="str">
        <f>IF(AJ88&lt;&gt;"",IF(AK88="","",AK88),"")</f>
        <v>HEITOR SOARES CAVALCANTE</v>
      </c>
      <c r="AI88" s="101">
        <f>IF(AG88&lt;&gt;"",IF(AG90&lt;&gt;"",SMALL(AG88:AG90,1),""),"")</f>
        <v>0</v>
      </c>
      <c r="AJ88" s="266">
        <v>1</v>
      </c>
      <c r="AK88" s="33" t="s">
        <v>273</v>
      </c>
      <c r="AL88" s="29">
        <v>22</v>
      </c>
      <c r="AP88" s="31">
        <f>IF(AR88&lt;&gt;"",1+COUNTIF(AP72:AP87,"1")+COUNTIF(AP72:AP87,"2")+COUNTIF(AP72:AP87,"3")+COUNTIF(AP72:AP87,"4")+COUNTIF(AP72:AP87,"5")+COUNTIF(AP72:AP87,"6")+COUNTIF(AP72:AP87,"7")+COUNTIF(AP72:AP87,"8")+COUNTIF(AP72:AP87,"9")+COUNTIF(AP72:AP87,"10")+COUNTIF(AP72:AP87,"11")+COUNTIF(AP72:AP87,"12")+COUNTIF(AP72:AP87,"13")+COUNTIF(AP72:AP87,"14")+COUNTIF(AP72:AP87,"15")+COUNTIF(AP72:AP87,"16"),"")</f>
        <v>17</v>
      </c>
      <c r="AQ88" s="32" t="str">
        <f t="shared" si="3"/>
        <v>LUGAR</v>
      </c>
      <c r="AR88" s="111" t="str">
        <f>IF(AR72&lt;&gt;"",IF(C72=AR72,G74,IF(C74=AR72,G74,IF(C80=AR72,G82,IF(C82=AR72,G82,IF(C102=AR72,G104,IF(C104=AR72,G104,IF(C110=AR72,G112,IF(C112=AR72,G112,IF(C88=AR72,G90,IF(C90=AR72,G90,IF(C96=AR72,G98,IF(C98=AR72,G98,IF(C118=AR72,G120,IF(C120=AR72,G120,IF(C126=AR72,G128,IF(C128=AR72,G128,IF(AK72=AR72,AI74,IF(AK74=AR72,AI74,IF(AK80=AR72,AI82,IF(AK82=AR72,AI82,IF(AK102=AR72,AI104,IF(AK104=AR72,AI104,IF(AK110=AR72,AI112,IF(AK112=AR72,AI112,IF(AK88=AR72,AI90,IF(AK90=AR72,AI90,IF(AK96=AR72,AI98,IF(AK98=AR72,AI98,IF(AK118=AR72,AI120,IF(AK120=AR72,AI120,IF(AK126=AR72,AI128,IF(AK128=AR72,AI128)))))))))))))))))))))))))))))))),"")</f>
        <v>ARTHUR DE PAULA MULLER</v>
      </c>
      <c r="AS88" s="33" t="str">
        <f>IFERROR(IF(AR88="","",VLOOKUP(AR88,LISTAS!$F$5:$G$1004,2,0)),"0")</f>
        <v>COLEGIO PETROPOLIS</v>
      </c>
      <c r="AT88" s="33">
        <v>102</v>
      </c>
      <c r="AU88" s="33" t="str">
        <f t="shared" si="5"/>
        <v/>
      </c>
    </row>
    <row r="89" spans="2:47" ht="18" customHeight="1" thickBot="1" x14ac:dyDescent="0.3">
      <c r="B89" s="133"/>
      <c r="C89" s="170" t="str">
        <f>IFERROR(IF(C88="","",VLOOKUP(C88,LISTAS!$F$5:$G$1004,2,0)),"0")</f>
        <v>ABACO IPIRANGA</v>
      </c>
      <c r="D89" s="267"/>
      <c r="E89" s="101"/>
      <c r="F89" s="101"/>
      <c r="G89" s="190"/>
      <c r="H89" s="101"/>
      <c r="I89" s="138"/>
      <c r="J89" s="101"/>
      <c r="K89" s="190"/>
      <c r="L89" s="29"/>
      <c r="M89" s="35"/>
      <c r="N89" s="29"/>
      <c r="O89" s="188"/>
      <c r="P89" s="29"/>
      <c r="Q89" s="37"/>
      <c r="R89" s="198"/>
      <c r="S89" s="37"/>
      <c r="T89" s="37"/>
      <c r="U89" s="37"/>
      <c r="V89" s="198"/>
      <c r="W89" s="37"/>
      <c r="X89" s="86"/>
      <c r="Y89" s="198"/>
      <c r="Z89" s="94"/>
      <c r="AA89" s="37"/>
      <c r="AB89" s="29"/>
      <c r="AC89" s="198"/>
      <c r="AD89" s="100"/>
      <c r="AE89" s="144"/>
      <c r="AF89" s="100"/>
      <c r="AG89" s="197"/>
      <c r="AH89" s="100"/>
      <c r="AI89" s="101"/>
      <c r="AJ89" s="267"/>
      <c r="AK89" s="170" t="str">
        <f>IFERROR(IF(AK88="","",VLOOKUP(AK88,LISTAS!$F$5:$G$1004,2,0)),"0")</f>
        <v>COLÉGIO ARBOS SÃO CAETANO DO SUL</v>
      </c>
      <c r="AL89" s="29"/>
      <c r="AP89" s="31">
        <f>IF(AR89&lt;&gt;"",1+COUNTIF(AP72:AP88,"1")+COUNTIF(AP72:AP88,"2")+COUNTIF(AP72:AP88,"3")+COUNTIF(AP72:AP88,"4")+COUNTIF(AP72:AP88,"5")+COUNTIF(AP72:AP88,"6")+COUNTIF(AP72:AP88,"7")+COUNTIF(AP72:AP88,"8")+COUNTIF(AP72:AP88,"9")+COUNTIF(AP72:AP88,"10")+COUNTIF(AP72:AP88,"11")+COUNTIF(AP72:AP88,"12")+COUNTIF(AP72:AP88,"13")+COUNTIF(AP72:AP88,"14")+COUNTIF(AP72:AP88,"15")+COUNTIF(AP72:AP88,"16")+COUNTIF(AP72:AP88,"17"),"")</f>
        <v>18</v>
      </c>
      <c r="AQ89" s="32" t="str">
        <f t="shared" si="3"/>
        <v>LUGAR</v>
      </c>
      <c r="AR89" s="111" t="str">
        <f>IF(AR73&lt;&gt;"",IF(C72=AR73,G74,IF(C74=AR73,G74,IF(C80=AR73,G82,IF(C82=AR73,G82,IF(C102=AR73,G104,IF(C104=AR73,G104,IF(C110=AR73,G112,IF(C112=AR73,G112,IF(C88=AR73,G90,IF(C90=AR73,G90,IF(C96=AR73,G98,IF(C98=AR73,G98,IF(C118=AR73,G120,IF(C120=AR73,G120,IF(C126=AR73,G128,IF(C128=AR73,G128,IF(AK72=AR73,AI74,IF(AK74=AR73,AI74,IF(AK80=AR73,AI82,IF(AK82=AR73,AI82,IF(AK102=AR73,AI104,IF(AK104=AR73,AI104,IF(AK110=AR73,AI112,IF(AK112=AR73,AI112,IF(AK88=AR73,AI90,IF(AK90=AR73,AI90,IF(AK96=AR73,AI98,IF(AK98=AR73,AI98,IF(AK118=AR73,AI120,IF(AK120=AR73,AI120,IF(AK126=AR73,AI128,IF(AK128=AR73,AI128)))))))))))))))))))))))))))))))),"")</f>
        <v>LUCAS FILGUEIRAS DA SILVA</v>
      </c>
      <c r="AS89" s="33" t="str">
        <f>IFERROR(IF(AR89="","",VLOOKUP(AR89,LISTAS!$F$5:$G$1004,2,0)),"0")</f>
        <v>COLÉGIO ARBOS SÃO CAETANO DO SUL</v>
      </c>
      <c r="AT89" s="33">
        <v>102</v>
      </c>
      <c r="AU89" s="33" t="str">
        <f t="shared" si="5"/>
        <v/>
      </c>
    </row>
    <row r="90" spans="2:47" ht="18" customHeight="1" x14ac:dyDescent="0.25">
      <c r="B90" s="133">
        <v>24</v>
      </c>
      <c r="C90" s="33" t="s">
        <v>215</v>
      </c>
      <c r="D90" s="266">
        <v>0</v>
      </c>
      <c r="E90" s="107">
        <f>IF(D90&lt;&gt;"",D90,"")</f>
        <v>0</v>
      </c>
      <c r="F90" s="101" t="str">
        <f>IF(D90&lt;&gt;"",IF(C90="","",C90),"")</f>
        <v>ARTHUR DE PAULA MULLER</v>
      </c>
      <c r="G90" s="190" t="str">
        <f>VLOOKUP(G88,E88:F90,2,0)</f>
        <v>ARTHUR DE PAULA MULLER</v>
      </c>
      <c r="H90" s="101"/>
      <c r="I90" s="138"/>
      <c r="J90" s="101"/>
      <c r="K90" s="190"/>
      <c r="L90" s="29"/>
      <c r="M90" s="35"/>
      <c r="N90" s="29"/>
      <c r="O90" s="188"/>
      <c r="P90" s="29"/>
      <c r="Q90" s="37"/>
      <c r="R90" s="198"/>
      <c r="S90" s="37"/>
      <c r="T90" s="37"/>
      <c r="U90" s="37"/>
      <c r="V90" s="198"/>
      <c r="W90" s="37"/>
      <c r="X90" s="86"/>
      <c r="Y90" s="198"/>
      <c r="Z90" s="94"/>
      <c r="AA90" s="37"/>
      <c r="AB90" s="29"/>
      <c r="AC90" s="198"/>
      <c r="AD90" s="100"/>
      <c r="AE90" s="144"/>
      <c r="AF90" s="100"/>
      <c r="AG90" s="197">
        <f>IF(AJ90&lt;&gt;"",AJ90,"")</f>
        <v>0</v>
      </c>
      <c r="AH90" s="100" t="str">
        <f>IF(AJ90&lt;&gt;"",IF(AK90="","",AK90),"")</f>
        <v>LUCAS FILGUEIRAS DA SILVA</v>
      </c>
      <c r="AI90" s="102" t="str">
        <f>VLOOKUP(AI88,AG88:AH90,2,0)</f>
        <v>LUCAS FILGUEIRAS DA SILVA</v>
      </c>
      <c r="AJ90" s="266">
        <v>0</v>
      </c>
      <c r="AK90" s="169" t="str">
        <f>IF('11M GRP'!G5&gt;=3,'11M GRP'!J152,IF('11M GRP'!G5=2,"",IF('11M GRP'!G5=1,"","")))</f>
        <v>LUCAS FILGUEIRAS DA SILVA</v>
      </c>
      <c r="AL90" s="29">
        <v>11</v>
      </c>
      <c r="AP90" s="31">
        <f>IF(AR90&lt;&gt;"",1+COUNTIF(AP72:AP89,"1")+COUNTIF(AP72:AP89,"2")+COUNTIF(AP72:AP89,"3")+COUNTIF(AP72:AP89,"4")+COUNTIF(AP72:AP89,"5")+COUNTIF(AP72:AP89,"6")+COUNTIF(AP72:AP89,"7")+COUNTIF(AP72:AP89,"8")+COUNTIF(AP72:AP89,"9")+COUNTIF(AP72:AP89,"10")+COUNTIF(AP72:AP89,"11")+COUNTIF(AP72:AP89,"12")+COUNTIF(AP72:AP89,"13")+COUNTIF(AP72:AP89,"14")+COUNTIF(AP72:AP89,"15")+COUNTIF(AP72:AP89,"16")+COUNTIF(AP72:AP89,"17")+COUNTIF(AP72:AP89,"18"),"")</f>
        <v>19</v>
      </c>
      <c r="AQ90" s="32" t="str">
        <f t="shared" si="3"/>
        <v>LUGAR</v>
      </c>
      <c r="AR90" s="111" t="str">
        <f>IF(AR74&lt;&gt;"",IF(C72=AR74,G74,IF(C74=AR74,G74,IF(C80=AR74,G82,IF(C82=AR74,G82,IF(C102=AR74,G104,IF(C104=AR74,G104,IF(C110=AR74,G112,IF(C112=AR74,G112,IF(C88=AR74,G90,IF(C90=AR74,G90,IF(C96=AR74,G98,IF(C98=AR74,G98,IF(C118=AR74,G120,IF(C120=AR74,G120,IF(C126=AR74,G128,IF(C128=AR74,G128,IF(AK72=AR74,AI74,IF(AK74=AR74,AI74,IF(AK80=AR74,AI82,IF(AK82=AR74,AI82,IF(AK102=AR74,AI104,IF(AK104=AR74,AI104,IF(AK110=AR74,AI112,IF(AK112=AR74,AI112,IF(AK88=AR74,AI90,IF(AK90=AR74,AI90,IF(AK96=AR74,AI98,IF(AK98=AR74,AI98,IF(AK118=AR74,AI120,IF(AK120=AR74,AI120,IF(AK126=AR74,AI128,IF(AK128=AR74,AI128)))))))))))))))))))))))))))))))),"")</f>
        <v>BENÍCIO MELLO BRITO</v>
      </c>
      <c r="AS90" s="33" t="str">
        <f>IFERROR(IF(AR90="","",VLOOKUP(AR90,LISTAS!$F$5:$G$1004,2,0)),"0")</f>
        <v>COLEGIO PETROPOLIS</v>
      </c>
      <c r="AT90" s="33">
        <v>102</v>
      </c>
      <c r="AU90" s="33" t="str">
        <f t="shared" si="5"/>
        <v/>
      </c>
    </row>
    <row r="91" spans="2:47" ht="18" customHeight="1" thickBot="1" x14ac:dyDescent="0.3">
      <c r="B91" s="133"/>
      <c r="C91" s="170" t="str">
        <f>IFERROR(IF(C90="","",VLOOKUP(C90,LISTAS!$F$5:$G$1004,2,0)),"0")</f>
        <v>COLEGIO PETROPOLIS</v>
      </c>
      <c r="D91" s="267"/>
      <c r="E91" s="148"/>
      <c r="F91" s="101"/>
      <c r="G91" s="190"/>
      <c r="H91" s="101"/>
      <c r="I91" s="138"/>
      <c r="J91" s="101"/>
      <c r="K91" s="190"/>
      <c r="L91" s="29"/>
      <c r="M91" s="35"/>
      <c r="N91" s="29"/>
      <c r="O91" s="188"/>
      <c r="P91" s="29"/>
      <c r="Q91" s="37"/>
      <c r="R91" s="198"/>
      <c r="S91" s="37"/>
      <c r="T91" s="37"/>
      <c r="U91" s="37"/>
      <c r="V91" s="198"/>
      <c r="W91" s="37"/>
      <c r="X91" s="86"/>
      <c r="Y91" s="198"/>
      <c r="Z91" s="94"/>
      <c r="AA91" s="37"/>
      <c r="AB91" s="29"/>
      <c r="AC91" s="198"/>
      <c r="AD91" s="100"/>
      <c r="AE91" s="144"/>
      <c r="AF91" s="100"/>
      <c r="AG91" s="197"/>
      <c r="AH91" s="100"/>
      <c r="AI91" s="142"/>
      <c r="AJ91" s="267"/>
      <c r="AK91" s="170" t="str">
        <f>IFERROR(IF(AK90="","",VLOOKUP(AK90,LISTAS!$F$5:$G$1004,2,0)),"0")</f>
        <v>COLÉGIO ARBOS SÃO CAETANO DO SUL</v>
      </c>
      <c r="AL91" s="29"/>
      <c r="AP91" s="31">
        <f>IF(AR91&lt;&gt;"",1+COUNTIF(AP72:AP90,"1")+COUNTIF(AP72:AP90,"2")+COUNTIF(AP72:AP90,"3")+COUNTIF(AP72:AP90,"4")+COUNTIF(AP72:AP90,"5")+COUNTIF(AP72:AP90,"6")+COUNTIF(AP72:AP90,"7")+COUNTIF(AP72:AP90,"8")+COUNTIF(AP72:AP90,"9")+COUNTIF(AP72:AP90,"10")+COUNTIF(AP72:AP90,"11")+COUNTIF(AP72:AP90,"12")+COUNTIF(AP72:AP90,"13")+COUNTIF(AP72:AP90,"14")+COUNTIF(AP72:AP90,"15")+COUNTIF(AP72:AP90,"16")+COUNTIF(AP72:AP90,"17")+COUNTIF(AP72:AP90,"18")+COUNTIF(AP72:AP90,"19"),"")</f>
        <v>20</v>
      </c>
      <c r="AQ91" s="32" t="str">
        <f t="shared" si="3"/>
        <v>LUGAR</v>
      </c>
      <c r="AR91" s="111" t="str">
        <f>IF(AR75&lt;&gt;"",IF(C72=AR75,G74,IF(C74=AR75,G74,IF(C80=AR75,G82,IF(C82=AR75,G82,IF(C102=AR75,G104,IF(C104=AR75,G104,IF(C110=AR75,G112,IF(C112=AR75,G112,IF(C88=AR75,G90,IF(C90=AR75,G90,IF(C96=AR75,G98,IF(C98=AR75,G98,IF(C118=AR75,G120,IF(C120=AR75,G120,IF(C126=AR75,G128,IF(C128=AR75,G128,IF(AK72=AR75,AI74,IF(AK74=AR75,AI74,IF(AK80=AR75,AI82,IF(AK82=AR75,AI82,IF(AK102=AR75,AI104,IF(AK104=AR75,AI104,IF(AK110=AR75,AI112,IF(AK112=AR75,AI112,IF(AK88=AR75,AI90,IF(AK90=AR75,AI90,IF(AK96=AR75,AI98,IF(AK98=AR75,AI98,IF(AK118=AR75,AI120,IF(AK120=AR75,AI120,IF(AK126=AR75,AI128,IF(AK128=AR75,AI128)))))))))))))))))))))))))))))))),"")</f>
        <v>MATTEO CESAR COSTA</v>
      </c>
      <c r="AS91" s="33" t="str">
        <f>IFERROR(IF(AR91="","",VLOOKUP(AR91,LISTAS!$F$5:$G$1004,2,0)),"0")</f>
        <v>LICEU JARDIM</v>
      </c>
      <c r="AT91" s="33">
        <v>102</v>
      </c>
      <c r="AU91" s="33" t="str">
        <f t="shared" si="5"/>
        <v/>
      </c>
    </row>
    <row r="92" spans="2:47" ht="18" customHeight="1" x14ac:dyDescent="0.25">
      <c r="B92" s="133"/>
      <c r="C92" s="188"/>
      <c r="D92" s="29"/>
      <c r="E92" s="29"/>
      <c r="F92" s="34"/>
      <c r="G92" s="169" t="str">
        <f>IF(D88&lt;&gt;"",IF(D90&lt;&gt;"",IF(D88=D90,"",IF(D88&gt;D90,C88,C90)),""),"")</f>
        <v>BERNARDO HISSA DOS SANTOS</v>
      </c>
      <c r="H92" s="266">
        <v>1</v>
      </c>
      <c r="I92" s="148">
        <f>IF(H92&lt;&gt;"",H92,"")</f>
        <v>1</v>
      </c>
      <c r="J92" s="101" t="str">
        <f>IF(H92&lt;&gt;"",IF(G92="","",G92),"")</f>
        <v>BERNARDO HISSA DOS SANTOS</v>
      </c>
      <c r="K92" s="190">
        <f>IF(I92&lt;&gt;"",IF(I94&lt;&gt;"",SMALL(I92:J94,1),""),"")</f>
        <v>0</v>
      </c>
      <c r="L92" s="101"/>
      <c r="M92" s="138"/>
      <c r="N92" s="101"/>
      <c r="O92" s="190"/>
      <c r="P92" s="29"/>
      <c r="Q92" s="37"/>
      <c r="R92" s="198"/>
      <c r="S92" s="37"/>
      <c r="T92" s="37"/>
      <c r="U92" s="37"/>
      <c r="V92" s="198"/>
      <c r="W92" s="37"/>
      <c r="X92" s="86"/>
      <c r="Y92" s="198"/>
      <c r="Z92" s="94"/>
      <c r="AA92" s="37"/>
      <c r="AB92" s="29"/>
      <c r="AC92" s="198"/>
      <c r="AD92" s="37"/>
      <c r="AE92" s="34"/>
      <c r="AF92" s="266">
        <v>1</v>
      </c>
      <c r="AG92" s="169" t="str">
        <f>IF(AJ88&lt;&gt;"",IF(AJ90&lt;&gt;"",IF(AJ88=AJ90,"",IF(AJ88&gt;AJ90,AK88,AK90)),""),"")</f>
        <v>HEITOR SOARES CAVALCANTE</v>
      </c>
      <c r="AH92" s="94"/>
      <c r="AI92" s="37"/>
      <c r="AJ92" s="29"/>
      <c r="AK92" s="188"/>
      <c r="AL92" s="29"/>
      <c r="AN92" s="23"/>
      <c r="AO92" s="23"/>
      <c r="AP92" s="31">
        <f>IF(AR92&lt;&gt;"",1+COUNTIF(AP72:AP91,"1")+COUNTIF(AP72:AP91,"2")+COUNTIF(AP72:AP91,"3")+COUNTIF(AP72:AP91,"4")+COUNTIF(AP72:AP91,"5")+COUNTIF(AP72:AP91,"6")+COUNTIF(AP72:AP91,"7")+COUNTIF(AP72:AP91,"8")+COUNTIF(AP72:AP91,"9")+COUNTIF(AP72:AP91,"10")+COUNTIF(AP72:AP91,"11")+COUNTIF(AP72:AP91,"12")+COUNTIF(AP72:AP91,"13")+COUNTIF(AP72:AP91,"14")+COUNTIF(AP72:AP91,"15")+COUNTIF(AP72:AP91,"16")+COUNTIF(AP72:AP91,"17")+COUNTIF(AP72:AP91,"18")+COUNTIF(AP72:AP91,"19")+COUNTIF(AP72:AP91,"20"),"")</f>
        <v>21</v>
      </c>
      <c r="AQ92" s="32" t="str">
        <f t="shared" si="3"/>
        <v>LUGAR</v>
      </c>
      <c r="AR92" s="111" t="str">
        <f>IF(AR76&lt;&gt;"",IF(C72=AR76,G74,IF(C74=AR76,G74,IF(C80=AR76,G82,IF(C82=AR76,G82,IF(C102=AR76,G104,IF(C104=AR76,G104,IF(C110=AR76,G112,IF(C112=AR76,G112,IF(C88=AR76,G90,IF(C90=AR76,G90,IF(C96=AR76,G98,IF(C98=AR76,G98,IF(C118=AR76,G120,IF(C120=AR76,G120,IF(C126=AR76,G128,IF(C128=AR76,G128,IF(AK72=AR76,AI74,IF(AK74=AR76,AI74,IF(AK80=AR76,AI82,IF(AK82=AR76,AI82,IF(AK102=AR76,AI104,IF(AK104=AR76,AI104,IF(AK110=AR76,AI112,IF(AK112=AR76,AI112,IF(AK88=AR76,AI90,IF(AK90=AR76,AI90,IF(AK96=AR76,AI98,IF(AK98=AR76,AI98,IF(AK118=AR76,AI120,IF(AK120=AR76,AI120,IF(AK126=AR76,AI128,IF(AK128=AR76,AI128)))))))))))))))))))))))))))))))),"")</f>
        <v>JOÃO PEDRO BRITES PEREIRA</v>
      </c>
      <c r="AS92" s="33" t="str">
        <f>IFERROR(IF(AR92="","",VLOOKUP(AR92,LISTAS!$F$5:$G$1004,2,0)),"0")</f>
        <v>COLEGIO PETROPOLIS</v>
      </c>
      <c r="AT92" s="33">
        <v>102</v>
      </c>
      <c r="AU92" s="33" t="str">
        <f t="shared" si="5"/>
        <v/>
      </c>
    </row>
    <row r="93" spans="2:47" ht="18" customHeight="1" thickBot="1" x14ac:dyDescent="0.3">
      <c r="B93" s="133"/>
      <c r="C93" s="188"/>
      <c r="D93" s="29"/>
      <c r="E93" s="29"/>
      <c r="F93" s="34"/>
      <c r="G93" s="170" t="str">
        <f>IFERROR(IF(G92="","",VLOOKUP(G92,LISTAS!$F$5:$G$1004,2,0)),"0")</f>
        <v>ABACO IPIRANGA</v>
      </c>
      <c r="H93" s="267"/>
      <c r="I93" s="105"/>
      <c r="J93" s="101"/>
      <c r="K93" s="190"/>
      <c r="L93" s="101"/>
      <c r="M93" s="138"/>
      <c r="N93" s="101"/>
      <c r="O93" s="190"/>
      <c r="P93" s="29"/>
      <c r="Q93" s="37"/>
      <c r="R93" s="198"/>
      <c r="S93" s="37"/>
      <c r="T93" s="37"/>
      <c r="U93" s="37"/>
      <c r="V93" s="198"/>
      <c r="W93" s="37"/>
      <c r="X93" s="86"/>
      <c r="Y93" s="198"/>
      <c r="Z93" s="94"/>
      <c r="AA93" s="37"/>
      <c r="AB93" s="29"/>
      <c r="AC93" s="198"/>
      <c r="AD93" s="37"/>
      <c r="AE93" s="140"/>
      <c r="AF93" s="267"/>
      <c r="AG93" s="170" t="str">
        <f>IFERROR(IF(AG92="","",VLOOKUP(AG92,LISTAS!$F$5:$G$1004,2,0)),"0")</f>
        <v>COLÉGIO ARBOS SÃO CAETANO DO SUL</v>
      </c>
      <c r="AH93" s="94"/>
      <c r="AI93" s="37"/>
      <c r="AJ93" s="29"/>
      <c r="AK93" s="188"/>
      <c r="AL93" s="29"/>
      <c r="AM93" s="23"/>
      <c r="AN93" s="23"/>
      <c r="AO93" s="23"/>
      <c r="AP93" s="31">
        <f>IF(AR93&lt;&gt;"",1+COUNTIF(AP72:AP92,"1")+COUNTIF(AP72:AP92,"2")+COUNTIF(AP72:AP92,"3")+COUNTIF(AP72:AP92,"4")+COUNTIF(AP72:AP92,"5")+COUNTIF(AP72:AP92,"6")+COUNTIF(AP72:AP92,"7")+COUNTIF(AP72:AP92,"8")+COUNTIF(AP72:AP92,"9")+COUNTIF(AP72:AP92,"10")+COUNTIF(AP72:AP92,"11")+COUNTIF(AP72:AP92,"12")+COUNTIF(AP72:AP92,"13")+COUNTIF(AP72:AP92,"14")+COUNTIF(AP72:AP92,"15")+COUNTIF(AP72:AP92,"16")+COUNTIF(AP72:AP92,"17")+COUNTIF(AP72:AP92,"18")+COUNTIF(AP72:AP92,"19")+COUNTIF(AP72:AP92,"20")+COUNTIF(AP72:AP92,"21"),"")</f>
        <v>22</v>
      </c>
      <c r="AQ93" s="32" t="str">
        <f t="shared" si="3"/>
        <v>LUGAR</v>
      </c>
      <c r="AR93" s="111" t="str">
        <f>IF(AR77&lt;&gt;"",IF(C72=AR77,G74,IF(C74=AR77,G74,IF(C80=AR77,G82,IF(C82=AR77,G82,IF(C102=AR77,G104,IF(C104=AR77,G104,IF(C110=AR77,G112,IF(C112=AR77,G112,IF(C88=AR77,G90,IF(C90=AR77,G90,IF(C96=AR77,G98,IF(C98=AR77,G98,IF(C118=AR77,G120,IF(C120=AR77,G120,IF(C126=AR77,G128,IF(C128=AR77,G128,IF(AK72=AR77,AI74,IF(AK74=AR77,AI74,IF(AK80=AR77,AI82,IF(AK82=AR77,AI82,IF(AK102=AR77,AI104,IF(AK104=AR77,AI104,IF(AK110=AR77,AI112,IF(AK112=AR77,AI112,IF(AK88=AR77,AI90,IF(AK90=AR77,AI90,IF(AK96=AR77,AI98,IF(AK98=AR77,AI98,IF(AK118=AR77,AI120,IF(AK120=AR77,AI120,IF(AK126=AR77,AI128,IF(AK128=AR77,AI128)))))))))))))))))))))))))))))))),"")</f>
        <v>FELIPE BRITO RUAS</v>
      </c>
      <c r="AS93" s="33" t="str">
        <f>IFERROR(IF(AR93="","",VLOOKUP(AR93,LISTAS!$F$5:$G$1004,2,0)),"0")</f>
        <v>EVOLUTION TEENS</v>
      </c>
      <c r="AT93" s="33">
        <v>102</v>
      </c>
      <c r="AU93" s="33" t="str">
        <f t="shared" si="5"/>
        <v/>
      </c>
    </row>
    <row r="94" spans="2:47" ht="18" customHeight="1" x14ac:dyDescent="0.25">
      <c r="B94" s="133"/>
      <c r="C94" s="188"/>
      <c r="D94" s="29"/>
      <c r="E94" s="35"/>
      <c r="F94" s="36"/>
      <c r="G94" s="169" t="str">
        <f>IF(D96&lt;&gt;"",IF(D98&lt;&gt;"",IF(D96=D98,"",IF(D96&gt;D98,C96,C98)),""),"")</f>
        <v>LUCCA MAFRA THEODORO</v>
      </c>
      <c r="H94" s="266">
        <v>0</v>
      </c>
      <c r="I94" s="106">
        <f>IF(H94&lt;&gt;"",H94,"")</f>
        <v>0</v>
      </c>
      <c r="J94" s="101" t="str">
        <f>IF(H94&lt;&gt;"",IF(G94="","",G94),"")</f>
        <v>LUCCA MAFRA THEODORO</v>
      </c>
      <c r="K94" s="190" t="str">
        <f>VLOOKUP(K92,I92:J94,2,0)</f>
        <v>LUCCA MAFRA THEODORO</v>
      </c>
      <c r="L94" s="101"/>
      <c r="M94" s="138"/>
      <c r="N94" s="101"/>
      <c r="O94" s="190"/>
      <c r="P94" s="29"/>
      <c r="Q94" s="37"/>
      <c r="R94" s="198"/>
      <c r="S94" s="37"/>
      <c r="T94" s="37"/>
      <c r="U94" s="37"/>
      <c r="V94" s="198"/>
      <c r="W94" s="37"/>
      <c r="X94" s="86"/>
      <c r="Y94" s="198"/>
      <c r="Z94" s="94"/>
      <c r="AA94" s="37"/>
      <c r="AB94" s="29"/>
      <c r="AC94" s="198"/>
      <c r="AD94" s="37"/>
      <c r="AE94" s="91"/>
      <c r="AF94" s="266">
        <v>0</v>
      </c>
      <c r="AG94" s="169" t="str">
        <f>IF(AJ96&lt;&gt;"",IF(AJ98&lt;&gt;"",IF(AJ96=AJ98,"",IF(AJ96&gt;AJ98,AK96,AK98)),""),"")</f>
        <v>GHAEL DOS SANTOS PERES</v>
      </c>
      <c r="AH94" s="98"/>
      <c r="AI94" s="37"/>
      <c r="AJ94" s="29"/>
      <c r="AK94" s="188"/>
      <c r="AL94" s="29"/>
      <c r="AM94" s="23"/>
      <c r="AP94" s="31">
        <f>IF(AR94&lt;&gt;"",1+COUNTIF(AP72:AP93,"1")+COUNTIF(AP72:AP93,"2")+COUNTIF(AP72:AP93,"3")+COUNTIF(AP72:AP93,"4")+COUNTIF(AP72:AP93,"5")+COUNTIF(AP72:AP93,"6")+COUNTIF(AP72:AP93,"7")+COUNTIF(AP72:AP93,"8")+COUNTIF(AP72:AP93,"9")+COUNTIF(AP72:AP93,"10")+COUNTIF(AP72:AP93,"11")+COUNTIF(AP72:AP93,"12")+COUNTIF(AP72:AP93,"13")+COUNTIF(AP72:AP93,"14")+COUNTIF(AP72:AP93,"15")+COUNTIF(AP72:AP93,"16")+COUNTIF(AP72:AP93,"17")+COUNTIF(AP72:AP93,"18")+COUNTIF(AP72:AP93,"19")+COUNTIF(AP72:AP93,"20")+COUNTIF(AP72:AP93,"21")+COUNTIF(AP72:AP93,"22"),"")</f>
        <v>23</v>
      </c>
      <c r="AQ94" s="32" t="str">
        <f t="shared" si="3"/>
        <v>LUGAR</v>
      </c>
      <c r="AR94" s="111" t="str">
        <f>IF(AR78&lt;&gt;"",IF(C72=AR78,G74,IF(C74=AR78,G74,IF(C80=AR78,G82,IF(C82=AR78,G82,IF(C102=AR78,G104,IF(C104=AR78,G104,IF(C110=AR78,G112,IF(C112=AR78,G112,IF(C88=AR78,G90,IF(C90=AR78,G90,IF(C96=AR78,G98,IF(C98=AR78,G98,IF(C118=AR78,G120,IF(C120=AR78,G120,IF(C126=AR78,G128,IF(C128=AR78,G128,IF(AK72=AR78,AI74,IF(AK74=AR78,AI74,IF(AK80=AR78,AI82,IF(AK82=AR78,AI82,IF(AK102=AR78,AI104,IF(AK104=AR78,AI104,IF(AK110=AR78,AI112,IF(AK112=AR78,AI112,IF(AK88=AR78,AI90,IF(AK90=AR78,AI90,IF(AK96=AR78,AI98,IF(AK98=AR78,AI98,IF(AK118=AR78,AI120,IF(AK120=AR78,AI120,IF(AK126=AR78,AI128,IF(AK128=AR78,AI128)))))))))))))))))))))))))))))))),"")</f>
        <v>ENZO MAIA DENTE</v>
      </c>
      <c r="AS94" s="33" t="str">
        <f>IFERROR(IF(AR94="","",VLOOKUP(AR94,LISTAS!$F$5:$G$1004,2,0)),"0")</f>
        <v>COLÉGIO ATENEU</v>
      </c>
      <c r="AT94" s="33">
        <v>102</v>
      </c>
      <c r="AU94" s="33" t="str">
        <f t="shared" si="5"/>
        <v/>
      </c>
    </row>
    <row r="95" spans="2:47" ht="18" customHeight="1" thickBot="1" x14ac:dyDescent="0.3">
      <c r="B95" s="133"/>
      <c r="C95" s="188"/>
      <c r="D95" s="29"/>
      <c r="E95" s="35"/>
      <c r="F95" s="29"/>
      <c r="G95" s="170" t="str">
        <f>IFERROR(IF(G94="","",VLOOKUP(G94,LISTAS!$F$5:$G$1004,2,0)),"0")</f>
        <v>ESCOLA VILLARE</v>
      </c>
      <c r="H95" s="267"/>
      <c r="I95" s="101"/>
      <c r="J95" s="101"/>
      <c r="K95" s="190"/>
      <c r="L95" s="101"/>
      <c r="M95" s="138"/>
      <c r="N95" s="101"/>
      <c r="O95" s="190"/>
      <c r="P95" s="29"/>
      <c r="Q95" s="37"/>
      <c r="R95" s="198"/>
      <c r="S95" s="37"/>
      <c r="T95" s="37"/>
      <c r="U95" s="37"/>
      <c r="V95" s="198"/>
      <c r="W95" s="37"/>
      <c r="X95" s="86"/>
      <c r="Y95" s="198"/>
      <c r="Z95" s="94"/>
      <c r="AA95" s="37"/>
      <c r="AB95" s="29"/>
      <c r="AC95" s="198"/>
      <c r="AD95" s="37"/>
      <c r="AE95" s="37"/>
      <c r="AF95" s="267"/>
      <c r="AG95" s="170" t="str">
        <f>IFERROR(IF(AG94="","",VLOOKUP(AG94,LISTAS!$F$5:$G$1004,2,0)),"0")</f>
        <v>COLÉGIO ARBOS - UNIDADE SANTO ANDRÉ</v>
      </c>
      <c r="AH95" s="37"/>
      <c r="AI95" s="89"/>
      <c r="AJ95" s="29"/>
      <c r="AK95" s="188"/>
      <c r="AL95" s="29"/>
      <c r="AP95" s="31">
        <f>IF(AR95&lt;&gt;"",1+COUNTIF(AP72:AP94,"1")+COUNTIF(AP72:AP94,"2")+COUNTIF(AP72:AP94,"3")+COUNTIF(AP72:AP94,"4")+COUNTIF(AP72:AP94,"5")+COUNTIF(AP72:AP94,"6")+COUNTIF(AP72:AP94,"7")+COUNTIF(AP72:AP94,"8")+COUNTIF(AP72:AP94,"9")+COUNTIF(AP72:AP94,"10")+COUNTIF(AP72:AP94,"11")+COUNTIF(AP72:AP94,"12")+COUNTIF(AP72:AP94,"13")+COUNTIF(AP72:AP94,"14")+COUNTIF(AP72:AP94,"15")+COUNTIF(AP72:AP94,"16")+COUNTIF(AP72:AP94,"17")+COUNTIF(AP72:AP94,"18")+COUNTIF(AP72:AP94,"19")+COUNTIF(AP72:AP94,"20")+COUNTIF(AP72:AP94,"21")+COUNTIF(AP72:AP94,"22")+COUNTIF(AP72:AP94,"23"),"")</f>
        <v>24</v>
      </c>
      <c r="AQ95" s="32" t="str">
        <f t="shared" si="3"/>
        <v>LUGAR</v>
      </c>
      <c r="AR95" s="111" t="str">
        <f>IF(AR79&lt;&gt;"",IF(C72=AR79,G74,IF(C74=AR79,G74,IF(C80=AR79,G82,IF(C82=AR79,G82,IF(C102=AR79,G104,IF(C104=AR79,G104,IF(C110=AR79,G112,IF(C112=AR79,G112,IF(C88=AR79,G90,IF(C90=AR79,G90,IF(C96=AR79,G98,IF(C98=AR79,G98,IF(C118=AR79,G120,IF(C120=AR79,G120,IF(C126=AR79,G128,IF(C128=AR79,G128,IF(AK72=AR79,AI74,IF(AK74=AR79,AI74,IF(AK80=AR79,AI82,IF(AK82=AR79,AI82,IF(AK102=AR79,AI104,IF(AK104=AR79,AI104,IF(AK110=AR79,AI112,IF(AK112=AR79,AI112,IF(AK88=AR79,AI90,IF(AK90=AR79,AI90,IF(AK96=AR79,AI98,IF(AK98=AR79,AI98,IF(AK118=AR79,AI120,IF(AK120=AR79,AI120,IF(AK126=AR79,AI128,IF(AK128=AR79,AI128)))))))))))))))))))))))))))))))),"")</f>
        <v>PEDRO TIEZZI GARCIA</v>
      </c>
      <c r="AS95" s="33" t="str">
        <f>IFERROR(IF(AR95="","",VLOOKUP(AR95,LISTAS!$F$5:$G$1004,2,0)),"0")</f>
        <v>COLEGIO PETROPOLIS</v>
      </c>
      <c r="AT95" s="33">
        <v>102</v>
      </c>
      <c r="AU95" s="33" t="str">
        <f t="shared" si="5"/>
        <v/>
      </c>
    </row>
    <row r="96" spans="2:47" ht="18" customHeight="1" x14ac:dyDescent="0.25">
      <c r="B96" s="133">
        <v>25</v>
      </c>
      <c r="C96" s="33" t="s">
        <v>309</v>
      </c>
      <c r="D96" s="266">
        <v>1</v>
      </c>
      <c r="E96" s="148">
        <f>IF(D96&lt;&gt;"",D96,"")</f>
        <v>1</v>
      </c>
      <c r="F96" s="101" t="str">
        <f>IF(D96&lt;&gt;"",IF(C96="","",C96),"")</f>
        <v>LUCCA MAFRA THEODORO</v>
      </c>
      <c r="G96" s="190">
        <f>IF(E96&lt;&gt;"",IF(E98&lt;&gt;"",SMALL(E96:E98,1),""),"")</f>
        <v>0</v>
      </c>
      <c r="H96" s="101"/>
      <c r="I96" s="101"/>
      <c r="J96" s="101"/>
      <c r="K96" s="190"/>
      <c r="L96" s="101"/>
      <c r="M96" s="138"/>
      <c r="N96" s="101"/>
      <c r="O96" s="190"/>
      <c r="P96" s="29"/>
      <c r="Q96" s="37"/>
      <c r="R96" s="198"/>
      <c r="S96" s="37"/>
      <c r="T96" s="37"/>
      <c r="U96" s="37"/>
      <c r="V96" s="198"/>
      <c r="W96" s="37"/>
      <c r="X96" s="86"/>
      <c r="Y96" s="198"/>
      <c r="Z96" s="94"/>
      <c r="AA96" s="37"/>
      <c r="AB96" s="29"/>
      <c r="AC96" s="198"/>
      <c r="AD96" s="37"/>
      <c r="AE96" s="100"/>
      <c r="AF96" s="100"/>
      <c r="AG96" s="197">
        <f>IF(AJ96&lt;&gt;"",AJ96,"")</f>
        <v>0</v>
      </c>
      <c r="AH96" s="100" t="str">
        <f>IF(AJ96&lt;&gt;"",IF(AK96="","",AK96),"")</f>
        <v>PEDRO OLIVEIRA MACHADO</v>
      </c>
      <c r="AI96" s="137">
        <f>IF(AG96&lt;&gt;"",IF(AG98&lt;&gt;"",SMALL(AG96:AG98,1),""),"")</f>
        <v>0</v>
      </c>
      <c r="AJ96" s="266">
        <v>0</v>
      </c>
      <c r="AK96" s="33" t="s">
        <v>344</v>
      </c>
      <c r="AL96" s="29">
        <v>27</v>
      </c>
      <c r="AP96" s="31">
        <f>IF(AR96&lt;&gt;"",1+COUNTIF(AP72:AP95,"1")+COUNTIF(AP72:AP95,"2")+COUNTIF(AP72:AP95,"3")+COUNTIF(AP72:AP95,"4")+COUNTIF(AP72:AP95,"5")+COUNTIF(AP72:AP95,"6")+COUNTIF(AP72:AP95,"7")+COUNTIF(AP72:AP95,"8")+COUNTIF(AP72:AP95,"9")+COUNTIF(AP72:AP95,"10")+COUNTIF(AP72:AP95,"11")+COUNTIF(AP72:AP95,"12")+COUNTIF(AP72:AP95,"13")+COUNTIF(AP72:AP95,"14")+COUNTIF(AP72:AP95,"15")+COUNTIF(AP72:AP95,"16")+COUNTIF(AP72:AP95,"17")+COUNTIF(AP72:AP95,"18")+COUNTIF(AP72:AP95,"19")+COUNTIF(AP72:AP95,"20")+COUNTIF(AP72:AP95,"21")+COUNTIF(AP72:AP95,"22")+COUNTIF(AP72:AP95,"23")+COUNTIF(AP72:AP95,"24"),"")</f>
        <v>25</v>
      </c>
      <c r="AQ96" s="32" t="str">
        <f t="shared" si="3"/>
        <v>LUGAR</v>
      </c>
      <c r="AR96" s="111" t="str">
        <f>IF(AR80&lt;&gt;"",IF(C72=AR80,G74,IF(C74=AR80,G74,IF(C80=AR80,G82,IF(C82=AR80,G82,IF(C102=AR80,G104,IF(C104=AR80,G104,IF(C110=AR80,G112,IF(C112=AR80,G112,IF(C88=AR80,G90,IF(C90=AR80,G90,IF(C96=AR80,G98,IF(C98=AR80,G98,IF(C118=AR80,G120,IF(C120=AR80,G120,IF(C126=AR80,G128,IF(C128=AR80,G128,IF(AK72=AR80,AI74,IF(AK74=AR80,AI74,IF(AK80=AR80,AI82,IF(AK82=AR80,AI82,IF(AK102=AR80,AI104,IF(AK104=AR80,AI104,IF(AK110=AR80,AI112,IF(AK112=AR80,AI112,IF(AK88=AR80,AI90,IF(AK90=AR80,AI90,IF(AK96=AR80,AI98,IF(AK98=AR80,AI98,IF(AK118=AR80,AI120,IF(AK120=AR80,AI120,IF(AK126=AR80,AI128,IF(AK128=AR80,AI128)))))))))))))))))))))))))))))))),"")</f>
        <v>VÍTOR DE LANDABURU MONTESINOS COSTA</v>
      </c>
      <c r="AS96" s="33" t="str">
        <f>IFERROR(IF(AR96="","",VLOOKUP(AR96,LISTAS!$F$5:$G$1004,2,0)),"0")</f>
        <v>LICEU JARDIM</v>
      </c>
      <c r="AT96" s="33">
        <v>102</v>
      </c>
      <c r="AU96" s="33" t="str">
        <f t="shared" si="5"/>
        <v/>
      </c>
    </row>
    <row r="97" spans="2:47" ht="18" customHeight="1" thickBot="1" x14ac:dyDescent="0.3">
      <c r="B97" s="133"/>
      <c r="C97" s="170" t="str">
        <f>IFERROR(IF(C96="","",VLOOKUP(C96,LISTAS!$F$5:$G$1004,2,0)),"0")</f>
        <v>ESCOLA VILLARE</v>
      </c>
      <c r="D97" s="267"/>
      <c r="E97" s="105"/>
      <c r="F97" s="101"/>
      <c r="G97" s="190"/>
      <c r="H97" s="101"/>
      <c r="I97" s="101"/>
      <c r="J97" s="101"/>
      <c r="K97" s="190"/>
      <c r="L97" s="29"/>
      <c r="M97" s="35"/>
      <c r="N97" s="29"/>
      <c r="O97" s="188"/>
      <c r="P97" s="29"/>
      <c r="Q97" s="37"/>
      <c r="R97" s="198"/>
      <c r="S97" s="37"/>
      <c r="T97" s="37"/>
      <c r="U97" s="37"/>
      <c r="V97" s="198"/>
      <c r="W97" s="37"/>
      <c r="X97" s="86"/>
      <c r="Y97" s="198"/>
      <c r="Z97" s="94"/>
      <c r="AA97" s="37"/>
      <c r="AB97" s="29"/>
      <c r="AC97" s="198"/>
      <c r="AD97" s="37"/>
      <c r="AE97" s="100"/>
      <c r="AF97" s="100"/>
      <c r="AG97" s="197"/>
      <c r="AH97" s="100"/>
      <c r="AI97" s="143"/>
      <c r="AJ97" s="267"/>
      <c r="AK97" s="170" t="str">
        <f>IFERROR(IF(AK96="","",VLOOKUP(AK96,LISTAS!$F$5:$G$1004,2,0)),"0")</f>
        <v>COLÉGIO ARBOS - UNIDADE SANTO ANDRÉ</v>
      </c>
      <c r="AL97" s="29"/>
      <c r="AP97" s="31">
        <f>IF(AR97&lt;&gt;"",1+COUNTIF(AP72:AP96,"1")+COUNTIF(AP72:AP96,"2")+COUNTIF(AP72:AP96,"3")+COUNTIF(AP72:AP96,"4")+COUNTIF(AP72:AP96,"5")+COUNTIF(AP72:AP96,"6")+COUNTIF(AP72:AP96,"7")+COUNTIF(AP72:AP96,"8")+COUNTIF(AP72:AP96,"9")+COUNTIF(AP72:AP96,"10")+COUNTIF(AP72:AP96,"11")+COUNTIF(AP72:AP96,"12")+COUNTIF(AP72:AP96,"13")+COUNTIF(AP72:AP96,"14")+COUNTIF(AP72:AP96,"15")+COUNTIF(AP72:AP96,"16")+COUNTIF(AP72:AP96,"17")+COUNTIF(AP72:AP96,"18")+COUNTIF(AP72:AP96,"19")+COUNTIF(AP72:AP96,"20")+COUNTIF(AP72:AP96,"21")+COUNTIF(AP72:AP96,"22")+COUNTIF(AP72:AP96,"23")+COUNTIF(AP72:AP96,"24")+COUNTIF(AP72:AP96,"25"),"")</f>
        <v>26</v>
      </c>
      <c r="AQ97" s="32" t="str">
        <f t="shared" si="3"/>
        <v>LUGAR</v>
      </c>
      <c r="AR97" s="111" t="str">
        <f>IF(AR81&lt;&gt;"",IF(C72=AR81,G74,IF(C74=AR81,G74,IF(C80=AR81,G82,IF(C82=AR81,G82,IF(C102=AR81,G104,IF(C104=AR81,G104,IF(C110=AR81,G112,IF(C112=AR81,G112,IF(C88=AR81,G90,IF(C90=AR81,G90,IF(C96=AR81,G98,IF(C98=AR81,G98,IF(C118=AR81,G120,IF(C120=AR81,G120,IF(C126=AR81,G128,IF(C128=AR81,G128,IF(AK72=AR81,AI74,IF(AK74=AR81,AI74,IF(AK80=AR81,AI82,IF(AK82=AR81,AI82,IF(AK102=AR81,AI104,IF(AK104=AR81,AI104,IF(AK110=AR81,AI112,IF(AK112=AR81,AI112,IF(AK88=AR81,AI90,IF(AK90=AR81,AI90,IF(AK96=AR81,AI98,IF(AK98=AR81,AI98,IF(AK118=AR81,AI120,IF(AK120=AR81,AI120,IF(AK126=AR81,AI128,IF(AK128=AR81,AI128)))))))))))))))))))))))))))))))),"")</f>
        <v>PEDRO OLIVEIRA MACHADO</v>
      </c>
      <c r="AS97" s="33" t="str">
        <f>IFERROR(IF(AR97="","",VLOOKUP(AR97,LISTAS!$F$5:$G$1004,2,0)),"0")</f>
        <v>COLÉGIO ARBOS - UNIDADE SANTO ANDRÉ</v>
      </c>
      <c r="AT97" s="33">
        <v>102</v>
      </c>
      <c r="AU97" s="33" t="str">
        <f t="shared" si="5"/>
        <v/>
      </c>
    </row>
    <row r="98" spans="2:47" ht="18" customHeight="1" thickBot="1" x14ac:dyDescent="0.3">
      <c r="B98" s="133">
        <v>8</v>
      </c>
      <c r="C98" s="169" t="str">
        <f>IF('11M GRP'!G5&gt;=3,'11M GRP'!J113,IF('11M GRP'!G5=2,"",IF('11M GRP'!G5=1,"","")))</f>
        <v>VÍTOR DE LANDABURU MONTESINOS COSTA</v>
      </c>
      <c r="D98" s="266">
        <v>0</v>
      </c>
      <c r="E98" s="106">
        <f>IF(D98&lt;&gt;"",D98,"")</f>
        <v>0</v>
      </c>
      <c r="F98" s="101" t="str">
        <f>IF(D98&lt;&gt;"",IF(C98="","",C98),"")</f>
        <v>VÍTOR DE LANDABURU MONTESINOS COSTA</v>
      </c>
      <c r="G98" s="190" t="str">
        <f>VLOOKUP(G96,E96:F98,2,0)</f>
        <v>VÍTOR DE LANDABURU MONTESINOS COSTA</v>
      </c>
      <c r="H98" s="101"/>
      <c r="I98" s="101"/>
      <c r="J98" s="101"/>
      <c r="K98" s="190"/>
      <c r="L98" s="29"/>
      <c r="M98" s="35"/>
      <c r="N98" s="29"/>
      <c r="O98" s="188"/>
      <c r="P98" s="29"/>
      <c r="Q98" s="37"/>
      <c r="R98" s="268" t="s">
        <v>37</v>
      </c>
      <c r="S98" s="268"/>
      <c r="T98" s="268"/>
      <c r="U98" s="268"/>
      <c r="V98" s="268"/>
      <c r="W98" s="37"/>
      <c r="X98" s="86"/>
      <c r="Y98" s="198"/>
      <c r="Z98" s="94"/>
      <c r="AA98" s="37"/>
      <c r="AB98" s="29"/>
      <c r="AC98" s="198"/>
      <c r="AD98" s="37"/>
      <c r="AE98" s="100"/>
      <c r="AF98" s="100"/>
      <c r="AG98" s="197">
        <f>IF(AJ98&lt;&gt;"",AJ98,"")</f>
        <v>1</v>
      </c>
      <c r="AH98" s="100" t="str">
        <f>IF(AJ98&lt;&gt;"",IF(AK98="","",AK98),"")</f>
        <v>GHAEL DOS SANTOS PERES</v>
      </c>
      <c r="AI98" s="145" t="str">
        <f>VLOOKUP(AI96,AG96:AH98,2,0)</f>
        <v>PEDRO OLIVEIRA MACHADO</v>
      </c>
      <c r="AJ98" s="266">
        <v>1</v>
      </c>
      <c r="AK98" s="169" t="str">
        <f>IF('11M GRP'!G5&gt;=3,'11M GRP'!J87,IF('11M GRP'!G5=2,"",IF('11M GRP'!G5=1,"","")))</f>
        <v>GHAEL DOS SANTOS PERES</v>
      </c>
      <c r="AL98" s="29">
        <v>6</v>
      </c>
      <c r="AN98" s="23"/>
      <c r="AO98" s="23"/>
      <c r="AP98" s="31">
        <f>IF(AR98&lt;&gt;"",1+COUNTIF(AP72:AP97,"1")+COUNTIF(AP72:AP97,"2")+COUNTIF(AP72:AP97,"3")+COUNTIF(AP72:AP97,"4")+COUNTIF(AP72:AP97,"5")+COUNTIF(AP72:AP97,"6")+COUNTIF(AP72:AP97,"7")+COUNTIF(AP72:AP97,"8")+COUNTIF(AP72:AP97,"9")+COUNTIF(AP72:AP97,"10")+COUNTIF(AP72:AP97,"11")+COUNTIF(AP72:AP97,"12")+COUNTIF(AP72:AP97,"13")+COUNTIF(AP72:AP97,"14")+COUNTIF(AP72:AP97,"15")+COUNTIF(AP72:AP97,"16")+COUNTIF(AP72:AP97,"17")+COUNTIF(AP72:AP97,"18")+COUNTIF(AP72:AP97,"19")+COUNTIF(AP72:AP97,"20")+COUNTIF(AP72:AP97,"21")+COUNTIF(AP72:AP97,"22")+COUNTIF(AP72:AP97,"23")+COUNTIF(AP72:AP97,"24")+COUNTIF(AP72:AP97,"25")+COUNTIF(AP72:AP97,"26"),"")</f>
        <v>27</v>
      </c>
      <c r="AQ98" s="32" t="str">
        <f t="shared" si="3"/>
        <v>LUGAR</v>
      </c>
      <c r="AR98" s="111" t="str">
        <f>IF(AR82&lt;&gt;"",IF(C72=AR82,G74,IF(C74=AR82,G74,IF(C80=AR82,G82,IF(C82=AR82,G82,IF(C102=AR82,G104,IF(C104=AR82,G104,IF(C110=AR82,G112,IF(C112=AR82,G112,IF(C88=AR82,G90,IF(C90=AR82,G90,IF(C96=AR82,G98,IF(C98=AR82,G98,IF(C118=AR82,G120,IF(C120=AR82,G120,IF(C126=AR82,G128,IF(C128=AR82,G128,IF(AK72=AR82,AI74,IF(AK74=AR82,AI74,IF(AK80=AR82,AI82,IF(AK82=AR82,AI82,IF(AK102=AR82,AI104,IF(AK104=AR82,AI104,IF(AK110=AR82,AI112,IF(AK112=AR82,AI112,IF(AK88=AR82,AI90,IF(AK90=AR82,AI90,IF(AK96=AR82,AI98,IF(AK98=AR82,AI98,IF(AK118=AR82,AI120,IF(AK120=AR82,AI120,IF(AK126=AR82,AI128,IF(AK128=AR82,AI128)))))))))))))))))))))))))))))))),"")</f>
        <v>LUCCA CAPUCHO DOS S SANCHO'</v>
      </c>
      <c r="AS98" s="33" t="str">
        <f>IFERROR(IF(AR98="","",VLOOKUP(AR98,LISTAS!$F$5:$G$1004,2,0)),"0")</f>
        <v>COLEGIO PETROPOLIS</v>
      </c>
      <c r="AT98" s="33">
        <v>102</v>
      </c>
      <c r="AU98" s="33" t="str">
        <f t="shared" si="5"/>
        <v/>
      </c>
    </row>
    <row r="99" spans="2:47" ht="18" customHeight="1" thickBot="1" x14ac:dyDescent="0.3">
      <c r="B99" s="133"/>
      <c r="C99" s="170" t="str">
        <f>IFERROR(IF(C98="","",VLOOKUP(C98,LISTAS!$F$5:$G$1004,2,0)),"0")</f>
        <v>LICEU JARDIM</v>
      </c>
      <c r="D99" s="267"/>
      <c r="E99" s="101"/>
      <c r="F99" s="101"/>
      <c r="G99" s="190"/>
      <c r="H99" s="101"/>
      <c r="I99" s="101"/>
      <c r="J99" s="101"/>
      <c r="K99" s="190"/>
      <c r="L99" s="29"/>
      <c r="M99" s="35"/>
      <c r="N99" s="29"/>
      <c r="O99" s="169" t="str">
        <f>IF(L84&lt;&gt;"",IF(L86&lt;&gt;"",IF(L84=L86,"",IF(L84&gt;L86,K84,K86)),""),"")</f>
        <v>BERNARDO HISSA DOS SANTOS</v>
      </c>
      <c r="P99" s="266">
        <v>1</v>
      </c>
      <c r="Q99" s="37"/>
      <c r="R99" s="189"/>
      <c r="S99" s="84"/>
      <c r="T99" s="84"/>
      <c r="U99" s="84"/>
      <c r="V99" s="189"/>
      <c r="W99" s="37"/>
      <c r="X99" s="266">
        <v>1</v>
      </c>
      <c r="Y99" s="169" t="str">
        <f>IF(AB84&lt;&gt;"",IF(AB86&lt;&gt;"",IF(AB84=AB86,"",IF(AB84&gt;AB86,AC84,AC86)),""),"")</f>
        <v>HEITOR SOARES CAVALCANTE</v>
      </c>
      <c r="Z99" s="94"/>
      <c r="AA99" s="37"/>
      <c r="AB99" s="29"/>
      <c r="AC99" s="198"/>
      <c r="AD99" s="37"/>
      <c r="AE99" s="100"/>
      <c r="AF99" s="100"/>
      <c r="AG99" s="197"/>
      <c r="AH99" s="100"/>
      <c r="AI99" s="101"/>
      <c r="AJ99" s="267"/>
      <c r="AK99" s="170" t="str">
        <f>IFERROR(IF(AK98="","",VLOOKUP(AK98,LISTAS!$F$5:$G$1004,2,0)),"0")</f>
        <v>COLÉGIO ARBOS - UNIDADE SANTO ANDRÉ</v>
      </c>
      <c r="AL99" s="29"/>
      <c r="AM99" s="23"/>
      <c r="AP99" s="31">
        <f>IF(AR99&lt;&gt;"",1+COUNTIF(AP72:AP98,"1")+COUNTIF(AP72:AP98,"2")+COUNTIF(AP72:AP98,"3")+COUNTIF(AP72:AP98,"4")+COUNTIF(AP72:AP98,"5")+COUNTIF(AP72:AP98,"6")+COUNTIF(AP72:AP98,"7")+COUNTIF(AP72:AP98,"8")+COUNTIF(AP72:AP98,"9")+COUNTIF(AP72:AP98,"10")+COUNTIF(AP72:AP98,"11")+COUNTIF(AP72:AP98,"12")+COUNTIF(AP72:AP98,"13")+COUNTIF(AP72:AP98,"14")+COUNTIF(AP72:AP98,"15")+COUNTIF(AP72:AP98,"16")+COUNTIF(AP72:AP98,"17")+COUNTIF(AP72:AP98,"18")+COUNTIF(AP72:AP98,"19")+COUNTIF(AP72:AP98,"20")+COUNTIF(AP72:AP98,"21")+COUNTIF(AP72:AP98,"22")+COUNTIF(AP72:AP98,"23")+COUNTIF(AP72:AP98,"24")+COUNTIF(AP72:AP98,"25")+COUNTIF(AP72:AP98,"26")+COUNTIF(AP72:AP98,"27"),"")</f>
        <v>28</v>
      </c>
      <c r="AQ99" s="32" t="str">
        <f t="shared" si="3"/>
        <v>LUGAR</v>
      </c>
      <c r="AR99" s="111" t="str">
        <f>IF(AR83&lt;&gt;"",IF(C72=AR83,G74,IF(C74=AR83,G74,IF(C80=AR83,G82,IF(C82=AR83,G82,IF(C102=AR83,G104,IF(C104=AR83,G104,IF(C110=AR83,G112,IF(C112=AR83,G112,IF(C88=AR83,G90,IF(C90=AR83,G90,IF(C96=AR83,G98,IF(C98=AR83,G98,IF(C118=AR83,G120,IF(C120=AR83,G120,IF(C126=AR83,G128,IF(C128=AR83,G128,IF(AK72=AR83,AI74,IF(AK74=AR83,AI74,IF(AK80=AR83,AI82,IF(AK82=AR83,AI82,IF(AK102=AR83,AI104,IF(AK104=AR83,AI104,IF(AK110=AR83,AI112,IF(AK112=AR83,AI112,IF(AK88=AR83,AI90,IF(AK90=AR83,AI90,IF(AK96=AR83,AI98,IF(AK98=AR83,AI98,IF(AK118=AR83,AI120,IF(AK120=AR83,AI120,IF(AK126=AR83,AI128,IF(AK128=AR83,AI128)))))))))))))))))))))))))))))))),"")</f>
        <v>ARTHUR SCAQUETTI SCARFONE</v>
      </c>
      <c r="AS99" s="33" t="str">
        <f>IFERROR(IF(AR99="","",VLOOKUP(AR99,LISTAS!$F$5:$G$1004,2,0)),"0")</f>
        <v>ABACO IPIRANGA</v>
      </c>
      <c r="AT99" s="33">
        <v>102</v>
      </c>
      <c r="AU99" s="33" t="str">
        <f t="shared" si="5"/>
        <v/>
      </c>
    </row>
    <row r="100" spans="2:47" ht="18" customHeight="1" thickBot="1" x14ac:dyDescent="0.3">
      <c r="B100" s="133"/>
      <c r="C100" s="188"/>
      <c r="D100" s="29"/>
      <c r="E100" s="101"/>
      <c r="F100" s="101"/>
      <c r="G100" s="190"/>
      <c r="H100" s="101"/>
      <c r="I100" s="101"/>
      <c r="J100" s="101"/>
      <c r="K100" s="190"/>
      <c r="L100" s="29"/>
      <c r="M100" s="35"/>
      <c r="N100" s="29"/>
      <c r="O100" s="170" t="str">
        <f>IFERROR(IF(O99="","",VLOOKUP(O99,LISTAS!$F$5:$G$1004,2,0)),"0")</f>
        <v>ABACO IPIRANGA</v>
      </c>
      <c r="P100" s="267"/>
      <c r="Q100" s="37"/>
      <c r="R100" s="169" t="str">
        <f>IF(P99&lt;&gt;"",IF(P101&lt;&gt;"",IF(P99=P101,"",IF(P99&gt;P101,O99,O101)),""),"")</f>
        <v>BERNARDO HISSA DOS SANTOS</v>
      </c>
      <c r="S100" s="266">
        <v>1</v>
      </c>
      <c r="T100" s="269" t="s">
        <v>38</v>
      </c>
      <c r="U100" s="266">
        <v>0</v>
      </c>
      <c r="V100" s="169" t="str">
        <f>IF(X99&lt;&gt;"",IF(X101&lt;&gt;"",IF(X99=X101,"",IF(X99&gt;X101,Y99,Y101)),""),"")</f>
        <v>HEITOR SOARES CAVALCANTE</v>
      </c>
      <c r="W100" s="141"/>
      <c r="X100" s="267"/>
      <c r="Y100" s="170" t="str">
        <f>IFERROR(IF(Y99="","",VLOOKUP(Y99,LISTAS!$F$5:$G$1004,2,0)),"0")</f>
        <v>COLÉGIO ARBOS SÃO CAETANO DO SUL</v>
      </c>
      <c r="Z100" s="141"/>
      <c r="AA100" s="37"/>
      <c r="AB100" s="29"/>
      <c r="AC100" s="198"/>
      <c r="AD100" s="37"/>
      <c r="AE100" s="100"/>
      <c r="AF100" s="100"/>
      <c r="AG100" s="197"/>
      <c r="AH100" s="100"/>
      <c r="AI100" s="100"/>
      <c r="AJ100" s="29"/>
      <c r="AK100" s="188"/>
      <c r="AL100" s="29"/>
      <c r="AP100" s="31">
        <f>IF(AR100&lt;&gt;"",1+COUNTIF(AP72:AP99,"1")+COUNTIF(AP72:AP99,"2")+COUNTIF(AP72:AP99,"3")+COUNTIF(AP72:AP99,"4")+COUNTIF(AP72:AP99,"5")+COUNTIF(AP72:AP99,"6")+COUNTIF(AP72:AP99,"7")+COUNTIF(AP72:AP99,"8")+COUNTIF(AP72:AP99,"9")+COUNTIF(AP72:AP99,"10")+COUNTIF(AP72:AP99,"11")+COUNTIF(AP72:AP99,"12")+COUNTIF(AP72:AP99,"13")+COUNTIF(AP72:AP99,"14")+COUNTIF(AP72:AP99,"15")+COUNTIF(AP72:AP99,"16")+COUNTIF(AP72:AP99,"17")+COUNTIF(AP72:AP99,"18")+COUNTIF(AP72:AP99,"19")+COUNTIF(AP72:AP99,"20")+COUNTIF(AP72:AP99,"21")+COUNTIF(AP72:AP99,"22")+COUNTIF(AP72:AP99,"23")+COUNTIF(AP72:AP99,"24")+COUNTIF(AP72:AP99,"25")+COUNTIF(AP72:AP99,"26")+COUNTIF(AP72:AP99,"27")+COUNTIF(AP72:AP99,"28"),"")</f>
        <v>29</v>
      </c>
      <c r="AQ100" s="32" t="str">
        <f t="shared" si="3"/>
        <v>LUGAR</v>
      </c>
      <c r="AR100" s="111" t="str">
        <f>IF(AR84&lt;&gt;"",IF(C72=AR84,G74,IF(C74=AR84,G74,IF(C80=AR84,G82,IF(C82=AR84,G82,IF(C102=AR84,G104,IF(C104=AR84,G104,IF(C110=AR84,G112,IF(C112=AR84,G112,IF(C88=AR84,G90,IF(C90=AR84,G90,IF(C96=AR84,G98,IF(C98=AR84,G98,IF(C118=AR84,G120,IF(C120=AR84,G120,IF(C126=AR84,G128,IF(C128=AR84,G128,IF(AK72=AR84,AI74,IF(AK74=AR84,AI74,IF(AK80=AR84,AI82,IF(AK82=AR84,AI82,IF(AK102=AR84,AI104,IF(AK104=AR84,AI104,IF(AK110=AR84,AI112,IF(AK112=AR84,AI112,IF(AK88=AR84,AI90,IF(AK90=AR84,AI90,IF(AK96=AR84,AI98,IF(AK98=AR84,AI98,IF(AK118=AR84,AI120,IF(AK120=AR84,AI120,IF(AK126=AR84,AI128,IF(AK128=AR84,AI128)))))))))))))))))))))))))))))))),"")</f>
        <v>THEO GUEDES RIBEIRO</v>
      </c>
      <c r="AS100" s="33" t="str">
        <f>IFERROR(IF(AR100="","",VLOOKUP(AR100,LISTAS!$F$5:$G$1004,2,0)),"0")</f>
        <v>EXTERNATO SANTO ANTONIO</v>
      </c>
      <c r="AT100" s="33">
        <v>102</v>
      </c>
      <c r="AU100" s="33" t="str">
        <f t="shared" si="5"/>
        <v/>
      </c>
    </row>
    <row r="101" spans="2:47" ht="18" customHeight="1" thickBot="1" x14ac:dyDescent="0.3">
      <c r="B101" s="133"/>
      <c r="C101" s="188"/>
      <c r="D101" s="29"/>
      <c r="E101" s="101"/>
      <c r="F101" s="101"/>
      <c r="G101" s="190"/>
      <c r="H101" s="101"/>
      <c r="I101" s="101"/>
      <c r="J101" s="101"/>
      <c r="K101" s="190"/>
      <c r="L101" s="29"/>
      <c r="M101" s="35"/>
      <c r="N101" s="36"/>
      <c r="O101" s="169" t="str">
        <f>IF(L114&lt;&gt;"",IF(L116&lt;&gt;"",IF(L114=L116,"",IF(L114&gt;L116,K114,K116)),""),"")</f>
        <v>BERNARDO FERREIRA FIGUEIREDO</v>
      </c>
      <c r="P101" s="266">
        <v>0</v>
      </c>
      <c r="Q101" s="97"/>
      <c r="R101" s="170" t="str">
        <f>IFERROR(IF(R100="","",VLOOKUP(R100,LISTAS!$F$5:$G$1004,2,0)),"0")</f>
        <v>ABACO IPIRANGA</v>
      </c>
      <c r="S101" s="267"/>
      <c r="T101" s="269"/>
      <c r="U101" s="267"/>
      <c r="V101" s="170" t="str">
        <f>IFERROR(IF(V100="","",VLOOKUP(V100,LISTAS!$F$5:$G$1004,2,0)),"0")</f>
        <v>COLÉGIO ARBOS SÃO CAETANO DO SUL</v>
      </c>
      <c r="W101" s="98"/>
      <c r="X101" s="266">
        <v>0</v>
      </c>
      <c r="Y101" s="169" t="str">
        <f>IF(AB114&lt;&gt;"",IF(AB116&lt;&gt;"",IF(AB114=AB116,"",IF(AB114&gt;AB116,AC114,AC116)),""),"")</f>
        <v>LUCA YUJI VOLPE FUGITA</v>
      </c>
      <c r="Z101" s="98"/>
      <c r="AA101" s="37"/>
      <c r="AB101" s="29"/>
      <c r="AC101" s="198"/>
      <c r="AD101" s="37"/>
      <c r="AE101" s="100"/>
      <c r="AF101" s="100"/>
      <c r="AG101" s="197"/>
      <c r="AH101" s="100"/>
      <c r="AI101" s="100"/>
      <c r="AJ101" s="29"/>
      <c r="AK101" s="188"/>
      <c r="AL101" s="29"/>
      <c r="AP101" s="31">
        <f>IF(AR101&lt;&gt;"",1+COUNTIF(AP72:AP100,"1")+COUNTIF(AP72:AP100,"2")+COUNTIF(AP72:AP100,"3")+COUNTIF(AP72:AP100,"4")+COUNTIF(AP72:AP100,"5")+COUNTIF(AP72:AP100,"6")+COUNTIF(AP72:AP100,"7")+COUNTIF(AP72:AP100,"8")+COUNTIF(AP72:AP100,"9")+COUNTIF(AP72:AP100,"10")+COUNTIF(AP72:AP100,"11")+COUNTIF(AP72:AP100,"12")+COUNTIF(AP72:AP100,"13")+COUNTIF(AP72:AP100,"14")+COUNTIF(AP72:AP100,"15")+COUNTIF(AP72:AP100,"16")+COUNTIF(AP72:AP100,"17")+COUNTIF(AP72:AP100,"18")+COUNTIF(AP72:AP100,"19")+COUNTIF(AP72:AP100,"20")+COUNTIF(AP72:AP100,"21")+COUNTIF(AP72:AP100,"22")+COUNTIF(AP72:AP100,"23")+COUNTIF(AP72:AP100,"24")+COUNTIF(AP72:AP100,"25")+COUNTIF(AP72:AP100,"26")+COUNTIF(AP72:AP100,"27")+COUNTIF(AP72:AP100,"28")+COUNTIF(AP72:AP100,"29"),"")</f>
        <v>30</v>
      </c>
      <c r="AQ101" s="32" t="str">
        <f t="shared" si="3"/>
        <v>LUGAR</v>
      </c>
      <c r="AR101" s="111" t="str">
        <f>IF(AR85&lt;&gt;"",IF(C72=AR85,G74,IF(C74=AR85,G74,IF(C80=AR85,G82,IF(C82=AR85,G82,IF(C102=AR85,G104,IF(C104=AR85,G104,IF(C110=AR85,G112,IF(C112=AR85,G112,IF(C88=AR85,G90,IF(C90=AR85,G90,IF(C96=AR85,G98,IF(C98=AR85,G98,IF(C118=AR85,G120,IF(C120=AR85,G120,IF(C126=AR85,G128,IF(C128=AR85,G128,IF(AK72=AR85,AI74,IF(AK74=AR85,AI74,IF(AK80=AR85,AI82,IF(AK82=AR85,AI82,IF(AK102=AR85,AI104,IF(AK104=AR85,AI104,IF(AK110=AR85,AI112,IF(AK112=AR85,AI112,IF(AK88=AR85,AI90,IF(AK90=AR85,AI90,IF(AK96=AR85,AI98,IF(AK98=AR85,AI98,IF(AK118=AR85,AI120,IF(AK120=AR85,AI120,IF(AK126=AR85,AI128,IF(AK128=AR85,AI128)))))))))))))))))))))))))))))))),"")</f>
        <v>Lorenzo Segalla Gama</v>
      </c>
      <c r="AS101" s="33" t="str">
        <f>IFERROR(IF(AR101="","",VLOOKUP(AR101,LISTAS!$F$5:$G$1004,2,0)),"0")</f>
        <v>ESCOLA INTERAÇÃO</v>
      </c>
      <c r="AT101" s="33">
        <v>102</v>
      </c>
      <c r="AU101" s="33" t="str">
        <f t="shared" si="5"/>
        <v/>
      </c>
    </row>
    <row r="102" spans="2:47" ht="18" customHeight="1" thickBot="1" x14ac:dyDescent="0.3">
      <c r="B102" s="133">
        <v>5</v>
      </c>
      <c r="C102" s="169" t="str">
        <f>IF('11M GRP'!G5&gt;=3,'11M GRP'!J74,IF('11M GRP'!G5=2,"",IF('11M GRP'!G5=1,"","")))</f>
        <v>BERNARDO FERREIRA FIGUEIREDO</v>
      </c>
      <c r="D102" s="266">
        <v>1</v>
      </c>
      <c r="E102" s="101">
        <f>IF(D102&lt;&gt;"",D102,"")</f>
        <v>1</v>
      </c>
      <c r="F102" s="101" t="str">
        <f>IF(D102&lt;&gt;"",IF(C102="","",C102),"")</f>
        <v>BERNARDO FERREIRA FIGUEIREDO</v>
      </c>
      <c r="G102" s="190">
        <f>IF(E102&lt;&gt;"",IF(E104&lt;&gt;"",SMALL(E102:E104,1),""),"")</f>
        <v>0</v>
      </c>
      <c r="H102" s="101"/>
      <c r="I102" s="101"/>
      <c r="J102" s="101"/>
      <c r="K102" s="190"/>
      <c r="L102" s="101"/>
      <c r="M102" s="138"/>
      <c r="N102" s="100"/>
      <c r="O102" s="170" t="str">
        <f>IFERROR(IF(O101="","",VLOOKUP(O101,LISTAS!$F$5:$G$1004,2,0)),"0")</f>
        <v>ABACO IPIRANGA</v>
      </c>
      <c r="P102" s="267"/>
      <c r="Q102" s="85"/>
      <c r="R102" s="198"/>
      <c r="S102" s="37"/>
      <c r="T102" s="37"/>
      <c r="U102" s="37"/>
      <c r="V102" s="198"/>
      <c r="W102" s="37"/>
      <c r="X102" s="267"/>
      <c r="Y102" s="170" t="str">
        <f>IFERROR(IF(Y101="","",VLOOKUP(Y101,LISTAS!$F$5:$G$1004,2,0)),"0")</f>
        <v>COLEGIO PETROPOLIS</v>
      </c>
      <c r="Z102" s="94"/>
      <c r="AA102" s="37"/>
      <c r="AB102" s="29"/>
      <c r="AC102" s="198"/>
      <c r="AD102" s="37"/>
      <c r="AE102" s="100"/>
      <c r="AF102" s="100"/>
      <c r="AG102" s="197">
        <f>IF(AJ102&lt;&gt;"",AJ102,"")</f>
        <v>0</v>
      </c>
      <c r="AH102" s="100" t="str">
        <f>IF(AJ102&lt;&gt;"",IF(AK102="","",AK102),"")</f>
        <v>LORENZO MIGUEL DA SILVA BERTTI</v>
      </c>
      <c r="AI102" s="101">
        <f>IF(AG102&lt;&gt;"",IF(AG104&lt;&gt;"",SMALL(AG102:AG104,1),""),"")</f>
        <v>0</v>
      </c>
      <c r="AJ102" s="266">
        <v>0</v>
      </c>
      <c r="AK102" s="169" t="str">
        <f>IF('11M GRP'!G5&gt;=3,'11M GRP'!J100,IF('11M GRP'!G5=2,"",IF('11M GRP'!G5=1,"","")))</f>
        <v>LORENZO MIGUEL DA SILVA BERTTI</v>
      </c>
      <c r="AL102" s="29">
        <v>7</v>
      </c>
      <c r="AP102" s="31">
        <f>IF(AR102&lt;&gt;"",1+COUNTIF(AP72:AP101,"1")+COUNTIF(AP72:AP101,"2")+COUNTIF(AP72:AP101,"3")+COUNTIF(AP72:AP101,"4")+COUNTIF(AP72:AP101,"5")+COUNTIF(AP72:AP101,"6")+COUNTIF(AP72:AP101,"7")+COUNTIF(AP72:AP101,"8")+COUNTIF(AP72:AP101,"9")+COUNTIF(AP72:AP101,"10")+COUNTIF(AP72:AP101,"11")+COUNTIF(AP72:AP101,"12")+COUNTIF(AP72:AP101,"13")+COUNTIF(AP72:AP101,"14")+COUNTIF(AP72:AP101,"15")+COUNTIF(AP72:AP101,"16")+COUNTIF(AP72:AP101,"17")+COUNTIF(AP72:AP101,"18")+COUNTIF(AP72:AP101,"19")+COUNTIF(AP72:AP101,"20")+COUNTIF(AP72:AP101,"21")+COUNTIF(AP72:AP101,"22")+COUNTIF(AP72:AP101,"23")+COUNTIF(AP72:AP101,"24")+COUNTIF(AP72:AP101,"25")+COUNTIF(AP72:AP101,"26")+COUNTIF(AP72:AP101,"27")+COUNTIF(AP72:AP101,"28")+COUNTIF(AP72:AP101,"29")+COUNTIF(AP72:AP101,"30"),"")</f>
        <v>31</v>
      </c>
      <c r="AQ102" s="32" t="str">
        <f t="shared" si="3"/>
        <v>LUGAR</v>
      </c>
      <c r="AR102" s="111" t="str">
        <f>IF(AR86&lt;&gt;"",IF(C72=AR86,G74,IF(C74=AR86,G74,IF(C80=AR86,G82,IF(C82=AR86,G82,IF(C102=AR86,G104,IF(C104=AR86,G104,IF(C110=AR86,G112,IF(C112=AR86,G112,IF(C88=AR86,G90,IF(C90=AR86,G90,IF(C96=AR86,G98,IF(C98=AR86,G98,IF(C118=AR86,G120,IF(C120=AR86,G120,IF(C126=AR86,G128,IF(C128=AR86,G128,IF(AK72=AR86,AI74,IF(AK74=AR86,AI74,IF(AK80=AR86,AI82,IF(AK82=AR86,AI82,IF(AK102=AR86,AI104,IF(AK104=AR86,AI104,IF(AK110=AR86,AI112,IF(AK112=AR86,AI112,IF(AK88=AR86,AI90,IF(AK90=AR86,AI90,IF(AK96=AR86,AI98,IF(AK98=AR86,AI98,IF(AK118=AR86,AI120,IF(AK120=AR86,AI120,IF(AK126=AR86,AI128,IF(AK128=AR86,AI128)))))))))))))))))))))))))))))))),"")</f>
        <v>GUSTAVO FONSECA ROSSI</v>
      </c>
      <c r="AS102" s="33" t="str">
        <f>IFERROR(IF(AR102="","",VLOOKUP(AR102,LISTAS!$F$5:$G$1004,2,0)),"0")</f>
        <v>COLÉGIO ARBOS - UNIDADE SANTO ANDRÉ</v>
      </c>
      <c r="AT102" s="33">
        <v>102</v>
      </c>
      <c r="AU102" s="33" t="str">
        <f t="shared" si="5"/>
        <v/>
      </c>
    </row>
    <row r="103" spans="2:47" ht="18" customHeight="1" thickBot="1" x14ac:dyDescent="0.3">
      <c r="B103" s="133"/>
      <c r="C103" s="170" t="str">
        <f>IFERROR(IF(C102="","",VLOOKUP(C102,LISTAS!$F$5:$G$1004,2,0)),"0")</f>
        <v>ABACO IPIRANGA</v>
      </c>
      <c r="D103" s="267"/>
      <c r="E103" s="101"/>
      <c r="F103" s="101"/>
      <c r="G103" s="190"/>
      <c r="H103" s="101"/>
      <c r="I103" s="101"/>
      <c r="J103" s="101"/>
      <c r="K103" s="190"/>
      <c r="L103" s="101"/>
      <c r="M103" s="138"/>
      <c r="N103" s="100"/>
      <c r="O103" s="197"/>
      <c r="P103" s="100"/>
      <c r="Q103" s="85"/>
      <c r="R103" s="198"/>
      <c r="S103" s="37"/>
      <c r="T103" s="37"/>
      <c r="U103" s="37"/>
      <c r="V103" s="198"/>
      <c r="W103" s="37"/>
      <c r="X103" s="86"/>
      <c r="Y103" s="198"/>
      <c r="Z103" s="94"/>
      <c r="AA103" s="37"/>
      <c r="AB103" s="29"/>
      <c r="AC103" s="198"/>
      <c r="AD103" s="37"/>
      <c r="AE103" s="100"/>
      <c r="AF103" s="100"/>
      <c r="AG103" s="197"/>
      <c r="AH103" s="100"/>
      <c r="AI103" s="101"/>
      <c r="AJ103" s="267"/>
      <c r="AK103" s="170" t="str">
        <f>IFERROR(IF(AK102="","",VLOOKUP(AK102,LISTAS!$F$5:$G$1004,2,0)),"0")</f>
        <v>COLÉGIO ARBOS - UNIDADE SANTO ANDRÉ</v>
      </c>
      <c r="AL103" s="29"/>
      <c r="AP103" s="31">
        <f>IF(AR103&lt;&gt;"",1+COUNTIF(AP72:AP102,"1")+COUNTIF(AP72:AP102,"2")+COUNTIF(AP72:AP102,"3")+COUNTIF(AP72:AP102,"4")+COUNTIF(AP72:AP102,"5")+COUNTIF(AP72:AP102,"6")+COUNTIF(AP72:AP102,"7")+COUNTIF(AP72:AP102,"8")+COUNTIF(AP72:AP102,"9")+COUNTIF(AP72:AP102,"10")+COUNTIF(AP72:AP102,"11")+COUNTIF(AP72:AP102,"12")+COUNTIF(AP72:AP102,"13")+COUNTIF(AP72:AP102,"14")+COUNTIF(AP72:AP102,"15")+COUNTIF(AP72:AP102,"16")+COUNTIF(AP72:AP102,"17")+COUNTIF(AP72:AP102,"18")+COUNTIF(AP72:AP102,"19")+COUNTIF(AP72:AP102,"20")+COUNTIF(AP72:AP102,"21")+COUNTIF(AP72:AP102,"22")+COUNTIF(AP72:AP102,"23")+COUNTIF(AP72:AP102,"24")+COUNTIF(AP72:AP102,"25")+COUNTIF(AP72:AP102,"26")+COUNTIF(AP72:AP102,"27")+COUNTIF(AP72:AP102,"28")+COUNTIF(AP72:AP102,"29")+COUNTIF(AP72:AP102,"30")+COUNTIF(AP72:AP102,"31"),"")</f>
        <v>32</v>
      </c>
      <c r="AQ103" s="32" t="str">
        <f t="shared" si="3"/>
        <v>LUGAR</v>
      </c>
      <c r="AR103" s="111" t="str">
        <f>IF(AR87&lt;&gt;"",IF(C72=AR87,G74,IF(C74=AR87,G74,IF(C80=AR87,G82,IF(C82=AR87,G82,IF(C102=AR87,G104,IF(C104=AR87,G104,IF(C110=AR87,G112,IF(C112=AR87,G112,IF(C88=AR87,G90,IF(C90=AR87,G90,IF(C96=AR87,G98,IF(C98=AR87,G98,IF(C118=AR87,G120,IF(C120=AR87,G120,IF(C126=AR87,G128,IF(C128=AR87,G128,IF(AK72=AR87,AI74,IF(AK74=AR87,AI74,IF(AK80=AR87,AI82,IF(AK82=AR87,AI82,IF(AK102=AR87,AI104,IF(AK104=AR87,AI104,IF(AK110=AR87,AI112,IF(AK112=AR87,AI112,IF(AK88=AR87,AI90,IF(AK90=AR87,AI90,IF(AK96=AR87,AI98,IF(AK98=AR87,AI98,IF(AK118=AR87,AI120,IF(AK120=AR87,AI120,IF(AK126=AR87,AI128,IF(AK128=AR87,AI128)))))))))))))))))))))))))))))))),"")</f>
        <v>LORENZO MIGUEL DA SILVA BERTTI</v>
      </c>
      <c r="AS103" s="33" t="str">
        <f>IFERROR(IF(AR103="","",VLOOKUP(AR103,LISTAS!$F$5:$G$1004,2,0)),"0")</f>
        <v>COLÉGIO ARBOS - UNIDADE SANTO ANDRÉ</v>
      </c>
      <c r="AT103" s="33">
        <v>102</v>
      </c>
      <c r="AU103" s="33" t="str">
        <f>IF(AP103="","",IF($AS$5="NÃO","",IF(AP103=1,180,IF(AP103=2,170,IF(AP103=3,150,IF(AP103=4,140,IF(AP103=5,135,IF(AP103=6,130,IF(AP103=7,120,IF(AP103=8,110,IF(AP103=9,105,IF(AP103=10,105,IF(AP103=11,105,IF(AP103=12,105,IF(AP103=13,105,IF(AP103=14,105,IF(AP103=15,105,IF(AP103=16,105,IF(AP103&gt;16,"","")))))))))))))))))))</f>
        <v/>
      </c>
    </row>
    <row r="104" spans="2:47" ht="18" customHeight="1" x14ac:dyDescent="0.25">
      <c r="B104" s="133">
        <v>28</v>
      </c>
      <c r="C104" s="33" t="s">
        <v>219</v>
      </c>
      <c r="D104" s="266">
        <v>0</v>
      </c>
      <c r="E104" s="107">
        <f>IF(D104&lt;&gt;"",D104,"")</f>
        <v>0</v>
      </c>
      <c r="F104" s="101" t="str">
        <f>IF(D104&lt;&gt;"",IF(C104="","",C104),"")</f>
        <v>BENÍCIO MELLO BRITO</v>
      </c>
      <c r="G104" s="190" t="str">
        <f>VLOOKUP(G102,E102:F104,2,0)</f>
        <v>BENÍCIO MELLO BRITO</v>
      </c>
      <c r="H104" s="101"/>
      <c r="I104" s="101"/>
      <c r="J104" s="101"/>
      <c r="K104" s="190"/>
      <c r="L104" s="101"/>
      <c r="M104" s="138"/>
      <c r="N104" s="101">
        <f>IF(P99&lt;&gt;"",P99,"")</f>
        <v>1</v>
      </c>
      <c r="O104" s="190" t="str">
        <f>IF(P99&lt;&gt;"",O99,"")</f>
        <v>BERNARDO HISSA DOS SANTOS</v>
      </c>
      <c r="P104" s="101">
        <f>IF(N104&lt;&gt;"",IF(N106&lt;&gt;"",LARGE(N104:N106,1),""),"")</f>
        <v>1</v>
      </c>
      <c r="Q104" s="88"/>
      <c r="R104" s="199"/>
      <c r="S104" s="37"/>
      <c r="T104" s="37"/>
      <c r="U104" s="37"/>
      <c r="V104" s="198"/>
      <c r="W104" s="37"/>
      <c r="X104" s="86"/>
      <c r="Y104" s="198"/>
      <c r="Z104" s="94"/>
      <c r="AA104" s="37"/>
      <c r="AB104" s="29"/>
      <c r="AC104" s="198"/>
      <c r="AD104" s="37"/>
      <c r="AE104" s="100"/>
      <c r="AF104" s="100"/>
      <c r="AG104" s="197">
        <f>IF(AJ104&lt;&gt;"",AJ104,"")</f>
        <v>1</v>
      </c>
      <c r="AH104" s="100" t="str">
        <f>IF(AJ104&lt;&gt;"",IF(AK104="","",AK104),"")</f>
        <v>PEDRO PICHELLI ZUCHETTO</v>
      </c>
      <c r="AI104" s="102" t="str">
        <f>VLOOKUP(AI102,AG102:AH104,2,0)</f>
        <v>LORENZO MIGUEL DA SILVA BERTTI</v>
      </c>
      <c r="AJ104" s="266">
        <v>1</v>
      </c>
      <c r="AK104" s="33" t="s">
        <v>346</v>
      </c>
      <c r="AL104" s="29">
        <v>26</v>
      </c>
      <c r="AP104" s="31">
        <v>33</v>
      </c>
      <c r="AQ104" s="32" t="str">
        <f t="shared" ref="AQ104:AQ117" si="6">IF(AP104&lt;&gt;"","LUGAR","")</f>
        <v>LUGAR</v>
      </c>
      <c r="AR104" s="111" t="s">
        <v>716</v>
      </c>
      <c r="AS104" s="33" t="s">
        <v>717</v>
      </c>
      <c r="AT104" s="33">
        <v>102</v>
      </c>
      <c r="AU104" s="33" t="str">
        <f t="shared" ref="AU104:AU117" si="7">IF(AP104="","",IF($AS$5="NÃO","",IF(AP104=1,180,IF(AP104=2,170,IF(AP104=3,150,IF(AP104=4,140,IF(AP104=5,135,IF(AP104=6,130,IF(AP104=7,120,IF(AP104=8,110,IF(AP104=9,105,IF(AP104=10,105,IF(AP104=11,105,IF(AP104=12,105,IF(AP104=13,105,IF(AP104=14,105,IF(AP104=15,105,IF(AP104=16,105,IF(AP104&gt;16,"","")))))))))))))))))))</f>
        <v/>
      </c>
    </row>
    <row r="105" spans="2:47" ht="18" customHeight="1" thickBot="1" x14ac:dyDescent="0.3">
      <c r="B105" s="133"/>
      <c r="C105" s="170" t="str">
        <f>IFERROR(IF(C104="","",VLOOKUP(C104,LISTAS!$F$5:$G$1004,2,0)),"0")</f>
        <v>COLEGIO PETROPOLIS</v>
      </c>
      <c r="D105" s="267"/>
      <c r="E105" s="148"/>
      <c r="F105" s="101"/>
      <c r="G105" s="190"/>
      <c r="H105" s="101"/>
      <c r="I105" s="101"/>
      <c r="J105" s="101"/>
      <c r="K105" s="190"/>
      <c r="L105" s="101"/>
      <c r="M105" s="138"/>
      <c r="N105" s="101"/>
      <c r="O105" s="190"/>
      <c r="P105" s="101"/>
      <c r="Q105" s="88"/>
      <c r="R105" s="199"/>
      <c r="S105" s="37"/>
      <c r="T105" s="37"/>
      <c r="U105" s="37"/>
      <c r="V105" s="198"/>
      <c r="W105" s="37"/>
      <c r="X105" s="86"/>
      <c r="Y105" s="198"/>
      <c r="Z105" s="94"/>
      <c r="AA105" s="37"/>
      <c r="AB105" s="29"/>
      <c r="AC105" s="198"/>
      <c r="AD105" s="37"/>
      <c r="AE105" s="100"/>
      <c r="AF105" s="100"/>
      <c r="AG105" s="197"/>
      <c r="AH105" s="100"/>
      <c r="AI105" s="142"/>
      <c r="AJ105" s="267"/>
      <c r="AK105" s="170" t="str">
        <f>IFERROR(IF(AK104="","",VLOOKUP(AK104,LISTAS!$F$5:$G$1004,2,0)),"0")</f>
        <v>COLÉGIO SINGULAR SÃO CAETANO</v>
      </c>
      <c r="AL105" s="29"/>
      <c r="AP105" s="31">
        <v>34</v>
      </c>
      <c r="AQ105" s="32" t="str">
        <f t="shared" si="6"/>
        <v>LUGAR</v>
      </c>
      <c r="AR105" s="111" t="s">
        <v>718</v>
      </c>
      <c r="AS105" s="33" t="s">
        <v>719</v>
      </c>
      <c r="AT105" s="33">
        <v>102</v>
      </c>
      <c r="AU105" s="33" t="str">
        <f t="shared" si="7"/>
        <v/>
      </c>
    </row>
    <row r="106" spans="2:47" ht="18" customHeight="1" x14ac:dyDescent="0.25">
      <c r="B106" s="133"/>
      <c r="C106" s="188"/>
      <c r="D106" s="29"/>
      <c r="E106" s="29"/>
      <c r="F106" s="34"/>
      <c r="G106" s="169" t="str">
        <f>IF(D102&lt;&gt;"",IF(D104&lt;&gt;"",IF(D102=D104,"",IF(D102&gt;D104,C102,C104)),""),"")</f>
        <v>BERNARDO FERREIRA FIGUEIREDO</v>
      </c>
      <c r="H106" s="266">
        <v>1</v>
      </c>
      <c r="I106" s="101">
        <f>IF(H106&lt;&gt;"",H106,"")</f>
        <v>1</v>
      </c>
      <c r="J106" s="101" t="str">
        <f>IF(H106&lt;&gt;"",IF(G106="","",G106),"")</f>
        <v>BERNARDO FERREIRA FIGUEIREDO</v>
      </c>
      <c r="K106" s="190">
        <f>IF(I106&lt;&gt;"",IF(I108&lt;&gt;"",SMALL(I106:J108,1),""),"")</f>
        <v>0</v>
      </c>
      <c r="L106" s="101"/>
      <c r="M106" s="138"/>
      <c r="N106" s="101">
        <f>IF(P101&lt;&gt;"",P101,"")</f>
        <v>0</v>
      </c>
      <c r="O106" s="190" t="str">
        <f>IF(P101&lt;&gt;"",O101,"")</f>
        <v>BERNARDO FERREIRA FIGUEIREDO</v>
      </c>
      <c r="P106" s="101" t="str">
        <f>VLOOKUP(P104,N104:O106,2,0)</f>
        <v>BERNARDO HISSA DOS SANTOS</v>
      </c>
      <c r="Q106" s="100"/>
      <c r="R106" s="197"/>
      <c r="S106" s="37"/>
      <c r="T106" s="37"/>
      <c r="U106" s="37"/>
      <c r="V106" s="198"/>
      <c r="W106" s="37"/>
      <c r="X106" s="86"/>
      <c r="Y106" s="198"/>
      <c r="Z106" s="94"/>
      <c r="AA106" s="37"/>
      <c r="AB106" s="29"/>
      <c r="AC106" s="198"/>
      <c r="AD106" s="37"/>
      <c r="AE106" s="95"/>
      <c r="AF106" s="266">
        <v>0</v>
      </c>
      <c r="AG106" s="169" t="str">
        <f>IF(AJ102&lt;&gt;"",IF(AJ104&lt;&gt;"",IF(AJ102=AJ104,"",IF(AJ102&gt;AJ104,AK102,AK104)),""),"")</f>
        <v>PEDRO PICHELLI ZUCHETTO</v>
      </c>
      <c r="AH106" s="94"/>
      <c r="AI106" s="37"/>
      <c r="AJ106" s="29"/>
      <c r="AK106" s="188"/>
      <c r="AL106" s="29"/>
      <c r="AP106" s="31">
        <v>35</v>
      </c>
      <c r="AQ106" s="32" t="str">
        <f t="shared" si="6"/>
        <v>LUGAR</v>
      </c>
      <c r="AR106" s="111" t="s">
        <v>720</v>
      </c>
      <c r="AS106" s="33" t="s">
        <v>129</v>
      </c>
      <c r="AT106" s="33">
        <v>102</v>
      </c>
      <c r="AU106" s="33" t="str">
        <f t="shared" si="7"/>
        <v/>
      </c>
    </row>
    <row r="107" spans="2:47" ht="18" customHeight="1" thickBot="1" x14ac:dyDescent="0.3">
      <c r="B107" s="133"/>
      <c r="C107" s="188"/>
      <c r="D107" s="29"/>
      <c r="E107" s="29"/>
      <c r="F107" s="34"/>
      <c r="G107" s="170" t="str">
        <f>IFERROR(IF(G106="","",VLOOKUP(G106,LISTAS!$F$5:$G$1004,2,0)),"0")</f>
        <v>ABACO IPIRANGA</v>
      </c>
      <c r="H107" s="267"/>
      <c r="I107" s="101"/>
      <c r="J107" s="101"/>
      <c r="K107" s="190"/>
      <c r="L107" s="101"/>
      <c r="M107" s="138"/>
      <c r="N107" s="101"/>
      <c r="O107" s="190"/>
      <c r="P107" s="101"/>
      <c r="Q107" s="100"/>
      <c r="R107" s="197"/>
      <c r="S107" s="37"/>
      <c r="T107" s="37"/>
      <c r="U107" s="37"/>
      <c r="V107" s="198"/>
      <c r="W107" s="37"/>
      <c r="X107" s="86"/>
      <c r="Y107" s="198"/>
      <c r="Z107" s="94"/>
      <c r="AA107" s="37"/>
      <c r="AB107" s="29"/>
      <c r="AC107" s="198"/>
      <c r="AD107" s="37"/>
      <c r="AE107" s="95"/>
      <c r="AF107" s="267"/>
      <c r="AG107" s="170" t="str">
        <f>IFERROR(IF(AG106="","",VLOOKUP(AG106,LISTAS!$F$5:$G$1004,2,0)),"0")</f>
        <v>COLÉGIO SINGULAR SÃO CAETANO</v>
      </c>
      <c r="AH107" s="94"/>
      <c r="AI107" s="37"/>
      <c r="AJ107" s="29"/>
      <c r="AK107" s="188"/>
      <c r="AL107" s="29"/>
      <c r="AP107" s="31">
        <v>36</v>
      </c>
      <c r="AQ107" s="32" t="str">
        <f t="shared" si="6"/>
        <v>LUGAR</v>
      </c>
      <c r="AR107" s="111" t="s">
        <v>721</v>
      </c>
      <c r="AS107" s="33" t="s">
        <v>717</v>
      </c>
      <c r="AT107" s="33">
        <v>102</v>
      </c>
      <c r="AU107" s="33" t="str">
        <f t="shared" si="7"/>
        <v/>
      </c>
    </row>
    <row r="108" spans="2:47" ht="18" customHeight="1" x14ac:dyDescent="0.25">
      <c r="B108" s="133"/>
      <c r="C108" s="188"/>
      <c r="D108" s="29"/>
      <c r="E108" s="35"/>
      <c r="F108" s="36"/>
      <c r="G108" s="169" t="str">
        <f>IF(D110&lt;&gt;"",IF(D112&lt;&gt;"",IF(D110=D112,"",IF(D110&gt;D112,C110,C112)),""),"")</f>
        <v>GAEL EGAMI</v>
      </c>
      <c r="H108" s="266">
        <v>0</v>
      </c>
      <c r="I108" s="107">
        <f>IF(H108&lt;&gt;"",H108,"")</f>
        <v>0</v>
      </c>
      <c r="J108" s="101" t="str">
        <f>IF(H108&lt;&gt;"",IF(G108="","",G108),"")</f>
        <v>GAEL EGAMI</v>
      </c>
      <c r="K108" s="190" t="str">
        <f>VLOOKUP(K106,I106:J108,2,0)</f>
        <v>GAEL EGAMI</v>
      </c>
      <c r="L108" s="101"/>
      <c r="M108" s="138"/>
      <c r="N108" s="101">
        <f>IF(P99&lt;&gt;"",P99,"")</f>
        <v>1</v>
      </c>
      <c r="O108" s="190" t="str">
        <f>IF(P99&lt;&gt;"",O99,"")</f>
        <v>BERNARDO HISSA DOS SANTOS</v>
      </c>
      <c r="P108" s="101">
        <f>IF(N108&lt;&gt;"",IF(N110&lt;&gt;"",SMALL(N108:N110,1),""),"")</f>
        <v>0</v>
      </c>
      <c r="Q108" s="100"/>
      <c r="R108" s="197"/>
      <c r="S108" s="37"/>
      <c r="T108" s="37"/>
      <c r="U108" s="37"/>
      <c r="V108" s="198"/>
      <c r="W108" s="37"/>
      <c r="X108" s="86"/>
      <c r="Y108" s="198"/>
      <c r="Z108" s="94"/>
      <c r="AA108" s="37"/>
      <c r="AB108" s="29"/>
      <c r="AC108" s="198"/>
      <c r="AD108" s="94"/>
      <c r="AE108" s="96"/>
      <c r="AF108" s="266">
        <v>1</v>
      </c>
      <c r="AG108" s="169" t="str">
        <f>IF(AJ110&lt;&gt;"",IF(AJ112&lt;&gt;"",IF(AJ110=AJ112,"",IF(AJ110&gt;AJ112,AK110,AK112)),""),"")</f>
        <v>MATHEUS SILVA PINTO</v>
      </c>
      <c r="AH108" s="98"/>
      <c r="AI108" s="37"/>
      <c r="AJ108" s="29"/>
      <c r="AK108" s="188"/>
      <c r="AL108" s="29"/>
      <c r="AP108" s="31">
        <v>37</v>
      </c>
      <c r="AQ108" s="32" t="str">
        <f t="shared" si="6"/>
        <v>LUGAR</v>
      </c>
      <c r="AR108" s="111" t="s">
        <v>722</v>
      </c>
      <c r="AS108" s="33" t="s">
        <v>127</v>
      </c>
      <c r="AT108" s="33">
        <v>102</v>
      </c>
      <c r="AU108" s="33" t="str">
        <f t="shared" si="7"/>
        <v/>
      </c>
    </row>
    <row r="109" spans="2:47" ht="18" customHeight="1" thickBot="1" x14ac:dyDescent="0.3">
      <c r="B109" s="133"/>
      <c r="C109" s="188"/>
      <c r="D109" s="29"/>
      <c r="E109" s="35"/>
      <c r="F109" s="29"/>
      <c r="G109" s="170" t="str">
        <f>IFERROR(IF(G108="","",VLOOKUP(G108,LISTAS!$F$5:$G$1004,2,0)),"0")</f>
        <v>COLÉGIO ARBOS DE SÃO BERNARDO DO CAMPO</v>
      </c>
      <c r="H109" s="267"/>
      <c r="I109" s="138"/>
      <c r="J109" s="101"/>
      <c r="K109" s="190"/>
      <c r="L109" s="101"/>
      <c r="M109" s="138"/>
      <c r="N109" s="101"/>
      <c r="O109" s="190"/>
      <c r="P109" s="101"/>
      <c r="Q109" s="100"/>
      <c r="R109" s="197"/>
      <c r="S109" s="37"/>
      <c r="T109" s="37"/>
      <c r="U109" s="37"/>
      <c r="V109" s="198"/>
      <c r="W109" s="37"/>
      <c r="X109" s="86"/>
      <c r="Y109" s="198"/>
      <c r="Z109" s="37"/>
      <c r="AA109" s="89"/>
      <c r="AB109" s="29"/>
      <c r="AC109" s="198"/>
      <c r="AD109" s="94"/>
      <c r="AE109" s="37"/>
      <c r="AF109" s="267"/>
      <c r="AG109" s="170" t="str">
        <f>IFERROR(IF(AG108="","",VLOOKUP(AG108,LISTAS!$F$5:$G$1004,2,0)),"0")</f>
        <v>LICEU JARDIM</v>
      </c>
      <c r="AH109" s="37"/>
      <c r="AI109" s="89"/>
      <c r="AJ109" s="29"/>
      <c r="AK109" s="188"/>
      <c r="AL109" s="29"/>
      <c r="AP109" s="31">
        <v>38</v>
      </c>
      <c r="AQ109" s="32" t="str">
        <f t="shared" si="6"/>
        <v>LUGAR</v>
      </c>
      <c r="AR109" s="111" t="s">
        <v>723</v>
      </c>
      <c r="AS109" s="33" t="s">
        <v>621</v>
      </c>
      <c r="AT109" s="33">
        <v>102</v>
      </c>
      <c r="AU109" s="33" t="str">
        <f t="shared" si="7"/>
        <v/>
      </c>
    </row>
    <row r="110" spans="2:47" ht="18" customHeight="1" x14ac:dyDescent="0.25">
      <c r="B110" s="133">
        <v>12</v>
      </c>
      <c r="C110" s="169" t="str">
        <f>IF('11M GRP'!G5&gt;=3,'11M GRP'!J165,IF('11M GRP'!G5=2,"",IF('11M GRP'!G5=1,"","")))</f>
        <v>LUCCA CAPUCHO DOS S SANCHO'</v>
      </c>
      <c r="D110" s="266">
        <v>0</v>
      </c>
      <c r="E110" s="148">
        <f>IF(D110&lt;&gt;"",D110,"")</f>
        <v>0</v>
      </c>
      <c r="F110" s="101" t="str">
        <f>IF(D110&lt;&gt;"",IF(C110="","",C110),"")</f>
        <v>LUCCA CAPUCHO DOS S SANCHO'</v>
      </c>
      <c r="G110" s="190">
        <f>IF(E110&lt;&gt;"",IF(E112&lt;&gt;"",SMALL(E110:E112,1),""),"")</f>
        <v>0</v>
      </c>
      <c r="H110" s="29"/>
      <c r="I110" s="138"/>
      <c r="J110" s="101"/>
      <c r="K110" s="190"/>
      <c r="L110" s="101"/>
      <c r="M110" s="138"/>
      <c r="N110" s="101">
        <f>IF(P101&lt;&gt;"",P101,"")</f>
        <v>0</v>
      </c>
      <c r="O110" s="190" t="str">
        <f>IF(P101&lt;&gt;"",O101,"")</f>
        <v>BERNARDO FERREIRA FIGUEIREDO</v>
      </c>
      <c r="P110" s="101" t="str">
        <f>VLOOKUP(P108,N108:O110,2,0)</f>
        <v>BERNARDO FERREIRA FIGUEIREDO</v>
      </c>
      <c r="Q110" s="100"/>
      <c r="R110" s="197"/>
      <c r="S110" s="37"/>
      <c r="T110" s="37"/>
      <c r="U110" s="37"/>
      <c r="V110" s="198"/>
      <c r="W110" s="37"/>
      <c r="X110" s="86"/>
      <c r="Y110" s="198"/>
      <c r="Z110" s="37"/>
      <c r="AA110" s="89"/>
      <c r="AB110" s="29"/>
      <c r="AC110" s="198"/>
      <c r="AD110" s="94"/>
      <c r="AE110" s="100"/>
      <c r="AF110" s="100"/>
      <c r="AG110" s="197">
        <f>IF(AJ110&lt;&gt;"",AJ110,"")</f>
        <v>0</v>
      </c>
      <c r="AH110" s="100" t="str">
        <f>IF(AJ110&lt;&gt;"",IF(AK110="","",AK110),"")</f>
        <v>PEDRO TIEZZI GARCIA</v>
      </c>
      <c r="AI110" s="137">
        <f>IF(AG110&lt;&gt;"",IF(AG112&lt;&gt;"",SMALL(AG110:AG112,1),""),"")</f>
        <v>0</v>
      </c>
      <c r="AJ110" s="266">
        <v>0</v>
      </c>
      <c r="AK110" s="169" t="str">
        <f>IF('11M GRP'!G5&gt;=3,'11M GRP'!J139,IF('11M GRP'!G5=2,"",IF('11M GRP'!G5=1,"","")))</f>
        <v>PEDRO TIEZZI GARCIA</v>
      </c>
      <c r="AL110" s="29">
        <v>10</v>
      </c>
      <c r="AP110" s="31">
        <v>39</v>
      </c>
      <c r="AQ110" s="32" t="str">
        <f t="shared" si="6"/>
        <v>LUGAR</v>
      </c>
      <c r="AR110" s="111" t="s">
        <v>724</v>
      </c>
      <c r="AS110" s="33" t="s">
        <v>725</v>
      </c>
      <c r="AT110" s="33">
        <v>102</v>
      </c>
      <c r="AU110" s="33" t="str">
        <f t="shared" si="7"/>
        <v/>
      </c>
    </row>
    <row r="111" spans="2:47" ht="18" customHeight="1" thickBot="1" x14ac:dyDescent="0.3">
      <c r="B111" s="133"/>
      <c r="C111" s="170" t="str">
        <f>IFERROR(IF(C110="","",VLOOKUP(C110,LISTAS!$F$5:$G$1004,2,0)),"0")</f>
        <v>COLEGIO PETROPOLIS</v>
      </c>
      <c r="D111" s="267"/>
      <c r="E111" s="105"/>
      <c r="F111" s="101"/>
      <c r="G111" s="190"/>
      <c r="H111" s="29"/>
      <c r="I111" s="138"/>
      <c r="J111" s="101"/>
      <c r="K111" s="190"/>
      <c r="L111" s="101"/>
      <c r="M111" s="138"/>
      <c r="N111" s="101"/>
      <c r="O111" s="190"/>
      <c r="P111" s="101"/>
      <c r="Q111" s="100"/>
      <c r="R111" s="197"/>
      <c r="S111" s="37"/>
      <c r="T111" s="37"/>
      <c r="U111" s="37"/>
      <c r="V111" s="198"/>
      <c r="W111" s="37"/>
      <c r="X111" s="86"/>
      <c r="Y111" s="198"/>
      <c r="Z111" s="37"/>
      <c r="AA111" s="89"/>
      <c r="AB111" s="29"/>
      <c r="AC111" s="198"/>
      <c r="AD111" s="94"/>
      <c r="AE111" s="100"/>
      <c r="AF111" s="100"/>
      <c r="AG111" s="197"/>
      <c r="AH111" s="100"/>
      <c r="AI111" s="143"/>
      <c r="AJ111" s="267"/>
      <c r="AK111" s="170" t="str">
        <f>IFERROR(IF(AK110="","",VLOOKUP(AK110,LISTAS!$F$5:$G$1004,2,0)),"0")</f>
        <v>COLEGIO PETROPOLIS</v>
      </c>
      <c r="AL111" s="29"/>
      <c r="AP111" s="31">
        <v>40</v>
      </c>
      <c r="AQ111" s="32" t="str">
        <f t="shared" si="6"/>
        <v>LUGAR</v>
      </c>
      <c r="AR111" s="111" t="s">
        <v>726</v>
      </c>
      <c r="AS111" s="33" t="s">
        <v>697</v>
      </c>
      <c r="AT111" s="33">
        <v>102</v>
      </c>
      <c r="AU111" s="33" t="str">
        <f t="shared" si="7"/>
        <v/>
      </c>
    </row>
    <row r="112" spans="2:47" ht="18" customHeight="1" x14ac:dyDescent="0.25">
      <c r="B112" s="133">
        <v>21</v>
      </c>
      <c r="C112" s="33" t="s">
        <v>260</v>
      </c>
      <c r="D112" s="266">
        <v>1</v>
      </c>
      <c r="E112" s="106">
        <f>IF(D112&lt;&gt;"",D112,"")</f>
        <v>1</v>
      </c>
      <c r="F112" s="101" t="str">
        <f>IF(D112&lt;&gt;"",IF(C112="","",C112),"")</f>
        <v>GAEL EGAMI</v>
      </c>
      <c r="G112" s="190" t="str">
        <f>VLOOKUP(G110,E110:F112,2,0)</f>
        <v>LUCCA CAPUCHO DOS S SANCHO'</v>
      </c>
      <c r="H112" s="29"/>
      <c r="I112" s="138"/>
      <c r="J112" s="101"/>
      <c r="K112" s="190"/>
      <c r="L112" s="101"/>
      <c r="M112" s="138"/>
      <c r="N112" s="101"/>
      <c r="O112" s="190"/>
      <c r="P112" s="101"/>
      <c r="Q112" s="100"/>
      <c r="R112" s="197"/>
      <c r="S112" s="37"/>
      <c r="T112" s="37"/>
      <c r="U112" s="37"/>
      <c r="V112" s="198"/>
      <c r="W112" s="37"/>
      <c r="X112" s="86"/>
      <c r="Y112" s="198"/>
      <c r="Z112" s="37"/>
      <c r="AA112" s="89"/>
      <c r="AB112" s="29"/>
      <c r="AC112" s="198"/>
      <c r="AD112" s="94"/>
      <c r="AE112" s="100"/>
      <c r="AF112" s="100"/>
      <c r="AG112" s="197">
        <f>IF(AJ112&lt;&gt;"",AJ112,"")</f>
        <v>1</v>
      </c>
      <c r="AH112" s="100" t="str">
        <f>IF(AJ112&lt;&gt;"",IF(AK112="","",AK112),"")</f>
        <v>MATHEUS SILVA PINTO</v>
      </c>
      <c r="AI112" s="145" t="str">
        <f>VLOOKUP(AI110,AG110:AH112,2,0)</f>
        <v>PEDRO TIEZZI GARCIA</v>
      </c>
      <c r="AJ112" s="266">
        <v>1</v>
      </c>
      <c r="AK112" s="33" t="s">
        <v>319</v>
      </c>
      <c r="AL112" s="29">
        <v>23</v>
      </c>
      <c r="AP112" s="31">
        <v>41</v>
      </c>
      <c r="AQ112" s="32" t="str">
        <f t="shared" si="6"/>
        <v>LUGAR</v>
      </c>
      <c r="AR112" s="111" t="s">
        <v>727</v>
      </c>
      <c r="AS112" s="33" t="s">
        <v>705</v>
      </c>
      <c r="AT112" s="33">
        <v>102</v>
      </c>
      <c r="AU112" s="33" t="str">
        <f t="shared" si="7"/>
        <v/>
      </c>
    </row>
    <row r="113" spans="2:47" ht="18" customHeight="1" thickBot="1" x14ac:dyDescent="0.3">
      <c r="B113" s="133"/>
      <c r="C113" s="170" t="str">
        <f>IFERROR(IF(C112="","",VLOOKUP(C112,LISTAS!$F$5:$G$1004,2,0)),"0")</f>
        <v>COLÉGIO ARBOS DE SÃO BERNARDO DO CAMPO</v>
      </c>
      <c r="D113" s="267"/>
      <c r="E113" s="101"/>
      <c r="F113" s="101"/>
      <c r="G113" s="190"/>
      <c r="H113" s="29"/>
      <c r="I113" s="138"/>
      <c r="J113" s="101"/>
      <c r="K113" s="190"/>
      <c r="L113" s="101"/>
      <c r="M113" s="138"/>
      <c r="N113" s="101"/>
      <c r="O113" s="190"/>
      <c r="P113" s="101"/>
      <c r="Q113" s="100"/>
      <c r="R113" s="197"/>
      <c r="S113" s="37"/>
      <c r="T113" s="37"/>
      <c r="U113" s="37"/>
      <c r="V113" s="198"/>
      <c r="W113" s="37"/>
      <c r="X113" s="86"/>
      <c r="Y113" s="198"/>
      <c r="Z113" s="37"/>
      <c r="AA113" s="89"/>
      <c r="AB113" s="29"/>
      <c r="AC113" s="198"/>
      <c r="AD113" s="94"/>
      <c r="AE113" s="100"/>
      <c r="AF113" s="100"/>
      <c r="AG113" s="197"/>
      <c r="AH113" s="100"/>
      <c r="AI113" s="101"/>
      <c r="AJ113" s="267"/>
      <c r="AK113" s="170" t="str">
        <f>IFERROR(IF(AK112="","",VLOOKUP(AK112,LISTAS!$F$5:$G$1004,2,0)),"0")</f>
        <v>LICEU JARDIM</v>
      </c>
      <c r="AL113" s="29"/>
      <c r="AP113" s="31">
        <v>42</v>
      </c>
      <c r="AQ113" s="32" t="str">
        <f t="shared" si="6"/>
        <v>LUGAR</v>
      </c>
      <c r="AR113" s="111" t="s">
        <v>728</v>
      </c>
      <c r="AS113" s="33" t="s">
        <v>127</v>
      </c>
      <c r="AT113" s="33">
        <v>102</v>
      </c>
      <c r="AU113" s="33" t="str">
        <f t="shared" si="7"/>
        <v/>
      </c>
    </row>
    <row r="114" spans="2:47" ht="18" customHeight="1" x14ac:dyDescent="0.25">
      <c r="B114" s="133"/>
      <c r="C114" s="188"/>
      <c r="D114" s="29"/>
      <c r="E114" s="101"/>
      <c r="F114" s="101"/>
      <c r="G114" s="190"/>
      <c r="H114" s="29"/>
      <c r="I114" s="35"/>
      <c r="J114" s="29"/>
      <c r="K114" s="169" t="str">
        <f>IF(H106&lt;&gt;"",IF(H108&lt;&gt;"",IF(H106=H108,"",IF(H106&gt;H108,G106,G108)),""),"")</f>
        <v>BERNARDO FERREIRA FIGUEIREDO</v>
      </c>
      <c r="L114" s="266">
        <v>1</v>
      </c>
      <c r="M114" s="148">
        <f>IF(L114&lt;&gt;"",L114,"")</f>
        <v>1</v>
      </c>
      <c r="N114" s="101" t="str">
        <f>IF(L114&lt;&gt;"",IF(K114="","",K114),"")</f>
        <v>BERNARDO FERREIRA FIGUEIREDO</v>
      </c>
      <c r="O114" s="190">
        <f>IF(M114&lt;&gt;"",IF(M116&lt;&gt;"",SMALL(M114:N116,1),""),"")</f>
        <v>0</v>
      </c>
      <c r="P114" s="101"/>
      <c r="Q114" s="37"/>
      <c r="R114" s="198"/>
      <c r="S114" s="37"/>
      <c r="T114" s="37"/>
      <c r="U114" s="37"/>
      <c r="V114" s="198"/>
      <c r="W114" s="37"/>
      <c r="X114" s="86"/>
      <c r="Y114" s="198"/>
      <c r="Z114" s="37"/>
      <c r="AA114" s="89"/>
      <c r="AB114" s="266">
        <v>0</v>
      </c>
      <c r="AC114" s="169" t="str">
        <f>IF(AF106&lt;&gt;"",IF(AF108&lt;&gt;"",IF(AF106=AF108,"",IF(AF106&gt;AF108,AG106,AG108)),""),"")</f>
        <v>MATHEUS SILVA PINTO</v>
      </c>
      <c r="AD114" s="141"/>
      <c r="AE114" s="37"/>
      <c r="AF114" s="88"/>
      <c r="AG114" s="199"/>
      <c r="AH114" s="88"/>
      <c r="AI114" s="88"/>
      <c r="AJ114" s="29"/>
      <c r="AK114" s="188"/>
      <c r="AL114" s="29"/>
      <c r="AP114" s="31">
        <v>43</v>
      </c>
      <c r="AQ114" s="32" t="str">
        <f t="shared" si="6"/>
        <v>LUGAR</v>
      </c>
      <c r="AR114" s="111" t="s">
        <v>729</v>
      </c>
      <c r="AS114" s="33" t="s">
        <v>120</v>
      </c>
      <c r="AT114" s="33">
        <v>102</v>
      </c>
      <c r="AU114" s="33" t="str">
        <f t="shared" si="7"/>
        <v/>
      </c>
    </row>
    <row r="115" spans="2:47" ht="18" customHeight="1" thickBot="1" x14ac:dyDescent="0.3">
      <c r="B115" s="133"/>
      <c r="C115" s="188"/>
      <c r="D115" s="29"/>
      <c r="E115" s="101"/>
      <c r="F115" s="101"/>
      <c r="G115" s="190"/>
      <c r="H115" s="29"/>
      <c r="I115" s="35"/>
      <c r="J115" s="29"/>
      <c r="K115" s="170" t="str">
        <f>IFERROR(IF(K114="","",VLOOKUP(K114,LISTAS!$F$5:$G$1004,2,0)),"0")</f>
        <v>ABACO IPIRANGA</v>
      </c>
      <c r="L115" s="267"/>
      <c r="M115" s="105"/>
      <c r="N115" s="101"/>
      <c r="O115" s="190"/>
      <c r="P115" s="101"/>
      <c r="Q115" s="37"/>
      <c r="R115" s="198"/>
      <c r="S115" s="37"/>
      <c r="T115" s="37"/>
      <c r="U115" s="37"/>
      <c r="V115" s="198"/>
      <c r="W115" s="37"/>
      <c r="X115" s="86"/>
      <c r="Y115" s="198"/>
      <c r="Z115" s="37"/>
      <c r="AA115" s="139"/>
      <c r="AB115" s="267"/>
      <c r="AC115" s="170" t="str">
        <f>IFERROR(IF(AC114="","",VLOOKUP(AC114,LISTAS!$F$5:$G$1004,2,0)),"0")</f>
        <v>LICEU JARDIM</v>
      </c>
      <c r="AD115" s="37"/>
      <c r="AE115" s="89"/>
      <c r="AF115" s="88"/>
      <c r="AG115" s="199"/>
      <c r="AH115" s="88"/>
      <c r="AI115" s="88"/>
      <c r="AJ115" s="29"/>
      <c r="AK115" s="188"/>
      <c r="AL115" s="29"/>
      <c r="AP115" s="31">
        <v>44</v>
      </c>
      <c r="AQ115" s="32" t="str">
        <f t="shared" si="6"/>
        <v>LUGAR</v>
      </c>
      <c r="AR115" s="111" t="s">
        <v>730</v>
      </c>
      <c r="AS115" s="33" t="s">
        <v>127</v>
      </c>
      <c r="AT115" s="33">
        <v>102</v>
      </c>
      <c r="AU115" s="33" t="str">
        <f t="shared" si="7"/>
        <v/>
      </c>
    </row>
    <row r="116" spans="2:47" ht="18" customHeight="1" x14ac:dyDescent="0.25">
      <c r="B116" s="133"/>
      <c r="C116" s="188"/>
      <c r="D116" s="29"/>
      <c r="E116" s="29"/>
      <c r="F116" s="29"/>
      <c r="G116" s="188"/>
      <c r="H116" s="29"/>
      <c r="I116" s="35"/>
      <c r="J116" s="36"/>
      <c r="K116" s="169" t="str">
        <f>IF(H122&lt;&gt;"",IF(H124&lt;&gt;"",IF(H122=H124,"",IF(H122&gt;H124,G122,G124)),""),"")</f>
        <v>DANIEL QUADRINI AROCA</v>
      </c>
      <c r="L116" s="266">
        <v>0</v>
      </c>
      <c r="M116" s="106">
        <f>IF(L116&lt;&gt;"",L116,"")</f>
        <v>0</v>
      </c>
      <c r="N116" s="101" t="str">
        <f>IF(L116&lt;&gt;"",IF(K116="","",K116),"")</f>
        <v>DANIEL QUADRINI AROCA</v>
      </c>
      <c r="O116" s="190" t="str">
        <f>VLOOKUP(O114,M114:N116,2,0)</f>
        <v>DANIEL QUADRINI AROCA</v>
      </c>
      <c r="P116" s="101"/>
      <c r="Q116" s="37"/>
      <c r="R116" s="198"/>
      <c r="S116" s="37"/>
      <c r="T116" s="37"/>
      <c r="U116" s="37"/>
      <c r="V116" s="198"/>
      <c r="W116" s="37"/>
      <c r="X116" s="86"/>
      <c r="Y116" s="198"/>
      <c r="Z116" s="37"/>
      <c r="AA116" s="37"/>
      <c r="AB116" s="266">
        <v>1</v>
      </c>
      <c r="AC116" s="169" t="str">
        <f>IF(AF122&lt;&gt;"",IF(AF124&lt;&gt;"",IF(AF122=AF124,"",IF(AF122&gt;AF124,AG122,AG124)),""),"")</f>
        <v>LUCA YUJI VOLPE FUGITA</v>
      </c>
      <c r="AD116" s="37"/>
      <c r="AE116" s="89"/>
      <c r="AF116" s="88"/>
      <c r="AG116" s="199"/>
      <c r="AH116" s="88"/>
      <c r="AI116" s="88"/>
      <c r="AJ116" s="29"/>
      <c r="AK116" s="188"/>
      <c r="AL116" s="29"/>
      <c r="AP116" s="31">
        <v>45</v>
      </c>
      <c r="AQ116" s="32" t="str">
        <f t="shared" si="6"/>
        <v>LUGAR</v>
      </c>
      <c r="AR116" s="111" t="s">
        <v>731</v>
      </c>
      <c r="AS116" s="33" t="s">
        <v>127</v>
      </c>
      <c r="AT116" s="33">
        <v>102</v>
      </c>
      <c r="AU116" s="33" t="str">
        <f t="shared" si="7"/>
        <v/>
      </c>
    </row>
    <row r="117" spans="2:47" ht="18" customHeight="1" thickBot="1" x14ac:dyDescent="0.3">
      <c r="B117" s="133"/>
      <c r="C117" s="188"/>
      <c r="D117" s="29"/>
      <c r="E117" s="29"/>
      <c r="F117" s="29"/>
      <c r="G117" s="188"/>
      <c r="H117" s="29"/>
      <c r="I117" s="35"/>
      <c r="J117" s="29"/>
      <c r="K117" s="170" t="str">
        <f>IFERROR(IF(K116="","",VLOOKUP(K116,LISTAS!$F$5:$G$1004,2,0)),"0")</f>
        <v>COLÉGIO SÃO JOSÉ</v>
      </c>
      <c r="L117" s="267"/>
      <c r="M117" s="101"/>
      <c r="N117" s="101"/>
      <c r="O117" s="190"/>
      <c r="P117" s="101"/>
      <c r="Q117" s="37"/>
      <c r="R117" s="198"/>
      <c r="S117" s="37"/>
      <c r="T117" s="37"/>
      <c r="U117" s="37"/>
      <c r="V117" s="198"/>
      <c r="W117" s="37"/>
      <c r="X117" s="86"/>
      <c r="Y117" s="198"/>
      <c r="Z117" s="37"/>
      <c r="AA117" s="37"/>
      <c r="AB117" s="267"/>
      <c r="AC117" s="170" t="str">
        <f>IFERROR(IF(AC116="","",VLOOKUP(AC116,LISTAS!$F$5:$G$1004,2,0)),"0")</f>
        <v>COLEGIO PETROPOLIS</v>
      </c>
      <c r="AD117" s="37"/>
      <c r="AE117" s="89"/>
      <c r="AF117" s="88"/>
      <c r="AG117" s="199"/>
      <c r="AH117" s="88"/>
      <c r="AI117" s="88"/>
      <c r="AJ117" s="29"/>
      <c r="AK117" s="188"/>
      <c r="AL117" s="29"/>
      <c r="AP117" s="31">
        <v>46</v>
      </c>
      <c r="AQ117" s="32" t="str">
        <f t="shared" si="6"/>
        <v>LUGAR</v>
      </c>
      <c r="AR117" s="111" t="s">
        <v>732</v>
      </c>
      <c r="AS117" s="33" t="s">
        <v>733</v>
      </c>
      <c r="AT117" s="33">
        <v>102</v>
      </c>
      <c r="AU117" s="33" t="str">
        <f t="shared" si="7"/>
        <v/>
      </c>
    </row>
    <row r="118" spans="2:47" ht="18" customHeight="1" x14ac:dyDescent="0.25">
      <c r="B118" s="133">
        <v>20</v>
      </c>
      <c r="C118" s="33" t="s">
        <v>243</v>
      </c>
      <c r="D118" s="266">
        <v>0</v>
      </c>
      <c r="E118" s="101">
        <f>IF(D118&lt;&gt;"",D118,"")</f>
        <v>0</v>
      </c>
      <c r="F118" s="101" t="str">
        <f>IF(D118&lt;&gt;"",IF(C118="","",C118),"")</f>
        <v>ENZO MAIA DENTE</v>
      </c>
      <c r="G118" s="190">
        <f>IF(E118&lt;&gt;"",IF(E120&lt;&gt;"",SMALL(E118:E120,1),""),"")</f>
        <v>0</v>
      </c>
      <c r="H118" s="101"/>
      <c r="I118" s="138"/>
      <c r="J118" s="101"/>
      <c r="K118" s="190"/>
      <c r="L118" s="101"/>
      <c r="M118" s="101"/>
      <c r="N118" s="101"/>
      <c r="O118" s="190"/>
      <c r="P118" s="101"/>
      <c r="Q118" s="37"/>
      <c r="R118" s="198"/>
      <c r="S118" s="37"/>
      <c r="T118" s="37"/>
      <c r="U118" s="37"/>
      <c r="V118" s="198"/>
      <c r="W118" s="37"/>
      <c r="X118" s="86"/>
      <c r="Y118" s="198"/>
      <c r="Z118" s="37"/>
      <c r="AA118" s="37"/>
      <c r="AB118" s="29"/>
      <c r="AC118" s="197"/>
      <c r="AD118" s="100"/>
      <c r="AE118" s="144"/>
      <c r="AF118" s="100"/>
      <c r="AG118" s="197">
        <f>IF(AJ118&lt;&gt;"",AJ118,"")</f>
        <v>1</v>
      </c>
      <c r="AH118" s="100" t="str">
        <f>IF(AJ118&lt;&gt;"",IF(AK118="","",AK118),"")</f>
        <v>LUCA YUJI VOLPE FUGITA</v>
      </c>
      <c r="AI118" s="101">
        <f>IF(AG118&lt;&gt;"",IF(AG120&lt;&gt;"",SMALL(AG118:AG120,1),""),"")</f>
        <v>0</v>
      </c>
      <c r="AJ118" s="266">
        <v>1</v>
      </c>
      <c r="AK118" s="169" t="str">
        <f>IF('11M GRP'!G5&gt;=3,'11M GRP'!J204,IF('11M GRP'!G5=2,"",IF('11M GRP'!G5=1,"","")))</f>
        <v>LUCA YUJI VOLPE FUGITA</v>
      </c>
      <c r="AL118" s="29">
        <v>15</v>
      </c>
      <c r="AP118" s="31">
        <v>47</v>
      </c>
      <c r="AQ118" s="32" t="str">
        <f t="shared" ref="AQ118" si="8">IF(AP118&lt;&gt;"","LUGAR","")</f>
        <v>LUGAR</v>
      </c>
      <c r="AR118" s="111" t="s">
        <v>734</v>
      </c>
      <c r="AS118" s="33" t="s">
        <v>129</v>
      </c>
      <c r="AT118" s="33">
        <v>102</v>
      </c>
      <c r="AU118" s="33" t="str">
        <f t="shared" ref="AU118" si="9">IF(AP118="","",IF($AS$5="NÃO","",IF(AP118=1,180,IF(AP118=2,170,IF(AP118=3,150,IF(AP118=4,140,IF(AP118=5,135,IF(AP118=6,130,IF(AP118=7,120,IF(AP118=8,110,IF(AP118=9,105,IF(AP118=10,105,IF(AP118=11,105,IF(AP118=12,105,IF(AP118=13,105,IF(AP118=14,105,IF(AP118=15,105,IF(AP118=16,105,IF(AP118&gt;16,"","")))))))))))))))))))</f>
        <v/>
      </c>
    </row>
    <row r="119" spans="2:47" ht="18" customHeight="1" thickBot="1" x14ac:dyDescent="0.3">
      <c r="B119" s="133"/>
      <c r="C119" s="170" t="str">
        <f>IFERROR(IF(C118="","",VLOOKUP(C118,LISTAS!$F$5:$G$1004,2,0)),"0")</f>
        <v>COLÉGIO ATENEU</v>
      </c>
      <c r="D119" s="267"/>
      <c r="E119" s="101"/>
      <c r="F119" s="101"/>
      <c r="G119" s="190"/>
      <c r="H119" s="101"/>
      <c r="I119" s="138"/>
      <c r="J119" s="101"/>
      <c r="K119" s="190"/>
      <c r="L119" s="101"/>
      <c r="M119" s="101"/>
      <c r="N119" s="101"/>
      <c r="O119" s="190"/>
      <c r="P119" s="101"/>
      <c r="Q119" s="37"/>
      <c r="R119" s="198"/>
      <c r="S119" s="37"/>
      <c r="T119" s="37"/>
      <c r="U119" s="37"/>
      <c r="V119" s="198"/>
      <c r="W119" s="37"/>
      <c r="X119" s="86"/>
      <c r="Y119" s="198"/>
      <c r="Z119" s="37"/>
      <c r="AA119" s="37"/>
      <c r="AB119" s="29"/>
      <c r="AC119" s="197"/>
      <c r="AD119" s="100"/>
      <c r="AE119" s="144"/>
      <c r="AF119" s="100"/>
      <c r="AG119" s="197"/>
      <c r="AH119" s="100"/>
      <c r="AI119" s="101"/>
      <c r="AJ119" s="267"/>
      <c r="AK119" s="170" t="str">
        <f>IFERROR(IF(AK118="","",VLOOKUP(AK118,LISTAS!$F$5:$G$1004,2,0)),"0")</f>
        <v>COLEGIO PETROPOLIS</v>
      </c>
      <c r="AL119" s="29"/>
    </row>
    <row r="120" spans="2:47" ht="18" customHeight="1" x14ac:dyDescent="0.25">
      <c r="B120" s="133">
        <v>13</v>
      </c>
      <c r="C120" s="169" t="str">
        <f>IF('11M GRP'!G5&gt;=3,'11M GRP'!J178,IF('11M GRP'!G5=2,"",IF('11M GRP'!G5=1,"","")))</f>
        <v>DANIEL QUADRINI AROCA</v>
      </c>
      <c r="D120" s="266">
        <v>1</v>
      </c>
      <c r="E120" s="107">
        <f>IF(D120&lt;&gt;"",D120,"")</f>
        <v>1</v>
      </c>
      <c r="F120" s="101" t="str">
        <f>IF(D120&lt;&gt;"",IF(C120="","",C120),"")</f>
        <v>DANIEL QUADRINI AROCA</v>
      </c>
      <c r="G120" s="190" t="str">
        <f>VLOOKUP(G118,E118:F120,2,0)</f>
        <v>ENZO MAIA DENTE</v>
      </c>
      <c r="H120" s="101"/>
      <c r="I120" s="138"/>
      <c r="J120" s="101"/>
      <c r="K120" s="190"/>
      <c r="L120" s="101"/>
      <c r="M120" s="101"/>
      <c r="N120" s="101"/>
      <c r="O120" s="190"/>
      <c r="P120" s="101"/>
      <c r="Q120" s="37"/>
      <c r="R120" s="198"/>
      <c r="S120" s="37"/>
      <c r="T120" s="37"/>
      <c r="U120" s="37"/>
      <c r="V120" s="198"/>
      <c r="W120" s="37"/>
      <c r="X120" s="86"/>
      <c r="Y120" s="198"/>
      <c r="Z120" s="37"/>
      <c r="AA120" s="37"/>
      <c r="AB120" s="29"/>
      <c r="AC120" s="197"/>
      <c r="AD120" s="100"/>
      <c r="AE120" s="144"/>
      <c r="AF120" s="100"/>
      <c r="AG120" s="197">
        <f>IF(AJ120&lt;&gt;"",AJ120,"")</f>
        <v>0</v>
      </c>
      <c r="AH120" s="100" t="str">
        <f>IF(AJ120&lt;&gt;"",IF(AK120="","",AK120),"")</f>
        <v>MATTEO CESAR COSTA</v>
      </c>
      <c r="AI120" s="102" t="str">
        <f>VLOOKUP(AI118,AG118:AH120,2,0)</f>
        <v>MATTEO CESAR COSTA</v>
      </c>
      <c r="AJ120" s="266">
        <v>0</v>
      </c>
      <c r="AK120" s="33" t="s">
        <v>320</v>
      </c>
      <c r="AL120" s="29">
        <v>18</v>
      </c>
    </row>
    <row r="121" spans="2:47" ht="18" customHeight="1" thickBot="1" x14ac:dyDescent="0.3">
      <c r="B121" s="133"/>
      <c r="C121" s="170" t="str">
        <f>IFERROR(IF(C120="","",VLOOKUP(C120,LISTAS!$F$5:$G$1004,2,0)),"0")</f>
        <v>COLÉGIO SÃO JOSÉ</v>
      </c>
      <c r="D121" s="267"/>
      <c r="E121" s="148"/>
      <c r="F121" s="101"/>
      <c r="G121" s="190"/>
      <c r="H121" s="101"/>
      <c r="I121" s="138"/>
      <c r="J121" s="101"/>
      <c r="K121" s="190"/>
      <c r="L121" s="101"/>
      <c r="M121" s="101"/>
      <c r="N121" s="101"/>
      <c r="O121" s="190"/>
      <c r="P121" s="101"/>
      <c r="Q121" s="37"/>
      <c r="R121" s="198"/>
      <c r="S121" s="37"/>
      <c r="T121" s="37"/>
      <c r="U121" s="37"/>
      <c r="V121" s="198"/>
      <c r="W121" s="37"/>
      <c r="X121" s="86"/>
      <c r="Y121" s="198"/>
      <c r="Z121" s="37"/>
      <c r="AA121" s="37"/>
      <c r="AB121" s="29"/>
      <c r="AC121" s="197"/>
      <c r="AD121" s="100"/>
      <c r="AE121" s="144"/>
      <c r="AF121" s="100"/>
      <c r="AG121" s="197"/>
      <c r="AH121" s="146"/>
      <c r="AI121" s="101"/>
      <c r="AJ121" s="267"/>
      <c r="AK121" s="170" t="str">
        <f>IFERROR(IF(AK120="","",VLOOKUP(AK120,LISTAS!$F$5:$G$1004,2,0)),"0")</f>
        <v>LICEU JARDIM</v>
      </c>
      <c r="AL121" s="29"/>
    </row>
    <row r="122" spans="2:47" ht="18" customHeight="1" x14ac:dyDescent="0.25">
      <c r="B122" s="133"/>
      <c r="C122" s="188"/>
      <c r="D122" s="29"/>
      <c r="E122" s="29"/>
      <c r="F122" s="34"/>
      <c r="G122" s="169" t="str">
        <f>IF(D118&lt;&gt;"",IF(D120&lt;&gt;"",IF(D118=D120,"",IF(D118&gt;D120,C118,C120)),""),"")</f>
        <v>DANIEL QUADRINI AROCA</v>
      </c>
      <c r="H122" s="266">
        <v>1</v>
      </c>
      <c r="I122" s="148">
        <f>IF(H122&lt;&gt;"",H122,"")</f>
        <v>1</v>
      </c>
      <c r="J122" s="101" t="str">
        <f>IF(H122&lt;&gt;"",IF(G122="","",G122),"")</f>
        <v>DANIEL QUADRINI AROCA</v>
      </c>
      <c r="K122" s="190">
        <f>IF(I122&lt;&gt;"",IF(I124&lt;&gt;"",SMALL(I122:J124,1),""),"")</f>
        <v>0</v>
      </c>
      <c r="L122" s="29"/>
      <c r="M122" s="29"/>
      <c r="N122" s="29"/>
      <c r="O122" s="188"/>
      <c r="P122" s="29"/>
      <c r="Q122" s="37"/>
      <c r="R122" s="198"/>
      <c r="S122" s="37"/>
      <c r="T122" s="37"/>
      <c r="U122" s="37"/>
      <c r="V122" s="198"/>
      <c r="W122" s="37"/>
      <c r="X122" s="86"/>
      <c r="Y122" s="198"/>
      <c r="Z122" s="37"/>
      <c r="AA122" s="37"/>
      <c r="AB122" s="29"/>
      <c r="AC122" s="198"/>
      <c r="AD122" s="37"/>
      <c r="AE122" s="89"/>
      <c r="AF122" s="266">
        <v>1</v>
      </c>
      <c r="AG122" s="169" t="str">
        <f>IF(AJ118&lt;&gt;"",IF(AJ120&lt;&gt;"",IF(AJ118=AJ120,"",IF(AJ118&gt;AJ120,AK118,AK120)),""),"")</f>
        <v>LUCA YUJI VOLPE FUGITA</v>
      </c>
      <c r="AH122" s="94"/>
      <c r="AI122" s="37"/>
      <c r="AJ122" s="29"/>
      <c r="AK122" s="188"/>
      <c r="AL122" s="29"/>
    </row>
    <row r="123" spans="2:47" ht="18" customHeight="1" thickBot="1" x14ac:dyDescent="0.3">
      <c r="B123" s="133"/>
      <c r="C123" s="188"/>
      <c r="D123" s="29"/>
      <c r="E123" s="29"/>
      <c r="F123" s="34"/>
      <c r="G123" s="170" t="str">
        <f>IFERROR(IF(G122="","",VLOOKUP(G122,LISTAS!$F$5:$G$1004,2,0)),"0")</f>
        <v>COLÉGIO SÃO JOSÉ</v>
      </c>
      <c r="H123" s="267"/>
      <c r="I123" s="105"/>
      <c r="J123" s="101"/>
      <c r="K123" s="190"/>
      <c r="L123" s="29"/>
      <c r="M123" s="29"/>
      <c r="N123" s="29"/>
      <c r="O123" s="188"/>
      <c r="P123" s="29"/>
      <c r="Q123" s="37"/>
      <c r="R123" s="198"/>
      <c r="S123" s="37"/>
      <c r="T123" s="37"/>
      <c r="U123" s="37"/>
      <c r="V123" s="198"/>
      <c r="W123" s="37"/>
      <c r="X123" s="86"/>
      <c r="Y123" s="198"/>
      <c r="Z123" s="37"/>
      <c r="AA123" s="37"/>
      <c r="AB123" s="29"/>
      <c r="AC123" s="198"/>
      <c r="AD123" s="37"/>
      <c r="AE123" s="90"/>
      <c r="AF123" s="267"/>
      <c r="AG123" s="170" t="str">
        <f>IFERROR(IF(AG122="","",VLOOKUP(AG122,LISTAS!$F$5:$G$1004,2,0)),"0")</f>
        <v>COLEGIO PETROPOLIS</v>
      </c>
      <c r="AH123" s="94"/>
      <c r="AI123" s="37"/>
      <c r="AJ123" s="29"/>
      <c r="AK123" s="188"/>
      <c r="AL123" s="29"/>
    </row>
    <row r="124" spans="2:47" ht="18" customHeight="1" x14ac:dyDescent="0.25">
      <c r="B124" s="133"/>
      <c r="C124" s="188"/>
      <c r="D124" s="29"/>
      <c r="E124" s="35"/>
      <c r="F124" s="36"/>
      <c r="G124" s="169" t="str">
        <f>IF(D126&lt;&gt;"",IF(D128&lt;&gt;"",IF(D126=D128,"",IF(D126&gt;D128,C126,C128)),""),"")</f>
        <v>IURI WAHHAB OKINO</v>
      </c>
      <c r="H124" s="266">
        <v>0</v>
      </c>
      <c r="I124" s="106">
        <f>IF(H124&lt;&gt;"",H124,"")</f>
        <v>0</v>
      </c>
      <c r="J124" s="101" t="str">
        <f>IF(H124&lt;&gt;"",IF(G124="","",G124),"")</f>
        <v>IURI WAHHAB OKINO</v>
      </c>
      <c r="K124" s="190" t="str">
        <f>VLOOKUP(K122,I122:J124,2,0)</f>
        <v>IURI WAHHAB OKINO</v>
      </c>
      <c r="L124" s="29"/>
      <c r="M124" s="29"/>
      <c r="N124" s="29"/>
      <c r="O124" s="188"/>
      <c r="P124" s="29"/>
      <c r="Q124" s="37"/>
      <c r="R124" s="198"/>
      <c r="S124" s="37"/>
      <c r="T124" s="37"/>
      <c r="U124" s="37"/>
      <c r="V124" s="198"/>
      <c r="W124" s="37"/>
      <c r="X124" s="86"/>
      <c r="Y124" s="198"/>
      <c r="Z124" s="37"/>
      <c r="AA124" s="37"/>
      <c r="AB124" s="29"/>
      <c r="AC124" s="198"/>
      <c r="AD124" s="37"/>
      <c r="AE124" s="91"/>
      <c r="AF124" s="266">
        <v>0</v>
      </c>
      <c r="AG124" s="169" t="str">
        <f>IF(AJ126&lt;&gt;"",IF(AJ128&lt;&gt;"",IF(AJ126=AJ128,"",IF(AJ126&gt;AJ128,AK126,AK128)),""),"")</f>
        <v>VINICIUS MUNHOS DEL CISTIA</v>
      </c>
      <c r="AH124" s="98"/>
      <c r="AI124" s="37"/>
      <c r="AJ124" s="29"/>
      <c r="AK124" s="188"/>
      <c r="AL124" s="29"/>
    </row>
    <row r="125" spans="2:47" ht="18" customHeight="1" thickBot="1" x14ac:dyDescent="0.3">
      <c r="B125" s="133"/>
      <c r="C125" s="188"/>
      <c r="D125" s="29"/>
      <c r="E125" s="35"/>
      <c r="F125" s="29"/>
      <c r="G125" s="170" t="str">
        <f>IFERROR(IF(G124="","",VLOOKUP(G124,LISTAS!$F$5:$G$1004,2,0)),"0")</f>
        <v>COLÉGIO ARBOS SÃO CAETANO DO SUL</v>
      </c>
      <c r="H125" s="267"/>
      <c r="I125" s="101"/>
      <c r="J125" s="101"/>
      <c r="K125" s="190"/>
      <c r="L125" s="29"/>
      <c r="M125" s="29"/>
      <c r="N125" s="29"/>
      <c r="O125" s="188"/>
      <c r="P125" s="29"/>
      <c r="Q125" s="37"/>
      <c r="R125" s="198"/>
      <c r="S125" s="37"/>
      <c r="T125" s="37"/>
      <c r="U125" s="37"/>
      <c r="V125" s="198"/>
      <c r="W125" s="37"/>
      <c r="X125" s="86"/>
      <c r="Y125" s="198"/>
      <c r="Z125" s="37"/>
      <c r="AA125" s="37"/>
      <c r="AB125" s="29"/>
      <c r="AC125" s="198"/>
      <c r="AD125" s="37"/>
      <c r="AE125" s="37"/>
      <c r="AF125" s="267"/>
      <c r="AG125" s="170" t="str">
        <f>IFERROR(IF(AG124="","",VLOOKUP(AG124,LISTAS!$F$5:$G$1004,2,0)),"0")</f>
        <v>EDUCANDÁRIO - S.A</v>
      </c>
      <c r="AH125" s="37"/>
      <c r="AI125" s="89"/>
      <c r="AJ125" s="29"/>
      <c r="AK125" s="188"/>
      <c r="AL125" s="29"/>
    </row>
    <row r="126" spans="2:47" ht="18" customHeight="1" x14ac:dyDescent="0.25">
      <c r="B126" s="133">
        <v>29</v>
      </c>
      <c r="C126" s="33" t="s">
        <v>280</v>
      </c>
      <c r="D126" s="266">
        <v>1</v>
      </c>
      <c r="E126" s="148">
        <f>IF(D126&lt;&gt;"",D126,"")</f>
        <v>1</v>
      </c>
      <c r="F126" s="101" t="str">
        <f>IF(D126&lt;&gt;"",IF(C126="","",C126),"")</f>
        <v>IURI WAHHAB OKINO</v>
      </c>
      <c r="G126" s="190">
        <f>IF(E126&lt;&gt;"",IF(E128&lt;&gt;"",SMALL(E126:E128,1),""),"")</f>
        <v>0</v>
      </c>
      <c r="H126" s="87"/>
      <c r="I126" s="29"/>
      <c r="J126" s="29"/>
      <c r="K126" s="188"/>
      <c r="L126" s="29"/>
      <c r="M126" s="29"/>
      <c r="N126" s="29"/>
      <c r="O126" s="188"/>
      <c r="P126" s="29"/>
      <c r="Q126" s="37"/>
      <c r="R126" s="198"/>
      <c r="S126" s="37"/>
      <c r="T126" s="37"/>
      <c r="U126" s="37"/>
      <c r="V126" s="198"/>
      <c r="W126" s="37"/>
      <c r="X126" s="86"/>
      <c r="Y126" s="198"/>
      <c r="Z126" s="37"/>
      <c r="AA126" s="37"/>
      <c r="AB126" s="29"/>
      <c r="AC126" s="198"/>
      <c r="AD126" s="37"/>
      <c r="AE126" s="100"/>
      <c r="AF126" s="100"/>
      <c r="AG126" s="197">
        <f>IF(AJ126&lt;&gt;"",AJ126,"")</f>
        <v>1</v>
      </c>
      <c r="AH126" s="100" t="str">
        <f>IF(AJ126&lt;&gt;"",IF(AK126="","",AK126),"")</f>
        <v>VINICIUS MUNHOS DEL CISTIA</v>
      </c>
      <c r="AI126" s="137">
        <f>IF(AG126&lt;&gt;"",IF(AG128&lt;&gt;"",SMALL(AG126:AG128,1),""),"")</f>
        <v>0</v>
      </c>
      <c r="AJ126" s="266">
        <v>1</v>
      </c>
      <c r="AK126" s="33" t="s">
        <v>655</v>
      </c>
      <c r="AL126" s="29">
        <v>31</v>
      </c>
    </row>
    <row r="127" spans="2:47" ht="18" customHeight="1" thickBot="1" x14ac:dyDescent="0.3">
      <c r="B127" s="133"/>
      <c r="C127" s="170" t="str">
        <f>IFERROR(IF(C126="","",VLOOKUP(C126,LISTAS!$F$5:$G$1004,2,0)),"0")</f>
        <v>COLÉGIO ARBOS SÃO CAETANO DO SUL</v>
      </c>
      <c r="D127" s="267"/>
      <c r="E127" s="105"/>
      <c r="F127" s="101"/>
      <c r="G127" s="190"/>
      <c r="H127" s="87"/>
      <c r="I127" s="29"/>
      <c r="J127" s="29"/>
      <c r="K127" s="188"/>
      <c r="L127" s="29"/>
      <c r="M127" s="29"/>
      <c r="N127" s="29"/>
      <c r="O127" s="188"/>
      <c r="P127" s="29"/>
      <c r="Q127" s="37"/>
      <c r="R127" s="198"/>
      <c r="S127" s="37"/>
      <c r="T127" s="37"/>
      <c r="U127" s="37"/>
      <c r="V127" s="198"/>
      <c r="W127" s="37"/>
      <c r="X127" s="86"/>
      <c r="Y127" s="198"/>
      <c r="Z127" s="37"/>
      <c r="AA127" s="37"/>
      <c r="AB127" s="29"/>
      <c r="AC127" s="198"/>
      <c r="AD127" s="37"/>
      <c r="AE127" s="100"/>
      <c r="AF127" s="100"/>
      <c r="AG127" s="197"/>
      <c r="AH127" s="100"/>
      <c r="AI127" s="103"/>
      <c r="AJ127" s="267"/>
      <c r="AK127" s="170" t="str">
        <f>IFERROR(IF(AK126="","",VLOOKUP(AK126,LISTAS!$F$5:$G$1004,2,0)),"0")</f>
        <v>EDUCANDÁRIO - S.A</v>
      </c>
      <c r="AL127" s="29"/>
    </row>
    <row r="128" spans="2:47" ht="18" customHeight="1" x14ac:dyDescent="0.25">
      <c r="B128" s="133">
        <v>4</v>
      </c>
      <c r="C128" s="169" t="str">
        <f>IF('11M GRP'!G5&gt;=3,'11M GRP'!J61,IF('11M GRP'!G5=2,IF('11M GRP'!H8=3,"",'11M GRP'!J33),IF('11M GRP'!G5=1,"","")))</f>
        <v>GUSTAVO FONSECA ROSSI</v>
      </c>
      <c r="D128" s="266">
        <v>0</v>
      </c>
      <c r="E128" s="106">
        <f>IF(D128&lt;&gt;"",D128,"")</f>
        <v>0</v>
      </c>
      <c r="F128" s="101" t="str">
        <f>IF(D128&lt;&gt;"",IF(C128="","",C128),"")</f>
        <v>GUSTAVO FONSECA ROSSI</v>
      </c>
      <c r="G128" s="190" t="str">
        <f>VLOOKUP(G126,E126:F128,2,0)</f>
        <v>GUSTAVO FONSECA ROSSI</v>
      </c>
      <c r="H128" s="87"/>
      <c r="I128" s="29"/>
      <c r="J128" s="29"/>
      <c r="K128" s="188"/>
      <c r="L128" s="29"/>
      <c r="M128" s="29"/>
      <c r="N128" s="29"/>
      <c r="O128" s="188"/>
      <c r="P128" s="29"/>
      <c r="Q128" s="37"/>
      <c r="R128" s="198"/>
      <c r="S128" s="37"/>
      <c r="T128" s="37"/>
      <c r="U128" s="37"/>
      <c r="V128" s="198"/>
      <c r="W128" s="37"/>
      <c r="X128" s="86"/>
      <c r="Y128" s="198"/>
      <c r="Z128" s="37"/>
      <c r="AA128" s="37"/>
      <c r="AB128" s="29"/>
      <c r="AC128" s="198"/>
      <c r="AD128" s="37"/>
      <c r="AE128" s="100"/>
      <c r="AF128" s="100"/>
      <c r="AG128" s="197">
        <f>IF(AJ128&lt;&gt;"",AJ128,"")</f>
        <v>0</v>
      </c>
      <c r="AH128" s="100" t="str">
        <f>IF(AJ128&lt;&gt;"",IF(AK128="","",AK128),"")</f>
        <v>ARTHUR SCAQUETTI SCARFONE</v>
      </c>
      <c r="AI128" s="104" t="str">
        <f>VLOOKUP(AI126,AG126:AH128,2,0)</f>
        <v>ARTHUR SCAQUETTI SCARFONE</v>
      </c>
      <c r="AJ128" s="266">
        <v>0</v>
      </c>
      <c r="AK128" s="169" t="str">
        <f>IF('11M GRP'!G5&gt;=3,'11M GRP'!J31,IF('11M GRP'!G5=2,IF('11M GRP'!H8=3,'11M GRP'!J31,'11M GRP'!J32),IF('11M GRP'!G5=1,"","")))</f>
        <v>ARTHUR SCAQUETTI SCARFONE</v>
      </c>
      <c r="AL128" s="29">
        <v>2</v>
      </c>
    </row>
    <row r="129" spans="2:48" ht="18" customHeight="1" thickBot="1" x14ac:dyDescent="0.3">
      <c r="B129" s="133"/>
      <c r="C129" s="170" t="str">
        <f>IFERROR(IF(C128="","",VLOOKUP(C128,LISTAS!$F$5:$G$1004,2,0)),"0")</f>
        <v>COLÉGIO ARBOS - UNIDADE SANTO ANDRÉ</v>
      </c>
      <c r="D129" s="267"/>
      <c r="E129" s="101"/>
      <c r="F129" s="101"/>
      <c r="G129" s="190"/>
      <c r="H129" s="87"/>
      <c r="I129" s="29"/>
      <c r="J129" s="29"/>
      <c r="K129" s="188"/>
      <c r="L129" s="29"/>
      <c r="M129" s="29"/>
      <c r="N129" s="29"/>
      <c r="O129" s="188"/>
      <c r="P129" s="29"/>
      <c r="Q129" s="37"/>
      <c r="R129" s="198"/>
      <c r="S129" s="37"/>
      <c r="T129" s="37"/>
      <c r="U129" s="37"/>
      <c r="V129" s="198"/>
      <c r="W129" s="37"/>
      <c r="X129" s="86"/>
      <c r="Y129" s="198"/>
      <c r="Z129" s="37"/>
      <c r="AA129" s="37"/>
      <c r="AB129" s="29"/>
      <c r="AC129" s="198"/>
      <c r="AD129" s="37"/>
      <c r="AE129" s="100"/>
      <c r="AF129" s="100"/>
      <c r="AG129" s="197"/>
      <c r="AH129" s="100"/>
      <c r="AI129" s="101"/>
      <c r="AJ129" s="267"/>
      <c r="AK129" s="170" t="str">
        <f>IFERROR(IF(AK128="","",VLOOKUP(AK128,LISTAS!$F$5:$G$1004,2,0)),"0")</f>
        <v>ABACO IPIRANGA</v>
      </c>
      <c r="AL129" s="29"/>
    </row>
    <row r="130" spans="2:48" ht="18" customHeight="1" x14ac:dyDescent="0.25">
      <c r="B130" s="133"/>
      <c r="C130" s="189"/>
      <c r="D130" s="84"/>
      <c r="E130" s="134"/>
      <c r="F130" s="134"/>
      <c r="G130" s="193"/>
      <c r="H130" s="134"/>
      <c r="I130" s="84"/>
      <c r="J130" s="84"/>
      <c r="K130" s="189"/>
      <c r="L130" s="84"/>
      <c r="M130" s="84"/>
      <c r="N130" s="84"/>
      <c r="O130" s="189"/>
      <c r="P130" s="84"/>
      <c r="Q130" s="37"/>
      <c r="R130" s="198"/>
      <c r="S130" s="37"/>
      <c r="T130" s="37"/>
      <c r="U130" s="37"/>
      <c r="V130" s="198"/>
      <c r="W130" s="37"/>
      <c r="X130" s="86"/>
      <c r="Y130" s="198"/>
      <c r="Z130" s="37"/>
      <c r="AA130" s="37"/>
      <c r="AB130" s="29"/>
      <c r="AC130" s="198"/>
      <c r="AD130" s="37"/>
      <c r="AE130" s="100"/>
      <c r="AF130" s="100"/>
      <c r="AG130" s="197"/>
      <c r="AH130" s="100"/>
      <c r="AI130" s="100"/>
      <c r="AJ130" s="84"/>
      <c r="AK130" s="189"/>
      <c r="AL130" s="29"/>
    </row>
    <row r="131" spans="2:48" ht="18" customHeight="1" x14ac:dyDescent="0.25">
      <c r="B131" s="29"/>
      <c r="C131" s="189"/>
      <c r="D131" s="84"/>
      <c r="E131" s="84"/>
      <c r="F131" s="84"/>
      <c r="G131" s="189"/>
      <c r="H131" s="84"/>
      <c r="I131" s="84"/>
      <c r="J131" s="84"/>
      <c r="K131" s="189"/>
      <c r="L131" s="84"/>
      <c r="M131" s="84"/>
      <c r="N131" s="84"/>
      <c r="O131" s="189"/>
      <c r="P131" s="84"/>
      <c r="Q131" s="37"/>
      <c r="R131" s="198"/>
      <c r="S131" s="37"/>
      <c r="T131" s="37"/>
      <c r="U131" s="37"/>
      <c r="V131" s="198"/>
      <c r="W131" s="37"/>
      <c r="X131" s="86"/>
      <c r="Y131" s="198"/>
      <c r="Z131" s="37"/>
      <c r="AA131" s="37"/>
      <c r="AB131" s="29"/>
      <c r="AC131" s="198"/>
      <c r="AD131" s="37"/>
      <c r="AE131" s="37"/>
      <c r="AF131" s="37"/>
      <c r="AG131" s="199"/>
      <c r="AH131" s="88"/>
      <c r="AI131" s="88"/>
      <c r="AJ131" s="84"/>
      <c r="AK131" s="189"/>
      <c r="AL131" s="29"/>
    </row>
    <row r="132" spans="2:48" ht="18" customHeight="1" x14ac:dyDescent="0.25">
      <c r="B132" s="22"/>
      <c r="C132" s="168"/>
      <c r="D132" s="22"/>
      <c r="E132" s="22"/>
      <c r="F132" s="22"/>
      <c r="G132" s="168"/>
      <c r="H132" s="22"/>
      <c r="I132" s="22"/>
      <c r="J132" s="22"/>
      <c r="K132" s="168"/>
      <c r="L132" s="22"/>
      <c r="M132" s="22"/>
      <c r="N132" s="22"/>
      <c r="O132" s="168"/>
      <c r="P132" s="22"/>
      <c r="W132" s="22"/>
      <c r="X132" s="22"/>
      <c r="Y132" s="168"/>
      <c r="Z132" s="22"/>
      <c r="AA132" s="22"/>
      <c r="AB132" s="22"/>
      <c r="AC132" s="168"/>
      <c r="AD132" s="22"/>
      <c r="AE132" s="22"/>
      <c r="AF132" s="22"/>
      <c r="AG132" s="168"/>
      <c r="AH132" s="22"/>
      <c r="AI132" s="22"/>
      <c r="AJ132" s="22"/>
      <c r="AK132" s="168"/>
    </row>
    <row r="133" spans="2:48" ht="18" customHeight="1" x14ac:dyDescent="0.25">
      <c r="B133" s="22"/>
      <c r="C133" s="168"/>
      <c r="D133" s="22"/>
      <c r="E133" s="22"/>
      <c r="F133" s="22"/>
      <c r="G133" s="168"/>
      <c r="H133" s="22"/>
      <c r="I133" s="22"/>
      <c r="J133" s="22"/>
      <c r="K133" s="168"/>
      <c r="L133" s="22"/>
      <c r="M133" s="22"/>
      <c r="N133" s="22"/>
      <c r="O133" s="168"/>
      <c r="P133" s="22"/>
      <c r="W133" s="22"/>
      <c r="X133" s="22"/>
      <c r="Y133" s="168"/>
      <c r="Z133" s="22"/>
      <c r="AA133" s="22"/>
      <c r="AB133" s="22"/>
      <c r="AC133" s="168"/>
      <c r="AD133" s="22"/>
      <c r="AE133" s="22"/>
      <c r="AF133" s="22"/>
      <c r="AG133" s="168"/>
      <c r="AH133" s="22"/>
      <c r="AI133" s="22"/>
      <c r="AJ133" s="22"/>
      <c r="AK133" s="168"/>
    </row>
    <row r="134" spans="2:48" ht="30" customHeight="1" x14ac:dyDescent="0.25">
      <c r="B134" s="251" t="s">
        <v>22</v>
      </c>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52"/>
      <c r="AE134" s="252"/>
      <c r="AF134" s="252"/>
      <c r="AG134" s="252"/>
      <c r="AH134" s="252"/>
      <c r="AI134" s="252"/>
      <c r="AJ134" s="252"/>
      <c r="AK134" s="252"/>
      <c r="AL134" s="252"/>
      <c r="AP134" s="241" t="s">
        <v>23</v>
      </c>
      <c r="AQ134" s="241"/>
      <c r="AR134" s="241"/>
      <c r="AS134" s="241"/>
      <c r="AT134" s="241"/>
      <c r="AU134" s="241"/>
    </row>
    <row r="135" spans="2:48" ht="18" customHeight="1" thickBot="1" x14ac:dyDescent="0.3">
      <c r="B135" s="135"/>
      <c r="C135" s="187"/>
      <c r="D135" s="27"/>
      <c r="E135" s="27"/>
      <c r="F135" s="27"/>
      <c r="G135" s="191"/>
      <c r="H135" s="27"/>
      <c r="I135" s="27"/>
      <c r="J135" s="27"/>
      <c r="K135" s="195"/>
      <c r="L135" s="27"/>
      <c r="M135" s="27"/>
      <c r="N135" s="27"/>
      <c r="O135" s="195"/>
      <c r="P135" s="27"/>
      <c r="Q135" s="27"/>
      <c r="R135" s="195"/>
      <c r="S135" s="27"/>
      <c r="T135" s="27"/>
      <c r="U135" s="27"/>
      <c r="V135" s="195"/>
      <c r="W135" s="27"/>
      <c r="X135" s="26"/>
      <c r="Y135" s="195"/>
      <c r="Z135" s="27"/>
      <c r="AA135" s="27"/>
      <c r="AB135" s="92"/>
      <c r="AC135" s="195"/>
      <c r="AD135" s="27"/>
      <c r="AE135" s="27"/>
      <c r="AF135" s="27"/>
      <c r="AG135" s="195"/>
      <c r="AH135" s="27"/>
      <c r="AI135" s="27"/>
      <c r="AJ135" s="27"/>
      <c r="AK135" s="195"/>
      <c r="AL135" s="27"/>
      <c r="AP135" s="258" t="s">
        <v>3</v>
      </c>
      <c r="AQ135" s="260"/>
      <c r="AR135" s="132" t="s">
        <v>15</v>
      </c>
      <c r="AS135" s="132" t="s">
        <v>0</v>
      </c>
      <c r="AT135" s="132" t="s">
        <v>16</v>
      </c>
      <c r="AU135" s="132" t="s">
        <v>17</v>
      </c>
    </row>
    <row r="136" spans="2:48" ht="18" customHeight="1" x14ac:dyDescent="0.25">
      <c r="B136" s="136">
        <v>1</v>
      </c>
      <c r="C136" s="171" t="str">
        <f>IF('11M GRP'!G5&gt;=3,'11M GRP'!J10,IF('11M GRP'!G5=2,IF('11M GRP'!H8=3,'11M GRP'!J10,""),IF('11M GRP'!G5=1,"","")))</f>
        <v>IAN REZENDE</v>
      </c>
      <c r="D136" s="266">
        <v>0</v>
      </c>
      <c r="E136" s="101">
        <f>IF(D136&lt;&gt;"",D136,"")</f>
        <v>0</v>
      </c>
      <c r="F136" s="101" t="str">
        <f>IF(D136&lt;&gt;"",IF(C136="","",C136),"")</f>
        <v>IAN REZENDE</v>
      </c>
      <c r="G136" s="190">
        <f>IF(E136&lt;&gt;"",IF(E138&lt;&gt;"",SMALL(E136:E138,1),""),"")</f>
        <v>0</v>
      </c>
      <c r="H136" s="101"/>
      <c r="I136" s="101"/>
      <c r="J136" s="101"/>
      <c r="K136" s="190"/>
      <c r="L136" s="29"/>
      <c r="M136" s="30"/>
      <c r="N136" s="30"/>
      <c r="O136" s="196"/>
      <c r="P136" s="30"/>
      <c r="Q136" s="37"/>
      <c r="R136" s="198"/>
      <c r="S136" s="37"/>
      <c r="T136" s="37"/>
      <c r="U136" s="37"/>
      <c r="V136" s="198"/>
      <c r="W136" s="37"/>
      <c r="X136" s="86"/>
      <c r="Y136" s="198"/>
      <c r="Z136" s="37"/>
      <c r="AA136" s="37"/>
      <c r="AB136" s="29"/>
      <c r="AC136" s="198"/>
      <c r="AD136" s="37"/>
      <c r="AE136" s="37"/>
      <c r="AF136" s="37"/>
      <c r="AG136" s="197">
        <f>IF(AJ136&lt;&gt;"",AJ136,"")</f>
        <v>0</v>
      </c>
      <c r="AH136" s="100" t="str">
        <f>IF(AJ136&lt;&gt;"",IF(AK136="","",AK136),"")</f>
        <v/>
      </c>
      <c r="AI136" s="101">
        <f>IF(AG136&lt;&gt;"",IF(AG138&lt;&gt;"",SMALL(AG136:AG138,1),""),"")</f>
        <v>0</v>
      </c>
      <c r="AJ136" s="266">
        <v>0</v>
      </c>
      <c r="AK136" s="171"/>
      <c r="AL136" s="99">
        <v>3</v>
      </c>
      <c r="AP136" s="31">
        <f>IF(AR136&lt;&gt;"",1,"")</f>
        <v>1</v>
      </c>
      <c r="AQ136" s="32" t="str">
        <f>IF(AP136&lt;&gt;"","LUGAR","")</f>
        <v>LUGAR</v>
      </c>
      <c r="AR136" s="33" t="str">
        <f>IF(S164&lt;&gt;"",IF(U164&lt;&gt;"",IF(S164=U164,"",IF(S164&gt;U164,R164,V164)),""),"")</f>
        <v>PEDRO JUN REIS MURATA</v>
      </c>
      <c r="AS136" s="33" t="str">
        <f>IFERROR(IF(AR136="","",VLOOKUP(AR136,LISTAS!$F$5:$G$1004,2,0)),"0")</f>
        <v>ABACO IPIRANGA</v>
      </c>
      <c r="AT136" s="33">
        <f>IF(AP136="","",IF(AP136=1,100,IF(AP136=2,80,IF(AP136=3,70,IF(AP136=4,50,IF(AP136=5,45,IF(AP136=6,40,IF(AP136=7,35,IF(AP136=8,30,IF(AP136=9,28,IF(AP136=10,28,IF(AP136=11,28,IF(AP136=12,28,IF(AP136=13,28,IF(AP136=14,28,IF(AP136=15,28,IF(AP136=16,28,IF(AP136&gt;16,"",""))))))))))))))))))</f>
        <v>100</v>
      </c>
      <c r="AU136" s="33">
        <f>IF(AP136="","",IF($AS$5="NÃO","",IF(AP136=1,100,IF(AP136=2,80,IF(AP136=3,70,IF(AP136=4,50,IF(AP136=5,45,IF(AP136=6,40,IF(AP136=7,35,IF(AP136=8,30,IF(AP136=9,28,IF(AP136=10,28,IF(AP136=11,28,IF(AP136=12,28,IF(AP136=13,28,IF(AP136=14,28,IF(AP136=15,28,IF(AP136=16,28,IF(AP136&gt;16,"","")))))))))))))))))))</f>
        <v>100</v>
      </c>
    </row>
    <row r="137" spans="2:48" ht="18" customHeight="1" thickBot="1" x14ac:dyDescent="0.3">
      <c r="B137" s="136"/>
      <c r="C137" s="172" t="str">
        <f>IFERROR(IF(C136="","",VLOOKUP(C136,LISTAS!$F$5:$G$1004,2,0)),"0")</f>
        <v>RIO BRANCO - SBC</v>
      </c>
      <c r="D137" s="267"/>
      <c r="E137" s="101"/>
      <c r="F137" s="101"/>
      <c r="G137" s="190"/>
      <c r="H137" s="101"/>
      <c r="I137" s="101"/>
      <c r="J137" s="101"/>
      <c r="K137" s="190"/>
      <c r="L137" s="29"/>
      <c r="M137" s="30"/>
      <c r="N137" s="30"/>
      <c r="O137" s="196"/>
      <c r="P137" s="30"/>
      <c r="Q137" s="37"/>
      <c r="R137" s="198"/>
      <c r="S137" s="37"/>
      <c r="T137" s="37"/>
      <c r="U137" s="37"/>
      <c r="V137" s="198"/>
      <c r="W137" s="37"/>
      <c r="X137" s="86"/>
      <c r="Y137" s="198"/>
      <c r="Z137" s="37"/>
      <c r="AA137" s="37"/>
      <c r="AB137" s="29"/>
      <c r="AC137" s="198"/>
      <c r="AD137" s="37"/>
      <c r="AE137" s="37"/>
      <c r="AF137" s="37"/>
      <c r="AG137" s="197"/>
      <c r="AH137" s="100"/>
      <c r="AI137" s="101"/>
      <c r="AJ137" s="267"/>
      <c r="AK137" s="172" t="str">
        <f>IFERROR(IF(AK136="","",VLOOKUP(AK136,LISTAS!$F$5:$G$1004,2,0)),"0")</f>
        <v/>
      </c>
      <c r="AL137" s="99"/>
      <c r="AP137" s="31">
        <f>IF(AR137&lt;&gt;"",1+COUNTIF(AP136,"1"),"")</f>
        <v>2</v>
      </c>
      <c r="AQ137" s="32" t="str">
        <f t="shared" ref="AQ137:AQ167" si="10">IF(AP137&lt;&gt;"","LUGAR","")</f>
        <v>LUGAR</v>
      </c>
      <c r="AR137" s="33" t="str">
        <f>IF(S164&lt;&gt;"",IF(U164&lt;&gt;"",IF(S164=U164,"",IF(S164&lt;U164,R164,V164)),""),"")</f>
        <v>LORENZO LUPINARI PALERMO</v>
      </c>
      <c r="AS137" s="33" t="str">
        <f>IFERROR(IF(AR137="","",VLOOKUP(AR137,LISTAS!$F$5:$G$1004,2,0)),"0")</f>
        <v>ABACO IPIRANGA</v>
      </c>
      <c r="AT137" s="33">
        <f t="shared" ref="AT137:AT151" si="11">IF(AP137="","",IF(AP137=1,100,IF(AP137=2,80,IF(AP137=3,70,IF(AP137=4,50,IF(AP137=5,45,IF(AP137=6,40,IF(AP137=7,35,IF(AP137=8,30,IF(AP137=9,28,IF(AP137=10,28,IF(AP137=11,28,IF(AP137=12,28,IF(AP137=13,28,IF(AP137=14,28,IF(AP137=15,28,IF(AP137=16,28,IF(AP137&gt;16,"",""))))))))))))))))))</f>
        <v>80</v>
      </c>
      <c r="AU137" s="33">
        <f t="shared" ref="AU137:AU166" si="12">IF(AP137="","",IF($AS$5="NÃO","",IF(AP137=1,100,IF(AP137=2,80,IF(AP137=3,70,IF(AP137=4,50,IF(AP137=5,45,IF(AP137=6,40,IF(AP137=7,35,IF(AP137=8,30,IF(AP137=9,28,IF(AP137=10,28,IF(AP137=11,28,IF(AP137=12,28,IF(AP137=13,28,IF(AP137=14,28,IF(AP137=15,28,IF(AP137=16,28,IF(AP137&gt;16,"","")))))))))))))))))))</f>
        <v>80</v>
      </c>
    </row>
    <row r="138" spans="2:48" ht="18" customHeight="1" x14ac:dyDescent="0.25">
      <c r="B138" s="133">
        <v>32</v>
      </c>
      <c r="C138" s="33" t="s">
        <v>336</v>
      </c>
      <c r="D138" s="266">
        <v>1</v>
      </c>
      <c r="E138" s="107">
        <f>IF(D138&lt;&gt;"",D138,"")</f>
        <v>1</v>
      </c>
      <c r="F138" s="101" t="str">
        <f>IF(D138&lt;&gt;"",IF(C138="","",C138),"")</f>
        <v>PAULO HENRIQUE REZENDE DE LIMA RODRIGUES</v>
      </c>
      <c r="G138" s="190" t="str">
        <f>VLOOKUP(G136,E136:F138,2,0)</f>
        <v>IAN REZENDE</v>
      </c>
      <c r="H138" s="101"/>
      <c r="I138" s="101"/>
      <c r="J138" s="101"/>
      <c r="K138" s="190"/>
      <c r="L138" s="29"/>
      <c r="M138" s="30"/>
      <c r="N138" s="30"/>
      <c r="O138" s="196"/>
      <c r="P138" s="30"/>
      <c r="Q138" s="37"/>
      <c r="R138" s="198"/>
      <c r="S138" s="37"/>
      <c r="T138" s="37"/>
      <c r="U138" s="37"/>
      <c r="V138" s="198"/>
      <c r="W138" s="37"/>
      <c r="X138" s="86"/>
      <c r="Y138" s="198"/>
      <c r="Z138" s="37"/>
      <c r="AA138" s="37"/>
      <c r="AB138" s="29"/>
      <c r="AC138" s="198"/>
      <c r="AD138" s="37"/>
      <c r="AE138" s="37"/>
      <c r="AF138" s="37"/>
      <c r="AG138" s="197">
        <f>IF(AJ138&lt;&gt;"",AJ138,"")</f>
        <v>1</v>
      </c>
      <c r="AH138" s="100" t="str">
        <f>IF(AJ138&lt;&gt;"",IF(AK138="","",AK138),"")</f>
        <v xml:space="preserve">ARTHUR PEREIRA </v>
      </c>
      <c r="AI138" s="102" t="str">
        <f>VLOOKUP(AI136,AG136:AH138,2,0)</f>
        <v/>
      </c>
      <c r="AJ138" s="266">
        <v>1</v>
      </c>
      <c r="AK138" s="39" t="s">
        <v>683</v>
      </c>
      <c r="AL138" s="29">
        <v>30</v>
      </c>
      <c r="AP138" s="31">
        <f>IF(AR138&lt;&gt;"",1+COUNTIF(AP136:AP137,"1")+COUNTIF(AP136:AP137,"2"),"")</f>
        <v>3</v>
      </c>
      <c r="AQ138" s="32" t="str">
        <f t="shared" si="10"/>
        <v>LUGAR</v>
      </c>
      <c r="AR138" s="111" t="str">
        <f>IF(AR136&lt;&gt;"",IF(O163=AR136,O165,IF(O165=AR136,O163,IF(Y163=AR136,Y165,IF(Y165=AR136,Y163)))),"")</f>
        <v>RAFAEL LUZ</v>
      </c>
      <c r="AS138" s="33" t="str">
        <f>IFERROR(IF(AR138="","",VLOOKUP(AR138,LISTAS!$F$5:$G$1004,2,0)),"0")</f>
        <v>ESCOLA STAGIUM</v>
      </c>
      <c r="AT138" s="33">
        <f t="shared" si="11"/>
        <v>70</v>
      </c>
      <c r="AU138" s="33">
        <f t="shared" si="12"/>
        <v>70</v>
      </c>
    </row>
    <row r="139" spans="2:48" ht="18" customHeight="1" thickBot="1" x14ac:dyDescent="0.3">
      <c r="B139" s="133"/>
      <c r="C139" s="172" t="str">
        <f>IFERROR(IF(C138="","",VLOOKUP(C138,LISTAS!$F$5:$G$1004,2,0)),"0")</f>
        <v>IEBURIX -SBC</v>
      </c>
      <c r="D139" s="267"/>
      <c r="E139" s="148"/>
      <c r="F139" s="101"/>
      <c r="G139" s="190"/>
      <c r="H139" s="101"/>
      <c r="I139" s="101"/>
      <c r="J139" s="101"/>
      <c r="K139" s="190"/>
      <c r="L139" s="29"/>
      <c r="M139" s="30"/>
      <c r="N139" s="30"/>
      <c r="O139" s="196"/>
      <c r="P139" s="30"/>
      <c r="Q139" s="37"/>
      <c r="R139" s="198"/>
      <c r="S139" s="37"/>
      <c r="T139" s="37"/>
      <c r="U139" s="37"/>
      <c r="V139" s="198"/>
      <c r="W139" s="37"/>
      <c r="X139" s="86"/>
      <c r="Y139" s="198"/>
      <c r="Z139" s="37"/>
      <c r="AA139" s="37"/>
      <c r="AB139" s="29"/>
      <c r="AC139" s="198"/>
      <c r="AD139" s="37"/>
      <c r="AE139" s="37"/>
      <c r="AF139" s="37"/>
      <c r="AG139" s="197"/>
      <c r="AH139" s="100"/>
      <c r="AI139" s="142"/>
      <c r="AJ139" s="267"/>
      <c r="AK139" s="172" t="str">
        <f>IFERROR(IF(AK138="","",VLOOKUP(AK138,LISTAS!$F$5:$G$1004,2,0)),"0")</f>
        <v>ESCOLA STAGIUM</v>
      </c>
      <c r="AL139" s="29"/>
      <c r="AP139" s="31">
        <f>IF(AR139&lt;&gt;"",1+COUNTIF(AP136:AP138,"1")+COUNTIF(AP136:AP138,"2")+COUNTIF(AP136:AP138,"3"),"")</f>
        <v>4</v>
      </c>
      <c r="AQ139" s="32" t="str">
        <f t="shared" si="10"/>
        <v>LUGAR</v>
      </c>
      <c r="AR139" s="111" t="str">
        <f>IF(AR137&lt;&gt;"",IF(O163=AR137,O165,IF(O165=AR137,O163,IF(Y163=AR137,Y165,IF(Y165=AR137,Y163)))),"")</f>
        <v>GUILHERME CAVALCANTI SIQUEIRA</v>
      </c>
      <c r="AS139" s="33" t="str">
        <f>IFERROR(IF(AR139="","",VLOOKUP(AR139,LISTAS!$F$5:$G$1004,2,0)),"0")</f>
        <v>EXTERNATO SANTO ANTONIO</v>
      </c>
      <c r="AT139" s="33">
        <f t="shared" si="11"/>
        <v>50</v>
      </c>
      <c r="AU139" s="33">
        <f t="shared" si="12"/>
        <v>50</v>
      </c>
    </row>
    <row r="140" spans="2:48" ht="18" customHeight="1" x14ac:dyDescent="0.25">
      <c r="B140" s="133"/>
      <c r="C140" s="188"/>
      <c r="D140" s="29"/>
      <c r="E140" s="29"/>
      <c r="F140" s="34"/>
      <c r="G140" s="171" t="str">
        <f>IF(D136&lt;&gt;"",IF(D138&lt;&gt;"",IF(D136=D138,"",IF(D136&gt;D138,C136,C138)),""),"")</f>
        <v>PAULO HENRIQUE REZENDE DE LIMA RODRIGUES</v>
      </c>
      <c r="H140" s="266">
        <v>0</v>
      </c>
      <c r="I140" s="101">
        <f>IF(H140&lt;&gt;"",H140,"")</f>
        <v>0</v>
      </c>
      <c r="J140" s="101" t="str">
        <f>IF(H140&lt;&gt;"",IF(G140="","",G140),"")</f>
        <v>PAULO HENRIQUE REZENDE DE LIMA RODRIGUES</v>
      </c>
      <c r="K140" s="190">
        <f>IF(I140&lt;&gt;"",IF(I142&lt;&gt;"",SMALL(I140:J142,1),""),"")</f>
        <v>0</v>
      </c>
      <c r="L140" s="101"/>
      <c r="M140" s="101"/>
      <c r="N140" s="101"/>
      <c r="O140" s="188"/>
      <c r="P140" s="29"/>
      <c r="Q140" s="37"/>
      <c r="R140" s="198"/>
      <c r="S140" s="37"/>
      <c r="T140" s="37"/>
      <c r="U140" s="37"/>
      <c r="V140" s="198"/>
      <c r="W140" s="37"/>
      <c r="X140" s="86"/>
      <c r="Y140" s="198"/>
      <c r="Z140" s="37"/>
      <c r="AA140" s="37"/>
      <c r="AB140" s="29"/>
      <c r="AC140" s="198"/>
      <c r="AD140" s="37"/>
      <c r="AE140" s="95"/>
      <c r="AF140" s="266">
        <v>0</v>
      </c>
      <c r="AG140" s="171" t="str">
        <f>IF(AJ136&lt;&gt;"",IF(AJ138&lt;&gt;"",IF(AJ136=AJ138,"",IF(AJ136&gt;AJ138,AK136,AK138)),""),"")</f>
        <v xml:space="preserve">ARTHUR PEREIRA </v>
      </c>
      <c r="AH140" s="94"/>
      <c r="AI140" s="37"/>
      <c r="AJ140" s="29"/>
      <c r="AK140" s="188"/>
      <c r="AL140" s="29"/>
      <c r="AP140" s="31">
        <f>IF(AR140&lt;&gt;"",1+COUNTIF(AP136:AP139,"1")+COUNTIF(AP136:AP139,"2")+COUNTIF(AP136:AP139,"3")+COUNTIF(AP136:AP139,"4"),"")</f>
        <v>5</v>
      </c>
      <c r="AQ140" s="32" t="str">
        <f t="shared" si="10"/>
        <v>LUGAR</v>
      </c>
      <c r="AR140" s="111" t="str">
        <f>IF(AR136&lt;&gt;"",IF(K148=AR136,K150,IF(K150=AR136,K148,IF(K178=AR136,K180,IF(K180=AR136,K178,IF(AC148=AR136,AC150,IF(AC150=AR136,AC148,IF(AC178=AR136,AC180,IF(AC180=AR136,AC178)))))))),"")</f>
        <v>ENZO FROEMMING MINEMATSU</v>
      </c>
      <c r="AS140" s="33" t="str">
        <f>IFERROR(IF(AR140="","",VLOOKUP(AR140,LISTAS!$F$5:$G$1004,2,0)),"0")</f>
        <v>ABACO IPIRANGA</v>
      </c>
      <c r="AT140" s="33">
        <f t="shared" si="11"/>
        <v>45</v>
      </c>
      <c r="AU140" s="33">
        <f t="shared" si="12"/>
        <v>45</v>
      </c>
    </row>
    <row r="141" spans="2:48" ht="18" customHeight="1" thickBot="1" x14ac:dyDescent="0.3">
      <c r="B141" s="133"/>
      <c r="C141" s="188"/>
      <c r="D141" s="29"/>
      <c r="E141" s="29"/>
      <c r="F141" s="34"/>
      <c r="G141" s="172" t="str">
        <f>IFERROR(IF(G140="","",VLOOKUP(G140,LISTAS!$F$5:$G$1004,2,0)),"0")</f>
        <v>IEBURIX -SBC</v>
      </c>
      <c r="H141" s="267"/>
      <c r="I141" s="101"/>
      <c r="J141" s="101"/>
      <c r="K141" s="190"/>
      <c r="L141" s="101"/>
      <c r="M141" s="101"/>
      <c r="N141" s="101"/>
      <c r="O141" s="188"/>
      <c r="P141" s="29"/>
      <c r="Q141" s="37"/>
      <c r="R141" s="198"/>
      <c r="S141" s="37"/>
      <c r="T141" s="37"/>
      <c r="U141" s="37"/>
      <c r="V141" s="198"/>
      <c r="W141" s="37"/>
      <c r="X141" s="86"/>
      <c r="Y141" s="198"/>
      <c r="Z141" s="37"/>
      <c r="AA141" s="37"/>
      <c r="AB141" s="29"/>
      <c r="AC141" s="198"/>
      <c r="AD141" s="37"/>
      <c r="AE141" s="95"/>
      <c r="AF141" s="267"/>
      <c r="AG141" s="172" t="str">
        <f>IFERROR(IF(AG140="","",VLOOKUP(AG140,LISTAS!$F$5:$G$1004,2,0)),"0")</f>
        <v>ESCOLA STAGIUM</v>
      </c>
      <c r="AH141" s="94"/>
      <c r="AI141" s="37"/>
      <c r="AJ141" s="29"/>
      <c r="AK141" s="188"/>
      <c r="AL141" s="29"/>
      <c r="AP141" s="31">
        <f>IF(AR141&lt;&gt;"",1+COUNTIF(AP136:AP140,"1")+COUNTIF(AP136:AP140,"2")+COUNTIF(AP136:AP140,"3")+COUNTIF(AP136:AP140,"4")+COUNTIF(AP136:AP140,"5"),"")</f>
        <v>6</v>
      </c>
      <c r="AQ141" s="32" t="str">
        <f t="shared" si="10"/>
        <v>LUGAR</v>
      </c>
      <c r="AR141" s="111" t="str">
        <f>IF(AR137&lt;&gt;"",IF(K148=AR137,K150,IF(K150=AR137,K148,IF(K178=AR137,K180,IF(K180=AR137,K178,IF(AC148=AR137,AC150,IF(AC150=AR137,AC148,IF(AC178=AR137,AC180,IF(AC180=AR137,AC178)))))))),"")</f>
        <v>PEDRO HENRIQUE ALMEIDA NUNES</v>
      </c>
      <c r="AS141" s="33" t="str">
        <f>IFERROR(IF(AR141="","",VLOOKUP(AR141,LISTAS!$F$5:$G$1004,2,0)),"0")</f>
        <v>COLÉGIO ENGENHEIRO SALVADOR ARENA</v>
      </c>
      <c r="AT141" s="33">
        <f t="shared" si="11"/>
        <v>40</v>
      </c>
      <c r="AU141" s="33">
        <f t="shared" si="12"/>
        <v>40</v>
      </c>
    </row>
    <row r="142" spans="2:48" ht="18" customHeight="1" x14ac:dyDescent="0.25">
      <c r="B142" s="133"/>
      <c r="C142" s="188"/>
      <c r="D142" s="29"/>
      <c r="E142" s="35"/>
      <c r="F142" s="36"/>
      <c r="G142" s="171" t="str">
        <f>IF(D144&lt;&gt;"",IF(D146&lt;&gt;"",IF(D144=D146,"",IF(D144&gt;D146,C144,C146)),""),"")</f>
        <v>PEDRO HENRIQUE ALMEIDA NUNES</v>
      </c>
      <c r="H142" s="266">
        <v>1</v>
      </c>
      <c r="I142" s="107">
        <f>IF(H142&lt;&gt;"",H142,"")</f>
        <v>1</v>
      </c>
      <c r="J142" s="101" t="str">
        <f>IF(H142&lt;&gt;"",IF(G142="","",G142),"")</f>
        <v>PEDRO HENRIQUE ALMEIDA NUNES</v>
      </c>
      <c r="K142" s="190" t="str">
        <f>VLOOKUP(K140,I140:J142,2,0)</f>
        <v>PAULO HENRIQUE REZENDE DE LIMA RODRIGUES</v>
      </c>
      <c r="L142" s="101"/>
      <c r="M142" s="101"/>
      <c r="N142" s="101"/>
      <c r="O142" s="188"/>
      <c r="P142" s="29"/>
      <c r="Q142" s="37"/>
      <c r="R142" s="198"/>
      <c r="S142" s="37"/>
      <c r="T142" s="37"/>
      <c r="U142" s="37"/>
      <c r="V142" s="198"/>
      <c r="W142" s="37"/>
      <c r="X142" s="86"/>
      <c r="Y142" s="198"/>
      <c r="Z142" s="37"/>
      <c r="AA142" s="37"/>
      <c r="AB142" s="29"/>
      <c r="AC142" s="198"/>
      <c r="AD142" s="94"/>
      <c r="AE142" s="96"/>
      <c r="AF142" s="266">
        <v>1</v>
      </c>
      <c r="AG142" s="171" t="str">
        <f>IF(AJ144&lt;&gt;"",IF(AJ146&lt;&gt;"",IF(AJ144=AJ146,"",IF(AJ144&gt;AJ146,AK144,AK146)),""),"")</f>
        <v>ENZO FROEMMING MINEMATSU</v>
      </c>
      <c r="AH142" s="98"/>
      <c r="AI142" s="37"/>
      <c r="AJ142" s="29"/>
      <c r="AK142" s="188"/>
      <c r="AL142" s="29"/>
      <c r="AN142" s="2"/>
      <c r="AO142" s="2"/>
      <c r="AP142" s="31">
        <f>IF(AR142&lt;&gt;"",1+COUNTIF(AP136:AP141,"1")+COUNTIF(AP136:AP141,"2")+COUNTIF(AP136:AP141,"3")+COUNTIF(AP136:AP141,"4")+COUNTIF(AP136:AP141,"5")+COUNTIF(AP136:AP141,"6"),"")</f>
        <v>7</v>
      </c>
      <c r="AQ142" s="32" t="str">
        <f t="shared" si="10"/>
        <v>LUGAR</v>
      </c>
      <c r="AR142" s="111" t="str">
        <f>IF(AR138&lt;&gt;"",IF(K148=AR138,K150,IF(K150=AR138,K148,IF(K178=AR138,K180,IF(K180=AR138,K178,IF(AC148=AR138,AC150,IF(AC150=AR138,AC148,IF(AC178=AR138,AC180,IF(AC180=AR138,AC178)))))))),"")</f>
        <v>GABRIEL JARDIM CASSI</v>
      </c>
      <c r="AS142" s="33" t="str">
        <f>IFERROR(IF(AR142="","",VLOOKUP(AR142,LISTAS!$F$5:$G$1004,2,0)),"0")</f>
        <v>ESCOLA IL SOLE</v>
      </c>
      <c r="AT142" s="33">
        <f t="shared" si="11"/>
        <v>35</v>
      </c>
      <c r="AU142" s="33">
        <f t="shared" si="12"/>
        <v>35</v>
      </c>
      <c r="AV142" s="2"/>
    </row>
    <row r="143" spans="2:48" ht="18" customHeight="1" thickBot="1" x14ac:dyDescent="0.3">
      <c r="B143" s="133"/>
      <c r="C143" s="188"/>
      <c r="D143" s="29"/>
      <c r="E143" s="35"/>
      <c r="F143" s="29"/>
      <c r="G143" s="172" t="str">
        <f>IFERROR(IF(G142="","",VLOOKUP(G142,LISTAS!$F$5:$G$1004,2,0)),"0")</f>
        <v>COLÉGIO ENGENHEIRO SALVADOR ARENA</v>
      </c>
      <c r="H143" s="267"/>
      <c r="I143" s="138"/>
      <c r="J143" s="101"/>
      <c r="K143" s="190"/>
      <c r="L143" s="101"/>
      <c r="M143" s="101"/>
      <c r="N143" s="101"/>
      <c r="O143" s="188"/>
      <c r="P143" s="29"/>
      <c r="Q143" s="37"/>
      <c r="R143" s="198"/>
      <c r="S143" s="37"/>
      <c r="T143" s="37"/>
      <c r="U143" s="37"/>
      <c r="V143" s="198"/>
      <c r="W143" s="37"/>
      <c r="X143" s="86"/>
      <c r="Y143" s="198"/>
      <c r="Z143" s="37"/>
      <c r="AA143" s="37"/>
      <c r="AB143" s="29"/>
      <c r="AC143" s="198"/>
      <c r="AD143" s="94"/>
      <c r="AE143" s="37"/>
      <c r="AF143" s="267"/>
      <c r="AG143" s="172" t="str">
        <f>IFERROR(IF(AG142="","",VLOOKUP(AG142,LISTAS!$F$5:$G$1004,2,0)),"0")</f>
        <v>ABACO IPIRANGA</v>
      </c>
      <c r="AH143" s="37"/>
      <c r="AI143" s="89"/>
      <c r="AJ143" s="29"/>
      <c r="AK143" s="188"/>
      <c r="AL143" s="29"/>
      <c r="AM143" s="2"/>
      <c r="AN143" s="2"/>
      <c r="AO143" s="2"/>
      <c r="AP143" s="31">
        <f>IF(AR143&lt;&gt;"",1+COUNTIF(AP136:AP142,"1")+COUNTIF(AP136:AP142,"2")+COUNTIF(AP136:AP142,"3")+COUNTIF(AP136:AP142,"4")+COUNTIF(AP136:AP142,"5")+COUNTIF(AP136:AP142,"6")+COUNTIF(AP136:AP142,"7"),"")</f>
        <v>8</v>
      </c>
      <c r="AQ143" s="32" t="str">
        <f t="shared" si="10"/>
        <v>LUGAR</v>
      </c>
      <c r="AR143" s="111" t="str">
        <f>IF(AR139&lt;&gt;"",IF(K148=AR139,K150,IF(K150=AR139,K148,IF(K178=AR139,K180,IF(K180=AR139,K178,IF(AC148=AR139,AC150,IF(AC150=AR139,AC148,IF(AC178=AR139,AC180,IF(AC180=AR139,AC178)))))))),"")</f>
        <v>LORENZO DOS SANTOS BEVILACQUA</v>
      </c>
      <c r="AS143" s="33" t="str">
        <f>IFERROR(IF(AR143="","",VLOOKUP(AR143,LISTAS!$F$5:$G$1004,2,0)),"0")</f>
        <v>COLÉGIO ARBOS - UNIDADE SANTO ANDRÉ</v>
      </c>
      <c r="AT143" s="33">
        <f t="shared" si="11"/>
        <v>30</v>
      </c>
      <c r="AU143" s="33">
        <f t="shared" si="12"/>
        <v>30</v>
      </c>
      <c r="AV143" s="2"/>
    </row>
    <row r="144" spans="2:48" ht="18" customHeight="1" x14ac:dyDescent="0.25">
      <c r="B144" s="133">
        <v>17</v>
      </c>
      <c r="C144" s="33" t="s">
        <v>340</v>
      </c>
      <c r="D144" s="266">
        <v>1</v>
      </c>
      <c r="E144" s="148">
        <f>IF(D144&lt;&gt;"",D144,"")</f>
        <v>1</v>
      </c>
      <c r="F144" s="101" t="str">
        <f>IF(D144&lt;&gt;"",IF(C144="","",C144),"")</f>
        <v>PEDRO HENRIQUE ALMEIDA NUNES</v>
      </c>
      <c r="G144" s="190">
        <f>IF(E144&lt;&gt;"",IF(E146&lt;&gt;"",SMALL(E144:E146,1),""),"")</f>
        <v>0</v>
      </c>
      <c r="H144" s="101"/>
      <c r="I144" s="138"/>
      <c r="J144" s="29"/>
      <c r="K144" s="188"/>
      <c r="L144" s="29"/>
      <c r="M144" s="29"/>
      <c r="N144" s="29"/>
      <c r="O144" s="188"/>
      <c r="P144" s="29"/>
      <c r="Q144" s="37"/>
      <c r="R144" s="198"/>
      <c r="S144" s="37"/>
      <c r="T144" s="37"/>
      <c r="U144" s="37"/>
      <c r="V144" s="198"/>
      <c r="W144" s="37"/>
      <c r="X144" s="86"/>
      <c r="Y144" s="198"/>
      <c r="Z144" s="37"/>
      <c r="AA144" s="37"/>
      <c r="AB144" s="29"/>
      <c r="AC144" s="198"/>
      <c r="AD144" s="94"/>
      <c r="AE144" s="100"/>
      <c r="AF144" s="100"/>
      <c r="AG144" s="197">
        <f>IF(AJ144&lt;&gt;"",AJ144,"")</f>
        <v>1</v>
      </c>
      <c r="AH144" s="100" t="str">
        <f>IF(AJ144&lt;&gt;"",IF(AK144="","",AK144),"")</f>
        <v>ENZO FROEMMING MINEMATSU</v>
      </c>
      <c r="AI144" s="137">
        <f>IF(AG144&lt;&gt;"",IF(AG146&lt;&gt;"",SMALL(AG144:AG146,1),""),"")</f>
        <v>0</v>
      </c>
      <c r="AJ144" s="266">
        <v>1</v>
      </c>
      <c r="AK144" s="171" t="str">
        <f>IF('11M GRP'!G5&gt;=3,'11M GRP'!J192,IF('11M GRP'!G5=2,"",IF('11M GRP'!G5=1,"","")))</f>
        <v>ENZO FROEMMING MINEMATSU</v>
      </c>
      <c r="AL144" s="29">
        <v>14</v>
      </c>
      <c r="AM144" s="2"/>
      <c r="AP144" s="31">
        <f>IF(AR144&lt;&gt;"",1+COUNTIF(AP136:AP143,"1")+COUNTIF(AP136:AP143,"2")+COUNTIF(AP136:AP143,"3")+COUNTIF(AP136:AP143,"4")+COUNTIF(AP136:AP143,"5")+COUNTIF(AP136:AP143,"6")+COUNTIF(AP136:AP143,"7")+COUNTIF(AP136:AP143,"8"),"")</f>
        <v>9</v>
      </c>
      <c r="AQ144" s="32" t="str">
        <f t="shared" si="10"/>
        <v>LUGAR</v>
      </c>
      <c r="AR144" s="111" t="str">
        <f>IF(AR136&lt;&gt;"",IF(G140=AR136,G142,IF(G142=AR136,G140,IF(G156=AR136,G158,IF(G158=AR136,G156,IF(AG140=AR136,AG142,IF(AG142=AR136,AG140,IF(AG156=AR136,AG158,IF(AG158=AR136,AG156,IF(G170=AR136,G172,IF(G172=AR136,G170,IF(G186=AR136,G188,IF(G188=AR136,G186,IF(AG170=AR136,AG172,IF(AG172=AR136,AG170,IF(AG186=AR136,AG188,IF(AG188=AR136,AG186)))))))))))))))),"")</f>
        <v>PEDRO DUARTE DE ALMEIDA</v>
      </c>
      <c r="AS144" s="33" t="str">
        <f>IFERROR(IF(AR144="","",VLOOKUP(AR144,LISTAS!$F$5:$G$1004,2,0)),"0")</f>
        <v>COLEGIO PETROPOLIS</v>
      </c>
      <c r="AT144" s="33">
        <f t="shared" si="11"/>
        <v>28</v>
      </c>
      <c r="AU144" s="33">
        <f t="shared" si="12"/>
        <v>28</v>
      </c>
    </row>
    <row r="145" spans="2:47" ht="18" customHeight="1" thickBot="1" x14ac:dyDescent="0.3">
      <c r="B145" s="133"/>
      <c r="C145" s="172" t="str">
        <f>IFERROR(IF(C144="","",VLOOKUP(C144,LISTAS!$F$5:$G$1004,2,0)),"0")</f>
        <v>COLÉGIO ENGENHEIRO SALVADOR ARENA</v>
      </c>
      <c r="D145" s="267"/>
      <c r="E145" s="105"/>
      <c r="F145" s="101"/>
      <c r="G145" s="190"/>
      <c r="H145" s="101"/>
      <c r="I145" s="138"/>
      <c r="J145" s="29"/>
      <c r="K145" s="188"/>
      <c r="L145" s="29"/>
      <c r="M145" s="29"/>
      <c r="N145" s="29"/>
      <c r="O145" s="188"/>
      <c r="P145" s="29"/>
      <c r="Q145" s="37"/>
      <c r="R145" s="198"/>
      <c r="S145" s="37"/>
      <c r="T145" s="37"/>
      <c r="U145" s="37"/>
      <c r="V145" s="198"/>
      <c r="W145" s="37"/>
      <c r="X145" s="86"/>
      <c r="Y145" s="198"/>
      <c r="Z145" s="37"/>
      <c r="AA145" s="37"/>
      <c r="AB145" s="29"/>
      <c r="AC145" s="198"/>
      <c r="AD145" s="94"/>
      <c r="AE145" s="100"/>
      <c r="AF145" s="100"/>
      <c r="AG145" s="197"/>
      <c r="AH145" s="100"/>
      <c r="AI145" s="143"/>
      <c r="AJ145" s="267"/>
      <c r="AK145" s="172" t="str">
        <f>IFERROR(IF(AK144="","",VLOOKUP(AK144,LISTAS!$F$5:$G$1004,2,0)),"0")</f>
        <v>ABACO IPIRANGA</v>
      </c>
      <c r="AL145" s="29"/>
      <c r="AP145" s="31">
        <f>IF(AR145&lt;&gt;"",1+COUNTIF(AP136:AP144,"1")+COUNTIF(AP136:AP144,"2")+COUNTIF(AP136:AP144,"3")+COUNTIF(AP136:AP144,"4")+COUNTIF(AP136:AP144,"5")+COUNTIF(AP136:AP144,"6")+COUNTIF(AP136:AP144,"7")+COUNTIF(AP136:AP144,"8")+COUNTIF(AP136:AP144,"9"),"")</f>
        <v>10</v>
      </c>
      <c r="AQ145" s="32" t="str">
        <f t="shared" si="10"/>
        <v>LUGAR</v>
      </c>
      <c r="AR145" s="111" t="str">
        <f>IF(AR137&lt;&gt;"",IF(G140=AR137,G142,IF(G142=AR137,G140,IF(G156=AR137,G158,IF(G158=AR137,G156,IF(AG140=AR137,AG142,IF(AG142=AR137,AG140,IF(AG156=AR137,AG158,IF(AG158=AR137,AG156,IF(G170=AR137,G172,IF(G172=AR137,G170,IF(G186=AR137,G188,IF(G188=AR137,G186,IF(AG170=AR137,AG172,IF(AG172=AR137,AG170,IF(AG186=AR137,AG188,IF(AG188=AR137,AG186)))))))))))))))),"")</f>
        <v>GUILHERME PEREIRA SORRENTINO</v>
      </c>
      <c r="AS145" s="33" t="str">
        <f>IFERROR(IF(AR145="","",VLOOKUP(AR145,LISTAS!$F$5:$G$1004,2,0)),"0")</f>
        <v>PEN LIFE</v>
      </c>
      <c r="AT145" s="33">
        <f t="shared" si="11"/>
        <v>28</v>
      </c>
      <c r="AU145" s="33">
        <f t="shared" si="12"/>
        <v>28</v>
      </c>
    </row>
    <row r="146" spans="2:47" ht="18" customHeight="1" x14ac:dyDescent="0.25">
      <c r="B146" s="133">
        <v>16</v>
      </c>
      <c r="C146" s="171" t="str">
        <f>IF('11M GRP'!G5&gt;=3,'11M GRP'!J218,IF('11M GRP'!G5=2,"",IF('11M GRP'!G5=1,"","")))</f>
        <v>ENZO ROCHA TAKUMA</v>
      </c>
      <c r="D146" s="266">
        <v>0</v>
      </c>
      <c r="E146" s="106">
        <f>IF(D146&lt;&gt;"",D146,"")</f>
        <v>0</v>
      </c>
      <c r="F146" s="101" t="str">
        <f>IF(D146&lt;&gt;"",IF(C146="","",C146),"")</f>
        <v>ENZO ROCHA TAKUMA</v>
      </c>
      <c r="G146" s="190" t="str">
        <f>VLOOKUP(G144,E144:F146,2,0)</f>
        <v>ENZO ROCHA TAKUMA</v>
      </c>
      <c r="H146" s="101"/>
      <c r="I146" s="138"/>
      <c r="J146" s="29"/>
      <c r="K146" s="188"/>
      <c r="L146" s="29"/>
      <c r="M146" s="29"/>
      <c r="N146" s="29"/>
      <c r="O146" s="188"/>
      <c r="P146" s="29"/>
      <c r="Q146" s="37"/>
      <c r="R146" s="198"/>
      <c r="S146" s="37"/>
      <c r="T146" s="37"/>
      <c r="U146" s="37"/>
      <c r="V146" s="198"/>
      <c r="W146" s="37"/>
      <c r="X146" s="86"/>
      <c r="Y146" s="198"/>
      <c r="Z146" s="37"/>
      <c r="AA146" s="37"/>
      <c r="AB146" s="29"/>
      <c r="AC146" s="198"/>
      <c r="AD146" s="94"/>
      <c r="AE146" s="100"/>
      <c r="AF146" s="100"/>
      <c r="AG146" s="197">
        <f>IF(AJ146&lt;&gt;"",AJ146,"")</f>
        <v>0</v>
      </c>
      <c r="AH146" s="100" t="str">
        <f>IF(AJ146&lt;&gt;"",IF(AK146="","",AK146),"")</f>
        <v>FELIPE RAYMUNDO SANTOS</v>
      </c>
      <c r="AI146" s="104" t="str">
        <f>VLOOKUP(AI144,AG144:AH146,2,0)</f>
        <v>FELIPE RAYMUNDO SANTOS</v>
      </c>
      <c r="AJ146" s="266">
        <v>0</v>
      </c>
      <c r="AK146" s="33" t="s">
        <v>251</v>
      </c>
      <c r="AL146" s="29">
        <v>19</v>
      </c>
      <c r="AP146" s="31">
        <f>IF(AR146&lt;&gt;"",1+COUNTIF(AP136:AP145,"1")+COUNTIF(AP136:AP145,"2")+COUNTIF(AP136:AP145,"3")+COUNTIF(AP136:AP145,"4")+COUNTIF(AP136:AP145,"5")+COUNTIF(AP136:AP145,"6")+COUNTIF(AP136:AP145,"7")+COUNTIF(AP136:AP145,"8")+COUNTIF(AP136:AP145,"9")+COUNTIF(AP136:AP145,"10"),"")</f>
        <v>11</v>
      </c>
      <c r="AQ146" s="32" t="str">
        <f t="shared" si="10"/>
        <v>LUGAR</v>
      </c>
      <c r="AR146" s="111" t="str">
        <f>IF(AR138&lt;&gt;"",IF(G140=AR138,G142,IF(G142=AR138,G140,IF(G156=AR138,G158,IF(G158=AR138,G156,IF(AG140=AR138,AG142,IF(AG142=AR138,AG140,IF(AG156=AR138,AG158,IF(AG158=AR138,AG156,IF(G170=AR138,G172,IF(G172=AR138,G170,IF(G186=AR138,G188,IF(G188=AR138,G186,IF(AG170=AR138,AG172,IF(AG172=AR138,AG170,IF(AG186=AR138,AG188,IF(AG188=AR138,AG186)))))))))))))))),"")</f>
        <v>PEDRO GOMES</v>
      </c>
      <c r="AS146" s="33" t="str">
        <f>IFERROR(IF(AR146="","",VLOOKUP(AR146,LISTAS!$F$5:$G$1004,2,0)),"0")</f>
        <v>ESCOLA VILLARE</v>
      </c>
      <c r="AT146" s="33">
        <f t="shared" si="11"/>
        <v>28</v>
      </c>
      <c r="AU146" s="33">
        <f t="shared" si="12"/>
        <v>28</v>
      </c>
    </row>
    <row r="147" spans="2:47" ht="18" customHeight="1" thickBot="1" x14ac:dyDescent="0.3">
      <c r="B147" s="133"/>
      <c r="C147" s="172" t="str">
        <f>IFERROR(IF(C146="","",VLOOKUP(C146,LISTAS!$F$5:$G$1004,2,0)),"0")</f>
        <v>ABACO IPIRANGA</v>
      </c>
      <c r="D147" s="267"/>
      <c r="E147" s="101"/>
      <c r="F147" s="101"/>
      <c r="G147" s="190"/>
      <c r="H147" s="101"/>
      <c r="I147" s="138"/>
      <c r="J147" s="29"/>
      <c r="K147" s="188"/>
      <c r="L147" s="29"/>
      <c r="M147" s="87"/>
      <c r="N147" s="87"/>
      <c r="O147" s="192"/>
      <c r="P147" s="29"/>
      <c r="Q147" s="37"/>
      <c r="R147" s="198"/>
      <c r="S147" s="37"/>
      <c r="T147" s="37"/>
      <c r="U147" s="37"/>
      <c r="V147" s="198"/>
      <c r="W147" s="37"/>
      <c r="X147" s="86"/>
      <c r="Y147" s="198"/>
      <c r="Z147" s="37"/>
      <c r="AA147" s="37"/>
      <c r="AB147" s="29"/>
      <c r="AC147" s="198"/>
      <c r="AD147" s="94"/>
      <c r="AE147" s="100"/>
      <c r="AF147" s="100"/>
      <c r="AG147" s="197"/>
      <c r="AH147" s="100"/>
      <c r="AI147" s="101"/>
      <c r="AJ147" s="267"/>
      <c r="AK147" s="172" t="str">
        <f>IFERROR(IF(AK146="","",VLOOKUP(AK146,LISTAS!$F$5:$G$1004,2,0)),"0")</f>
        <v>COLÉGIO ARBOS DE SÃO BERNARDO DO CAMPO</v>
      </c>
      <c r="AL147" s="29"/>
      <c r="AP147" s="31">
        <f>IF(AR147&lt;&gt;"",1+COUNTIF(AP136:AP146,"1")+COUNTIF(AP136:AP146,"2")+COUNTIF(AP136:AP146,"3")+COUNTIF(AP136:AP146,"4")+COUNTIF(AP136:AP146,"5")+COUNTIF(AP136:AP146,"6")+COUNTIF(AP136:AP146,"7")+COUNTIF(AP136:AP146,"8")+COUNTIF(AP136:AP146,"9")+COUNTIF(AP136:AP146,"10")+COUNTIF(AP136:AP146,"11"),"")</f>
        <v>12</v>
      </c>
      <c r="AQ147" s="32" t="str">
        <f t="shared" si="10"/>
        <v>LUGAR</v>
      </c>
      <c r="AR147" s="111" t="str">
        <f>IF(AR139&lt;&gt;"",IF(G140=AR139,G142,IF(G142=AR139,G140,IF(G156=AR139,G158,IF(G158=AR139,G156,IF(AG140=AR139,AG142,IF(AG142=AR139,AG140,IF(AG156=AR139,AG158,IF(AG158=AR139,AG156,IF(G170=AR139,G172,IF(G172=AR139,G170,IF(G186=AR139,G188,IF(G188=AR139,G186,IF(AG170=AR139,AG172,IF(AG172=AR139,AG170,IF(AG186=AR139,AG188,IF(AG188=AR139,AG186)))))))))))))))),"")</f>
        <v>FERNANDO IORI TORRES</v>
      </c>
      <c r="AS147" s="33" t="str">
        <f>IFERROR(IF(AR147="","",VLOOKUP(AR147,LISTAS!$F$5:$G$1004,2,0)),"0")</f>
        <v>ESCOLA VILLARE</v>
      </c>
      <c r="AT147" s="33">
        <f t="shared" si="11"/>
        <v>28</v>
      </c>
      <c r="AU147" s="33">
        <f t="shared" si="12"/>
        <v>28</v>
      </c>
    </row>
    <row r="148" spans="2:47" ht="18" customHeight="1" x14ac:dyDescent="0.25">
      <c r="B148" s="133"/>
      <c r="C148" s="188"/>
      <c r="D148" s="29"/>
      <c r="E148" s="101"/>
      <c r="F148" s="101"/>
      <c r="G148" s="190"/>
      <c r="H148" s="101"/>
      <c r="I148" s="138"/>
      <c r="J148" s="29"/>
      <c r="K148" s="171" t="str">
        <f>IF(H140&lt;&gt;"",IF(H142&lt;&gt;"",IF(H140=H142,"",IF(H140&gt;H142,G140,G142)),""),"")</f>
        <v>PEDRO HENRIQUE ALMEIDA NUNES</v>
      </c>
      <c r="L148" s="266">
        <v>0</v>
      </c>
      <c r="M148" s="101">
        <f>IF(L148&lt;&gt;"",L148,"")</f>
        <v>0</v>
      </c>
      <c r="N148" s="101" t="str">
        <f>IF(L148&lt;&gt;"",IF(K148="","",K148),"")</f>
        <v>PEDRO HENRIQUE ALMEIDA NUNES</v>
      </c>
      <c r="O148" s="190">
        <f>IF(M148&lt;&gt;"",IF(M150&lt;&gt;"",SMALL(M148:N150,1),""),"")</f>
        <v>0</v>
      </c>
      <c r="P148" s="29"/>
      <c r="Q148" s="37"/>
      <c r="R148" s="272" t="s">
        <v>89</v>
      </c>
      <c r="S148" s="273"/>
      <c r="T148" s="273"/>
      <c r="U148" s="273"/>
      <c r="V148" s="273"/>
      <c r="W148" s="37"/>
      <c r="X148" s="86"/>
      <c r="Y148" s="198"/>
      <c r="Z148" s="37"/>
      <c r="AA148" s="37"/>
      <c r="AB148" s="266">
        <v>0</v>
      </c>
      <c r="AC148" s="171" t="str">
        <f>IF(AF140&lt;&gt;"",IF(AF142&lt;&gt;"",IF(AF140=AF142,"",IF(AF140&gt;AF142,AG140,AG142)),""),"")</f>
        <v>ENZO FROEMMING MINEMATSU</v>
      </c>
      <c r="AD148" s="141"/>
      <c r="AE148" s="100"/>
      <c r="AF148" s="100"/>
      <c r="AG148" s="197"/>
      <c r="AH148" s="100"/>
      <c r="AI148" s="100"/>
      <c r="AJ148" s="29"/>
      <c r="AK148" s="188"/>
      <c r="AL148" s="29"/>
      <c r="AP148" s="31">
        <f>IF(AR148&lt;&gt;"",1+COUNTIF(AP136:AP147,"1")+COUNTIF(AP136:AP147,"2")+COUNTIF(AP136:AP147,"3")+COUNTIF(AP136:AP147,"4")+COUNTIF(AP136:AP147,"5")+COUNTIF(AP136:AP147,"6")+COUNTIF(AP136:AP147,"7")+COUNTIF(AP136:AP147,"8")+COUNTIF(AP136:AP147,"9")+COUNTIF(AP136:AP147,"10")+COUNTIF(AP136:AP147,"11")+COUNTIF(AP136:AP147,"12"),"")</f>
        <v>13</v>
      </c>
      <c r="AQ148" s="32" t="str">
        <f t="shared" si="10"/>
        <v>LUGAR</v>
      </c>
      <c r="AR148" s="111" t="str">
        <f>IF(AR140&lt;&gt;"",IF(G140=AR140,G142,IF(G142=AR140,G140,IF(G156=AR140,G158,IF(G158=AR140,G156,IF(AG140=AR140,AG142,IF(AG142=AR140,AG140,IF(AG156=AR140,AG158,IF(AG158=AR140,AG156,IF(G170=AR140,G172,IF(G172=AR140,G170,IF(G186=AR140,G188,IF(G188=AR140,G186,IF(AG170=AR140,AG172,IF(AG172=AR140,AG170,IF(AG186=AR140,AG188,IF(AG188=AR140,AG186)))))))))))))))),"")</f>
        <v xml:space="preserve">ARTHUR PEREIRA </v>
      </c>
      <c r="AS148" s="33" t="str">
        <f>IFERROR(IF(AR148="","",VLOOKUP(AR148,LISTAS!$F$5:$G$1004,2,0)),"0")</f>
        <v>ESCOLA STAGIUM</v>
      </c>
      <c r="AT148" s="33">
        <f t="shared" si="11"/>
        <v>28</v>
      </c>
      <c r="AU148" s="33">
        <f t="shared" si="12"/>
        <v>28</v>
      </c>
    </row>
    <row r="149" spans="2:47" ht="18" customHeight="1" thickBot="1" x14ac:dyDescent="0.3">
      <c r="B149" s="133"/>
      <c r="C149" s="188"/>
      <c r="D149" s="29"/>
      <c r="E149" s="101"/>
      <c r="F149" s="101"/>
      <c r="G149" s="190"/>
      <c r="H149" s="101"/>
      <c r="I149" s="138"/>
      <c r="J149" s="29"/>
      <c r="K149" s="172" t="str">
        <f>IFERROR(IF(K148="","",VLOOKUP(K148,LISTAS!$F$5:$G$1004,2,0)),"0")</f>
        <v>COLÉGIO ENGENHEIRO SALVADOR ARENA</v>
      </c>
      <c r="L149" s="267"/>
      <c r="M149" s="101"/>
      <c r="N149" s="101"/>
      <c r="O149" s="190"/>
      <c r="P149" s="29"/>
      <c r="Q149" s="37"/>
      <c r="R149" s="272" t="s">
        <v>24</v>
      </c>
      <c r="S149" s="273"/>
      <c r="T149" s="273"/>
      <c r="U149" s="273"/>
      <c r="V149" s="273"/>
      <c r="W149" s="37"/>
      <c r="X149" s="86"/>
      <c r="Y149" s="198"/>
      <c r="Z149" s="37"/>
      <c r="AA149" s="37"/>
      <c r="AB149" s="267"/>
      <c r="AC149" s="172" t="str">
        <f>IFERROR(IF(AC148="","",VLOOKUP(AC148,LISTAS!$F$5:$G$1004,2,0)),"0")</f>
        <v>ABACO IPIRANGA</v>
      </c>
      <c r="AD149" s="37"/>
      <c r="AE149" s="144"/>
      <c r="AF149" s="100"/>
      <c r="AG149" s="197"/>
      <c r="AH149" s="100"/>
      <c r="AI149" s="100"/>
      <c r="AJ149" s="29"/>
      <c r="AK149" s="188"/>
      <c r="AL149" s="29"/>
      <c r="AP149" s="31">
        <f>IF(AR149&lt;&gt;"",1+COUNTIF(AP136:AP148,"1")+COUNTIF(AP136:AP148,"2")+COUNTIF(AP136:AP148,"3")+COUNTIF(AP136:AP148,"4")+COUNTIF(AP136:AP148,"5")+COUNTIF(AP136:AP148,"6")+COUNTIF(AP136:AP148,"7")+COUNTIF(AP136:AP148,"8")+COUNTIF(AP136:AP148,"9")+COUNTIF(AP136:AP148,"10")+COUNTIF(AP136:AP148,"11")+COUNTIF(AP136:AP148,"12")+COUNTIF(AP136:AP148,"13"),"")</f>
        <v>14</v>
      </c>
      <c r="AQ149" s="32" t="str">
        <f t="shared" si="10"/>
        <v>LUGAR</v>
      </c>
      <c r="AR149" s="111" t="str">
        <f>IF(AR141&lt;&gt;"",IF(G140=AR141,G142,IF(G142=AR141,G140,IF(G156=AR141,G158,IF(G158=AR141,G156,IF(AG140=AR141,AG142,IF(AG142=AR141,AG140,IF(AG156=AR141,AG158,IF(AG158=AR141,AG156,IF(G170=AR141,G172,IF(G172=AR141,G170,IF(G186=AR141,G188,IF(G188=AR141,G186,IF(AG170=AR141,AG172,IF(AG172=AR141,AG170,IF(AG186=AR141,AG188,IF(AG188=AR141,AG186)))))))))))))))),"")</f>
        <v>PAULO HENRIQUE REZENDE DE LIMA RODRIGUES</v>
      </c>
      <c r="AS149" s="33" t="str">
        <f>IFERROR(IF(AR149="","",VLOOKUP(AR149,LISTAS!$F$5:$G$1004,2,0)),"0")</f>
        <v>IEBURIX -SBC</v>
      </c>
      <c r="AT149" s="33">
        <f t="shared" si="11"/>
        <v>28</v>
      </c>
      <c r="AU149" s="33">
        <f t="shared" si="12"/>
        <v>28</v>
      </c>
    </row>
    <row r="150" spans="2:47" ht="18" customHeight="1" x14ac:dyDescent="0.25">
      <c r="B150" s="133"/>
      <c r="C150" s="188"/>
      <c r="D150" s="29"/>
      <c r="E150" s="29"/>
      <c r="F150" s="29"/>
      <c r="G150" s="188"/>
      <c r="H150" s="29"/>
      <c r="I150" s="35"/>
      <c r="J150" s="36"/>
      <c r="K150" s="171" t="str">
        <f>IF(H156&lt;&gt;"",IF(H158&lt;&gt;"",IF(H156=H158,"",IF(H156&gt;H158,G156,G158)),""),"")</f>
        <v>LORENZO LUPINARI PALERMO</v>
      </c>
      <c r="L150" s="266">
        <v>1</v>
      </c>
      <c r="M150" s="107">
        <f>IF(L150&lt;&gt;"",L150,"")</f>
        <v>1</v>
      </c>
      <c r="N150" s="101" t="str">
        <f>IF(L150&lt;&gt;"",IF(K150="","",K150),"")</f>
        <v>LORENZO LUPINARI PALERMO</v>
      </c>
      <c r="O150" s="190" t="str">
        <f>VLOOKUP(O148,M148:N150,2,0)</f>
        <v>PEDRO HENRIQUE ALMEIDA NUNES</v>
      </c>
      <c r="P150" s="29"/>
      <c r="Q150" s="37"/>
      <c r="R150" s="198"/>
      <c r="S150" s="37"/>
      <c r="T150" s="37"/>
      <c r="U150" s="37"/>
      <c r="V150" s="198"/>
      <c r="W150" s="37"/>
      <c r="X150" s="86"/>
      <c r="Y150" s="198"/>
      <c r="Z150" s="94"/>
      <c r="AA150" s="96"/>
      <c r="AB150" s="266">
        <v>1</v>
      </c>
      <c r="AC150" s="171" t="str">
        <f>IF(AF156&lt;&gt;"",IF(AF158&lt;&gt;"",IF(AF156=AF158,"",IF(AF156&gt;AF158,AG156,AG158)),""),"")</f>
        <v>PEDRO JUN REIS MURATA</v>
      </c>
      <c r="AD150" s="37"/>
      <c r="AE150" s="144"/>
      <c r="AF150" s="100"/>
      <c r="AG150" s="197"/>
      <c r="AH150" s="100"/>
      <c r="AI150" s="100"/>
      <c r="AJ150" s="29"/>
      <c r="AK150" s="188"/>
      <c r="AL150" s="29"/>
      <c r="AP150" s="31">
        <f>IF(AR150&lt;&gt;"",1+COUNTIF(AP136:AP149,"1")+COUNTIF(AP136:AP149,"2")+COUNTIF(AP136:AP149,"3")+COUNTIF(AP136:AP149,"4")+COUNTIF(AP136:AP149,"5")+COUNTIF(AP136:AP149,"6")+COUNTIF(AP136:AP149,"7")+COUNTIF(AP136:AP149,"8")+COUNTIF(AP136:AP149,"9")+COUNTIF(AP136:AP149,"10")+COUNTIF(AP136:AP149,"11")+COUNTIF(AP136:AP149,"12")+COUNTIF(AP136:AP149,"13")+COUNTIF(AP136:AP149,"14"),"")</f>
        <v>15</v>
      </c>
      <c r="AQ150" s="32" t="str">
        <f t="shared" si="10"/>
        <v>LUGAR</v>
      </c>
      <c r="AR150" s="111" t="str">
        <f>IF(AR142&lt;&gt;"",IF(G140=AR142,G142,IF(G142=AR142,G140,IF(G156=AR142,G158,IF(G158=AR142,G156,IF(AG140=AR142,AG142,IF(AG142=AR142,AG140,IF(AG156=AR142,AG158,IF(AG158=AR142,AG156,IF(G170=AR142,G172,IF(G172=AR142,G170,IF(G186=AR142,G188,IF(G188=AR142,G186,IF(AG170=AR142,AG172,IF(AG172=AR142,AG170,IF(AG186=AR142,AG188,IF(AG188=AR142,AG186)))))))))))))))),"")</f>
        <v>ENRICO CABRIOTI DOS SANTOS MELGES</v>
      </c>
      <c r="AS150" s="33" t="str">
        <f>IFERROR(IF(AR150="","",VLOOKUP(AR150,LISTAS!$F$5:$G$1004,2,0)),"0")</f>
        <v>ABACO IPIRANGA</v>
      </c>
      <c r="AT150" s="33">
        <f t="shared" si="11"/>
        <v>28</v>
      </c>
      <c r="AU150" s="33">
        <f t="shared" si="12"/>
        <v>28</v>
      </c>
    </row>
    <row r="151" spans="2:47" ht="18" customHeight="1" thickBot="1" x14ac:dyDescent="0.3">
      <c r="B151" s="133"/>
      <c r="C151" s="188"/>
      <c r="D151" s="29"/>
      <c r="E151" s="29"/>
      <c r="F151" s="29"/>
      <c r="G151" s="188"/>
      <c r="H151" s="29"/>
      <c r="I151" s="35"/>
      <c r="J151" s="29"/>
      <c r="K151" s="172" t="str">
        <f>IFERROR(IF(K150="","",VLOOKUP(K150,LISTAS!$F$5:$G$1004,2,0)),"0")</f>
        <v>ABACO IPIRANGA</v>
      </c>
      <c r="L151" s="267"/>
      <c r="M151" s="138"/>
      <c r="N151" s="101"/>
      <c r="O151" s="190"/>
      <c r="P151" s="29"/>
      <c r="Q151" s="37"/>
      <c r="R151" s="198"/>
      <c r="S151" s="37"/>
      <c r="T151" s="37"/>
      <c r="U151" s="37"/>
      <c r="V151" s="198"/>
      <c r="W151" s="37"/>
      <c r="X151" s="86"/>
      <c r="Y151" s="198"/>
      <c r="Z151" s="94"/>
      <c r="AA151" s="37"/>
      <c r="AB151" s="267"/>
      <c r="AC151" s="172" t="str">
        <f>IFERROR(IF(AC150="","",VLOOKUP(AC150,LISTAS!$F$5:$G$1004,2,0)),"0")</f>
        <v>ABACO IPIRANGA</v>
      </c>
      <c r="AD151" s="37"/>
      <c r="AE151" s="144"/>
      <c r="AF151" s="100"/>
      <c r="AG151" s="197"/>
      <c r="AH151" s="100"/>
      <c r="AI151" s="100"/>
      <c r="AJ151" s="29"/>
      <c r="AK151" s="188"/>
      <c r="AL151" s="29"/>
      <c r="AP151" s="31">
        <f>IF(AR151&lt;&gt;"",1+COUNTIF(AP136:AP150,"1")+COUNTIF(AP136:AP150,"2")+COUNTIF(AP136:AP150,"3")+COUNTIF(AP136:AP150,"4")+COUNTIF(AP136:AP150,"5")+COUNTIF(AP136:AP150,"6")+COUNTIF(AP136:AP150,"7")+COUNTIF(AP136:AP150,"8")+COUNTIF(AP136:AP150,"9")+COUNTIF(AP136:AP150,"10")+COUNTIF(AP136:AP150,"11")+COUNTIF(AP136:AP150,"12")+COUNTIF(AP136:AP150,"13")+COUNTIF(AP136:AP150,"14")+COUNTIF(AP136:AP150,"15"),"")</f>
        <v>16</v>
      </c>
      <c r="AQ151" s="32" t="str">
        <f t="shared" si="10"/>
        <v>LUGAR</v>
      </c>
      <c r="AR151" s="111" t="str">
        <f>IF(AR143&lt;&gt;"",IF(G140=AR143,G142,IF(G142=AR143,G140,IF(G156=AR143,G158,IF(G158=AR143,G156,IF(AG140=AR143,AG142,IF(AG142=AR143,AG140,IF(AG156=AR143,AG158,IF(AG158=AR143,AG156,IF(G170=AR143,G172,IF(G172=AR143,G170,IF(G186=AR143,G188,IF(G188=AR143,G186,IF(AG170=AR143,AG172,IF(AG172=AR143,AG170,IF(AG186=AR143,AG188,IF(AG188=AR143,AG186)))))))))))))))),"")</f>
        <v>Rafael da Silva Zampoli</v>
      </c>
      <c r="AS151" s="33" t="str">
        <f>IFERROR(IF(AR151="","",VLOOKUP(AR151,LISTAS!$F$5:$G$1004,2,0)),"0")</f>
        <v>ESCOLA INTERAÇÃO</v>
      </c>
      <c r="AT151" s="33">
        <f t="shared" si="11"/>
        <v>28</v>
      </c>
      <c r="AU151" s="33">
        <f t="shared" si="12"/>
        <v>28</v>
      </c>
    </row>
    <row r="152" spans="2:47" ht="18" customHeight="1" x14ac:dyDescent="0.25">
      <c r="B152" s="133">
        <v>9</v>
      </c>
      <c r="C152" s="171"/>
      <c r="D152" s="266">
        <v>0</v>
      </c>
      <c r="E152" s="101">
        <f>IF(D152&lt;&gt;"",D152,"")</f>
        <v>0</v>
      </c>
      <c r="F152" s="101" t="str">
        <f>IF(D152&lt;&gt;"",IF(C152="","",C152),"")</f>
        <v/>
      </c>
      <c r="G152" s="190">
        <f>IF(E152&lt;&gt;"",IF(E154&lt;&gt;"",SMALL(E152:E154,1),""),"")</f>
        <v>0</v>
      </c>
      <c r="H152" s="101"/>
      <c r="I152" s="138"/>
      <c r="J152" s="29"/>
      <c r="K152" s="188"/>
      <c r="L152" s="29"/>
      <c r="M152" s="138"/>
      <c r="N152" s="101"/>
      <c r="O152" s="190"/>
      <c r="P152" s="29"/>
      <c r="Q152" s="37"/>
      <c r="R152" s="198"/>
      <c r="S152" s="37"/>
      <c r="T152" s="37"/>
      <c r="U152" s="37"/>
      <c r="V152" s="198"/>
      <c r="W152" s="37"/>
      <c r="X152" s="86"/>
      <c r="Y152" s="198"/>
      <c r="Z152" s="94"/>
      <c r="AA152" s="37"/>
      <c r="AB152" s="29"/>
      <c r="AC152" s="198"/>
      <c r="AD152" s="37"/>
      <c r="AE152" s="144"/>
      <c r="AF152" s="100"/>
      <c r="AG152" s="197">
        <f>IF(AJ152&lt;&gt;"",AJ152,"")</f>
        <v>0</v>
      </c>
      <c r="AH152" s="100" t="str">
        <f>IF(AJ152&lt;&gt;"",IF(AK152="","",AK152),"")</f>
        <v>GABRIEL MATS</v>
      </c>
      <c r="AI152" s="101">
        <f>IF(AG152&lt;&gt;"",IF(AG154&lt;&gt;"",SMALL(AG152:AG154,1),""),"")</f>
        <v>0</v>
      </c>
      <c r="AJ152" s="266">
        <v>0</v>
      </c>
      <c r="AK152" s="39" t="s">
        <v>691</v>
      </c>
      <c r="AL152" s="29">
        <v>22</v>
      </c>
      <c r="AP152" s="31">
        <f>IF(AR152&lt;&gt;"",1+COUNTIF(AP136:AP151,"1")+COUNTIF(AP136:AP151,"2")+COUNTIF(AP136:AP151,"3")+COUNTIF(AP136:AP151,"4")+COUNTIF(AP136:AP151,"5")+COUNTIF(AP136:AP151,"6")+COUNTIF(AP136:AP151,"7")+COUNTIF(AP136:AP151,"8")+COUNTIF(AP136:AP151,"9")+COUNTIF(AP136:AP151,"10")+COUNTIF(AP136:AP151,"11")+COUNTIF(AP136:AP151,"12")+COUNTIF(AP136:AP151,"13")+COUNTIF(AP136:AP151,"14")+COUNTIF(AP136:AP151,"15")+COUNTIF(AP136:AP151,"16"),"")</f>
        <v>17</v>
      </c>
      <c r="AQ152" s="32" t="str">
        <f t="shared" si="10"/>
        <v>LUGAR</v>
      </c>
      <c r="AR152" s="111" t="str">
        <f>IF(AR136&lt;&gt;"",IF(C136=AR136,G138,IF(C138=AR136,G138,IF(C144=AR136,G146,IF(C146=AR136,G146,IF(C166=AR136,G168,IF(C168=AR136,G168,IF(C174=AR136,G176,IF(C176=AR136,G176,IF(C152=AR136,G154,IF(C154=AR136,G154,IF(C160=AR136,G162,IF(C162=AR136,G162,IF(C182=AR136,G184,IF(C184=AR136,G184,IF(C190=AR136,G192,IF(C192=AR136,G192,IF(AK136=AR136,AI138,IF(AK138=AR136,AI138,IF(AK144=AR136,AI146,IF(AK146=AR136,AI146,IF(AK166=AR136,AI168,IF(AK168=AR136,AI168,IF(AK174=AR136,AI176,IF(AK176=AR136,AI176,IF(AK152=AR136,AI154,IF(AK154=AR136,AI154,IF(AK160=AR136,AI162,IF(AK162=AR136,AI162,IF(AK182=AR136,AI184,IF(AK184=AR136,AI184,IF(AK190=AR136,AI192,IF(AK192=AR136,AI192)))))))))))))))))))))))))))))))),"")</f>
        <v>LEONARDO RIBEIRO CAMOLESI</v>
      </c>
      <c r="AS152" s="33" t="str">
        <f>IFERROR(IF(AR152="","",VLOOKUP(AR152,LISTAS!$F$5:$G$1004,2,0)),"0")</f>
        <v>ESCOLA IL SOLE</v>
      </c>
      <c r="AT152" s="33">
        <v>25</v>
      </c>
      <c r="AU152" s="33" t="str">
        <f t="shared" si="12"/>
        <v/>
      </c>
    </row>
    <row r="153" spans="2:47" ht="18" customHeight="1" thickBot="1" x14ac:dyDescent="0.3">
      <c r="B153" s="133"/>
      <c r="C153" s="172" t="str">
        <f>IFERROR(IF(C152="","",VLOOKUP(C152,LISTAS!$F$5:$G$1004,2,0)),"0")</f>
        <v/>
      </c>
      <c r="D153" s="267"/>
      <c r="E153" s="101"/>
      <c r="F153" s="101"/>
      <c r="G153" s="190"/>
      <c r="H153" s="101"/>
      <c r="I153" s="138"/>
      <c r="J153" s="29"/>
      <c r="K153" s="188"/>
      <c r="L153" s="29"/>
      <c r="M153" s="138"/>
      <c r="N153" s="101"/>
      <c r="O153" s="190"/>
      <c r="P153" s="29"/>
      <c r="Q153" s="37"/>
      <c r="R153" s="198"/>
      <c r="S153" s="37"/>
      <c r="T153" s="37"/>
      <c r="U153" s="37"/>
      <c r="V153" s="198"/>
      <c r="W153" s="37"/>
      <c r="X153" s="86"/>
      <c r="Y153" s="198"/>
      <c r="Z153" s="94"/>
      <c r="AA153" s="37"/>
      <c r="AB153" s="29"/>
      <c r="AC153" s="198"/>
      <c r="AD153" s="37"/>
      <c r="AE153" s="144"/>
      <c r="AF153" s="100"/>
      <c r="AG153" s="197"/>
      <c r="AH153" s="100"/>
      <c r="AI153" s="101"/>
      <c r="AJ153" s="267"/>
      <c r="AK153" s="172" t="str">
        <f>IFERROR(IF(AK152="","",VLOOKUP(AK152,LISTAS!$F$5:$G$1004,2,0)),"0")</f>
        <v>ABACO IPIRANGA</v>
      </c>
      <c r="AL153" s="29"/>
      <c r="AP153" s="31" t="str">
        <f>IF(AR153&lt;&gt;"",1+COUNTIF(AP136:AP152,"1")+COUNTIF(AP136:AP152,"2")+COUNTIF(AP136:AP152,"3")+COUNTIF(AP136:AP152,"4")+COUNTIF(AP136:AP152,"5")+COUNTIF(AP136:AP152,"6")+COUNTIF(AP136:AP152,"7")+COUNTIF(AP136:AP152,"8")+COUNTIF(AP136:AP152,"9")+COUNTIF(AP136:AP152,"10")+COUNTIF(AP136:AP152,"11")+COUNTIF(AP136:AP152,"12")+COUNTIF(AP136:AP152,"13")+COUNTIF(AP136:AP152,"14")+COUNTIF(AP136:AP152,"15")+COUNTIF(AP136:AP152,"16")+COUNTIF(AP136:AP152,"17"),"")</f>
        <v/>
      </c>
      <c r="AQ153" s="32" t="str">
        <f t="shared" si="10"/>
        <v/>
      </c>
      <c r="AR153" s="111" t="str">
        <f>IF(AR137&lt;&gt;"",IF(C136=AR137,G138,IF(C138=AR137,G138,IF(C144=AR137,G146,IF(C146=AR137,G146,IF(C166=AR137,G168,IF(C168=AR137,G168,IF(C174=AR137,G176,IF(C176=AR137,G176,IF(C152=AR137,G154,IF(C154=AR137,G154,IF(C160=AR137,G162,IF(C162=AR137,G162,IF(C182=AR137,G184,IF(C184=AR137,G184,IF(C190=AR137,G192,IF(C192=AR137,G192,IF(AK136=AR137,AI138,IF(AK138=AR137,AI138,IF(AK144=AR137,AI146,IF(AK146=AR137,AI146,IF(AK166=AR137,AI168,IF(AK168=AR137,AI168,IF(AK174=AR137,AI176,IF(AK176=AR137,AI176,IF(AK152=AR137,AI154,IF(AK154=AR137,AI154,IF(AK160=AR137,AI162,IF(AK162=AR137,AI162,IF(AK182=AR137,AI184,IF(AK184=AR137,AI184,IF(AK190=AR137,AI192,IF(AK192=AR137,AI192)))))))))))))))))))))))))))))))),"")</f>
        <v/>
      </c>
      <c r="AS153" s="33" t="str">
        <f>IFERROR(IF(AR153="","",VLOOKUP(AR153,LISTAS!$F$5:$G$1004,2,0)),"0")</f>
        <v/>
      </c>
      <c r="AT153" s="33">
        <v>25</v>
      </c>
      <c r="AU153" s="33" t="str">
        <f t="shared" si="12"/>
        <v/>
      </c>
    </row>
    <row r="154" spans="2:47" ht="18" customHeight="1" x14ac:dyDescent="0.25">
      <c r="B154" s="133">
        <v>24</v>
      </c>
      <c r="C154" s="33" t="s">
        <v>300</v>
      </c>
      <c r="D154" s="266">
        <v>1</v>
      </c>
      <c r="E154" s="107">
        <f>IF(D154&lt;&gt;"",D154,"")</f>
        <v>1</v>
      </c>
      <c r="F154" s="101" t="str">
        <f>IF(D154&lt;&gt;"",IF(C154="","",C154),"")</f>
        <v>LORENZO LUPINARI PALERMO</v>
      </c>
      <c r="G154" s="190" t="str">
        <f>VLOOKUP(G152,E152:F154,2,0)</f>
        <v/>
      </c>
      <c r="H154" s="101"/>
      <c r="I154" s="138"/>
      <c r="J154" s="29"/>
      <c r="K154" s="188"/>
      <c r="L154" s="29"/>
      <c r="M154" s="35"/>
      <c r="N154" s="29"/>
      <c r="O154" s="188"/>
      <c r="P154" s="29"/>
      <c r="Q154" s="37"/>
      <c r="R154" s="198"/>
      <c r="S154" s="37"/>
      <c r="T154" s="37"/>
      <c r="U154" s="37"/>
      <c r="V154" s="198"/>
      <c r="W154" s="37"/>
      <c r="X154" s="86"/>
      <c r="Y154" s="198"/>
      <c r="Z154" s="94"/>
      <c r="AA154" s="37"/>
      <c r="AB154" s="29"/>
      <c r="AC154" s="198"/>
      <c r="AD154" s="37"/>
      <c r="AE154" s="144"/>
      <c r="AF154" s="100"/>
      <c r="AG154" s="197">
        <f>IF(AJ154&lt;&gt;"",AJ154,"")</f>
        <v>1</v>
      </c>
      <c r="AH154" s="100" t="str">
        <f>IF(AJ154&lt;&gt;"",IF(AK154="","",AK154),"")</f>
        <v>PEDRO DUARTE DE ALMEIDA</v>
      </c>
      <c r="AI154" s="102" t="str">
        <f>VLOOKUP(AI152,AG152:AH154,2,0)</f>
        <v>GABRIEL MATS</v>
      </c>
      <c r="AJ154" s="266">
        <v>1</v>
      </c>
      <c r="AK154" s="171" t="str">
        <f>IF('11M GRP'!G5&gt;=3,'11M GRP'!J153,IF('11M GRP'!G5=2,"",IF('11M GRP'!G5=1,"","")))</f>
        <v>PEDRO DUARTE DE ALMEIDA</v>
      </c>
      <c r="AL154" s="29">
        <v>11</v>
      </c>
      <c r="AP154" s="31">
        <f>IF(AR154&lt;&gt;"",1+COUNTIF(AP136:AP153,"1")+COUNTIF(AP136:AP153,"2")+COUNTIF(AP136:AP153,"3")+COUNTIF(AP136:AP153,"4")+COUNTIF(AP136:AP153,"5")+COUNTIF(AP136:AP153,"6")+COUNTIF(AP136:AP153,"7")+COUNTIF(AP136:AP153,"8")+COUNTIF(AP136:AP153,"9")+COUNTIF(AP136:AP153,"10")+COUNTIF(AP136:AP153,"11")+COUNTIF(AP136:AP153,"12")+COUNTIF(AP136:AP153,"13")+COUNTIF(AP136:AP153,"14")+COUNTIF(AP136:AP153,"15")+COUNTIF(AP136:AP153,"16")+COUNTIF(AP136:AP153,"17")+COUNTIF(AP136:AP153,"18"),"")</f>
        <v>18</v>
      </c>
      <c r="AQ154" s="32" t="str">
        <f t="shared" si="10"/>
        <v>LUGAR</v>
      </c>
      <c r="AR154" s="111" t="str">
        <f>IF(AR138&lt;&gt;"",IF(C136=AR138,G138,IF(C138=AR138,G138,IF(C144=AR138,G146,IF(C146=AR138,G146,IF(C166=AR138,G168,IF(C168=AR138,G168,IF(C174=AR138,G176,IF(C176=AR138,G176,IF(C152=AR138,G154,IF(C154=AR138,G154,IF(C160=AR138,G162,IF(C162=AR138,G162,IF(C182=AR138,G184,IF(C184=AR138,G184,IF(C190=AR138,G192,IF(C192=AR138,G192,IF(AK136=AR138,AI138,IF(AK138=AR138,AI138,IF(AK144=AR138,AI146,IF(AK146=AR138,AI146,IF(AK166=AR138,AI168,IF(AK168=AR138,AI168,IF(AK174=AR138,AI176,IF(AK176=AR138,AI176,IF(AK152=AR138,AI154,IF(AK154=AR138,AI154,IF(AK160=AR138,AI162,IF(AK162=AR138,AI162,IF(AK182=AR138,AI184,IF(AK184=AR138,AI184,IF(AK190=AR138,AI192,IF(AK192=AR138,AI192)))))))))))))))))))))))))))))))),"")</f>
        <v xml:space="preserve">RAFAEL MIRANDA </v>
      </c>
      <c r="AS154" s="33" t="str">
        <f>IFERROR(IF(AR154="","",VLOOKUP(AR154,LISTAS!$F$5:$G$1004,2,0)),"0")</f>
        <v>COLÉGIO ARBOS SÃO CAETANO DO SUL</v>
      </c>
      <c r="AT154" s="33">
        <v>25</v>
      </c>
      <c r="AU154" s="33" t="str">
        <f t="shared" si="12"/>
        <v/>
      </c>
    </row>
    <row r="155" spans="2:47" ht="18" customHeight="1" thickBot="1" x14ac:dyDescent="0.3">
      <c r="B155" s="133"/>
      <c r="C155" s="172" t="str">
        <f>IFERROR(IF(C154="","",VLOOKUP(C154,LISTAS!$F$5:$G$1004,2,0)),"0")</f>
        <v>ABACO IPIRANGA</v>
      </c>
      <c r="D155" s="267"/>
      <c r="E155" s="148"/>
      <c r="F155" s="101"/>
      <c r="G155" s="190"/>
      <c r="H155" s="101"/>
      <c r="I155" s="138"/>
      <c r="J155" s="87"/>
      <c r="K155" s="192"/>
      <c r="L155" s="87"/>
      <c r="M155" s="93"/>
      <c r="N155" s="29"/>
      <c r="O155" s="188"/>
      <c r="P155" s="29"/>
      <c r="Q155" s="37"/>
      <c r="R155" s="198"/>
      <c r="S155" s="37"/>
      <c r="T155" s="37"/>
      <c r="U155" s="37"/>
      <c r="V155" s="198"/>
      <c r="W155" s="37"/>
      <c r="X155" s="86"/>
      <c r="Y155" s="198"/>
      <c r="Z155" s="94"/>
      <c r="AA155" s="37"/>
      <c r="AB155" s="29"/>
      <c r="AC155" s="198"/>
      <c r="AD155" s="37"/>
      <c r="AE155" s="144"/>
      <c r="AF155" s="100"/>
      <c r="AG155" s="197"/>
      <c r="AH155" s="100"/>
      <c r="AI155" s="142"/>
      <c r="AJ155" s="267"/>
      <c r="AK155" s="172" t="str">
        <f>IFERROR(IF(AK154="","",VLOOKUP(AK154,LISTAS!$F$5:$G$1004,2,0)),"0")</f>
        <v>COLEGIO PETROPOLIS</v>
      </c>
      <c r="AL155" s="29"/>
      <c r="AP155" s="31">
        <f>IF(AR155&lt;&gt;"",1+COUNTIF(AP136:AP154,"1")+COUNTIF(AP136:AP154,"2")+COUNTIF(AP136:AP154,"3")+COUNTIF(AP136:AP154,"4")+COUNTIF(AP136:AP154,"5")+COUNTIF(AP136:AP154,"6")+COUNTIF(AP136:AP154,"7")+COUNTIF(AP136:AP154,"8")+COUNTIF(AP136:AP154,"9")+COUNTIF(AP136:AP154,"10")+COUNTIF(AP136:AP154,"11")+COUNTIF(AP136:AP154,"12")+COUNTIF(AP136:AP154,"13")+COUNTIF(AP136:AP154,"14")+COUNTIF(AP136:AP154,"15")+COUNTIF(AP136:AP154,"16")+COUNTIF(AP136:AP154,"17")+COUNTIF(AP136:AP154,"18")+COUNTIF(AP136:AP154,"19"),"")</f>
        <v>19</v>
      </c>
      <c r="AQ155" s="32" t="str">
        <f t="shared" si="10"/>
        <v>LUGAR</v>
      </c>
      <c r="AR155" s="111" t="str">
        <f>IF(AR139&lt;&gt;"",IF(C136=AR139,G138,IF(C138=AR139,G138,IF(C144=AR139,G146,IF(C146=AR139,G146,IF(C166=AR139,G168,IF(C168=AR139,G168,IF(C174=AR139,G176,IF(C176=AR139,G176,IF(C152=AR139,G154,IF(C154=AR139,G154,IF(C160=AR139,G162,IF(C162=AR139,G162,IF(C182=AR139,G184,IF(C184=AR139,G184,IF(C190=AR139,G192,IF(C192=AR139,G192,IF(AK136=AR139,AI138,IF(AK138=AR139,AI138,IF(AK144=AR139,AI146,IF(AK146=AR139,AI146,IF(AK166=AR139,AI168,IF(AK168=AR139,AI168,IF(AK174=AR139,AI176,IF(AK176=AR139,AI176,IF(AK152=AR139,AI154,IF(AK154=AR139,AI154,IF(AK160=AR139,AI162,IF(AK162=AR139,AI162,IF(AK182=AR139,AI184,IF(AK184=AR139,AI184,IF(AK190=AR139,AI192,IF(AK192=AR139,AI192)))))))))))))))))))))))))))))))),"")</f>
        <v>ALEXSANDRO DA COSTA ASSIS</v>
      </c>
      <c r="AS155" s="33" t="str">
        <f>IFERROR(IF(AR155="","",VLOOKUP(AR155,LISTAS!$F$5:$G$1004,2,0)),"0")</f>
        <v>EDUCANDÁRIO - S.A</v>
      </c>
      <c r="AT155" s="33">
        <v>25</v>
      </c>
      <c r="AU155" s="33" t="str">
        <f t="shared" si="12"/>
        <v/>
      </c>
    </row>
    <row r="156" spans="2:47" ht="18" customHeight="1" x14ac:dyDescent="0.25">
      <c r="B156" s="133"/>
      <c r="C156" s="188"/>
      <c r="D156" s="29"/>
      <c r="E156" s="29"/>
      <c r="F156" s="34"/>
      <c r="G156" s="171" t="str">
        <f>IF(D152&lt;&gt;"",IF(D154&lt;&gt;"",IF(D152=D154,"",IF(D152&gt;D154,C152,C154)),""),"")</f>
        <v>LORENZO LUPINARI PALERMO</v>
      </c>
      <c r="H156" s="266">
        <v>1</v>
      </c>
      <c r="I156" s="148">
        <f>IF(H156&lt;&gt;"",H156,"")</f>
        <v>1</v>
      </c>
      <c r="J156" s="101" t="str">
        <f>IF(H156&lt;&gt;"",IF(G156="","",G156),"")</f>
        <v>LORENZO LUPINARI PALERMO</v>
      </c>
      <c r="K156" s="190">
        <f>IF(I156&lt;&gt;"",IF(I158&lt;&gt;"",SMALL(I156:J158,1),""),"")</f>
        <v>0</v>
      </c>
      <c r="L156" s="101"/>
      <c r="M156" s="93"/>
      <c r="N156" s="29"/>
      <c r="O156" s="188"/>
      <c r="P156" s="29"/>
      <c r="Q156" s="37"/>
      <c r="R156" s="198"/>
      <c r="S156" s="37"/>
      <c r="T156" s="37"/>
      <c r="U156" s="37"/>
      <c r="V156" s="198"/>
      <c r="W156" s="37"/>
      <c r="X156" s="86"/>
      <c r="Y156" s="198"/>
      <c r="Z156" s="94"/>
      <c r="AA156" s="37"/>
      <c r="AB156" s="29"/>
      <c r="AC156" s="198"/>
      <c r="AD156" s="37"/>
      <c r="AE156" s="34"/>
      <c r="AF156" s="266">
        <v>0</v>
      </c>
      <c r="AG156" s="171" t="str">
        <f>IF(AJ152&lt;&gt;"",IF(AJ154&lt;&gt;"",IF(AJ152=AJ154,"",IF(AJ152&gt;AJ154,AK152,AK154)),""),"")</f>
        <v>PEDRO DUARTE DE ALMEIDA</v>
      </c>
      <c r="AH156" s="94"/>
      <c r="AI156" s="37"/>
      <c r="AJ156" s="29"/>
      <c r="AK156" s="188"/>
      <c r="AL156" s="29"/>
      <c r="AP156" s="31">
        <f>IF(AR156&lt;&gt;"",1+COUNTIF(AP136:AP155,"1")+COUNTIF(AP136:AP155,"2")+COUNTIF(AP136:AP155,"3")+COUNTIF(AP136:AP155,"4")+COUNTIF(AP136:AP155,"5")+COUNTIF(AP136:AP155,"6")+COUNTIF(AP136:AP155,"7")+COUNTIF(AP136:AP155,"8")+COUNTIF(AP136:AP155,"9")+COUNTIF(AP136:AP155,"10")+COUNTIF(AP136:AP155,"11")+COUNTIF(AP136:AP155,"12")+COUNTIF(AP136:AP155,"13")+COUNTIF(AP136:AP155,"14")+COUNTIF(AP136:AP155,"15")+COUNTIF(AP136:AP155,"16")+COUNTIF(AP136:AP155,"17")+COUNTIF(AP136:AP155,"18")+COUNTIF(AP136:AP155,"19")+COUNTIF(AP136:AP155,"20"),"")</f>
        <v>20</v>
      </c>
      <c r="AQ156" s="32" t="str">
        <f t="shared" si="10"/>
        <v>LUGAR</v>
      </c>
      <c r="AR156" s="111" t="str">
        <f>IF(AR140&lt;&gt;"",IF(C136=AR140,G138,IF(C138=AR140,G138,IF(C144=AR140,G146,IF(C146=AR140,G146,IF(C166=AR140,G168,IF(C168=AR140,G168,IF(C174=AR140,G176,IF(C176=AR140,G176,IF(C152=AR140,G154,IF(C154=AR140,G154,IF(C160=AR140,G162,IF(C162=AR140,G162,IF(C182=AR140,G184,IF(C184=AR140,G184,IF(C190=AR140,G192,IF(C192=AR140,G192,IF(AK136=AR140,AI138,IF(AK138=AR140,AI138,IF(AK144=AR140,AI146,IF(AK146=AR140,AI146,IF(AK166=AR140,AI168,IF(AK168=AR140,AI168,IF(AK174=AR140,AI176,IF(AK176=AR140,AI176,IF(AK152=AR140,AI154,IF(AK154=AR140,AI154,IF(AK160=AR140,AI162,IF(AK162=AR140,AI162,IF(AK182=AR140,AI184,IF(AK184=AR140,AI184,IF(AK190=AR140,AI192,IF(AK192=AR140,AI192)))))))))))))))))))))))))))))))),"")</f>
        <v>FELIPE RAYMUNDO SANTOS</v>
      </c>
      <c r="AS156" s="33" t="str">
        <f>IFERROR(IF(AR156="","",VLOOKUP(AR156,LISTAS!$F$5:$G$1004,2,0)),"0")</f>
        <v>COLÉGIO ARBOS DE SÃO BERNARDO DO CAMPO</v>
      </c>
      <c r="AT156" s="33">
        <v>25</v>
      </c>
      <c r="AU156" s="33" t="str">
        <f t="shared" si="12"/>
        <v/>
      </c>
    </row>
    <row r="157" spans="2:47" ht="18" customHeight="1" thickBot="1" x14ac:dyDescent="0.3">
      <c r="B157" s="133"/>
      <c r="C157" s="188"/>
      <c r="D157" s="29"/>
      <c r="E157" s="29"/>
      <c r="F157" s="34"/>
      <c r="G157" s="172" t="str">
        <f>IFERROR(IF(G156="","",VLOOKUP(G156,LISTAS!$F$5:$G$1004,2,0)),"0")</f>
        <v>ABACO IPIRANGA</v>
      </c>
      <c r="H157" s="267"/>
      <c r="I157" s="105"/>
      <c r="J157" s="101"/>
      <c r="K157" s="190"/>
      <c r="L157" s="101"/>
      <c r="M157" s="93"/>
      <c r="N157" s="29"/>
      <c r="O157" s="188"/>
      <c r="P157" s="29"/>
      <c r="Q157" s="37"/>
      <c r="R157" s="198"/>
      <c r="S157" s="37"/>
      <c r="T157" s="37"/>
      <c r="U157" s="37"/>
      <c r="V157" s="198"/>
      <c r="W157" s="37"/>
      <c r="X157" s="86"/>
      <c r="Y157" s="198"/>
      <c r="Z157" s="94"/>
      <c r="AA157" s="37"/>
      <c r="AB157" s="29"/>
      <c r="AC157" s="198"/>
      <c r="AD157" s="37"/>
      <c r="AE157" s="140"/>
      <c r="AF157" s="267"/>
      <c r="AG157" s="172" t="str">
        <f>IFERROR(IF(AG156="","",VLOOKUP(AG156,LISTAS!$F$5:$G$1004,2,0)),"0")</f>
        <v>COLEGIO PETROPOLIS</v>
      </c>
      <c r="AH157" s="94"/>
      <c r="AI157" s="37"/>
      <c r="AJ157" s="29"/>
      <c r="AK157" s="188"/>
      <c r="AL157" s="29"/>
      <c r="AP157" s="31">
        <f>IF(AR157&lt;&gt;"",1+COUNTIF(AP136:AP156,"1")+COUNTIF(AP136:AP156,"2")+COUNTIF(AP136:AP156,"3")+COUNTIF(AP136:AP156,"4")+COUNTIF(AP136:AP156,"5")+COUNTIF(AP136:AP156,"6")+COUNTIF(AP136:AP156,"7")+COUNTIF(AP136:AP156,"8")+COUNTIF(AP136:AP156,"9")+COUNTIF(AP136:AP156,"10")+COUNTIF(AP136:AP156,"11")+COUNTIF(AP136:AP156,"12")+COUNTIF(AP136:AP156,"13")+COUNTIF(AP136:AP156,"14")+COUNTIF(AP136:AP156,"15")+COUNTIF(AP136:AP156,"16")+COUNTIF(AP136:AP156,"17")+COUNTIF(AP136:AP156,"18")+COUNTIF(AP136:AP156,"19")+COUNTIF(AP136:AP156,"20")+COUNTIF(AP136:AP156,"21"),"")</f>
        <v>21</v>
      </c>
      <c r="AQ157" s="32" t="str">
        <f t="shared" si="10"/>
        <v>LUGAR</v>
      </c>
      <c r="AR157" s="111" t="str">
        <f>IF(AR141&lt;&gt;"",IF(C136=AR141,G138,IF(C138=AR141,G138,IF(C144=AR141,G146,IF(C146=AR141,G146,IF(C166=AR141,G168,IF(C168=AR141,G168,IF(C174=AR141,G176,IF(C176=AR141,G176,IF(C152=AR141,G154,IF(C154=AR141,G154,IF(C160=AR141,G162,IF(C162=AR141,G162,IF(C182=AR141,G184,IF(C184=AR141,G184,IF(C190=AR141,G192,IF(C192=AR141,G192,IF(AK136=AR141,AI138,IF(AK138=AR141,AI138,IF(AK144=AR141,AI146,IF(AK146=AR141,AI146,IF(AK166=AR141,AI168,IF(AK168=AR141,AI168,IF(AK174=AR141,AI176,IF(AK176=AR141,AI176,IF(AK152=AR141,AI154,IF(AK154=AR141,AI154,IF(AK160=AR141,AI162,IF(AK162=AR141,AI162,IF(AK182=AR141,AI184,IF(AK184=AR141,AI184,IF(AK190=AR141,AI192,IF(AK192=AR141,AI192)))))))))))))))))))))))))))))))),"")</f>
        <v>ENZO ROCHA TAKUMA</v>
      </c>
      <c r="AS157" s="33" t="str">
        <f>IFERROR(IF(AR157="","",VLOOKUP(AR157,LISTAS!$F$5:$G$1004,2,0)),"0")</f>
        <v>ABACO IPIRANGA</v>
      </c>
      <c r="AT157" s="33">
        <v>25</v>
      </c>
      <c r="AU157" s="33" t="str">
        <f t="shared" si="12"/>
        <v/>
      </c>
    </row>
    <row r="158" spans="2:47" ht="18" customHeight="1" x14ac:dyDescent="0.25">
      <c r="B158" s="133"/>
      <c r="C158" s="188"/>
      <c r="D158" s="29"/>
      <c r="E158" s="35"/>
      <c r="F158" s="36"/>
      <c r="G158" s="171" t="str">
        <f>IF(D160&lt;&gt;"",IF(D162&lt;&gt;"",IF(D160=D162,"",IF(D160&gt;D162,C160,C162)),""),"")</f>
        <v>GUILHERME PEREIRA SORRENTINO</v>
      </c>
      <c r="H158" s="266">
        <v>0</v>
      </c>
      <c r="I158" s="106">
        <f>IF(H158&lt;&gt;"",H158,"")</f>
        <v>0</v>
      </c>
      <c r="J158" s="101" t="str">
        <f>IF(H158&lt;&gt;"",IF(G158="","",G158),"")</f>
        <v>GUILHERME PEREIRA SORRENTINO</v>
      </c>
      <c r="K158" s="190" t="str">
        <f>VLOOKUP(K156,I156:J158,2,0)</f>
        <v>GUILHERME PEREIRA SORRENTINO</v>
      </c>
      <c r="L158" s="101"/>
      <c r="M158" s="93"/>
      <c r="N158" s="29"/>
      <c r="O158" s="188"/>
      <c r="P158" s="29"/>
      <c r="Q158" s="37"/>
      <c r="R158" s="198"/>
      <c r="S158" s="37"/>
      <c r="T158" s="37"/>
      <c r="U158" s="37"/>
      <c r="V158" s="198"/>
      <c r="W158" s="37"/>
      <c r="X158" s="86"/>
      <c r="Y158" s="198"/>
      <c r="Z158" s="94"/>
      <c r="AA158" s="37"/>
      <c r="AB158" s="29"/>
      <c r="AC158" s="198"/>
      <c r="AD158" s="37"/>
      <c r="AE158" s="91"/>
      <c r="AF158" s="266">
        <v>1</v>
      </c>
      <c r="AG158" s="171" t="str">
        <f>IF(AJ160&lt;&gt;"",IF(AJ162&lt;&gt;"",IF(AJ160=AJ162,"",IF(AJ160&gt;AJ162,AK160,AK162)),""),"")</f>
        <v>PEDRO JUN REIS MURATA</v>
      </c>
      <c r="AH158" s="98"/>
      <c r="AI158" s="37"/>
      <c r="AJ158" s="29"/>
      <c r="AK158" s="188"/>
      <c r="AL158" s="29"/>
      <c r="AP158" s="31">
        <f>IF(AR158&lt;&gt;"",1+COUNTIF(AP136:AP157,"1")+COUNTIF(AP136:AP157,"2")+COUNTIF(AP136:AP157,"3")+COUNTIF(AP136:AP157,"4")+COUNTIF(AP136:AP157,"5")+COUNTIF(AP136:AP157,"6")+COUNTIF(AP136:AP157,"7")+COUNTIF(AP136:AP157,"8")+COUNTIF(AP136:AP157,"9")+COUNTIF(AP136:AP157,"10")+COUNTIF(AP136:AP157,"11")+COUNTIF(AP136:AP157,"12")+COUNTIF(AP136:AP157,"13")+COUNTIF(AP136:AP157,"14")+COUNTIF(AP136:AP157,"15")+COUNTIF(AP136:AP157,"16")+COUNTIF(AP136:AP157,"17")+COUNTIF(AP136:AP157,"18")+COUNTIF(AP136:AP157,"19")+COUNTIF(AP136:AP157,"20")+COUNTIF(AP136:AP157,"21")+COUNTIF(AP136:AP157,"22"),"")</f>
        <v>22</v>
      </c>
      <c r="AQ158" s="32" t="str">
        <f t="shared" si="10"/>
        <v>LUGAR</v>
      </c>
      <c r="AR158" s="111" t="str">
        <f>IF(AR142&lt;&gt;"",IF(C136=AR142,G138,IF(C138=AR142,G138,IF(C144=AR142,G146,IF(C146=AR142,G146,IF(C166=AR142,G168,IF(C168=AR142,G168,IF(C174=AR142,G176,IF(C176=AR142,G176,IF(C152=AR142,G154,IF(C154=AR142,G154,IF(C160=AR142,G162,IF(C162=AR142,G162,IF(C182=AR142,G184,IF(C184=AR142,G184,IF(C190=AR142,G192,IF(C192=AR142,G192,IF(AK136=AR142,AI138,IF(AK138=AR142,AI138,IF(AK144=AR142,AI146,IF(AK146=AR142,AI146,IF(AK166=AR142,AI168,IF(AK168=AR142,AI168,IF(AK174=AR142,AI176,IF(AK176=AR142,AI176,IF(AK152=AR142,AI154,IF(AK154=AR142,AI154,IF(AK160=AR142,AI162,IF(AK162=AR142,AI162,IF(AK182=AR142,AI184,IF(AK184=AR142,AI184,IF(AK190=AR142,AI192,IF(AK192=AR142,AI192)))))))))))))))))))))))))))))))),"")</f>
        <v>DAVI PATRÍCIO DOS SANTOS</v>
      </c>
      <c r="AS158" s="33" t="str">
        <f>IFERROR(IF(AR158="","",VLOOKUP(AR158,LISTAS!$F$5:$G$1004,2,0)),"0")</f>
        <v>COLÉGIO ENGENHEIRO SALVADOR ARENA</v>
      </c>
      <c r="AT158" s="33">
        <v>25</v>
      </c>
      <c r="AU158" s="33" t="str">
        <f t="shared" si="12"/>
        <v/>
      </c>
    </row>
    <row r="159" spans="2:47" ht="18" customHeight="1" thickBot="1" x14ac:dyDescent="0.3">
      <c r="B159" s="133"/>
      <c r="C159" s="188"/>
      <c r="D159" s="29"/>
      <c r="E159" s="35"/>
      <c r="F159" s="29"/>
      <c r="G159" s="172" t="str">
        <f>IFERROR(IF(G158="","",VLOOKUP(G158,LISTAS!$F$5:$G$1004,2,0)),"0")</f>
        <v>PEN LIFE</v>
      </c>
      <c r="H159" s="267"/>
      <c r="I159" s="101"/>
      <c r="J159" s="101"/>
      <c r="K159" s="190"/>
      <c r="L159" s="101"/>
      <c r="M159" s="93"/>
      <c r="N159" s="29"/>
      <c r="O159" s="188"/>
      <c r="P159" s="29"/>
      <c r="Q159" s="37"/>
      <c r="R159" s="198"/>
      <c r="S159" s="37"/>
      <c r="T159" s="37"/>
      <c r="U159" s="37"/>
      <c r="V159" s="198"/>
      <c r="W159" s="37"/>
      <c r="X159" s="86"/>
      <c r="Y159" s="198"/>
      <c r="Z159" s="94"/>
      <c r="AA159" s="37"/>
      <c r="AB159" s="29"/>
      <c r="AC159" s="198"/>
      <c r="AD159" s="37"/>
      <c r="AE159" s="37"/>
      <c r="AF159" s="267"/>
      <c r="AG159" s="172" t="str">
        <f>IFERROR(IF(AG158="","",VLOOKUP(AG158,LISTAS!$F$5:$G$1004,2,0)),"0")</f>
        <v>ABACO IPIRANGA</v>
      </c>
      <c r="AH159" s="37"/>
      <c r="AI159" s="89"/>
      <c r="AJ159" s="29"/>
      <c r="AK159" s="188"/>
      <c r="AL159" s="29"/>
      <c r="AP159" s="31">
        <f>IF(AR159&lt;&gt;"",1+COUNTIF(AP136:AP158,"1")+COUNTIF(AP136:AP158,"2")+COUNTIF(AP136:AP158,"3")+COUNTIF(AP136:AP158,"4")+COUNTIF(AP136:AP158,"5")+COUNTIF(AP136:AP158,"6")+COUNTIF(AP136:AP158,"7")+COUNTIF(AP136:AP158,"8")+COUNTIF(AP136:AP158,"9")+COUNTIF(AP136:AP158,"10")+COUNTIF(AP136:AP158,"11")+COUNTIF(AP136:AP158,"12")+COUNTIF(AP136:AP158,"13")+COUNTIF(AP136:AP158,"14")+COUNTIF(AP136:AP158,"15")+COUNTIF(AP136:AP158,"16")+COUNTIF(AP136:AP158,"17")+COUNTIF(AP136:AP158,"18")+COUNTIF(AP136:AP158,"19")+COUNTIF(AP136:AP158,"20")+COUNTIF(AP136:AP158,"21")+COUNTIF(AP136:AP158,"22")+COUNTIF(AP136:AP158,"23"),"")</f>
        <v>23</v>
      </c>
      <c r="AQ159" s="32" t="str">
        <f t="shared" si="10"/>
        <v>LUGAR</v>
      </c>
      <c r="AR159" s="111" t="str">
        <f>IF(AR143&lt;&gt;"",IF(C136=AR143,G138,IF(C138=AR143,G138,IF(C144=AR143,G146,IF(C146=AR143,G146,IF(C166=AR143,G168,IF(C168=AR143,G168,IF(C174=AR143,G176,IF(C176=AR143,G176,IF(C152=AR143,G154,IF(C154=AR143,G154,IF(C160=AR143,G162,IF(C162=AR143,G162,IF(C182=AR143,G184,IF(C184=AR143,G184,IF(C190=AR143,G192,IF(C192=AR143,G192,IF(AK136=AR143,AI138,IF(AK138=AR143,AI138,IF(AK144=AR143,AI146,IF(AK146=AR143,AI146,IF(AK166=AR143,AI168,IF(AK168=AR143,AI168,IF(AK174=AR143,AI176,IF(AK176=AR143,AI176,IF(AK152=AR143,AI154,IF(AK154=AR143,AI154,IF(AK160=AR143,AI162,IF(AK162=AR143,AI162,IF(AK182=AR143,AI184,IF(AK184=AR143,AI184,IF(AK190=AR143,AI192,IF(AK192=AR143,AI192)))))))))))))))))))))))))))))))),"")</f>
        <v>HEITOR PELLEGRINI PICHE</v>
      </c>
      <c r="AS159" s="33" t="str">
        <f>IFERROR(IF(AR159="","",VLOOKUP(AR159,LISTAS!$F$5:$G$1004,2,0)),"0")</f>
        <v>COLÉGIO ATENEU</v>
      </c>
      <c r="AT159" s="33">
        <v>25</v>
      </c>
      <c r="AU159" s="33" t="str">
        <f t="shared" si="12"/>
        <v/>
      </c>
    </row>
    <row r="160" spans="2:47" ht="18" customHeight="1" x14ac:dyDescent="0.25">
      <c r="B160" s="133">
        <v>25</v>
      </c>
      <c r="C160" s="33" t="s">
        <v>262</v>
      </c>
      <c r="D160" s="266">
        <v>0</v>
      </c>
      <c r="E160" s="148">
        <f>IF(D160&lt;&gt;"",D160,"")</f>
        <v>0</v>
      </c>
      <c r="F160" s="101" t="str">
        <f>IF(D160&lt;&gt;"",IF(C160="","",C160),"")</f>
        <v>GAEL LEANDRINI PASCHOAL</v>
      </c>
      <c r="G160" s="190">
        <f>IF(E160&lt;&gt;"",IF(E162&lt;&gt;"",SMALL(E160:E162,1),""),"")</f>
        <v>0</v>
      </c>
      <c r="H160" s="101"/>
      <c r="I160" s="101"/>
      <c r="J160" s="101"/>
      <c r="K160" s="190"/>
      <c r="L160" s="101"/>
      <c r="M160" s="93"/>
      <c r="N160" s="29"/>
      <c r="O160" s="188"/>
      <c r="P160" s="29"/>
      <c r="Q160" s="37"/>
      <c r="R160" s="198"/>
      <c r="S160" s="37"/>
      <c r="T160" s="37"/>
      <c r="U160" s="37"/>
      <c r="V160" s="198"/>
      <c r="W160" s="37"/>
      <c r="X160" s="86"/>
      <c r="Y160" s="198"/>
      <c r="Z160" s="94"/>
      <c r="AA160" s="37"/>
      <c r="AB160" s="29"/>
      <c r="AC160" s="198"/>
      <c r="AD160" s="37"/>
      <c r="AE160" s="100"/>
      <c r="AF160" s="100"/>
      <c r="AG160" s="197">
        <f>IF(AJ160&lt;&gt;"",AJ160,"")</f>
        <v>1</v>
      </c>
      <c r="AH160" s="100" t="str">
        <f>IF(AJ160&lt;&gt;"",IF(AK160="","",AK160),"")</f>
        <v>PEDRO JUN REIS MURATA</v>
      </c>
      <c r="AI160" s="137">
        <f>IF(AG160&lt;&gt;"",IF(AG162&lt;&gt;"",SMALL(AG160:AG162,1),""),"")</f>
        <v>0</v>
      </c>
      <c r="AJ160" s="270">
        <v>1</v>
      </c>
      <c r="AK160" s="33" t="s">
        <v>342</v>
      </c>
      <c r="AL160" s="29">
        <v>27</v>
      </c>
      <c r="AP160" s="31">
        <f>IF(AR160&lt;&gt;"",1+COUNTIF(AP136:AP159,"1")+COUNTIF(AP136:AP159,"2")+COUNTIF(AP136:AP159,"3")+COUNTIF(AP136:AP159,"4")+COUNTIF(AP136:AP159,"5")+COUNTIF(AP136:AP159,"6")+COUNTIF(AP136:AP159,"7")+COUNTIF(AP136:AP159,"8")+COUNTIF(AP136:AP159,"9")+COUNTIF(AP136:AP159,"10")+COUNTIF(AP136:AP159,"11")+COUNTIF(AP136:AP159,"12")+COUNTIF(AP136:AP159,"13")+COUNTIF(AP136:AP159,"14")+COUNTIF(AP136:AP159,"15")+COUNTIF(AP136:AP159,"16")+COUNTIF(AP136:AP159,"17")+COUNTIF(AP136:AP159,"18")+COUNTIF(AP136:AP159,"19")+COUNTIF(AP136:AP159,"20")+COUNTIF(AP136:AP159,"21")+COUNTIF(AP136:AP159,"22")+COUNTIF(AP136:AP159,"23")+COUNTIF(AP136:AP159,"24"),"")</f>
        <v>24</v>
      </c>
      <c r="AQ160" s="32" t="str">
        <f t="shared" si="10"/>
        <v>LUGAR</v>
      </c>
      <c r="AR160" s="111" t="str">
        <f>IF(AR144&lt;&gt;"",IF(C136=AR144,G138,IF(C138=AR144,G138,IF(C144=AR144,G146,IF(C146=AR144,G146,IF(C166=AR144,G168,IF(C168=AR144,G168,IF(C174=AR144,G176,IF(C176=AR144,G176,IF(C152=AR144,G154,IF(C154=AR144,G154,IF(C160=AR144,G162,IF(C162=AR144,G162,IF(C182=AR144,G184,IF(C184=AR144,G184,IF(C190=AR144,G192,IF(C192=AR144,G192,IF(AK136=AR144,AI138,IF(AK138=AR144,AI138,IF(AK144=AR144,AI146,IF(AK146=AR144,AI146,IF(AK166=AR144,AI168,IF(AK168=AR144,AI168,IF(AK174=AR144,AI176,IF(AK176=AR144,AI176,IF(AK152=AR144,AI154,IF(AK154=AR144,AI154,IF(AK160=AR144,AI162,IF(AK162=AR144,AI162,IF(AK182=AR144,AI184,IF(AK184=AR144,AI184,IF(AK190=AR144,AI192,IF(AK192=AR144,AI192)))))))))))))))))))))))))))))))),"")</f>
        <v>GABRIEL MATS</v>
      </c>
      <c r="AS160" s="33" t="str">
        <f>IFERROR(IF(AR160="","",VLOOKUP(AR160,LISTAS!$F$5:$G$1004,2,0)),"0")</f>
        <v>ABACO IPIRANGA</v>
      </c>
      <c r="AT160" s="33">
        <v>25</v>
      </c>
      <c r="AU160" s="33" t="str">
        <f t="shared" si="12"/>
        <v/>
      </c>
    </row>
    <row r="161" spans="2:47" ht="18" customHeight="1" thickBot="1" x14ac:dyDescent="0.3">
      <c r="B161" s="133"/>
      <c r="C161" s="172" t="str">
        <f>IFERROR(IF(C160="","",VLOOKUP(C160,LISTAS!$F$5:$G$1004,2,0)),"0")</f>
        <v>COLÉGIO ATENEU</v>
      </c>
      <c r="D161" s="267"/>
      <c r="E161" s="105"/>
      <c r="F161" s="101"/>
      <c r="G161" s="190"/>
      <c r="H161" s="101"/>
      <c r="I161" s="101"/>
      <c r="J161" s="101"/>
      <c r="K161" s="190"/>
      <c r="L161" s="101"/>
      <c r="M161" s="35"/>
      <c r="N161" s="29"/>
      <c r="O161" s="188"/>
      <c r="P161" s="29"/>
      <c r="Q161" s="37"/>
      <c r="R161" s="198"/>
      <c r="S161" s="37"/>
      <c r="T161" s="37"/>
      <c r="U161" s="37"/>
      <c r="V161" s="198"/>
      <c r="W161" s="37"/>
      <c r="X161" s="86"/>
      <c r="Y161" s="198"/>
      <c r="Z161" s="94"/>
      <c r="AA161" s="37"/>
      <c r="AB161" s="29"/>
      <c r="AC161" s="198"/>
      <c r="AD161" s="37"/>
      <c r="AE161" s="100"/>
      <c r="AF161" s="100"/>
      <c r="AG161" s="197"/>
      <c r="AH161" s="100"/>
      <c r="AI161" s="143"/>
      <c r="AJ161" s="271"/>
      <c r="AK161" s="172" t="str">
        <f>IFERROR(IF(AK160="","",VLOOKUP(AK160,LISTAS!$F$5:$G$1004,2,0)),"0")</f>
        <v>ABACO IPIRANGA</v>
      </c>
      <c r="AL161" s="29"/>
      <c r="AP161" s="31">
        <f>IF(AR161&lt;&gt;"",1+COUNTIF(AP136:AP160,"1")+COUNTIF(AP136:AP160,"2")+COUNTIF(AP136:AP160,"3")+COUNTIF(AP136:AP160,"4")+COUNTIF(AP136:AP160,"5")+COUNTIF(AP136:AP160,"6")+COUNTIF(AP136:AP160,"7")+COUNTIF(AP136:AP160,"8")+COUNTIF(AP136:AP160,"9")+COUNTIF(AP136:AP160,"10")+COUNTIF(AP136:AP160,"11")+COUNTIF(AP136:AP160,"12")+COUNTIF(AP136:AP160,"13")+COUNTIF(AP136:AP160,"14")+COUNTIF(AP136:AP160,"15")+COUNTIF(AP136:AP160,"16")+COUNTIF(AP136:AP160,"17")+COUNTIF(AP136:AP160,"18")+COUNTIF(AP136:AP160,"19")+COUNTIF(AP136:AP160,"20")+COUNTIF(AP136:AP160,"21")+COUNTIF(AP136:AP160,"22")+COUNTIF(AP136:AP160,"23")+COUNTIF(AP136:AP160,"24")+COUNTIF(AP136:AP160,"25"),"")</f>
        <v>25</v>
      </c>
      <c r="AQ161" s="32" t="str">
        <f t="shared" si="10"/>
        <v>LUGAR</v>
      </c>
      <c r="AR161" s="111" t="str">
        <f>IF(AR145&lt;&gt;"",IF(C136=AR145,G138,IF(C138=AR145,G138,IF(C144=AR145,G146,IF(C146=AR145,G146,IF(C166=AR145,G168,IF(C168=AR145,G168,IF(C174=AR145,G176,IF(C176=AR145,G176,IF(C152=AR145,G154,IF(C154=AR145,G154,IF(C160=AR145,G162,IF(C162=AR145,G162,IF(C182=AR145,G184,IF(C184=AR145,G184,IF(C190=AR145,G192,IF(C192=AR145,G192,IF(AK136=AR145,AI138,IF(AK138=AR145,AI138,IF(AK144=AR145,AI146,IF(AK146=AR145,AI146,IF(AK166=AR145,AI168,IF(AK168=AR145,AI168,IF(AK174=AR145,AI176,IF(AK176=AR145,AI176,IF(AK152=AR145,AI154,IF(AK154=AR145,AI154,IF(AK160=AR145,AI162,IF(AK162=AR145,AI162,IF(AK182=AR145,AI184,IF(AK184=AR145,AI184,IF(AK190=AR145,AI192,IF(AK192=AR145,AI192)))))))))))))))))))))))))))))))),"")</f>
        <v>GAEL LEANDRINI PASCHOAL</v>
      </c>
      <c r="AS161" s="33" t="str">
        <f>IFERROR(IF(AR161="","",VLOOKUP(AR161,LISTAS!$F$5:$G$1004,2,0)),"0")</f>
        <v>COLÉGIO ATENEU</v>
      </c>
      <c r="AT161" s="33">
        <v>25</v>
      </c>
      <c r="AU161" s="33" t="str">
        <f t="shared" si="12"/>
        <v/>
      </c>
    </row>
    <row r="162" spans="2:47" ht="18" customHeight="1" thickBot="1" x14ac:dyDescent="0.3">
      <c r="B162" s="133">
        <v>8</v>
      </c>
      <c r="C162" s="171" t="str">
        <f>IF('11M GRP'!G5&gt;=3,'11M GRP'!J114,IF('11M GRP'!G5=2,"",IF('11M GRP'!G5=1,"","")))</f>
        <v>GUILHERME PEREIRA SORRENTINO</v>
      </c>
      <c r="D162" s="266">
        <v>1</v>
      </c>
      <c r="E162" s="106">
        <f>IF(D162&lt;&gt;"",D162,"")</f>
        <v>1</v>
      </c>
      <c r="F162" s="101" t="str">
        <f>IF(D162&lt;&gt;"",IF(C162="","",C162),"")</f>
        <v>GUILHERME PEREIRA SORRENTINO</v>
      </c>
      <c r="G162" s="190" t="str">
        <f>VLOOKUP(G160,E160:F162,2,0)</f>
        <v>GAEL LEANDRINI PASCHOAL</v>
      </c>
      <c r="H162" s="101"/>
      <c r="I162" s="29"/>
      <c r="J162" s="29"/>
      <c r="K162" s="188"/>
      <c r="L162" s="29"/>
      <c r="M162" s="35"/>
      <c r="N162" s="29"/>
      <c r="O162" s="188"/>
      <c r="P162" s="29"/>
      <c r="Q162" s="37"/>
      <c r="R162" s="268" t="s">
        <v>37</v>
      </c>
      <c r="S162" s="268"/>
      <c r="T162" s="268"/>
      <c r="U162" s="268"/>
      <c r="V162" s="268"/>
      <c r="W162" s="37"/>
      <c r="X162" s="86"/>
      <c r="Y162" s="198"/>
      <c r="Z162" s="94"/>
      <c r="AA162" s="37"/>
      <c r="AB162" s="29"/>
      <c r="AC162" s="198"/>
      <c r="AD162" s="37"/>
      <c r="AE162" s="100"/>
      <c r="AF162" s="100"/>
      <c r="AG162" s="197">
        <f>IF(AJ162&lt;&gt;"",AJ162,"")</f>
        <v>0</v>
      </c>
      <c r="AH162" s="100" t="str">
        <f>IF(AJ162&lt;&gt;"",IF(AK162="","",AK162),"")</f>
        <v>LEONARDO RIBEIRO CAMOLESI</v>
      </c>
      <c r="AI162" s="145" t="str">
        <f>VLOOKUP(AI160,AG160:AH162,2,0)</f>
        <v>LEONARDO RIBEIRO CAMOLESI</v>
      </c>
      <c r="AJ162" s="266">
        <v>0</v>
      </c>
      <c r="AK162" s="171" t="str">
        <f>IF('11M GRP'!G5&gt;=3,'11M GRP'!J88,IF('11M GRP'!G5=2,"",IF('11M GRP'!G5=1,"","")))</f>
        <v>LEONARDO RIBEIRO CAMOLESI</v>
      </c>
      <c r="AL162" s="29">
        <v>6</v>
      </c>
      <c r="AP162" s="31" t="str">
        <f>IF(AR162&lt;&gt;"",1+COUNTIF(AP136:AP161,"1")+COUNTIF(AP136:AP161,"2")+COUNTIF(AP136:AP161,"3")+COUNTIF(AP136:AP161,"4")+COUNTIF(AP136:AP161,"5")+COUNTIF(AP136:AP161,"6")+COUNTIF(AP136:AP161,"7")+COUNTIF(AP136:AP161,"8")+COUNTIF(AP136:AP161,"9")+COUNTIF(AP136:AP161,"10")+COUNTIF(AP136:AP161,"11")+COUNTIF(AP136:AP161,"12")+COUNTIF(AP136:AP161,"13")+COUNTIF(AP136:AP161,"14")+COUNTIF(AP136:AP161,"15")+COUNTIF(AP136:AP161,"16")+COUNTIF(AP136:AP161,"17")+COUNTIF(AP136:AP161,"18")+COUNTIF(AP136:AP161,"19")+COUNTIF(AP136:AP161,"20")+COUNTIF(AP136:AP161,"21")+COUNTIF(AP136:AP161,"22")+COUNTIF(AP136:AP161,"23")+COUNTIF(AP136:AP161,"24")+COUNTIF(AP136:AP161,"25")+COUNTIF(AP136:AP161,"26"),"")</f>
        <v/>
      </c>
      <c r="AQ162" s="32" t="str">
        <f t="shared" si="10"/>
        <v/>
      </c>
      <c r="AR162" s="111" t="str">
        <f>IF(AR146&lt;&gt;"",IF(C136=AR146,G138,IF(C138=AR146,G138,IF(C144=AR146,G146,IF(C146=AR146,G146,IF(C166=AR146,G168,IF(C168=AR146,G168,IF(C174=AR146,G176,IF(C176=AR146,G176,IF(C152=AR146,G154,IF(C154=AR146,G154,IF(C160=AR146,G162,IF(C162=AR146,G162,IF(C182=AR146,G184,IF(C184=AR146,G184,IF(C190=AR146,G192,IF(C192=AR146,G192,IF(AK136=AR146,AI138,IF(AK138=AR146,AI138,IF(AK144=AR146,AI146,IF(AK146=AR146,AI146,IF(AK166=AR146,AI168,IF(AK168=AR146,AI168,IF(AK174=AR146,AI176,IF(AK176=AR146,AI176,IF(AK152=AR146,AI154,IF(AK154=AR146,AI154,IF(AK160=AR146,AI162,IF(AK162=AR146,AI162,IF(AK182=AR146,AI184,IF(AK184=AR146,AI184,IF(AK190=AR146,AI192,IF(AK192=AR146,AI192)))))))))))))))))))))))))))))))),"")</f>
        <v/>
      </c>
      <c r="AS162" s="33" t="str">
        <f>IFERROR(IF(AR162="","",VLOOKUP(AR162,LISTAS!$F$5:$G$1004,2,0)),"0")</f>
        <v/>
      </c>
      <c r="AT162" s="33">
        <v>25</v>
      </c>
      <c r="AU162" s="33" t="str">
        <f t="shared" si="12"/>
        <v/>
      </c>
    </row>
    <row r="163" spans="2:47" ht="18" customHeight="1" thickBot="1" x14ac:dyDescent="0.3">
      <c r="B163" s="133"/>
      <c r="C163" s="172" t="str">
        <f>IFERROR(IF(C162="","",VLOOKUP(C162,LISTAS!$F$5:$G$1004,2,0)),"0")</f>
        <v>PEN LIFE</v>
      </c>
      <c r="D163" s="267"/>
      <c r="E163" s="101"/>
      <c r="F163" s="101"/>
      <c r="G163" s="190"/>
      <c r="H163" s="101"/>
      <c r="I163" s="29"/>
      <c r="J163" s="29"/>
      <c r="K163" s="188"/>
      <c r="L163" s="29"/>
      <c r="M163" s="35"/>
      <c r="N163" s="29"/>
      <c r="O163" s="171" t="str">
        <f>IF(L148&lt;&gt;"",IF(L150&lt;&gt;"",IF(L148=L150,"",IF(L148&gt;L150,K148,K150)),""),"")</f>
        <v>LORENZO LUPINARI PALERMO</v>
      </c>
      <c r="P163" s="266">
        <v>1</v>
      </c>
      <c r="Q163" s="37"/>
      <c r="R163" s="189"/>
      <c r="S163" s="84"/>
      <c r="T163" s="84"/>
      <c r="U163" s="84"/>
      <c r="V163" s="189"/>
      <c r="W163" s="37"/>
      <c r="X163" s="266">
        <v>1</v>
      </c>
      <c r="Y163" s="171" t="str">
        <f>IF(AB148&lt;&gt;"",IF(AB150&lt;&gt;"",IF(AB148=AB150,"",IF(AB148&gt;AB150,AC148,AC150)),""),"")</f>
        <v>PEDRO JUN REIS MURATA</v>
      </c>
      <c r="Z163" s="94"/>
      <c r="AA163" s="37"/>
      <c r="AB163" s="29"/>
      <c r="AC163" s="198"/>
      <c r="AD163" s="37"/>
      <c r="AE163" s="100"/>
      <c r="AF163" s="100"/>
      <c r="AG163" s="197"/>
      <c r="AH163" s="100"/>
      <c r="AI163" s="101"/>
      <c r="AJ163" s="267"/>
      <c r="AK163" s="172" t="str">
        <f>IFERROR(IF(AK162="","",VLOOKUP(AK162,LISTAS!$F$5:$G$1004,2,0)),"0")</f>
        <v>ESCOLA IL SOLE</v>
      </c>
      <c r="AL163" s="29"/>
      <c r="AP163" s="31">
        <f>IF(AR163&lt;&gt;"",1+COUNTIF(AP136:AP162,"1")+COUNTIF(AP136:AP162,"2")+COUNTIF(AP136:AP162,"3")+COUNTIF(AP136:AP162,"4")+COUNTIF(AP136:AP162,"5")+COUNTIF(AP136:AP162,"6")+COUNTIF(AP136:AP162,"7")+COUNTIF(AP136:AP162,"8")+COUNTIF(AP136:AP162,"9")+COUNTIF(AP136:AP162,"10")+COUNTIF(AP136:AP162,"11")+COUNTIF(AP136:AP162,"12")+COUNTIF(AP136:AP162,"13")+COUNTIF(AP136:AP162,"14")+COUNTIF(AP136:AP162,"15")+COUNTIF(AP136:AP162,"16")+COUNTIF(AP136:AP162,"17")+COUNTIF(AP136:AP162,"18")+COUNTIF(AP136:AP162,"19")+COUNTIF(AP136:AP162,"20")+COUNTIF(AP136:AP162,"21")+COUNTIF(AP136:AP162,"22")+COUNTIF(AP136:AP162,"23")+COUNTIF(AP136:AP162,"24")+COUNTIF(AP136:AP162,"25")+COUNTIF(AP136:AP162,"26")+COUNTIF(AP136:AP162,"27"),"")</f>
        <v>26</v>
      </c>
      <c r="AQ163" s="32" t="str">
        <f t="shared" si="10"/>
        <v>LUGAR</v>
      </c>
      <c r="AR163" s="111" t="str">
        <f>IF(AR147&lt;&gt;"",IF(C136=AR147,G138,IF(C138=AR147,G138,IF(C144=AR147,G146,IF(C146=AR147,G146,IF(C166=AR147,G168,IF(C168=AR147,G168,IF(C174=AR147,G176,IF(C176=AR147,G176,IF(C152=AR147,G154,IF(C154=AR147,G154,IF(C160=AR147,G162,IF(C162=AR147,G162,IF(C182=AR147,G184,IF(C184=AR147,G184,IF(C190=AR147,G192,IF(C192=AR147,G192,IF(AK136=AR147,AI138,IF(AK138=AR147,AI138,IF(AK144=AR147,AI146,IF(AK146=AR147,AI146,IF(AK166=AR147,AI168,IF(AK168=AR147,AI168,IF(AK174=AR147,AI176,IF(AK176=AR147,AI176,IF(AK152=AR147,AI154,IF(AK154=AR147,AI154,IF(AK160=AR147,AI162,IF(AK162=AR147,AI162,IF(AK182=AR147,AI184,IF(AK184=AR147,AI184,IF(AK190=AR147,AI192,IF(AK192=AR147,AI192)))))))))))))))))))))))))))))))),"")</f>
        <v>DAVI VALLS GARBIN</v>
      </c>
      <c r="AS163" s="33" t="str">
        <f>IFERROR(IF(AR163="","",VLOOKUP(AR163,LISTAS!$F$5:$G$1004,2,0)),"0")</f>
        <v>COLÉGIO ARBOS - UNIDADE SANTO ANDRÉ</v>
      </c>
      <c r="AT163" s="33">
        <v>25</v>
      </c>
      <c r="AU163" s="33" t="str">
        <f t="shared" si="12"/>
        <v/>
      </c>
    </row>
    <row r="164" spans="2:47" ht="18" customHeight="1" thickBot="1" x14ac:dyDescent="0.3">
      <c r="B164" s="133"/>
      <c r="C164" s="188"/>
      <c r="D164" s="29"/>
      <c r="E164" s="29"/>
      <c r="F164" s="29"/>
      <c r="G164" s="188"/>
      <c r="H164" s="29"/>
      <c r="I164" s="29"/>
      <c r="J164" s="29"/>
      <c r="K164" s="188"/>
      <c r="L164" s="29"/>
      <c r="M164" s="35"/>
      <c r="N164" s="29"/>
      <c r="O164" s="172" t="str">
        <f>IFERROR(IF(O163="","",VLOOKUP(O163,LISTAS!$F$5:$G$1004,2,0)),"0")</f>
        <v>ABACO IPIRANGA</v>
      </c>
      <c r="P164" s="267"/>
      <c r="Q164" s="37"/>
      <c r="R164" s="171" t="str">
        <f>IF(P163&lt;&gt;"",IF(P165&lt;&gt;"",IF(P163=P165,"",IF(P163&gt;P165,O163,O165)),""),"")</f>
        <v>LORENZO LUPINARI PALERMO</v>
      </c>
      <c r="S164" s="266">
        <v>0</v>
      </c>
      <c r="T164" s="269" t="s">
        <v>38</v>
      </c>
      <c r="U164" s="266">
        <v>1</v>
      </c>
      <c r="V164" s="171" t="str">
        <f>IF(X163&lt;&gt;"",IF(X165&lt;&gt;"",IF(X163=X165,"",IF(X163&gt;X165,Y163,Y165)),""),"")</f>
        <v>PEDRO JUN REIS MURATA</v>
      </c>
      <c r="W164" s="141"/>
      <c r="X164" s="267"/>
      <c r="Y164" s="172" t="str">
        <f>IFERROR(IF(Y163="","",VLOOKUP(Y163,LISTAS!$F$5:$G$1004,2,0)),"0")</f>
        <v>ABACO IPIRANGA</v>
      </c>
      <c r="Z164" s="141"/>
      <c r="AA164" s="37"/>
      <c r="AB164" s="29"/>
      <c r="AC164" s="198"/>
      <c r="AD164" s="37"/>
      <c r="AE164" s="100"/>
      <c r="AF164" s="100"/>
      <c r="AG164" s="197"/>
      <c r="AH164" s="100"/>
      <c r="AI164" s="100"/>
      <c r="AJ164" s="29"/>
      <c r="AK164" s="188"/>
      <c r="AL164" s="29"/>
      <c r="AP164" s="31" t="str">
        <f>IF(AR164&lt;&gt;"",1+COUNTIF(AP136:AP163,"1")+COUNTIF(AP136:AP163,"2")+COUNTIF(AP136:AP163,"3")+COUNTIF(AP136:AP163,"4")+COUNTIF(AP136:AP163,"5")+COUNTIF(AP136:AP163,"6")+COUNTIF(AP136:AP163,"7")+COUNTIF(AP136:AP163,"8")+COUNTIF(AP136:AP163,"9")+COUNTIF(AP136:AP163,"10")+COUNTIF(AP136:AP163,"11")+COUNTIF(AP136:AP163,"12")+COUNTIF(AP136:AP163,"13")+COUNTIF(AP136:AP163,"14")+COUNTIF(AP136:AP163,"15")+COUNTIF(AP136:AP163,"16")+COUNTIF(AP136:AP163,"17")+COUNTIF(AP136:AP163,"18")+COUNTIF(AP136:AP163,"19")+COUNTIF(AP136:AP163,"20")+COUNTIF(AP136:AP163,"21")+COUNTIF(AP136:AP163,"22")+COUNTIF(AP136:AP163,"23")+COUNTIF(AP136:AP163,"24")+COUNTIF(AP136:AP163,"25")+COUNTIF(AP136:AP163,"26")+COUNTIF(AP136:AP163,"27")+COUNTIF(AP136:AP163,"28"),"")</f>
        <v/>
      </c>
      <c r="AQ164" s="32" t="str">
        <f t="shared" si="10"/>
        <v/>
      </c>
      <c r="AR164" s="111" t="str">
        <f>IF(AR148&lt;&gt;"",IF(C136=AR148,G138,IF(C138=AR148,G138,IF(C144=AR148,G146,IF(C146=AR148,G146,IF(C166=AR148,G168,IF(C168=AR148,G168,IF(C174=AR148,G176,IF(C176=AR148,G176,IF(C152=AR148,G154,IF(C154=AR148,G154,IF(C160=AR148,G162,IF(C162=AR148,G162,IF(C182=AR148,G184,IF(C184=AR148,G184,IF(C190=AR148,G192,IF(C192=AR148,G192,IF(AK136=AR148,AI138,IF(AK138=AR148,AI138,IF(AK144=AR148,AI146,IF(AK146=AR148,AI146,IF(AK166=AR148,AI168,IF(AK168=AR148,AI168,IF(AK174=AR148,AI176,IF(AK176=AR148,AI176,IF(AK152=AR148,AI154,IF(AK154=AR148,AI154,IF(AK160=AR148,AI162,IF(AK162=AR148,AI162,IF(AK182=AR148,AI184,IF(AK184=AR148,AI184,IF(AK190=AR148,AI192,IF(AK192=AR148,AI192)))))))))))))))))))))))))))))))),"")</f>
        <v/>
      </c>
      <c r="AS164" s="33" t="str">
        <f>IFERROR(IF(AR164="","",VLOOKUP(AR164,LISTAS!$F$5:$G$1004,2,0)),"0")</f>
        <v/>
      </c>
      <c r="AT164" s="33">
        <v>25</v>
      </c>
      <c r="AU164" s="33" t="str">
        <f t="shared" si="12"/>
        <v/>
      </c>
    </row>
    <row r="165" spans="2:47" ht="18" customHeight="1" thickBot="1" x14ac:dyDescent="0.3">
      <c r="B165" s="133"/>
      <c r="C165" s="188"/>
      <c r="D165" s="29"/>
      <c r="E165" s="29"/>
      <c r="F165" s="29"/>
      <c r="G165" s="188"/>
      <c r="H165" s="29"/>
      <c r="I165" s="29"/>
      <c r="J165" s="29"/>
      <c r="K165" s="188"/>
      <c r="L165" s="29"/>
      <c r="M165" s="35"/>
      <c r="N165" s="36"/>
      <c r="O165" s="171" t="str">
        <f>IF(L178&lt;&gt;"",IF(L180&lt;&gt;"",IF(L178=L180,"",IF(L178&gt;L180,K178,K180)),""),"")</f>
        <v>GUILHERME CAVALCANTI SIQUEIRA</v>
      </c>
      <c r="P165" s="266">
        <v>0</v>
      </c>
      <c r="Q165" s="97"/>
      <c r="R165" s="172" t="str">
        <f>IFERROR(IF(R164="","",VLOOKUP(R164,LISTAS!$F$5:$G$1004,2,0)),"0")</f>
        <v>ABACO IPIRANGA</v>
      </c>
      <c r="S165" s="267"/>
      <c r="T165" s="269"/>
      <c r="U165" s="267"/>
      <c r="V165" s="172" t="str">
        <f>IFERROR(IF(V164="","",VLOOKUP(V164,LISTAS!$F$5:$G$1004,2,0)),"0")</f>
        <v>ABACO IPIRANGA</v>
      </c>
      <c r="W165" s="98"/>
      <c r="X165" s="266">
        <v>0</v>
      </c>
      <c r="Y165" s="171" t="str">
        <f>IF(AB178&lt;&gt;"",IF(AB180&lt;&gt;"",IF(AB178=AB180,"",IF(AB178&gt;AB180,AC178,AC180)),""),"")</f>
        <v>RAFAEL LUZ</v>
      </c>
      <c r="Z165" s="98"/>
      <c r="AA165" s="37"/>
      <c r="AB165" s="29"/>
      <c r="AC165" s="198"/>
      <c r="AD165" s="37"/>
      <c r="AE165" s="100"/>
      <c r="AF165" s="100"/>
      <c r="AG165" s="197"/>
      <c r="AH165" s="100"/>
      <c r="AI165" s="100"/>
      <c r="AJ165" s="29"/>
      <c r="AK165" s="188"/>
      <c r="AL165" s="29"/>
      <c r="AP165" s="31">
        <f>IF(AR165&lt;&gt;"",1+COUNTIF(AP136:AP164,"1")+COUNTIF(AP136:AP164,"2")+COUNTIF(AP136:AP164,"3")+COUNTIF(AP136:AP164,"4")+COUNTIF(AP136:AP164,"5")+COUNTIF(AP136:AP164,"6")+COUNTIF(AP136:AP164,"7")+COUNTIF(AP136:AP164,"8")+COUNTIF(AP136:AP164,"9")+COUNTIF(AP136:AP164,"10")+COUNTIF(AP136:AP164,"11")+COUNTIF(AP136:AP164,"12")+COUNTIF(AP136:AP164,"13")+COUNTIF(AP136:AP164,"14")+COUNTIF(AP136:AP164,"15")+COUNTIF(AP136:AP164,"16")+COUNTIF(AP136:AP164,"17")+COUNTIF(AP136:AP164,"18")+COUNTIF(AP136:AP164,"19")+COUNTIF(AP136:AP164,"20")+COUNTIF(AP136:AP164,"21")+COUNTIF(AP136:AP164,"22")+COUNTIF(AP136:AP164,"23")+COUNTIF(AP136:AP164,"24")+COUNTIF(AP136:AP164,"25")+COUNTIF(AP136:AP164,"26")+COUNTIF(AP136:AP164,"27")+COUNTIF(AP136:AP164,"28")+COUNTIF(AP136:AP164,"29"),"")</f>
        <v>27</v>
      </c>
      <c r="AQ165" s="32" t="str">
        <f t="shared" si="10"/>
        <v>LUGAR</v>
      </c>
      <c r="AR165" s="111" t="str">
        <f>IF(AR149&lt;&gt;"",IF(C136=AR149,G138,IF(C138=AR149,G138,IF(C144=AR149,G146,IF(C146=AR149,G146,IF(C166=AR149,G168,IF(C168=AR149,G168,IF(C174=AR149,G176,IF(C176=AR149,G176,IF(C152=AR149,G154,IF(C154=AR149,G154,IF(C160=AR149,G162,IF(C162=AR149,G162,IF(C182=AR149,G184,IF(C184=AR149,G184,IF(C190=AR149,G192,IF(C192=AR149,G192,IF(AK136=AR149,AI138,IF(AK138=AR149,AI138,IF(AK144=AR149,AI146,IF(AK146=AR149,AI146,IF(AK166=AR149,AI168,IF(AK168=AR149,AI168,IF(AK174=AR149,AI176,IF(AK176=AR149,AI176,IF(AK152=AR149,AI154,IF(AK154=AR149,AI154,IF(AK160=AR149,AI162,IF(AK162=AR149,AI162,IF(AK182=AR149,AI184,IF(AK184=AR149,AI184,IF(AK190=AR149,AI192,IF(AK192=AR149,AI192)))))))))))))))))))))))))))))))),"")</f>
        <v>IAN REZENDE</v>
      </c>
      <c r="AS165" s="33" t="str">
        <f>IFERROR(IF(AR165="","",VLOOKUP(AR165,LISTAS!$F$5:$G$1004,2,0)),"0")</f>
        <v>RIO BRANCO - SBC</v>
      </c>
      <c r="AT165" s="33">
        <v>25</v>
      </c>
      <c r="AU165" s="33" t="str">
        <f t="shared" si="12"/>
        <v/>
      </c>
    </row>
    <row r="166" spans="2:47" ht="18" customHeight="1" thickBot="1" x14ac:dyDescent="0.3">
      <c r="B166" s="133">
        <v>5</v>
      </c>
      <c r="C166" s="171" t="str">
        <f>IF('11M GRP'!G5&gt;=3,'11M GRP'!J75,IF('11M GRP'!G5=2,"",IF('11M GRP'!G5=1,"","")))</f>
        <v>LORENZO DOS SANTOS BEVILACQUA</v>
      </c>
      <c r="D166" s="266">
        <v>1</v>
      </c>
      <c r="E166" s="101">
        <f>IF(D166&lt;&gt;"",D166,"")</f>
        <v>1</v>
      </c>
      <c r="F166" s="101" t="str">
        <f>IF(D166&lt;&gt;"",IF(C166="","",C166),"")</f>
        <v>LORENZO DOS SANTOS BEVILACQUA</v>
      </c>
      <c r="G166" s="190">
        <f>IF(E166&lt;&gt;"",IF(E168&lt;&gt;"",SMALL(E166:E168,1),""),"")</f>
        <v>0</v>
      </c>
      <c r="H166" s="101"/>
      <c r="I166" s="101"/>
      <c r="J166" s="101"/>
      <c r="K166" s="190"/>
      <c r="L166" s="29"/>
      <c r="M166" s="35"/>
      <c r="N166" s="37"/>
      <c r="O166" s="172" t="str">
        <f>IFERROR(IF(O165="","",VLOOKUP(O165,LISTAS!$F$5:$G$1004,2,0)),"0")</f>
        <v>EXTERNATO SANTO ANTONIO</v>
      </c>
      <c r="P166" s="267"/>
      <c r="Q166" s="85"/>
      <c r="R166" s="198"/>
      <c r="S166" s="37"/>
      <c r="T166" s="37"/>
      <c r="U166" s="37"/>
      <c r="V166" s="198"/>
      <c r="W166" s="37"/>
      <c r="X166" s="267"/>
      <c r="Y166" s="172" t="str">
        <f>IFERROR(IF(Y165="","",VLOOKUP(Y165,LISTAS!$F$5:$G$1004,2,0)),"0")</f>
        <v>ESCOLA STAGIUM</v>
      </c>
      <c r="Z166" s="94"/>
      <c r="AA166" s="37"/>
      <c r="AB166" s="29"/>
      <c r="AC166" s="198"/>
      <c r="AD166" s="37"/>
      <c r="AE166" s="100"/>
      <c r="AF166" s="100"/>
      <c r="AG166" s="197">
        <f>IF(AJ166&lt;&gt;"",AJ166,"")</f>
        <v>0</v>
      </c>
      <c r="AH166" s="100" t="str">
        <f>IF(AJ166&lt;&gt;"",IF(AK166="","",AK166),"")</f>
        <v>DAVI PATRÍCIO DOS SANTOS</v>
      </c>
      <c r="AI166" s="101">
        <f>IF(AG166&lt;&gt;"",IF(AG168&lt;&gt;"",SMALL(AG166:AG168,1),""),"")</f>
        <v>0</v>
      </c>
      <c r="AJ166" s="266">
        <v>0</v>
      </c>
      <c r="AK166" s="171" t="str">
        <f>IF('11M GRP'!G5&gt;=3,'11M GRP'!J101,IF('11M GRP'!G5=2,"",IF('11M GRP'!G5=1,"","")))</f>
        <v>DAVI PATRÍCIO DOS SANTOS</v>
      </c>
      <c r="AL166" s="29">
        <v>7</v>
      </c>
      <c r="AP166" s="31">
        <f>IF(AR166&lt;&gt;"",1+COUNTIF(AP136:AP165,"1")+COUNTIF(AP136:AP165,"2")+COUNTIF(AP136:AP165,"3")+COUNTIF(AP136:AP165,"4")+COUNTIF(AP136:AP165,"5")+COUNTIF(AP136:AP165,"6")+COUNTIF(AP136:AP165,"7")+COUNTIF(AP136:AP165,"8")+COUNTIF(AP136:AP165,"9")+COUNTIF(AP136:AP165,"10")+COUNTIF(AP136:AP165,"11")+COUNTIF(AP136:AP165,"12")+COUNTIF(AP136:AP165,"13")+COUNTIF(AP136:AP165,"14")+COUNTIF(AP136:AP165,"15")+COUNTIF(AP136:AP165,"16")+COUNTIF(AP136:AP165,"17")+COUNTIF(AP136:AP165,"18")+COUNTIF(AP136:AP165,"19")+COUNTIF(AP136:AP165,"20")+COUNTIF(AP136:AP165,"21")+COUNTIF(AP136:AP165,"22")+COUNTIF(AP136:AP165,"23")+COUNTIF(AP136:AP165,"24")+COUNTIF(AP136:AP165,"25")+COUNTIF(AP136:AP165,"26")+COUNTIF(AP136:AP165,"27")+COUNTIF(AP136:AP165,"28")+COUNTIF(AP136:AP165,"29")+COUNTIF(AP136:AP165,"30"),"")</f>
        <v>28</v>
      </c>
      <c r="AQ166" s="32" t="str">
        <f t="shared" si="10"/>
        <v>LUGAR</v>
      </c>
      <c r="AR166" s="111" t="str">
        <f>IF(AR150&lt;&gt;"",IF(C136=AR150,G138,IF(C138=AR150,G138,IF(C144=AR150,G146,IF(C146=AR150,G146,IF(C166=AR150,G168,IF(C168=AR150,G168,IF(C174=AR150,G176,IF(C176=AR150,G176,IF(C152=AR150,G154,IF(C154=AR150,G154,IF(C160=AR150,G162,IF(C162=AR150,G162,IF(C182=AR150,G184,IF(C184=AR150,G184,IF(C190=AR150,G192,IF(C192=AR150,G192,IF(AK136=AR150,AI138,IF(AK138=AR150,AI138,IF(AK144=AR150,AI146,IF(AK146=AR150,AI146,IF(AK166=AR150,AI168,IF(AK168=AR150,AI168,IF(AK174=AR150,AI176,IF(AK176=AR150,AI176,IF(AK152=AR150,AI154,IF(AK154=AR150,AI154,IF(AK160=AR150,AI162,IF(AK162=AR150,AI162,IF(AK182=AR150,AI184,IF(AK184=AR150,AI184,IF(AK190=AR150,AI192,IF(AK192=AR150,AI192)))))))))))))))))))))))))))))))),"")</f>
        <v>MATHEUS FELIZ SANCHES</v>
      </c>
      <c r="AS166" s="33" t="str">
        <f>IFERROR(IF(AR166="","",VLOOKUP(AR166,LISTAS!$F$5:$G$1004,2,0)),"0")</f>
        <v>AMERICAN ACADEMY SCHOOL SBC</v>
      </c>
      <c r="AT166" s="33">
        <v>25</v>
      </c>
      <c r="AU166" s="33" t="str">
        <f t="shared" si="12"/>
        <v/>
      </c>
    </row>
    <row r="167" spans="2:47" ht="18" customHeight="1" thickBot="1" x14ac:dyDescent="0.3">
      <c r="B167" s="133"/>
      <c r="C167" s="172" t="str">
        <f>IFERROR(IF(C166="","",VLOOKUP(C166,LISTAS!$F$5:$G$1004,2,0)),"0")</f>
        <v>COLÉGIO ARBOS - UNIDADE SANTO ANDRÉ</v>
      </c>
      <c r="D167" s="267"/>
      <c r="E167" s="101"/>
      <c r="F167" s="101"/>
      <c r="G167" s="190"/>
      <c r="H167" s="101"/>
      <c r="I167" s="101"/>
      <c r="J167" s="101"/>
      <c r="K167" s="190"/>
      <c r="L167" s="101"/>
      <c r="M167" s="138"/>
      <c r="N167" s="100"/>
      <c r="O167" s="197"/>
      <c r="P167" s="100"/>
      <c r="Q167" s="100"/>
      <c r="R167" s="197"/>
      <c r="S167" s="37"/>
      <c r="T167" s="37"/>
      <c r="U167" s="37"/>
      <c r="V167" s="198"/>
      <c r="W167" s="37"/>
      <c r="X167" s="86"/>
      <c r="Y167" s="198"/>
      <c r="Z167" s="94"/>
      <c r="AA167" s="37"/>
      <c r="AB167" s="29"/>
      <c r="AC167" s="198"/>
      <c r="AD167" s="37"/>
      <c r="AE167" s="100"/>
      <c r="AF167" s="100"/>
      <c r="AG167" s="197"/>
      <c r="AH167" s="100"/>
      <c r="AI167" s="101"/>
      <c r="AJ167" s="267"/>
      <c r="AK167" s="172" t="str">
        <f>IFERROR(IF(AK166="","",VLOOKUP(AK166,LISTAS!$F$5:$G$1004,2,0)),"0")</f>
        <v>COLÉGIO ENGENHEIRO SALVADOR ARENA</v>
      </c>
      <c r="AL167" s="29"/>
      <c r="AP167" s="31">
        <f>IF(AR167&lt;&gt;"",1+COUNTIF(AP136:AP166,"1")+COUNTIF(AP136:AP166,"2")+COUNTIF(AP136:AP166,"3")+COUNTIF(AP136:AP166,"4")+COUNTIF(AP136:AP166,"5")+COUNTIF(AP136:AP166,"6")+COUNTIF(AP136:AP166,"7")+COUNTIF(AP136:AP166,"8")+COUNTIF(AP136:AP166,"9")+COUNTIF(AP136:AP166,"10")+COUNTIF(AP136:AP166,"11")+COUNTIF(AP136:AP166,"12")+COUNTIF(AP136:AP166,"13")+COUNTIF(AP136:AP166,"14")+COUNTIF(AP136:AP166,"15")+COUNTIF(AP136:AP166,"16")+COUNTIF(AP136:AP166,"17")+COUNTIF(AP136:AP166,"18")+COUNTIF(AP136:AP166,"19")+COUNTIF(AP136:AP166,"20")+COUNTIF(AP136:AP166,"21")+COUNTIF(AP136:AP166,"22")+COUNTIF(AP136:AP166,"23")+COUNTIF(AP136:AP166,"24")+COUNTIF(AP136:AP166,"25")+COUNTIF(AP136:AP166,"26")+COUNTIF(AP136:AP166,"27")+COUNTIF(AP136:AP166,"28")+COUNTIF(AP136:AP166,"29")+COUNTIF(AP136:AP166,"30")+COUNTIF(AP136:AP166,"31"),"")</f>
        <v>29</v>
      </c>
      <c r="AQ167" s="32" t="str">
        <f t="shared" si="10"/>
        <v>LUGAR</v>
      </c>
      <c r="AR167" s="111" t="str">
        <f>IF(AR151&lt;&gt;"",IF(C136=AR151,G138,IF(C138=AR151,G138,IF(C144=AR151,G146,IF(C146=AR151,G146,IF(C166=AR151,G168,IF(C168=AR151,G168,IF(C174=AR151,G176,IF(C176=AR151,G176,IF(C152=AR151,G154,IF(C154=AR151,G154,IF(C160=AR151,G162,IF(C162=AR151,G162,IF(C182=AR151,G184,IF(C184=AR151,G184,IF(C190=AR151,G192,IF(C192=AR151,G192,IF(AK136=AR151,AI138,IF(AK138=AR151,AI138,IF(AK144=AR151,AI146,IF(AK146=AR151,AI146,IF(AK166=AR151,AI168,IF(AK168=AR151,AI168,IF(AK174=AR151,AI176,IF(AK176=AR151,AI176,IF(AK152=AR151,AI154,IF(AK154=AR151,AI154,IF(AK160=AR151,AI162,IF(AK162=AR151,AI162,IF(AK182=AR151,AI184,IF(AK184=AR151,AI184,IF(AK190=AR151,AI192,IF(AK192=AR151,AI192)))))))))))))))))))))))))))))))),"")</f>
        <v>LUIGI LOPES PERUGINO CANUTO</v>
      </c>
      <c r="AS167" s="33" t="str">
        <f>IFERROR(IF(AR167="","",VLOOKUP(AR167,LISTAS!$F$5:$G$1004,2,0)),"0")</f>
        <v>COLÉGIO ARBOS - UNIDADE SANTO ANDRÉ</v>
      </c>
      <c r="AT167" s="33">
        <v>25</v>
      </c>
      <c r="AU167" s="33" t="str">
        <f>IF(AP167="","",IF($AS$5="NÃO","",IF(AP167=1,100,IF(AP167=2,80,IF(AP167=3,70,IF(AP167=4,50,IF(AP167=5,45,IF(AP167=6,40,IF(AP167=7,35,IF(AP167=8,30,IF(AP167=9,28,IF(AP167=10,28,IF(AP167=11,28,IF(AP167=12,28,IF(AP167=13,28,IF(AP167=14,28,IF(AP167=15,28,IF(AP167=16,28,IF(AP167&gt;16,"","")))))))))))))))))))</f>
        <v/>
      </c>
    </row>
    <row r="168" spans="2:47" ht="18" customHeight="1" x14ac:dyDescent="0.25">
      <c r="B168" s="133">
        <v>28</v>
      </c>
      <c r="C168" s="33" t="s">
        <v>272</v>
      </c>
      <c r="D168" s="266">
        <v>0</v>
      </c>
      <c r="E168" s="107">
        <f>IF(D168&lt;&gt;"",D168,"")</f>
        <v>0</v>
      </c>
      <c r="F168" s="101" t="str">
        <f>IF(D168&lt;&gt;"",IF(C168="","",C168),"")</f>
        <v>HEITOR PELLEGRINI PICHE</v>
      </c>
      <c r="G168" s="190" t="str">
        <f>VLOOKUP(G166,E166:F168,2,0)</f>
        <v>HEITOR PELLEGRINI PICHE</v>
      </c>
      <c r="H168" s="101"/>
      <c r="I168" s="101"/>
      <c r="J168" s="101"/>
      <c r="K168" s="190"/>
      <c r="L168" s="101"/>
      <c r="M168" s="138"/>
      <c r="N168" s="101">
        <f>IF(P163&lt;&gt;"",P163,"")</f>
        <v>1</v>
      </c>
      <c r="O168" s="190" t="str">
        <f>IF(P163&lt;&gt;"",O163,"")</f>
        <v>LORENZO LUPINARI PALERMO</v>
      </c>
      <c r="P168" s="101">
        <f>IF(N168&lt;&gt;"",IF(N170&lt;&gt;"",LARGE(N168:N170,1),""),"")</f>
        <v>1</v>
      </c>
      <c r="Q168" s="100"/>
      <c r="R168" s="197"/>
      <c r="S168" s="37"/>
      <c r="T168" s="37"/>
      <c r="U168" s="37"/>
      <c r="V168" s="198"/>
      <c r="W168" s="37"/>
      <c r="X168" s="86"/>
      <c r="Y168" s="198"/>
      <c r="Z168" s="94"/>
      <c r="AA168" s="37"/>
      <c r="AB168" s="29"/>
      <c r="AC168" s="198"/>
      <c r="AD168" s="37"/>
      <c r="AE168" s="100"/>
      <c r="AF168" s="100"/>
      <c r="AG168" s="197">
        <f>IF(AJ168&lt;&gt;"",AJ168,"")</f>
        <v>1</v>
      </c>
      <c r="AH168" s="100" t="str">
        <f>IF(AJ168&lt;&gt;"",IF(AK168="","",AK168),"")</f>
        <v>GABRIEL JARDIM CASSI</v>
      </c>
      <c r="AI168" s="102" t="str">
        <f>VLOOKUP(AI166,AG166:AH168,2,0)</f>
        <v>DAVI PATRÍCIO DOS SANTOS</v>
      </c>
      <c r="AJ168" s="266">
        <v>1</v>
      </c>
      <c r="AK168" s="33" t="s">
        <v>619</v>
      </c>
      <c r="AL168" s="29">
        <v>26</v>
      </c>
      <c r="AP168" s="31">
        <v>30</v>
      </c>
      <c r="AQ168" s="32" t="str">
        <f t="shared" ref="AQ168:AQ189" si="13">IF(AP168&lt;&gt;"","LUGAR","")</f>
        <v>LUGAR</v>
      </c>
      <c r="AR168" s="111" t="s">
        <v>735</v>
      </c>
      <c r="AS168" s="33" t="s">
        <v>621</v>
      </c>
      <c r="AT168" s="33">
        <v>25</v>
      </c>
      <c r="AU168" s="33" t="str">
        <f t="shared" ref="AU168:AU189" si="14">IF(AP168="","",IF($AS$5="NÃO","",IF(AP168=1,100,IF(AP168=2,80,IF(AP168=3,70,IF(AP168=4,50,IF(AP168=5,45,IF(AP168=6,40,IF(AP168=7,35,IF(AP168=8,30,IF(AP168=9,28,IF(AP168=10,28,IF(AP168=11,28,IF(AP168=12,28,IF(AP168=13,28,IF(AP168=14,28,IF(AP168=15,28,IF(AP168=16,28,IF(AP168&gt;16,"","")))))))))))))))))))</f>
        <v/>
      </c>
    </row>
    <row r="169" spans="2:47" ht="18" customHeight="1" thickBot="1" x14ac:dyDescent="0.3">
      <c r="B169" s="133"/>
      <c r="C169" s="172" t="str">
        <f>IFERROR(IF(C168="","",VLOOKUP(C168,LISTAS!$F$5:$G$1004,2,0)),"0")</f>
        <v>COLÉGIO ATENEU</v>
      </c>
      <c r="D169" s="267"/>
      <c r="E169" s="148"/>
      <c r="F169" s="101"/>
      <c r="G169" s="190"/>
      <c r="H169" s="101"/>
      <c r="I169" s="101"/>
      <c r="J169" s="101"/>
      <c r="K169" s="190"/>
      <c r="L169" s="101"/>
      <c r="M169" s="138"/>
      <c r="N169" s="101"/>
      <c r="O169" s="190"/>
      <c r="P169" s="101"/>
      <c r="Q169" s="100"/>
      <c r="R169" s="197"/>
      <c r="S169" s="37"/>
      <c r="T169" s="37"/>
      <c r="U169" s="37"/>
      <c r="V169" s="198"/>
      <c r="W169" s="37"/>
      <c r="X169" s="86"/>
      <c r="Y169" s="198"/>
      <c r="Z169" s="94"/>
      <c r="AA169" s="37"/>
      <c r="AB169" s="29"/>
      <c r="AC169" s="198"/>
      <c r="AD169" s="37"/>
      <c r="AE169" s="100"/>
      <c r="AF169" s="100"/>
      <c r="AG169" s="197"/>
      <c r="AH169" s="100"/>
      <c r="AI169" s="142"/>
      <c r="AJ169" s="267"/>
      <c r="AK169" s="172" t="str">
        <f>IFERROR(IF(AK168="","",VLOOKUP(AK168,LISTAS!$F$5:$G$1004,2,0)),"0")</f>
        <v>ESCOLA IL SOLE</v>
      </c>
      <c r="AL169" s="29"/>
      <c r="AP169" s="31">
        <v>31</v>
      </c>
      <c r="AQ169" s="32" t="str">
        <f t="shared" si="13"/>
        <v>LUGAR</v>
      </c>
      <c r="AR169" s="111" t="s">
        <v>736</v>
      </c>
      <c r="AS169" s="33" t="s">
        <v>127</v>
      </c>
      <c r="AT169" s="33">
        <v>25</v>
      </c>
      <c r="AU169" s="33" t="str">
        <f t="shared" si="14"/>
        <v/>
      </c>
    </row>
    <row r="170" spans="2:47" ht="18" customHeight="1" x14ac:dyDescent="0.25">
      <c r="B170" s="133"/>
      <c r="C170" s="190"/>
      <c r="D170" s="101"/>
      <c r="E170" s="101"/>
      <c r="F170" s="137"/>
      <c r="G170" s="171" t="str">
        <f>IF(D166&lt;&gt;"",IF(D168&lt;&gt;"",IF(D166=D168,"",IF(D166&gt;D168,C166,C168)),""),"")</f>
        <v>LORENZO DOS SANTOS BEVILACQUA</v>
      </c>
      <c r="H170" s="266">
        <v>1</v>
      </c>
      <c r="I170" s="101">
        <f>IF(H170&lt;&gt;"",H170,"")</f>
        <v>1</v>
      </c>
      <c r="J170" s="101" t="str">
        <f>IF(H170&lt;&gt;"",IF(G170="","",G170),"")</f>
        <v>LORENZO DOS SANTOS BEVILACQUA</v>
      </c>
      <c r="K170" s="190">
        <f>IF(I170&lt;&gt;"",IF(I172&lt;&gt;"",SMALL(I170:J172,1),""),"")</f>
        <v>0</v>
      </c>
      <c r="L170" s="101"/>
      <c r="M170" s="138"/>
      <c r="N170" s="101">
        <f>IF(P165&lt;&gt;"",P165,"")</f>
        <v>0</v>
      </c>
      <c r="O170" s="190" t="str">
        <f>IF(P165&lt;&gt;"",O165,"")</f>
        <v>GUILHERME CAVALCANTI SIQUEIRA</v>
      </c>
      <c r="P170" s="101" t="str">
        <f>VLOOKUP(P168,N168:O170,2,0)</f>
        <v>LORENZO LUPINARI PALERMO</v>
      </c>
      <c r="Q170" s="100"/>
      <c r="R170" s="197"/>
      <c r="S170" s="37"/>
      <c r="T170" s="37"/>
      <c r="U170" s="37"/>
      <c r="V170" s="198"/>
      <c r="W170" s="37"/>
      <c r="X170" s="86"/>
      <c r="Y170" s="198"/>
      <c r="Z170" s="94"/>
      <c r="AA170" s="37"/>
      <c r="AB170" s="29"/>
      <c r="AC170" s="198"/>
      <c r="AD170" s="37"/>
      <c r="AE170" s="95"/>
      <c r="AF170" s="266">
        <v>1</v>
      </c>
      <c r="AG170" s="171" t="str">
        <f>IF(AJ166&lt;&gt;"",IF(AJ168&lt;&gt;"",IF(AJ166=AJ168,"",IF(AJ166&gt;AJ168,AK166,AK168)),""),"")</f>
        <v>GABRIEL JARDIM CASSI</v>
      </c>
      <c r="AH170" s="94"/>
      <c r="AI170" s="37"/>
      <c r="AJ170" s="29"/>
      <c r="AK170" s="188"/>
      <c r="AL170" s="29"/>
      <c r="AP170" s="31">
        <v>32</v>
      </c>
      <c r="AQ170" s="32" t="str">
        <f t="shared" si="13"/>
        <v>LUGAR</v>
      </c>
      <c r="AR170" s="111" t="s">
        <v>737</v>
      </c>
      <c r="AS170" s="33" t="s">
        <v>111</v>
      </c>
      <c r="AT170" s="33">
        <v>25</v>
      </c>
      <c r="AU170" s="33" t="str">
        <f t="shared" si="14"/>
        <v/>
      </c>
    </row>
    <row r="171" spans="2:47" ht="18" customHeight="1" thickBot="1" x14ac:dyDescent="0.3">
      <c r="B171" s="133"/>
      <c r="C171" s="190"/>
      <c r="D171" s="101"/>
      <c r="E171" s="101"/>
      <c r="F171" s="137"/>
      <c r="G171" s="172" t="str">
        <f>IFERROR(IF(G170="","",VLOOKUP(G170,LISTAS!$F$5:$G$1004,2,0)),"0")</f>
        <v>COLÉGIO ARBOS - UNIDADE SANTO ANDRÉ</v>
      </c>
      <c r="H171" s="267"/>
      <c r="I171" s="101"/>
      <c r="J171" s="101"/>
      <c r="K171" s="190"/>
      <c r="L171" s="101"/>
      <c r="M171" s="138"/>
      <c r="N171" s="101"/>
      <c r="O171" s="190"/>
      <c r="P171" s="101"/>
      <c r="Q171" s="100"/>
      <c r="R171" s="197"/>
      <c r="S171" s="37"/>
      <c r="T171" s="37"/>
      <c r="U171" s="37"/>
      <c r="V171" s="198"/>
      <c r="W171" s="37"/>
      <c r="X171" s="86"/>
      <c r="Y171" s="198"/>
      <c r="Z171" s="94"/>
      <c r="AA171" s="37"/>
      <c r="AB171" s="29"/>
      <c r="AC171" s="198"/>
      <c r="AD171" s="37"/>
      <c r="AE171" s="95"/>
      <c r="AF171" s="267"/>
      <c r="AG171" s="172" t="str">
        <f>IFERROR(IF(AG170="","",VLOOKUP(AG170,LISTAS!$F$5:$G$1004,2,0)),"0")</f>
        <v>ESCOLA IL SOLE</v>
      </c>
      <c r="AH171" s="94"/>
      <c r="AI171" s="37"/>
      <c r="AJ171" s="29"/>
      <c r="AK171" s="188"/>
      <c r="AL171" s="29"/>
      <c r="AP171" s="31">
        <v>33</v>
      </c>
      <c r="AQ171" s="32" t="str">
        <f t="shared" si="13"/>
        <v>LUGAR</v>
      </c>
      <c r="AR171" s="111" t="s">
        <v>353</v>
      </c>
      <c r="AS171" s="33" t="s">
        <v>127</v>
      </c>
      <c r="AT171" s="33">
        <v>25</v>
      </c>
      <c r="AU171" s="33" t="str">
        <f t="shared" si="14"/>
        <v/>
      </c>
    </row>
    <row r="172" spans="2:47" ht="18" customHeight="1" x14ac:dyDescent="0.25">
      <c r="B172" s="133"/>
      <c r="C172" s="190"/>
      <c r="D172" s="101"/>
      <c r="E172" s="138"/>
      <c r="F172" s="102"/>
      <c r="G172" s="171" t="str">
        <f>IF(D174&lt;&gt;"",IF(D176&lt;&gt;"",IF(D174=D176,"",IF(D174&gt;D176,C174,C176)),""),"")</f>
        <v>Rafael da Silva Zampoli</v>
      </c>
      <c r="H172" s="266">
        <v>0</v>
      </c>
      <c r="I172" s="107">
        <f>IF(H172&lt;&gt;"",H172,"")</f>
        <v>0</v>
      </c>
      <c r="J172" s="101" t="str">
        <f>IF(H172&lt;&gt;"",IF(G172="","",G172),"")</f>
        <v>Rafael da Silva Zampoli</v>
      </c>
      <c r="K172" s="190" t="str">
        <f>VLOOKUP(K170,I170:J172,2,0)</f>
        <v>Rafael da Silva Zampoli</v>
      </c>
      <c r="L172" s="101"/>
      <c r="M172" s="138"/>
      <c r="N172" s="101">
        <f>IF(P163&lt;&gt;"",P163,"")</f>
        <v>1</v>
      </c>
      <c r="O172" s="190" t="str">
        <f>IF(P163&lt;&gt;"",O163,"")</f>
        <v>LORENZO LUPINARI PALERMO</v>
      </c>
      <c r="P172" s="101">
        <f>IF(N172&lt;&gt;"",IF(N174&lt;&gt;"",SMALL(N172:N174,1),""),"")</f>
        <v>0</v>
      </c>
      <c r="Q172" s="100"/>
      <c r="R172" s="197"/>
      <c r="S172" s="37"/>
      <c r="T172" s="37"/>
      <c r="U172" s="37"/>
      <c r="V172" s="198"/>
      <c r="W172" s="37"/>
      <c r="X172" s="86"/>
      <c r="Y172" s="198"/>
      <c r="Z172" s="94"/>
      <c r="AA172" s="37"/>
      <c r="AB172" s="29"/>
      <c r="AC172" s="198"/>
      <c r="AD172" s="94"/>
      <c r="AE172" s="96"/>
      <c r="AF172" s="266">
        <v>0</v>
      </c>
      <c r="AG172" s="171" t="str">
        <f>IF(AJ174&lt;&gt;"",IF(AJ176&lt;&gt;"",IF(AJ174=AJ176,"",IF(AJ174&gt;AJ176,AK174,AK176)),""),"")</f>
        <v>ENRICO CABRIOTI DOS SANTOS MELGES</v>
      </c>
      <c r="AH172" s="98"/>
      <c r="AI172" s="37"/>
      <c r="AJ172" s="29"/>
      <c r="AK172" s="188"/>
      <c r="AL172" s="29"/>
      <c r="AP172" s="31">
        <v>34</v>
      </c>
      <c r="AQ172" s="32" t="str">
        <f t="shared" si="13"/>
        <v>LUGAR</v>
      </c>
      <c r="AR172" s="111" t="s">
        <v>738</v>
      </c>
      <c r="AS172" s="33" t="s">
        <v>113</v>
      </c>
      <c r="AT172" s="33">
        <v>25</v>
      </c>
      <c r="AU172" s="33" t="str">
        <f t="shared" si="14"/>
        <v/>
      </c>
    </row>
    <row r="173" spans="2:47" ht="18" customHeight="1" thickBot="1" x14ac:dyDescent="0.3">
      <c r="B173" s="133"/>
      <c r="C173" s="190"/>
      <c r="D173" s="101"/>
      <c r="E173" s="138"/>
      <c r="F173" s="101"/>
      <c r="G173" s="172" t="str">
        <f>IFERROR(IF(G172="","",VLOOKUP(G172,LISTAS!$F$5:$G$1004,2,0)),"0")</f>
        <v>ESCOLA INTERAÇÃO</v>
      </c>
      <c r="H173" s="267"/>
      <c r="I173" s="138"/>
      <c r="J173" s="101"/>
      <c r="K173" s="190"/>
      <c r="L173" s="101"/>
      <c r="M173" s="138"/>
      <c r="N173" s="101"/>
      <c r="O173" s="190"/>
      <c r="P173" s="101"/>
      <c r="Q173" s="100"/>
      <c r="R173" s="197"/>
      <c r="S173" s="37"/>
      <c r="T173" s="37"/>
      <c r="U173" s="37"/>
      <c r="V173" s="198"/>
      <c r="W173" s="37"/>
      <c r="X173" s="86"/>
      <c r="Y173" s="198"/>
      <c r="Z173" s="37"/>
      <c r="AA173" s="89"/>
      <c r="AB173" s="29"/>
      <c r="AC173" s="198"/>
      <c r="AD173" s="94"/>
      <c r="AE173" s="37"/>
      <c r="AF173" s="267"/>
      <c r="AG173" s="172" t="str">
        <f>IFERROR(IF(AG172="","",VLOOKUP(AG172,LISTAS!$F$5:$G$1004,2,0)),"0")</f>
        <v>ABACO IPIRANGA</v>
      </c>
      <c r="AH173" s="37"/>
      <c r="AI173" s="89"/>
      <c r="AJ173" s="29"/>
      <c r="AK173" s="188"/>
      <c r="AL173" s="29"/>
      <c r="AP173" s="31">
        <v>35</v>
      </c>
      <c r="AQ173" s="32" t="str">
        <f t="shared" si="13"/>
        <v>LUGAR</v>
      </c>
      <c r="AR173" s="111" t="s">
        <v>739</v>
      </c>
      <c r="AS173" s="33" t="s">
        <v>129</v>
      </c>
      <c r="AT173" s="33">
        <v>25</v>
      </c>
      <c r="AU173" s="33" t="str">
        <f t="shared" si="14"/>
        <v/>
      </c>
    </row>
    <row r="174" spans="2:47" ht="18" customHeight="1" x14ac:dyDescent="0.25">
      <c r="B174" s="133">
        <v>12</v>
      </c>
      <c r="C174" s="171" t="str">
        <f>IF('11M GRP'!G5&gt;=3,'11M GRP'!J166,IF('11M GRP'!G5=2,"",IF('11M GRP'!G5=1,"","")))</f>
        <v>LUIGI LOPES PERUGINO CANUTO</v>
      </c>
      <c r="D174" s="266">
        <v>0</v>
      </c>
      <c r="E174" s="148">
        <f>IF(D174&lt;&gt;"",D174,"")</f>
        <v>0</v>
      </c>
      <c r="F174" s="101" t="str">
        <f>IF(D174&lt;&gt;"",IF(C174="","",C174),"")</f>
        <v>LUIGI LOPES PERUGINO CANUTO</v>
      </c>
      <c r="G174" s="190">
        <f>IF(E174&lt;&gt;"",IF(E176&lt;&gt;"",SMALL(E174:E176,1),""),"")</f>
        <v>0</v>
      </c>
      <c r="H174" s="101"/>
      <c r="I174" s="138"/>
      <c r="J174" s="101"/>
      <c r="K174" s="190"/>
      <c r="L174" s="101"/>
      <c r="M174" s="138"/>
      <c r="N174" s="101">
        <f>IF(P165&lt;&gt;"",P165,"")</f>
        <v>0</v>
      </c>
      <c r="O174" s="190" t="str">
        <f>IF(P165&lt;&gt;"",O165,"")</f>
        <v>GUILHERME CAVALCANTI SIQUEIRA</v>
      </c>
      <c r="P174" s="101" t="str">
        <f>VLOOKUP(P172,N172:O174,2,0)</f>
        <v>GUILHERME CAVALCANTI SIQUEIRA</v>
      </c>
      <c r="Q174" s="100"/>
      <c r="R174" s="197"/>
      <c r="S174" s="37"/>
      <c r="T174" s="37"/>
      <c r="U174" s="37"/>
      <c r="V174" s="198"/>
      <c r="W174" s="37"/>
      <c r="X174" s="86"/>
      <c r="Y174" s="198"/>
      <c r="Z174" s="37"/>
      <c r="AA174" s="89"/>
      <c r="AB174" s="29"/>
      <c r="AC174" s="198"/>
      <c r="AD174" s="146"/>
      <c r="AE174" s="100"/>
      <c r="AF174" s="100"/>
      <c r="AG174" s="197">
        <f>IF(AJ174&lt;&gt;"",AJ174,"")</f>
        <v>1</v>
      </c>
      <c r="AH174" s="100" t="str">
        <f>IF(AJ174&lt;&gt;"",IF(AK174="","",AK174),"")</f>
        <v>ENRICO CABRIOTI DOS SANTOS MELGES</v>
      </c>
      <c r="AI174" s="137">
        <f>IF(AG174&lt;&gt;"",IF(AG176&lt;&gt;"",SMALL(AG174:AG176,1),""),"")</f>
        <v>0</v>
      </c>
      <c r="AJ174" s="266">
        <v>1</v>
      </c>
      <c r="AK174" s="171" t="str">
        <f>IF('11M GRP'!G5&gt;=3,'11M GRP'!J140,IF('11M GRP'!G5=2,"",IF('11M GRP'!G5=1,"","")))</f>
        <v>ENRICO CABRIOTI DOS SANTOS MELGES</v>
      </c>
      <c r="AL174" s="29">
        <v>10</v>
      </c>
      <c r="AP174" s="31">
        <v>36</v>
      </c>
      <c r="AQ174" s="32" t="str">
        <f t="shared" si="13"/>
        <v>LUGAR</v>
      </c>
      <c r="AR174" s="111" t="s">
        <v>727</v>
      </c>
      <c r="AS174" s="33" t="s">
        <v>705</v>
      </c>
      <c r="AT174" s="33">
        <v>25</v>
      </c>
      <c r="AU174" s="33" t="str">
        <f t="shared" si="14"/>
        <v/>
      </c>
    </row>
    <row r="175" spans="2:47" ht="18" customHeight="1" thickBot="1" x14ac:dyDescent="0.3">
      <c r="B175" s="133"/>
      <c r="C175" s="172" t="str">
        <f>IFERROR(IF(C174="","",VLOOKUP(C174,LISTAS!$F$5:$G$1004,2,0)),"0")</f>
        <v>COLÉGIO ARBOS - UNIDADE SANTO ANDRÉ</v>
      </c>
      <c r="D175" s="267"/>
      <c r="E175" s="105"/>
      <c r="F175" s="101"/>
      <c r="G175" s="190"/>
      <c r="H175" s="101"/>
      <c r="I175" s="138"/>
      <c r="J175" s="101"/>
      <c r="K175" s="190"/>
      <c r="L175" s="101"/>
      <c r="M175" s="138"/>
      <c r="N175" s="101"/>
      <c r="O175" s="190"/>
      <c r="P175" s="101"/>
      <c r="Q175" s="100"/>
      <c r="R175" s="197"/>
      <c r="S175" s="37"/>
      <c r="T175" s="37"/>
      <c r="U175" s="37"/>
      <c r="V175" s="198"/>
      <c r="W175" s="37"/>
      <c r="X175" s="86"/>
      <c r="Y175" s="198"/>
      <c r="Z175" s="37"/>
      <c r="AA175" s="89"/>
      <c r="AB175" s="29"/>
      <c r="AC175" s="198"/>
      <c r="AD175" s="146"/>
      <c r="AE175" s="100"/>
      <c r="AF175" s="100"/>
      <c r="AG175" s="197"/>
      <c r="AH175" s="100"/>
      <c r="AI175" s="143"/>
      <c r="AJ175" s="267"/>
      <c r="AK175" s="172" t="str">
        <f>IFERROR(IF(AK174="","",VLOOKUP(AK174,LISTAS!$F$5:$G$1004,2,0)),"0")</f>
        <v>ABACO IPIRANGA</v>
      </c>
      <c r="AL175" s="29"/>
      <c r="AP175" s="31">
        <v>37</v>
      </c>
      <c r="AQ175" s="32" t="str">
        <f t="shared" si="13"/>
        <v>LUGAR</v>
      </c>
      <c r="AR175" s="111" t="s">
        <v>740</v>
      </c>
      <c r="AS175" s="33" t="s">
        <v>697</v>
      </c>
      <c r="AT175" s="33">
        <v>25</v>
      </c>
      <c r="AU175" s="33" t="str">
        <f t="shared" si="14"/>
        <v/>
      </c>
    </row>
    <row r="176" spans="2:47" ht="18" customHeight="1" x14ac:dyDescent="0.25">
      <c r="B176" s="133">
        <v>21</v>
      </c>
      <c r="C176" s="33" t="s">
        <v>630</v>
      </c>
      <c r="D176" s="266">
        <v>1</v>
      </c>
      <c r="E176" s="106">
        <f>IF(D176&lt;&gt;"",D176,"")</f>
        <v>1</v>
      </c>
      <c r="F176" s="101" t="str">
        <f>IF(D176&lt;&gt;"",IF(C176="","",C176),"")</f>
        <v>Rafael da Silva Zampoli</v>
      </c>
      <c r="G176" s="190" t="str">
        <f>VLOOKUP(G174,E174:F176,2,0)</f>
        <v>LUIGI LOPES PERUGINO CANUTO</v>
      </c>
      <c r="H176" s="101"/>
      <c r="I176" s="138"/>
      <c r="J176" s="101"/>
      <c r="K176" s="190"/>
      <c r="L176" s="101"/>
      <c r="M176" s="138"/>
      <c r="N176" s="101"/>
      <c r="O176" s="190"/>
      <c r="P176" s="101"/>
      <c r="Q176" s="100"/>
      <c r="R176" s="197"/>
      <c r="S176" s="37"/>
      <c r="T176" s="37"/>
      <c r="U176" s="37"/>
      <c r="V176" s="198"/>
      <c r="W176" s="37"/>
      <c r="X176" s="86"/>
      <c r="Y176" s="198"/>
      <c r="Z176" s="37"/>
      <c r="AA176" s="89"/>
      <c r="AB176" s="29"/>
      <c r="AC176" s="198"/>
      <c r="AD176" s="146"/>
      <c r="AE176" s="100"/>
      <c r="AF176" s="100"/>
      <c r="AG176" s="197">
        <f>IF(AJ176&lt;&gt;"",AJ176,"")</f>
        <v>0</v>
      </c>
      <c r="AH176" s="100" t="str">
        <f>IF(AJ176&lt;&gt;"",IF(AK176="","",AK176),"")</f>
        <v>MATHEUS FELIZ SANCHES</v>
      </c>
      <c r="AI176" s="145" t="str">
        <f>VLOOKUP(AI174,AG174:AH176,2,0)</f>
        <v>MATHEUS FELIZ SANCHES</v>
      </c>
      <c r="AJ176" s="266">
        <v>0</v>
      </c>
      <c r="AK176" s="33" t="s">
        <v>318</v>
      </c>
      <c r="AL176" s="29">
        <v>23</v>
      </c>
      <c r="AP176" s="31">
        <v>38</v>
      </c>
      <c r="AQ176" s="32" t="str">
        <f t="shared" si="13"/>
        <v>LUGAR</v>
      </c>
      <c r="AR176" s="111" t="s">
        <v>741</v>
      </c>
      <c r="AS176" s="33" t="s">
        <v>129</v>
      </c>
      <c r="AT176" s="33">
        <v>25</v>
      </c>
      <c r="AU176" s="33" t="str">
        <f t="shared" si="14"/>
        <v/>
      </c>
    </row>
    <row r="177" spans="2:47" ht="18" customHeight="1" thickBot="1" x14ac:dyDescent="0.3">
      <c r="B177" s="133"/>
      <c r="C177" s="172" t="str">
        <f>IFERROR(IF(C176="","",VLOOKUP(C176,LISTAS!$F$5:$G$1004,2,0)),"0")</f>
        <v>ESCOLA INTERAÇÃO</v>
      </c>
      <c r="D177" s="267"/>
      <c r="E177" s="101"/>
      <c r="F177" s="101"/>
      <c r="G177" s="190"/>
      <c r="H177" s="101"/>
      <c r="I177" s="138"/>
      <c r="J177" s="101"/>
      <c r="K177" s="190"/>
      <c r="L177" s="101"/>
      <c r="M177" s="138"/>
      <c r="N177" s="101"/>
      <c r="O177" s="190"/>
      <c r="P177" s="101"/>
      <c r="Q177" s="100"/>
      <c r="R177" s="197"/>
      <c r="S177" s="37"/>
      <c r="T177" s="37"/>
      <c r="U177" s="37"/>
      <c r="V177" s="198"/>
      <c r="W177" s="37"/>
      <c r="X177" s="86"/>
      <c r="Y177" s="198"/>
      <c r="Z177" s="37"/>
      <c r="AA177" s="89"/>
      <c r="AB177" s="29"/>
      <c r="AC177" s="198"/>
      <c r="AD177" s="146"/>
      <c r="AE177" s="100"/>
      <c r="AF177" s="100"/>
      <c r="AG177" s="197"/>
      <c r="AH177" s="100"/>
      <c r="AI177" s="101"/>
      <c r="AJ177" s="267"/>
      <c r="AK177" s="172" t="str">
        <f>IFERROR(IF(AK176="","",VLOOKUP(AK176,LISTAS!$F$5:$G$1004,2,0)),"0")</f>
        <v>AMERICAN ACADEMY SCHOOL SBC</v>
      </c>
      <c r="AL177" s="29"/>
      <c r="AP177" s="31">
        <v>39</v>
      </c>
      <c r="AQ177" s="32" t="str">
        <f t="shared" si="13"/>
        <v>LUGAR</v>
      </c>
      <c r="AR177" s="111" t="s">
        <v>742</v>
      </c>
      <c r="AS177" s="33" t="s">
        <v>621</v>
      </c>
      <c r="AT177" s="33">
        <v>25</v>
      </c>
      <c r="AU177" s="33" t="str">
        <f t="shared" si="14"/>
        <v/>
      </c>
    </row>
    <row r="178" spans="2:47" ht="18" customHeight="1" x14ac:dyDescent="0.25">
      <c r="B178" s="133"/>
      <c r="C178" s="188"/>
      <c r="D178" s="29"/>
      <c r="E178" s="29"/>
      <c r="F178" s="29"/>
      <c r="G178" s="188"/>
      <c r="H178" s="29"/>
      <c r="I178" s="35"/>
      <c r="J178" s="29"/>
      <c r="K178" s="171" t="str">
        <f>IF(H170&lt;&gt;"",IF(H172&lt;&gt;"",IF(H170=H172,"",IF(H170&gt;H172,G170,G172)),""),"")</f>
        <v>LORENZO DOS SANTOS BEVILACQUA</v>
      </c>
      <c r="L178" s="266">
        <v>0</v>
      </c>
      <c r="M178" s="148">
        <f>IF(L178&lt;&gt;"",L178,"")</f>
        <v>0</v>
      </c>
      <c r="N178" s="101" t="str">
        <f>IF(L178&lt;&gt;"",IF(K178="","",K178),"")</f>
        <v>LORENZO DOS SANTOS BEVILACQUA</v>
      </c>
      <c r="O178" s="190">
        <f>IF(M178&lt;&gt;"",IF(M180&lt;&gt;"",SMALL(M178:N180,1),""),"")</f>
        <v>0</v>
      </c>
      <c r="P178" s="101"/>
      <c r="Q178" s="100"/>
      <c r="R178" s="197"/>
      <c r="S178" s="37"/>
      <c r="T178" s="37"/>
      <c r="U178" s="37"/>
      <c r="V178" s="198"/>
      <c r="W178" s="37"/>
      <c r="X178" s="86"/>
      <c r="Y178" s="198"/>
      <c r="Z178" s="37"/>
      <c r="AA178" s="89"/>
      <c r="AB178" s="266">
        <v>0</v>
      </c>
      <c r="AC178" s="171" t="str">
        <f>IF(AF170&lt;&gt;"",IF(AF172&lt;&gt;"",IF(AF170=AF172,"",IF(AF170&gt;AF172,AG170,AG172)),""),"")</f>
        <v>GABRIEL JARDIM CASSI</v>
      </c>
      <c r="AD178" s="147"/>
      <c r="AE178" s="100"/>
      <c r="AF178" s="100"/>
      <c r="AG178" s="197"/>
      <c r="AH178" s="100"/>
      <c r="AI178" s="100"/>
      <c r="AJ178" s="29"/>
      <c r="AK178" s="188"/>
      <c r="AL178" s="29"/>
      <c r="AP178" s="31">
        <v>40</v>
      </c>
      <c r="AQ178" s="32" t="str">
        <f t="shared" si="13"/>
        <v>LUGAR</v>
      </c>
      <c r="AR178" s="111" t="s">
        <v>743</v>
      </c>
      <c r="AS178" s="33" t="s">
        <v>111</v>
      </c>
      <c r="AT178" s="33">
        <v>25</v>
      </c>
      <c r="AU178" s="33" t="str">
        <f t="shared" si="14"/>
        <v/>
      </c>
    </row>
    <row r="179" spans="2:47" ht="18" customHeight="1" thickBot="1" x14ac:dyDescent="0.3">
      <c r="B179" s="133"/>
      <c r="C179" s="188"/>
      <c r="D179" s="29"/>
      <c r="E179" s="29"/>
      <c r="F179" s="29"/>
      <c r="G179" s="188"/>
      <c r="H179" s="29"/>
      <c r="I179" s="35"/>
      <c r="J179" s="29"/>
      <c r="K179" s="172" t="str">
        <f>IFERROR(IF(K178="","",VLOOKUP(K178,LISTAS!$F$5:$G$1004,2,0)),"0")</f>
        <v>COLÉGIO ARBOS - UNIDADE SANTO ANDRÉ</v>
      </c>
      <c r="L179" s="267"/>
      <c r="M179" s="105"/>
      <c r="N179" s="101"/>
      <c r="O179" s="190"/>
      <c r="P179" s="101"/>
      <c r="Q179" s="100"/>
      <c r="R179" s="197"/>
      <c r="S179" s="37"/>
      <c r="T179" s="37"/>
      <c r="U179" s="37"/>
      <c r="V179" s="198"/>
      <c r="W179" s="37"/>
      <c r="X179" s="86"/>
      <c r="Y179" s="198"/>
      <c r="Z179" s="37"/>
      <c r="AA179" s="139"/>
      <c r="AB179" s="267"/>
      <c r="AC179" s="172" t="str">
        <f>IFERROR(IF(AC178="","",VLOOKUP(AC178,LISTAS!$F$5:$G$1004,2,0)),"0")</f>
        <v>ESCOLA IL SOLE</v>
      </c>
      <c r="AD179" s="37"/>
      <c r="AE179" s="89"/>
      <c r="AF179" s="37"/>
      <c r="AG179" s="198"/>
      <c r="AH179" s="37"/>
      <c r="AI179" s="37"/>
      <c r="AJ179" s="29"/>
      <c r="AK179" s="188"/>
      <c r="AL179" s="29"/>
      <c r="AP179" s="31">
        <v>41</v>
      </c>
      <c r="AQ179" s="32" t="str">
        <f t="shared" si="13"/>
        <v>LUGAR</v>
      </c>
      <c r="AR179" s="111"/>
      <c r="AS179" s="33"/>
      <c r="AT179" s="33" t="str">
        <f t="shared" ref="AT179:AT189" si="15">IF(AP179="","",IF(AP179=1,100,IF(AP179=2,80,IF(AP179=3,70,IF(AP179=4,50,IF(AP179=5,45,IF(AP179=6,40,IF(AP179=7,35,IF(AP179=8,30,IF(AP179=9,28,IF(AP179=10,28,IF(AP179=11,28,IF(AP179=12,28,IF(AP179=13,28,IF(AP179=14,28,IF(AP179=15,28,IF(AP179=16,28,IF(AP179&gt;16,"",""))))))))))))))))))</f>
        <v/>
      </c>
      <c r="AU179" s="33" t="str">
        <f t="shared" si="14"/>
        <v/>
      </c>
    </row>
    <row r="180" spans="2:47" ht="18" customHeight="1" x14ac:dyDescent="0.25">
      <c r="B180" s="133"/>
      <c r="C180" s="188"/>
      <c r="D180" s="29"/>
      <c r="E180" s="29"/>
      <c r="F180" s="29"/>
      <c r="G180" s="188"/>
      <c r="H180" s="29"/>
      <c r="I180" s="35"/>
      <c r="J180" s="36"/>
      <c r="K180" s="171" t="str">
        <f>IF(H186&lt;&gt;"",IF(H188&lt;&gt;"",IF(H186=H188,"",IF(H186&gt;H188,G186,G188)),""),"")</f>
        <v>GUILHERME CAVALCANTI SIQUEIRA</v>
      </c>
      <c r="L180" s="266">
        <v>1</v>
      </c>
      <c r="M180" s="106">
        <f>IF(L180&lt;&gt;"",L180,"")</f>
        <v>1</v>
      </c>
      <c r="N180" s="101" t="str">
        <f>IF(L180&lt;&gt;"",IF(K180="","",K180),"")</f>
        <v>GUILHERME CAVALCANTI SIQUEIRA</v>
      </c>
      <c r="O180" s="190" t="str">
        <f>VLOOKUP(O178,M178:N180,2,0)</f>
        <v>LORENZO DOS SANTOS BEVILACQUA</v>
      </c>
      <c r="P180" s="101"/>
      <c r="Q180" s="100"/>
      <c r="R180" s="197"/>
      <c r="S180" s="37"/>
      <c r="T180" s="37"/>
      <c r="U180" s="37"/>
      <c r="V180" s="198"/>
      <c r="W180" s="37"/>
      <c r="X180" s="86"/>
      <c r="Y180" s="198"/>
      <c r="Z180" s="37"/>
      <c r="AA180" s="37"/>
      <c r="AB180" s="266">
        <v>1</v>
      </c>
      <c r="AC180" s="171" t="str">
        <f>IF(AF186&lt;&gt;"",IF(AF188&lt;&gt;"",IF(AF186=AF188,"",IF(AF186&gt;AF188,AG186,AG188)),""),"")</f>
        <v>RAFAEL LUZ</v>
      </c>
      <c r="AD180" s="37"/>
      <c r="AE180" s="89"/>
      <c r="AF180" s="37"/>
      <c r="AG180" s="198"/>
      <c r="AH180" s="37"/>
      <c r="AI180" s="37"/>
      <c r="AJ180" s="29"/>
      <c r="AK180" s="188"/>
      <c r="AL180" s="29"/>
      <c r="AP180" s="31">
        <v>42</v>
      </c>
      <c r="AQ180" s="32" t="str">
        <f t="shared" si="13"/>
        <v>LUGAR</v>
      </c>
      <c r="AR180" s="111"/>
      <c r="AS180" s="33"/>
      <c r="AT180" s="33" t="str">
        <f t="shared" si="15"/>
        <v/>
      </c>
      <c r="AU180" s="33" t="str">
        <f t="shared" si="14"/>
        <v/>
      </c>
    </row>
    <row r="181" spans="2:47" ht="18" customHeight="1" thickBot="1" x14ac:dyDescent="0.3">
      <c r="B181" s="133"/>
      <c r="C181" s="188"/>
      <c r="D181" s="29"/>
      <c r="E181" s="29"/>
      <c r="F181" s="29"/>
      <c r="G181" s="188"/>
      <c r="H181" s="29"/>
      <c r="I181" s="35"/>
      <c r="J181" s="29"/>
      <c r="K181" s="172" t="str">
        <f>IFERROR(IF(K180="","",VLOOKUP(K180,LISTAS!$F$5:$G$1004,2,0)),"0")</f>
        <v>EXTERNATO SANTO ANTONIO</v>
      </c>
      <c r="L181" s="267"/>
      <c r="M181" s="101"/>
      <c r="N181" s="101"/>
      <c r="O181" s="190"/>
      <c r="P181" s="101"/>
      <c r="Q181" s="100"/>
      <c r="R181" s="197"/>
      <c r="S181" s="37"/>
      <c r="T181" s="37"/>
      <c r="U181" s="37"/>
      <c r="V181" s="198"/>
      <c r="W181" s="37"/>
      <c r="X181" s="86"/>
      <c r="Y181" s="198"/>
      <c r="Z181" s="37"/>
      <c r="AA181" s="37"/>
      <c r="AB181" s="267"/>
      <c r="AC181" s="172" t="str">
        <f>IFERROR(IF(AC180="","",VLOOKUP(AC180,LISTAS!$F$5:$G$1004,2,0)),"0")</f>
        <v>ESCOLA STAGIUM</v>
      </c>
      <c r="AD181" s="100"/>
      <c r="AE181" s="144"/>
      <c r="AF181" s="100"/>
      <c r="AG181" s="197"/>
      <c r="AH181" s="100"/>
      <c r="AI181" s="100"/>
      <c r="AJ181" s="29"/>
      <c r="AK181" s="188"/>
      <c r="AL181" s="29"/>
      <c r="AP181" s="31">
        <v>43</v>
      </c>
      <c r="AQ181" s="32" t="str">
        <f t="shared" si="13"/>
        <v>LUGAR</v>
      </c>
      <c r="AR181" s="111"/>
      <c r="AS181" s="33"/>
      <c r="AT181" s="33" t="str">
        <f t="shared" si="15"/>
        <v/>
      </c>
      <c r="AU181" s="33" t="str">
        <f t="shared" si="14"/>
        <v/>
      </c>
    </row>
    <row r="182" spans="2:47" ht="18" customHeight="1" x14ac:dyDescent="0.25">
      <c r="B182" s="133">
        <v>20</v>
      </c>
      <c r="C182" s="33" t="s">
        <v>237</v>
      </c>
      <c r="D182" s="266">
        <v>0</v>
      </c>
      <c r="E182" s="101">
        <f>IF(D182&lt;&gt;"",D182,"")</f>
        <v>0</v>
      </c>
      <c r="F182" s="101" t="str">
        <f>IF(D182&lt;&gt;"",IF(C182="","",C182),"")</f>
        <v>DAVI VALLS GARBIN</v>
      </c>
      <c r="G182" s="190">
        <f>IF(E182&lt;&gt;"",IF(E184&lt;&gt;"",SMALL(E182:E184,1),""),"")</f>
        <v>0</v>
      </c>
      <c r="H182" s="101"/>
      <c r="I182" s="35"/>
      <c r="J182" s="29"/>
      <c r="K182" s="188"/>
      <c r="L182" s="29"/>
      <c r="M182" s="101"/>
      <c r="N182" s="101"/>
      <c r="O182" s="190"/>
      <c r="P182" s="101"/>
      <c r="Q182" s="100"/>
      <c r="R182" s="197"/>
      <c r="S182" s="37"/>
      <c r="T182" s="37"/>
      <c r="U182" s="37"/>
      <c r="V182" s="198"/>
      <c r="W182" s="37"/>
      <c r="X182" s="86"/>
      <c r="Y182" s="198"/>
      <c r="Z182" s="37"/>
      <c r="AA182" s="37"/>
      <c r="AB182" s="29"/>
      <c r="AC182" s="198"/>
      <c r="AD182" s="100"/>
      <c r="AE182" s="144"/>
      <c r="AF182" s="100"/>
      <c r="AG182" s="197">
        <f>IF(AJ182&lt;&gt;"",AJ182,"")</f>
        <v>0</v>
      </c>
      <c r="AH182" s="100" t="str">
        <f>IF(AJ182&lt;&gt;"",IF(AK182="","",AK182),"")</f>
        <v/>
      </c>
      <c r="AI182" s="101">
        <f>IF(AG182&lt;&gt;"",IF(AG184&lt;&gt;"",SMALL(AG182:AG184,1),""),"")</f>
        <v>0</v>
      </c>
      <c r="AJ182" s="266">
        <v>0</v>
      </c>
      <c r="AK182" s="171"/>
      <c r="AL182" s="29">
        <v>15</v>
      </c>
      <c r="AP182" s="31">
        <v>44</v>
      </c>
      <c r="AQ182" s="32" t="str">
        <f t="shared" si="13"/>
        <v>LUGAR</v>
      </c>
      <c r="AR182" s="111"/>
      <c r="AS182" s="33"/>
      <c r="AT182" s="33" t="str">
        <f t="shared" si="15"/>
        <v/>
      </c>
      <c r="AU182" s="33" t="str">
        <f t="shared" si="14"/>
        <v/>
      </c>
    </row>
    <row r="183" spans="2:47" ht="18" customHeight="1" thickBot="1" x14ac:dyDescent="0.3">
      <c r="B183" s="133"/>
      <c r="C183" s="172" t="str">
        <f>IFERROR(IF(C182="","",VLOOKUP(C182,LISTAS!$F$5:$G$1004,2,0)),"0")</f>
        <v>COLÉGIO ARBOS - UNIDADE SANTO ANDRÉ</v>
      </c>
      <c r="D183" s="267"/>
      <c r="E183" s="101"/>
      <c r="F183" s="101"/>
      <c r="G183" s="190"/>
      <c r="H183" s="101"/>
      <c r="I183" s="35"/>
      <c r="J183" s="29"/>
      <c r="K183" s="188"/>
      <c r="L183" s="29"/>
      <c r="M183" s="101"/>
      <c r="N183" s="101"/>
      <c r="O183" s="190"/>
      <c r="P183" s="101"/>
      <c r="Q183" s="100"/>
      <c r="R183" s="197"/>
      <c r="S183" s="37"/>
      <c r="T183" s="37"/>
      <c r="U183" s="37"/>
      <c r="V183" s="198"/>
      <c r="W183" s="37"/>
      <c r="X183" s="86"/>
      <c r="Y183" s="198"/>
      <c r="Z183" s="37"/>
      <c r="AA183" s="37"/>
      <c r="AB183" s="29"/>
      <c r="AC183" s="198"/>
      <c r="AD183" s="100"/>
      <c r="AE183" s="144"/>
      <c r="AF183" s="100"/>
      <c r="AG183" s="197"/>
      <c r="AH183" s="100"/>
      <c r="AI183" s="101"/>
      <c r="AJ183" s="267"/>
      <c r="AK183" s="172" t="str">
        <f>IFERROR(IF(AK182="","",VLOOKUP(AK182,LISTAS!$F$5:$G$1004,2,0)),"0")</f>
        <v/>
      </c>
      <c r="AL183" s="29"/>
      <c r="AP183" s="31">
        <v>45</v>
      </c>
      <c r="AQ183" s="32" t="str">
        <f t="shared" si="13"/>
        <v>LUGAR</v>
      </c>
      <c r="AR183" s="111"/>
      <c r="AS183" s="33"/>
      <c r="AT183" s="33" t="str">
        <f t="shared" si="15"/>
        <v/>
      </c>
      <c r="AU183" s="33" t="str">
        <f t="shared" si="14"/>
        <v/>
      </c>
    </row>
    <row r="184" spans="2:47" ht="18" customHeight="1" x14ac:dyDescent="0.25">
      <c r="B184" s="133">
        <v>13</v>
      </c>
      <c r="C184" s="171" t="str">
        <f>IF('11M GRP'!G5&gt;=3,'11M GRP'!J179,IF('11M GRP'!G5=2,"",IF('11M GRP'!G5=1,"","")))</f>
        <v>FERNANDO IORI TORRES</v>
      </c>
      <c r="D184" s="266">
        <v>1</v>
      </c>
      <c r="E184" s="107">
        <f>IF(D184&lt;&gt;"",D184,"")</f>
        <v>1</v>
      </c>
      <c r="F184" s="101" t="str">
        <f>IF(D184&lt;&gt;"",IF(C184="","",C184),"")</f>
        <v>FERNANDO IORI TORRES</v>
      </c>
      <c r="G184" s="190" t="str">
        <f>VLOOKUP(G182,E182:F184,2,0)</f>
        <v>DAVI VALLS GARBIN</v>
      </c>
      <c r="H184" s="101"/>
      <c r="I184" s="35"/>
      <c r="J184" s="29"/>
      <c r="K184" s="188"/>
      <c r="L184" s="29"/>
      <c r="M184" s="101"/>
      <c r="N184" s="101"/>
      <c r="O184" s="190"/>
      <c r="P184" s="101"/>
      <c r="Q184" s="100"/>
      <c r="R184" s="197"/>
      <c r="S184" s="37"/>
      <c r="T184" s="37"/>
      <c r="U184" s="37"/>
      <c r="V184" s="198"/>
      <c r="W184" s="37"/>
      <c r="X184" s="86"/>
      <c r="Y184" s="198"/>
      <c r="Z184" s="37"/>
      <c r="AA184" s="37"/>
      <c r="AB184" s="29"/>
      <c r="AC184" s="198"/>
      <c r="AD184" s="100"/>
      <c r="AE184" s="144"/>
      <c r="AF184" s="100"/>
      <c r="AG184" s="197">
        <f>IF(AJ184&lt;&gt;"",AJ184,"")</f>
        <v>1</v>
      </c>
      <c r="AH184" s="100" t="str">
        <f>IF(AJ184&lt;&gt;"",IF(AK184="","",AK184),"")</f>
        <v>PEDRO GOMES</v>
      </c>
      <c r="AI184" s="102" t="str">
        <f>VLOOKUP(AI182,AG182:AH184,2,0)</f>
        <v/>
      </c>
      <c r="AJ184" s="266">
        <v>1</v>
      </c>
      <c r="AK184" s="39" t="s">
        <v>686</v>
      </c>
      <c r="AL184" s="29">
        <v>18</v>
      </c>
      <c r="AP184" s="31">
        <v>46</v>
      </c>
      <c r="AQ184" s="32" t="str">
        <f t="shared" si="13"/>
        <v>LUGAR</v>
      </c>
      <c r="AR184" s="111"/>
      <c r="AS184" s="33"/>
      <c r="AT184" s="33" t="str">
        <f t="shared" si="15"/>
        <v/>
      </c>
      <c r="AU184" s="33" t="str">
        <f t="shared" si="14"/>
        <v/>
      </c>
    </row>
    <row r="185" spans="2:47" ht="18" customHeight="1" thickBot="1" x14ac:dyDescent="0.3">
      <c r="B185" s="133"/>
      <c r="C185" s="172" t="str">
        <f>IFERROR(IF(C184="","",VLOOKUP(C184,LISTAS!$F$5:$G$1004,2,0)),"0")</f>
        <v>ESCOLA VILLARE</v>
      </c>
      <c r="D185" s="267"/>
      <c r="E185" s="148"/>
      <c r="F185" s="101"/>
      <c r="G185" s="190"/>
      <c r="H185" s="101"/>
      <c r="I185" s="35"/>
      <c r="J185" s="29"/>
      <c r="K185" s="188"/>
      <c r="L185" s="29"/>
      <c r="M185" s="29"/>
      <c r="N185" s="29"/>
      <c r="O185" s="188"/>
      <c r="P185" s="29"/>
      <c r="Q185" s="37"/>
      <c r="R185" s="198"/>
      <c r="S185" s="37"/>
      <c r="T185" s="37"/>
      <c r="U185" s="37"/>
      <c r="V185" s="198"/>
      <c r="W185" s="37"/>
      <c r="X185" s="86"/>
      <c r="Y185" s="198"/>
      <c r="Z185" s="37"/>
      <c r="AA185" s="37"/>
      <c r="AB185" s="29"/>
      <c r="AC185" s="198"/>
      <c r="AD185" s="100"/>
      <c r="AE185" s="144"/>
      <c r="AF185" s="100"/>
      <c r="AG185" s="197"/>
      <c r="AH185" s="146"/>
      <c r="AI185" s="101"/>
      <c r="AJ185" s="267"/>
      <c r="AK185" s="172" t="str">
        <f>IFERROR(IF(AK184="","",VLOOKUP(AK184,LISTAS!$F$5:$G$1004,2,0)),"0")</f>
        <v>ESCOLA VILLARE</v>
      </c>
      <c r="AL185" s="29"/>
      <c r="AP185" s="31" t="str">
        <f t="shared" ref="AP185:AP189" si="16">IF(AR185&lt;&gt;"",1+COUNTIF(AP154:AP184,"1")+COUNTIF(AP154:AP184,"2")+COUNTIF(AP154:AP184,"3")+COUNTIF(AP154:AP184,"4")+COUNTIF(AP154:AP184,"5")+COUNTIF(AP154:AP184,"6")+COUNTIF(AP154:AP184,"7")+COUNTIF(AP154:AP184,"8")+COUNTIF(AP154:AP184,"9")+COUNTIF(AP154:AP184,"10")+COUNTIF(AP154:AP184,"11")+COUNTIF(AP154:AP184,"12")+COUNTIF(AP154:AP184,"13")+COUNTIF(AP154:AP184,"14")+COUNTIF(AP154:AP184,"15")+COUNTIF(AP154:AP184,"16")+COUNTIF(AP154:AP184,"17")+COUNTIF(AP154:AP184,"18")+COUNTIF(AP154:AP184,"19")+COUNTIF(AP154:AP184,"20")+COUNTIF(AP154:AP184,"21")+COUNTIF(AP154:AP184,"22")+COUNTIF(AP154:AP184,"23")+COUNTIF(AP154:AP184,"24")+COUNTIF(AP154:AP184,"25")+COUNTIF(AP154:AP184,"26")+COUNTIF(AP154:AP184,"27")+COUNTIF(AP154:AP184,"28")+COUNTIF(AP154:AP184,"29")+COUNTIF(AP154:AP184,"30")+COUNTIF(AP154:AP184,"31"),"")</f>
        <v/>
      </c>
      <c r="AQ185" s="32" t="str">
        <f t="shared" si="13"/>
        <v/>
      </c>
      <c r="AR185" s="111"/>
      <c r="AS185" s="33"/>
      <c r="AT185" s="33" t="str">
        <f t="shared" si="15"/>
        <v/>
      </c>
      <c r="AU185" s="33" t="str">
        <f t="shared" si="14"/>
        <v/>
      </c>
    </row>
    <row r="186" spans="2:47" ht="18" customHeight="1" x14ac:dyDescent="0.25">
      <c r="B186" s="133"/>
      <c r="C186" s="188"/>
      <c r="D186" s="29"/>
      <c r="E186" s="29"/>
      <c r="F186" s="34"/>
      <c r="G186" s="171" t="str">
        <f>IF(D182&lt;&gt;"",IF(D184&lt;&gt;"",IF(D182=D184,"",IF(D182&gt;D184,C182,C184)),""),"")</f>
        <v>FERNANDO IORI TORRES</v>
      </c>
      <c r="H186" s="266">
        <v>0</v>
      </c>
      <c r="I186" s="148">
        <f>IF(H186&lt;&gt;"",H186,"")</f>
        <v>0</v>
      </c>
      <c r="J186" s="101" t="str">
        <f>IF(H186&lt;&gt;"",IF(G186="","",G186),"")</f>
        <v>FERNANDO IORI TORRES</v>
      </c>
      <c r="K186" s="190">
        <f>IF(I186&lt;&gt;"",IF(I188&lt;&gt;"",SMALL(I186:J188,1),""),"")</f>
        <v>0</v>
      </c>
      <c r="L186" s="101"/>
      <c r="M186" s="29"/>
      <c r="N186" s="29"/>
      <c r="O186" s="188"/>
      <c r="P186" s="29"/>
      <c r="Q186" s="37"/>
      <c r="R186" s="198"/>
      <c r="S186" s="37"/>
      <c r="T186" s="37"/>
      <c r="U186" s="37"/>
      <c r="V186" s="198"/>
      <c r="W186" s="37"/>
      <c r="X186" s="86"/>
      <c r="Y186" s="198"/>
      <c r="Z186" s="37"/>
      <c r="AA186" s="37"/>
      <c r="AB186" s="29"/>
      <c r="AC186" s="198"/>
      <c r="AD186" s="37"/>
      <c r="AE186" s="89"/>
      <c r="AF186" s="266">
        <v>0</v>
      </c>
      <c r="AG186" s="171" t="str">
        <f>IF(AJ182&lt;&gt;"",IF(AJ184&lt;&gt;"",IF(AJ182=AJ184,"",IF(AJ182&gt;AJ184,AK182,AK184)),""),"")</f>
        <v>PEDRO GOMES</v>
      </c>
      <c r="AH186" s="94"/>
      <c r="AI186" s="37"/>
      <c r="AJ186" s="29"/>
      <c r="AK186" s="188"/>
      <c r="AL186" s="29"/>
      <c r="AP186" s="31" t="str">
        <f t="shared" si="16"/>
        <v/>
      </c>
      <c r="AQ186" s="32" t="str">
        <f t="shared" si="13"/>
        <v/>
      </c>
      <c r="AR186" s="111"/>
      <c r="AS186" s="33"/>
      <c r="AT186" s="33" t="str">
        <f t="shared" si="15"/>
        <v/>
      </c>
      <c r="AU186" s="33" t="str">
        <f t="shared" si="14"/>
        <v/>
      </c>
    </row>
    <row r="187" spans="2:47" ht="18" customHeight="1" thickBot="1" x14ac:dyDescent="0.3">
      <c r="B187" s="133"/>
      <c r="C187" s="188"/>
      <c r="D187" s="29"/>
      <c r="E187" s="29"/>
      <c r="F187" s="34"/>
      <c r="G187" s="172" t="str">
        <f>IFERROR(IF(G186="","",VLOOKUP(G186,LISTAS!$F$5:$G$1004,2,0)),"0")</f>
        <v>ESCOLA VILLARE</v>
      </c>
      <c r="H187" s="267"/>
      <c r="I187" s="105"/>
      <c r="J187" s="101"/>
      <c r="K187" s="190"/>
      <c r="L187" s="101"/>
      <c r="M187" s="29"/>
      <c r="N187" s="29"/>
      <c r="O187" s="188"/>
      <c r="P187" s="29"/>
      <c r="Q187" s="37"/>
      <c r="R187" s="198"/>
      <c r="S187" s="37"/>
      <c r="T187" s="37"/>
      <c r="U187" s="37"/>
      <c r="V187" s="198"/>
      <c r="W187" s="37"/>
      <c r="X187" s="86"/>
      <c r="Y187" s="198"/>
      <c r="Z187" s="37"/>
      <c r="AA187" s="37"/>
      <c r="AB187" s="29"/>
      <c r="AC187" s="198"/>
      <c r="AD187" s="37"/>
      <c r="AE187" s="90"/>
      <c r="AF187" s="267"/>
      <c r="AG187" s="172" t="str">
        <f>IFERROR(IF(AG186="","",VLOOKUP(AG186,LISTAS!$F$5:$G$1004,2,0)),"0")</f>
        <v>ESCOLA VILLARE</v>
      </c>
      <c r="AH187" s="94"/>
      <c r="AI187" s="37"/>
      <c r="AJ187" s="29"/>
      <c r="AK187" s="188"/>
      <c r="AL187" s="29"/>
      <c r="AP187" s="31" t="str">
        <f t="shared" si="16"/>
        <v/>
      </c>
      <c r="AQ187" s="32" t="str">
        <f t="shared" si="13"/>
        <v/>
      </c>
      <c r="AR187" s="111"/>
      <c r="AS187" s="33"/>
      <c r="AT187" s="33" t="str">
        <f t="shared" si="15"/>
        <v/>
      </c>
      <c r="AU187" s="33" t="str">
        <f t="shared" si="14"/>
        <v/>
      </c>
    </row>
    <row r="188" spans="2:47" ht="18" customHeight="1" x14ac:dyDescent="0.25">
      <c r="B188" s="133"/>
      <c r="C188" s="188"/>
      <c r="D188" s="29"/>
      <c r="E188" s="35"/>
      <c r="F188" s="36"/>
      <c r="G188" s="171" t="str">
        <f>IF(D190&lt;&gt;"",IF(D192&lt;&gt;"",IF(D190=D192,"",IF(D190&gt;D192,C190,C192)),""),"")</f>
        <v>GUILHERME CAVALCANTI SIQUEIRA</v>
      </c>
      <c r="H188" s="266">
        <v>1</v>
      </c>
      <c r="I188" s="106">
        <f>IF(H188&lt;&gt;"",H188,"")</f>
        <v>1</v>
      </c>
      <c r="J188" s="101" t="str">
        <f>IF(H188&lt;&gt;"",IF(G188="","",G188),"")</f>
        <v>GUILHERME CAVALCANTI SIQUEIRA</v>
      </c>
      <c r="K188" s="190" t="str">
        <f>VLOOKUP(K186,I186:J188,2,0)</f>
        <v>FERNANDO IORI TORRES</v>
      </c>
      <c r="L188" s="101"/>
      <c r="M188" s="29"/>
      <c r="N188" s="29"/>
      <c r="O188" s="188"/>
      <c r="P188" s="29"/>
      <c r="Q188" s="37"/>
      <c r="R188" s="198"/>
      <c r="S188" s="37"/>
      <c r="T188" s="37"/>
      <c r="U188" s="37"/>
      <c r="V188" s="198"/>
      <c r="W188" s="37"/>
      <c r="X188" s="86"/>
      <c r="Y188" s="198"/>
      <c r="Z188" s="37"/>
      <c r="AA188" s="37"/>
      <c r="AB188" s="29"/>
      <c r="AC188" s="198"/>
      <c r="AD188" s="37"/>
      <c r="AE188" s="91"/>
      <c r="AF188" s="266">
        <v>1</v>
      </c>
      <c r="AG188" s="171" t="str">
        <f>IF(AJ190&lt;&gt;"",IF(AJ192&lt;&gt;"",IF(AJ190=AJ192,"",IF(AJ190&gt;AJ192,AK190,AK192)),""),"")</f>
        <v>RAFAEL LUZ</v>
      </c>
      <c r="AH188" s="98"/>
      <c r="AI188" s="37"/>
      <c r="AJ188" s="29"/>
      <c r="AK188" s="188"/>
      <c r="AL188" s="29"/>
      <c r="AP188" s="31" t="str">
        <f t="shared" si="16"/>
        <v/>
      </c>
      <c r="AQ188" s="32" t="str">
        <f t="shared" si="13"/>
        <v/>
      </c>
      <c r="AR188" s="111"/>
      <c r="AS188" s="33"/>
      <c r="AT188" s="33" t="str">
        <f t="shared" si="15"/>
        <v/>
      </c>
      <c r="AU188" s="33" t="str">
        <f t="shared" si="14"/>
        <v/>
      </c>
    </row>
    <row r="189" spans="2:47" ht="18" customHeight="1" thickBot="1" x14ac:dyDescent="0.3">
      <c r="B189" s="133"/>
      <c r="C189" s="188"/>
      <c r="D189" s="29"/>
      <c r="E189" s="35"/>
      <c r="F189" s="29"/>
      <c r="G189" s="172" t="str">
        <f>IFERROR(IF(G188="","",VLOOKUP(G188,LISTAS!$F$5:$G$1004,2,0)),"0")</f>
        <v>EXTERNATO SANTO ANTONIO</v>
      </c>
      <c r="H189" s="267"/>
      <c r="I189" s="101"/>
      <c r="J189" s="101"/>
      <c r="K189" s="190"/>
      <c r="L189" s="101"/>
      <c r="M189" s="29"/>
      <c r="N189" s="29"/>
      <c r="O189" s="188"/>
      <c r="P189" s="29"/>
      <c r="Q189" s="37"/>
      <c r="R189" s="198"/>
      <c r="S189" s="37"/>
      <c r="T189" s="37"/>
      <c r="U189" s="37"/>
      <c r="V189" s="198"/>
      <c r="W189" s="37"/>
      <c r="X189" s="86"/>
      <c r="Y189" s="198"/>
      <c r="Z189" s="37"/>
      <c r="AA189" s="37"/>
      <c r="AB189" s="29"/>
      <c r="AC189" s="198"/>
      <c r="AD189" s="37"/>
      <c r="AE189" s="37"/>
      <c r="AF189" s="267"/>
      <c r="AG189" s="172" t="str">
        <f>IFERROR(IF(AG188="","",VLOOKUP(AG188,LISTAS!$F$5:$G$1004,2,0)),"0")</f>
        <v>ESCOLA STAGIUM</v>
      </c>
      <c r="AH189" s="37"/>
      <c r="AI189" s="89"/>
      <c r="AJ189" s="29"/>
      <c r="AK189" s="188"/>
      <c r="AL189" s="29"/>
      <c r="AP189" s="31" t="str">
        <f t="shared" si="16"/>
        <v/>
      </c>
      <c r="AQ189" s="32" t="str">
        <f t="shared" si="13"/>
        <v/>
      </c>
      <c r="AR189" s="111"/>
      <c r="AS189" s="33"/>
      <c r="AT189" s="33" t="str">
        <f t="shared" si="15"/>
        <v/>
      </c>
      <c r="AU189" s="33" t="str">
        <f t="shared" si="14"/>
        <v/>
      </c>
    </row>
    <row r="190" spans="2:47" ht="18" customHeight="1" x14ac:dyDescent="0.25">
      <c r="B190" s="133">
        <v>29</v>
      </c>
      <c r="C190" s="33" t="s">
        <v>654</v>
      </c>
      <c r="D190" s="266">
        <v>0</v>
      </c>
      <c r="E190" s="148">
        <f>IF(D190&lt;&gt;"",D190,"")</f>
        <v>0</v>
      </c>
      <c r="F190" s="101" t="str">
        <f>IF(D190&lt;&gt;"",IF(C190="","",C190),"")</f>
        <v>ALEXSANDRO DA COSTA ASSIS</v>
      </c>
      <c r="G190" s="190">
        <f>IF(E190&lt;&gt;"",IF(E192&lt;&gt;"",SMALL(E190:E192,1),""),"")</f>
        <v>0</v>
      </c>
      <c r="H190" s="101"/>
      <c r="I190" s="101"/>
      <c r="J190" s="101"/>
      <c r="K190" s="190"/>
      <c r="L190" s="101"/>
      <c r="M190" s="29"/>
      <c r="N190" s="29"/>
      <c r="O190" s="188"/>
      <c r="P190" s="29"/>
      <c r="Q190" s="37"/>
      <c r="R190" s="198"/>
      <c r="S190" s="37"/>
      <c r="T190" s="37"/>
      <c r="U190" s="37"/>
      <c r="V190" s="198"/>
      <c r="W190" s="37"/>
      <c r="X190" s="86"/>
      <c r="Y190" s="198"/>
      <c r="Z190" s="37"/>
      <c r="AA190" s="37"/>
      <c r="AB190" s="29"/>
      <c r="AC190" s="198"/>
      <c r="AD190" s="100"/>
      <c r="AE190" s="100"/>
      <c r="AF190" s="100"/>
      <c r="AG190" s="197">
        <f>IF(AJ190&lt;&gt;"",AJ190,"")</f>
        <v>1</v>
      </c>
      <c r="AH190" s="100" t="str">
        <f>IF(AJ190&lt;&gt;"",IF(AK190="","",AK190),"")</f>
        <v>RAFAEL LUZ</v>
      </c>
      <c r="AI190" s="137">
        <f>IF(AG190&lt;&gt;"",IF(AG192&lt;&gt;"",SMALL(AG190:AG192,1),""),"")</f>
        <v>0</v>
      </c>
      <c r="AJ190" s="266">
        <v>1</v>
      </c>
      <c r="AK190" s="39" t="s">
        <v>685</v>
      </c>
      <c r="AL190" s="29">
        <v>31</v>
      </c>
    </row>
    <row r="191" spans="2:47" ht="18" customHeight="1" thickBot="1" x14ac:dyDescent="0.3">
      <c r="B191" s="133"/>
      <c r="C191" s="172" t="str">
        <f>IFERROR(IF(C190="","",VLOOKUP(C190,LISTAS!$F$5:$G$1004,2,0)),"0")</f>
        <v>EDUCANDÁRIO - S.A</v>
      </c>
      <c r="D191" s="267"/>
      <c r="E191" s="105"/>
      <c r="F191" s="101"/>
      <c r="G191" s="190"/>
      <c r="H191" s="101"/>
      <c r="I191" s="101"/>
      <c r="J191" s="101"/>
      <c r="K191" s="190"/>
      <c r="L191" s="101"/>
      <c r="M191" s="29"/>
      <c r="N191" s="29"/>
      <c r="O191" s="188"/>
      <c r="P191" s="29"/>
      <c r="Q191" s="37"/>
      <c r="R191" s="198"/>
      <c r="S191" s="37"/>
      <c r="T191" s="37"/>
      <c r="U191" s="37"/>
      <c r="V191" s="198"/>
      <c r="W191" s="37"/>
      <c r="X191" s="86"/>
      <c r="Y191" s="198"/>
      <c r="Z191" s="37"/>
      <c r="AA191" s="37"/>
      <c r="AB191" s="29"/>
      <c r="AC191" s="198"/>
      <c r="AD191" s="100"/>
      <c r="AE191" s="100"/>
      <c r="AF191" s="100"/>
      <c r="AG191" s="197"/>
      <c r="AH191" s="100"/>
      <c r="AI191" s="103"/>
      <c r="AJ191" s="267"/>
      <c r="AK191" s="172" t="str">
        <f>IFERROR(IF(AK190="","",VLOOKUP(AK190,LISTAS!$F$5:$G$1004,2,0)),"0")</f>
        <v>ESCOLA STAGIUM</v>
      </c>
      <c r="AL191" s="29"/>
    </row>
    <row r="192" spans="2:47" ht="30" x14ac:dyDescent="0.25">
      <c r="B192" s="133">
        <v>4</v>
      </c>
      <c r="C192" s="171" t="s">
        <v>694</v>
      </c>
      <c r="D192" s="266">
        <v>1</v>
      </c>
      <c r="E192" s="106">
        <f>IF(D192&lt;&gt;"",D192,"")</f>
        <v>1</v>
      </c>
      <c r="F192" s="101" t="str">
        <f>IF(D192&lt;&gt;"",IF(C192="","",C192),"")</f>
        <v>GUILHERME CAVALCANTI SIQUEIRA</v>
      </c>
      <c r="G192" s="190" t="str">
        <f>VLOOKUP(G190,E190:F192,2,0)</f>
        <v>ALEXSANDRO DA COSTA ASSIS</v>
      </c>
      <c r="H192" s="101"/>
      <c r="I192" s="101"/>
      <c r="J192" s="101"/>
      <c r="K192" s="190"/>
      <c r="L192" s="101"/>
      <c r="M192" s="29"/>
      <c r="N192" s="29"/>
      <c r="O192" s="188"/>
      <c r="P192" s="29"/>
      <c r="Q192" s="37"/>
      <c r="R192" s="198"/>
      <c r="S192" s="37"/>
      <c r="T192" s="37"/>
      <c r="U192" s="37"/>
      <c r="V192" s="198"/>
      <c r="W192" s="37"/>
      <c r="X192" s="86"/>
      <c r="Y192" s="198"/>
      <c r="Z192" s="37"/>
      <c r="AA192" s="37"/>
      <c r="AB192" s="29"/>
      <c r="AC192" s="198"/>
      <c r="AD192" s="100"/>
      <c r="AE192" s="100"/>
      <c r="AF192" s="100"/>
      <c r="AG192" s="197">
        <f>IF(AJ192&lt;&gt;"",AJ192,"")</f>
        <v>0</v>
      </c>
      <c r="AH192" s="100" t="str">
        <f>IF(AJ192&lt;&gt;"",IF(AK192="","",AK192),"")</f>
        <v xml:space="preserve">RAFAEL MIRANDA </v>
      </c>
      <c r="AI192" s="104" t="str">
        <f>VLOOKUP(AI190,AG190:AH192,2,0)</f>
        <v xml:space="preserve">RAFAEL MIRANDA </v>
      </c>
      <c r="AJ192" s="266">
        <v>0</v>
      </c>
      <c r="AK192" s="171" t="str">
        <f>IF('11M GRP'!G5&gt;=3,'11M GRP'!J32,IF('11M GRP'!G5=2,IF('11M GRP'!H8=3,'11M GRP'!J32,""),IF('11M GRP'!G5=1,"","")))</f>
        <v xml:space="preserve">RAFAEL MIRANDA </v>
      </c>
      <c r="AL192" s="29">
        <v>2</v>
      </c>
    </row>
    <row r="193" spans="2:38" ht="17.25" thickBot="1" x14ac:dyDescent="0.3">
      <c r="B193" s="133"/>
      <c r="C193" s="172" t="str">
        <f>IFERROR(IF(C192="","",VLOOKUP(C192,LISTAS!$F$5:$G$1004,2,0)),"0")</f>
        <v>EXTERNATO SANTO ANTONIO</v>
      </c>
      <c r="D193" s="267"/>
      <c r="E193" s="101"/>
      <c r="F193" s="101"/>
      <c r="G193" s="190"/>
      <c r="H193" s="101"/>
      <c r="I193" s="101"/>
      <c r="J193" s="101"/>
      <c r="K193" s="190"/>
      <c r="L193" s="101"/>
      <c r="M193" s="29"/>
      <c r="N193" s="29"/>
      <c r="O193" s="188"/>
      <c r="P193" s="29"/>
      <c r="Q193" s="37"/>
      <c r="R193" s="198"/>
      <c r="S193" s="37"/>
      <c r="T193" s="37"/>
      <c r="U193" s="37"/>
      <c r="V193" s="198"/>
      <c r="W193" s="37"/>
      <c r="X193" s="86"/>
      <c r="Y193" s="198"/>
      <c r="Z193" s="37"/>
      <c r="AA193" s="37"/>
      <c r="AB193" s="29"/>
      <c r="AC193" s="198"/>
      <c r="AD193" s="100"/>
      <c r="AE193" s="100"/>
      <c r="AF193" s="100"/>
      <c r="AG193" s="197"/>
      <c r="AH193" s="100"/>
      <c r="AI193" s="101"/>
      <c r="AJ193" s="267"/>
      <c r="AK193" s="172" t="str">
        <f>IFERROR(IF(AK192="","",VLOOKUP(AK192,LISTAS!$F$5:$G$1004,2,0)),"0")</f>
        <v>COLÉGIO ARBOS SÃO CAETANO DO SUL</v>
      </c>
      <c r="AL193" s="29"/>
    </row>
    <row r="194" spans="2:38" x14ac:dyDescent="0.25">
      <c r="B194" s="133"/>
      <c r="C194" s="189"/>
      <c r="D194" s="84"/>
      <c r="E194" s="149"/>
      <c r="F194" s="149"/>
      <c r="G194" s="194"/>
      <c r="H194" s="149"/>
      <c r="I194" s="149"/>
      <c r="J194" s="149"/>
      <c r="K194" s="194"/>
      <c r="L194" s="149"/>
      <c r="M194" s="84"/>
      <c r="N194" s="84"/>
      <c r="O194" s="189"/>
      <c r="P194" s="84"/>
      <c r="Q194" s="37"/>
      <c r="R194" s="198"/>
      <c r="S194" s="37"/>
      <c r="T194" s="37"/>
      <c r="U194" s="37"/>
      <c r="V194" s="198"/>
      <c r="W194" s="37"/>
      <c r="X194" s="86"/>
      <c r="Y194" s="198"/>
      <c r="Z194" s="37"/>
      <c r="AA194" s="37"/>
      <c r="AB194" s="29"/>
      <c r="AC194" s="198"/>
      <c r="AD194" s="100"/>
      <c r="AE194" s="100"/>
      <c r="AF194" s="100"/>
      <c r="AG194" s="197"/>
      <c r="AH194" s="100"/>
      <c r="AI194" s="100"/>
      <c r="AJ194" s="84"/>
      <c r="AK194" s="189"/>
      <c r="AL194" s="29"/>
    </row>
    <row r="195" spans="2:38" x14ac:dyDescent="0.25">
      <c r="B195" s="29"/>
      <c r="C195" s="189"/>
      <c r="D195" s="84"/>
      <c r="E195" s="84"/>
      <c r="F195" s="84"/>
      <c r="G195" s="189"/>
      <c r="H195" s="84"/>
      <c r="I195" s="84"/>
      <c r="J195" s="84"/>
      <c r="K195" s="189"/>
      <c r="L195" s="84"/>
      <c r="M195" s="84"/>
      <c r="N195" s="84"/>
      <c r="O195" s="189"/>
      <c r="P195" s="84"/>
      <c r="Q195" s="37"/>
      <c r="R195" s="198"/>
      <c r="S195" s="37"/>
      <c r="T195" s="37"/>
      <c r="U195" s="37"/>
      <c r="V195" s="198"/>
      <c r="W195" s="37"/>
      <c r="X195" s="86"/>
      <c r="Y195" s="198"/>
      <c r="Z195" s="37"/>
      <c r="AA195" s="37"/>
      <c r="AB195" s="29"/>
      <c r="AC195" s="198"/>
      <c r="AD195" s="37"/>
      <c r="AE195" s="37"/>
      <c r="AF195" s="37"/>
      <c r="AG195" s="198"/>
      <c r="AH195" s="37"/>
      <c r="AI195" s="37"/>
      <c r="AJ195" s="84"/>
      <c r="AK195" s="189"/>
      <c r="AL195" s="29"/>
    </row>
    <row r="196" spans="2:38" x14ac:dyDescent="0.25">
      <c r="B196" s="2"/>
      <c r="D196" s="2"/>
      <c r="E196" s="2"/>
      <c r="F196" s="2"/>
      <c r="G196" s="163"/>
      <c r="H196" s="2"/>
      <c r="I196" s="2"/>
      <c r="J196" s="2"/>
      <c r="K196" s="163"/>
      <c r="L196" s="2"/>
      <c r="M196" s="2"/>
      <c r="N196" s="2"/>
      <c r="O196" s="163"/>
      <c r="P196" s="2"/>
      <c r="W196" s="2"/>
      <c r="Y196" s="163"/>
      <c r="Z196" s="2"/>
      <c r="AA196" s="2"/>
      <c r="AB196" s="2"/>
      <c r="AC196" s="163"/>
      <c r="AD196" s="2"/>
      <c r="AE196" s="2"/>
      <c r="AF196" s="2"/>
      <c r="AG196" s="163"/>
      <c r="AH196" s="2"/>
      <c r="AI196" s="2"/>
      <c r="AJ196" s="2"/>
      <c r="AK196" s="163"/>
    </row>
    <row r="197" spans="2:38" x14ac:dyDescent="0.25">
      <c r="B197" s="2"/>
      <c r="D197" s="2"/>
      <c r="E197" s="2"/>
      <c r="F197" s="2"/>
      <c r="G197" s="163"/>
      <c r="H197" s="2"/>
      <c r="I197" s="2"/>
      <c r="J197" s="2"/>
      <c r="K197" s="163"/>
      <c r="L197" s="2"/>
      <c r="M197" s="2"/>
      <c r="N197" s="2"/>
      <c r="O197" s="163"/>
      <c r="P197" s="2"/>
      <c r="W197" s="2"/>
      <c r="Y197" s="163"/>
      <c r="Z197" s="2"/>
      <c r="AA197" s="2"/>
      <c r="AB197" s="2"/>
      <c r="AC197" s="163"/>
      <c r="AD197" s="2"/>
      <c r="AE197" s="2"/>
      <c r="AF197" s="2"/>
      <c r="AG197" s="163"/>
      <c r="AH197" s="2"/>
      <c r="AI197" s="2"/>
      <c r="AJ197" s="2"/>
      <c r="AK197" s="163"/>
    </row>
    <row r="198" spans="2:38" x14ac:dyDescent="0.25">
      <c r="B198" s="2"/>
      <c r="D198" s="2"/>
      <c r="E198" s="2"/>
      <c r="F198" s="2"/>
      <c r="G198" s="163"/>
      <c r="H198" s="2"/>
      <c r="I198" s="2"/>
      <c r="J198" s="2"/>
      <c r="K198" s="163"/>
      <c r="L198" s="2"/>
      <c r="M198" s="2"/>
      <c r="N198" s="2"/>
      <c r="O198" s="163"/>
      <c r="P198" s="2"/>
      <c r="W198" s="2"/>
      <c r="Y198" s="163"/>
      <c r="Z198" s="2"/>
      <c r="AA198" s="2"/>
      <c r="AB198" s="2"/>
      <c r="AC198" s="163"/>
      <c r="AD198" s="2"/>
      <c r="AE198" s="2"/>
      <c r="AF198" s="2"/>
      <c r="AG198" s="163"/>
      <c r="AH198" s="2"/>
      <c r="AI198" s="2"/>
      <c r="AJ198" s="2"/>
      <c r="AK198" s="163"/>
    </row>
    <row r="199" spans="2:38" x14ac:dyDescent="0.25">
      <c r="B199" s="2"/>
      <c r="D199" s="2"/>
      <c r="E199" s="2"/>
      <c r="F199" s="2"/>
      <c r="G199" s="163"/>
      <c r="H199" s="2"/>
      <c r="I199" s="2"/>
      <c r="J199" s="2"/>
      <c r="K199" s="163"/>
      <c r="L199" s="2"/>
      <c r="M199" s="2"/>
      <c r="N199" s="2"/>
      <c r="O199" s="163"/>
      <c r="P199" s="2"/>
      <c r="W199" s="2"/>
      <c r="Y199" s="163"/>
      <c r="Z199" s="2"/>
      <c r="AA199" s="2"/>
      <c r="AB199" s="2"/>
      <c r="AC199" s="163"/>
      <c r="AD199" s="2"/>
      <c r="AE199" s="2"/>
      <c r="AF199" s="2"/>
      <c r="AG199" s="163"/>
      <c r="AH199" s="2"/>
      <c r="AI199" s="2"/>
      <c r="AJ199" s="2"/>
      <c r="AK199" s="163"/>
    </row>
    <row r="200" spans="2:38" x14ac:dyDescent="0.25">
      <c r="B200" s="2"/>
      <c r="D200" s="2"/>
      <c r="E200" s="2"/>
      <c r="F200" s="2"/>
      <c r="G200" s="163"/>
      <c r="H200" s="2"/>
      <c r="I200" s="2"/>
      <c r="J200" s="2"/>
      <c r="K200" s="163"/>
      <c r="L200" s="2"/>
      <c r="M200" s="2"/>
      <c r="N200" s="2"/>
      <c r="O200" s="163"/>
      <c r="P200" s="2"/>
      <c r="W200" s="2"/>
      <c r="Y200" s="163"/>
      <c r="Z200" s="2"/>
      <c r="AA200" s="2"/>
      <c r="AB200" s="2"/>
      <c r="AC200" s="163"/>
      <c r="AD200" s="2"/>
      <c r="AE200" s="2"/>
      <c r="AF200" s="2"/>
      <c r="AG200" s="163"/>
      <c r="AH200" s="2"/>
      <c r="AI200" s="2"/>
      <c r="AJ200" s="2"/>
      <c r="AK200" s="163"/>
    </row>
  </sheetData>
  <mergeCells count="211">
    <mergeCell ref="B2:AL4"/>
    <mergeCell ref="B5:D5"/>
    <mergeCell ref="AP5:AQ5"/>
    <mergeCell ref="B6:AL6"/>
    <mergeCell ref="H14:H15"/>
    <mergeCell ref="AF14:AF15"/>
    <mergeCell ref="D16:D17"/>
    <mergeCell ref="AJ16:AJ17"/>
    <mergeCell ref="AP2:AU3"/>
    <mergeCell ref="AP6:AU6"/>
    <mergeCell ref="D18:D19"/>
    <mergeCell ref="AJ18:AJ19"/>
    <mergeCell ref="AP7:AQ7"/>
    <mergeCell ref="D8:D9"/>
    <mergeCell ref="AJ8:AJ9"/>
    <mergeCell ref="D10:D11"/>
    <mergeCell ref="AJ10:AJ11"/>
    <mergeCell ref="H12:H13"/>
    <mergeCell ref="AF12:AF13"/>
    <mergeCell ref="D26:D27"/>
    <mergeCell ref="AJ26:AJ27"/>
    <mergeCell ref="H28:H29"/>
    <mergeCell ref="AF28:AF29"/>
    <mergeCell ref="H30:H31"/>
    <mergeCell ref="AF30:AF31"/>
    <mergeCell ref="L20:L21"/>
    <mergeCell ref="AB20:AB21"/>
    <mergeCell ref="L22:L23"/>
    <mergeCell ref="AB22:AB23"/>
    <mergeCell ref="D24:D25"/>
    <mergeCell ref="AJ24:AJ25"/>
    <mergeCell ref="R20:V20"/>
    <mergeCell ref="R21:V21"/>
    <mergeCell ref="P37:P38"/>
    <mergeCell ref="X37:X38"/>
    <mergeCell ref="D38:D39"/>
    <mergeCell ref="AJ38:AJ39"/>
    <mergeCell ref="D40:D41"/>
    <mergeCell ref="AJ40:AJ41"/>
    <mergeCell ref="D32:D33"/>
    <mergeCell ref="AJ32:AJ33"/>
    <mergeCell ref="D34:D35"/>
    <mergeCell ref="R34:V34"/>
    <mergeCell ref="AJ34:AJ35"/>
    <mergeCell ref="P35:P36"/>
    <mergeCell ref="X35:X36"/>
    <mergeCell ref="S36:S37"/>
    <mergeCell ref="T36:T37"/>
    <mergeCell ref="U36:U37"/>
    <mergeCell ref="D48:D49"/>
    <mergeCell ref="AJ48:AJ49"/>
    <mergeCell ref="L50:L51"/>
    <mergeCell ref="AB50:AB51"/>
    <mergeCell ref="L52:L53"/>
    <mergeCell ref="AB52:AB53"/>
    <mergeCell ref="H42:H43"/>
    <mergeCell ref="AF42:AF43"/>
    <mergeCell ref="H44:H45"/>
    <mergeCell ref="AF44:AF45"/>
    <mergeCell ref="D46:D47"/>
    <mergeCell ref="AJ46:AJ47"/>
    <mergeCell ref="H60:H61"/>
    <mergeCell ref="AF60:AF61"/>
    <mergeCell ref="D62:D63"/>
    <mergeCell ref="AJ62:AJ63"/>
    <mergeCell ref="D64:D65"/>
    <mergeCell ref="AJ64:AJ65"/>
    <mergeCell ref="D54:D55"/>
    <mergeCell ref="AJ54:AJ55"/>
    <mergeCell ref="D56:D57"/>
    <mergeCell ref="AJ56:AJ57"/>
    <mergeCell ref="H58:H59"/>
    <mergeCell ref="AF58:AF59"/>
    <mergeCell ref="H76:H77"/>
    <mergeCell ref="AF76:AF77"/>
    <mergeCell ref="H78:H79"/>
    <mergeCell ref="AF78:AF79"/>
    <mergeCell ref="D80:D81"/>
    <mergeCell ref="AJ80:AJ81"/>
    <mergeCell ref="B70:AL70"/>
    <mergeCell ref="AP71:AQ71"/>
    <mergeCell ref="D72:D73"/>
    <mergeCell ref="AJ72:AJ73"/>
    <mergeCell ref="D74:D75"/>
    <mergeCell ref="AJ74:AJ75"/>
    <mergeCell ref="AP70:AU70"/>
    <mergeCell ref="D88:D89"/>
    <mergeCell ref="AJ88:AJ89"/>
    <mergeCell ref="D90:D91"/>
    <mergeCell ref="AJ90:AJ91"/>
    <mergeCell ref="H92:H93"/>
    <mergeCell ref="AF92:AF93"/>
    <mergeCell ref="D82:D83"/>
    <mergeCell ref="AJ82:AJ83"/>
    <mergeCell ref="L84:L85"/>
    <mergeCell ref="AB84:AB85"/>
    <mergeCell ref="L86:L87"/>
    <mergeCell ref="AB86:AB87"/>
    <mergeCell ref="R84:V84"/>
    <mergeCell ref="R85:V85"/>
    <mergeCell ref="H94:H95"/>
    <mergeCell ref="AF94:AF95"/>
    <mergeCell ref="D96:D97"/>
    <mergeCell ref="AJ96:AJ97"/>
    <mergeCell ref="D98:D99"/>
    <mergeCell ref="R98:V98"/>
    <mergeCell ref="AJ98:AJ99"/>
    <mergeCell ref="P99:P100"/>
    <mergeCell ref="X99:X100"/>
    <mergeCell ref="S100:S101"/>
    <mergeCell ref="D104:D105"/>
    <mergeCell ref="AJ104:AJ105"/>
    <mergeCell ref="H106:H107"/>
    <mergeCell ref="AF106:AF107"/>
    <mergeCell ref="H108:H109"/>
    <mergeCell ref="AF108:AF109"/>
    <mergeCell ref="T100:T101"/>
    <mergeCell ref="U100:U101"/>
    <mergeCell ref="P101:P102"/>
    <mergeCell ref="X101:X102"/>
    <mergeCell ref="D102:D103"/>
    <mergeCell ref="AJ102:AJ103"/>
    <mergeCell ref="L116:L117"/>
    <mergeCell ref="AB116:AB117"/>
    <mergeCell ref="D118:D119"/>
    <mergeCell ref="AJ118:AJ119"/>
    <mergeCell ref="D120:D121"/>
    <mergeCell ref="AJ120:AJ121"/>
    <mergeCell ref="D110:D111"/>
    <mergeCell ref="AJ110:AJ111"/>
    <mergeCell ref="D112:D113"/>
    <mergeCell ref="AJ112:AJ113"/>
    <mergeCell ref="L114:L115"/>
    <mergeCell ref="AB114:AB115"/>
    <mergeCell ref="D128:D129"/>
    <mergeCell ref="AJ128:AJ129"/>
    <mergeCell ref="B134:AL134"/>
    <mergeCell ref="AP135:AQ135"/>
    <mergeCell ref="D136:D137"/>
    <mergeCell ref="AJ136:AJ137"/>
    <mergeCell ref="H122:H123"/>
    <mergeCell ref="AF122:AF123"/>
    <mergeCell ref="H124:H125"/>
    <mergeCell ref="AF124:AF125"/>
    <mergeCell ref="D126:D127"/>
    <mergeCell ref="AJ126:AJ127"/>
    <mergeCell ref="AP134:AU134"/>
    <mergeCell ref="D144:D145"/>
    <mergeCell ref="AJ144:AJ145"/>
    <mergeCell ref="D146:D147"/>
    <mergeCell ref="AJ146:AJ147"/>
    <mergeCell ref="L148:L149"/>
    <mergeCell ref="AB148:AB149"/>
    <mergeCell ref="D138:D139"/>
    <mergeCell ref="AJ138:AJ139"/>
    <mergeCell ref="H140:H141"/>
    <mergeCell ref="AF140:AF141"/>
    <mergeCell ref="H142:H143"/>
    <mergeCell ref="AF142:AF143"/>
    <mergeCell ref="R148:V148"/>
    <mergeCell ref="R149:V149"/>
    <mergeCell ref="H156:H157"/>
    <mergeCell ref="AF156:AF157"/>
    <mergeCell ref="H158:H159"/>
    <mergeCell ref="AF158:AF159"/>
    <mergeCell ref="D160:D161"/>
    <mergeCell ref="AJ160:AJ161"/>
    <mergeCell ref="L150:L151"/>
    <mergeCell ref="AB150:AB151"/>
    <mergeCell ref="D152:D153"/>
    <mergeCell ref="AJ152:AJ153"/>
    <mergeCell ref="D154:D155"/>
    <mergeCell ref="AJ154:AJ155"/>
    <mergeCell ref="D166:D167"/>
    <mergeCell ref="AJ166:AJ167"/>
    <mergeCell ref="D168:D169"/>
    <mergeCell ref="AJ168:AJ169"/>
    <mergeCell ref="H170:H171"/>
    <mergeCell ref="AF170:AF171"/>
    <mergeCell ref="D162:D163"/>
    <mergeCell ref="R162:V162"/>
    <mergeCell ref="AJ162:AJ163"/>
    <mergeCell ref="P163:P164"/>
    <mergeCell ref="X163:X164"/>
    <mergeCell ref="S164:S165"/>
    <mergeCell ref="T164:T165"/>
    <mergeCell ref="U164:U165"/>
    <mergeCell ref="P165:P166"/>
    <mergeCell ref="X165:X166"/>
    <mergeCell ref="L178:L179"/>
    <mergeCell ref="AB178:AB179"/>
    <mergeCell ref="L180:L181"/>
    <mergeCell ref="AB180:AB181"/>
    <mergeCell ref="D182:D183"/>
    <mergeCell ref="AJ182:AJ183"/>
    <mergeCell ref="H172:H173"/>
    <mergeCell ref="AF172:AF173"/>
    <mergeCell ref="D174:D175"/>
    <mergeCell ref="AJ174:AJ175"/>
    <mergeCell ref="D176:D177"/>
    <mergeCell ref="AJ176:AJ177"/>
    <mergeCell ref="D190:D191"/>
    <mergeCell ref="AJ190:AJ191"/>
    <mergeCell ref="D192:D193"/>
    <mergeCell ref="AJ192:AJ193"/>
    <mergeCell ref="D184:D185"/>
    <mergeCell ref="AJ184:AJ185"/>
    <mergeCell ref="H186:H187"/>
    <mergeCell ref="AF186:AF187"/>
    <mergeCell ref="H188:H189"/>
    <mergeCell ref="AF188:AF189"/>
  </mergeCells>
  <printOptions horizontalCentered="1"/>
  <pageMargins left="0.23622047244094491" right="0.23622047244094491" top="0.74803149606299213" bottom="0.74803149606299213" header="0.31496062992125984" footer="0.31496062992125984"/>
  <pageSetup paperSize="9" scale="14" orientation="landscape"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LISTAS!$D$5:$D$6</xm:f>
          </x14:formula1>
          <xm:sqref>AS5</xm:sqref>
        </x14:dataValidation>
        <x14:dataValidation type="list" allowBlank="1" showInputMessage="1" showErrorMessage="1" xr:uid="{00000000-0002-0000-0700-000001000000}">
          <x14:formula1>
            <xm:f>LISTAS!$F$5:$F$1004</xm:f>
          </x14:formula1>
          <xm:sqref>C16 C32 C40 C48 C54 C62 AK10 AK18 AK24 AK32 AK40 AK48 AK56 AK62 C74 C80 C90 C96 C104 C112 C118 C126 AK74 AK82 AK88 AK96 AK104 AK112 AK120 AK126 C138 C144 C154 C160 C168 C176 C182 C190 AK176 AK168 AK160 AK146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23">
    <tabColor rgb="FFFF66FF"/>
  </sheetPr>
  <dimension ref="B1:Q432"/>
  <sheetViews>
    <sheetView showGridLines="0" topLeftCell="A67" zoomScale="85" zoomScaleNormal="85" workbookViewId="0">
      <selection activeCell="H56" sqref="H56"/>
    </sheetView>
  </sheetViews>
  <sheetFormatPr defaultColWidth="25.28515625" defaultRowHeight="16.5" x14ac:dyDescent="0.25"/>
  <cols>
    <col min="1" max="1" width="1.140625" style="1" customWidth="1"/>
    <col min="2" max="2" width="49.7109375" style="1" customWidth="1"/>
    <col min="3" max="3" width="38.7109375" style="2" bestFit="1" customWidth="1"/>
    <col min="4" max="8" width="8" style="1" customWidth="1"/>
    <col min="9" max="9" width="8.140625" style="1" customWidth="1"/>
    <col min="10" max="10" width="49.85546875" style="1" customWidth="1"/>
    <col min="11" max="11" width="38.7109375" style="1" bestFit="1" customWidth="1"/>
    <col min="12" max="12" width="14.42578125" style="1" customWidth="1"/>
    <col min="13" max="13" width="7" style="20" bestFit="1" customWidth="1"/>
    <col min="14" max="14" width="10.42578125" style="20" bestFit="1" customWidth="1"/>
    <col min="15" max="15" width="8.42578125" style="20" bestFit="1" customWidth="1"/>
    <col min="16" max="16" width="10.42578125" style="20" bestFit="1" customWidth="1"/>
    <col min="17" max="17" width="25.28515625" style="20"/>
    <col min="18" max="16384" width="25.28515625" style="1"/>
  </cols>
  <sheetData>
    <row r="1" spans="2:17" ht="6" customHeight="1" x14ac:dyDescent="0.25"/>
    <row r="2" spans="2:17" s="3" customFormat="1" ht="60.75" customHeight="1" x14ac:dyDescent="0.25">
      <c r="B2" s="233"/>
      <c r="C2" s="233"/>
      <c r="D2" s="233"/>
      <c r="E2" s="233"/>
      <c r="F2" s="233"/>
      <c r="G2" s="233"/>
      <c r="H2" s="233"/>
      <c r="I2" s="233"/>
      <c r="J2" s="233"/>
      <c r="K2" s="233"/>
      <c r="L2" s="233"/>
      <c r="M2" s="25"/>
      <c r="N2" s="25"/>
      <c r="O2" s="25"/>
      <c r="P2" s="25"/>
      <c r="Q2" s="25"/>
    </row>
    <row r="3" spans="2:17" s="3" customFormat="1" ht="60.75" customHeight="1" x14ac:dyDescent="0.25">
      <c r="B3" s="233"/>
      <c r="C3" s="233"/>
      <c r="D3" s="233"/>
      <c r="E3" s="233"/>
      <c r="F3" s="233"/>
      <c r="G3" s="233"/>
      <c r="H3" s="233"/>
      <c r="I3" s="233"/>
      <c r="J3" s="233"/>
      <c r="K3" s="233"/>
      <c r="L3" s="233"/>
      <c r="M3" s="25"/>
      <c r="N3" s="25"/>
      <c r="O3" s="25"/>
      <c r="P3" s="25"/>
      <c r="Q3" s="25"/>
    </row>
    <row r="4" spans="2:17" s="3" customFormat="1" ht="13.5" customHeight="1" x14ac:dyDescent="0.25">
      <c r="B4" s="233"/>
      <c r="C4" s="233"/>
      <c r="D4" s="233"/>
      <c r="E4" s="233"/>
      <c r="F4" s="233"/>
      <c r="G4" s="233"/>
      <c r="H4" s="233"/>
      <c r="I4" s="233"/>
      <c r="J4" s="233"/>
      <c r="K4" s="233"/>
      <c r="L4" s="233"/>
      <c r="M4" s="25"/>
      <c r="N4" s="25"/>
      <c r="O4" s="25"/>
      <c r="P4" s="25"/>
      <c r="Q4" s="25"/>
    </row>
    <row r="5" spans="2:17" s="3" customFormat="1" ht="30" customHeight="1" x14ac:dyDescent="0.25">
      <c r="B5" s="58" t="s">
        <v>29</v>
      </c>
      <c r="C5" s="221" t="s">
        <v>82</v>
      </c>
      <c r="D5" s="222"/>
      <c r="E5" s="222"/>
      <c r="F5" s="222"/>
      <c r="G5" s="120">
        <v>5</v>
      </c>
      <c r="H5" s="153"/>
      <c r="I5" s="4"/>
      <c r="J5" s="4"/>
      <c r="M5" s="25"/>
      <c r="N5" s="25"/>
      <c r="O5" s="25"/>
      <c r="P5" s="25"/>
      <c r="Q5" s="25"/>
    </row>
    <row r="6" spans="2:17" ht="30" customHeight="1" x14ac:dyDescent="0.25">
      <c r="B6" s="161" t="s">
        <v>39</v>
      </c>
      <c r="C6" s="79"/>
      <c r="D6" s="225" t="s">
        <v>42</v>
      </c>
      <c r="E6" s="226"/>
      <c r="F6" s="226"/>
      <c r="G6" s="227"/>
      <c r="H6" s="113"/>
      <c r="I6" s="225" t="s">
        <v>3</v>
      </c>
      <c r="J6" s="226"/>
      <c r="K6" s="226"/>
      <c r="L6" s="226"/>
    </row>
    <row r="7" spans="2:17" ht="18" customHeight="1" x14ac:dyDescent="0.25">
      <c r="B7" s="9" t="s">
        <v>15</v>
      </c>
      <c r="C7" s="9" t="s">
        <v>0</v>
      </c>
      <c r="D7" s="9" t="s">
        <v>43</v>
      </c>
      <c r="E7" s="9" t="s">
        <v>44</v>
      </c>
      <c r="F7" s="9" t="s">
        <v>77</v>
      </c>
      <c r="G7" s="9" t="s">
        <v>78</v>
      </c>
      <c r="H7" s="114"/>
      <c r="I7" s="9" t="s">
        <v>18</v>
      </c>
      <c r="J7" s="9" t="s">
        <v>15</v>
      </c>
      <c r="K7" s="9" t="s">
        <v>0</v>
      </c>
      <c r="L7" s="9" t="s">
        <v>45</v>
      </c>
    </row>
    <row r="8" spans="2:17" ht="18" customHeight="1" x14ac:dyDescent="0.25">
      <c r="B8" s="15" t="s">
        <v>444</v>
      </c>
      <c r="C8" s="15" t="str">
        <f>IFERROR(IF(B8="","",VLOOKUP(B8,LISTAS!$F$5:$G$1004,2,0)),"0")</f>
        <v>COLÉGIO ARBOS SÃO CAETANO DO SUL</v>
      </c>
      <c r="D8" s="15" t="str">
        <f>IF(H8&lt;3,"",IF(H8=3,IF(D16&lt;&gt;"",IF(H16&lt;&gt;"",IF(D16&lt;&gt;H16,IF(D16&gt;H16,"V","D"),""),""),""),IF(H8=4,IF(D16&lt;&gt;"",IF(H16&lt;&gt;"",IF(D16&lt;&gt;H16,IF(D16&gt;H16,"V","D"),""),""),""),IF(H8=5,IF(D16&lt;&gt;"",IF(H16&lt;&gt;"",IF(D16&lt;&gt;H16,IF(D16&gt;H16,"V","D"),""),""),"")))))</f>
        <v>D</v>
      </c>
      <c r="E8" s="15" t="str">
        <f>IF(H8&lt;3,"",IF(H8=3,IF(D18&lt;&gt;"",IF(H18&lt;&gt;"",IF(D18&lt;&gt;H18,IF(D18&gt;H18,"V","D"),""),""),""),IF(H8=4,IF(D18&lt;&gt;"",IF(H18&lt;&gt;"",IF(D18&lt;&gt;H18,IF(D18&gt;H18,"V","D"),""),""),""),IF(H8=5,IF(D20&lt;&gt;"",IF(H20&lt;&gt;"",IF(D20&lt;&gt;H20,IF(D18&gt;H18,"D","V"),""),""),"")))))</f>
        <v>D</v>
      </c>
      <c r="F8" s="15" t="str">
        <f>IF(H8&lt;4,"-",IF(H8=3,"",IF(H8=4,IF(D21&lt;&gt;"",IF(H21&lt;&gt;"",IF(D21&lt;&gt;H21,IF(D21&gt;H21,"V","D"),""),""),""),IF(H8=5,IF(D23&lt;&gt;"",IF(H23&lt;&gt;"",IF(D23&lt;&gt;H23,IF(D23&gt;H23,"D","V"),""),""),"")))))</f>
        <v>-</v>
      </c>
      <c r="G8" s="15" t="str">
        <f>IF(H8&lt;5,"-",IF(H8=3,"",IF(H8=4,"",IF(H8=5,IF(D25&lt;&gt;"",IF(H25&lt;&gt;"",IF(D25&lt;&gt;H25,IF(D25&gt;H25,"D","V"),""),""),"")))))</f>
        <v>-</v>
      </c>
      <c r="H8" s="117">
        <f>COUNTA(B8:B12)</f>
        <v>3</v>
      </c>
      <c r="I8" s="15">
        <f>IF(B8&lt;&gt;"",1,"")</f>
        <v>1</v>
      </c>
      <c r="J8" s="15" t="str">
        <f>IF(I8&lt;&gt;"",P8,"")</f>
        <v>LUIZA SARAIVA</v>
      </c>
      <c r="K8" s="15" t="str">
        <f>IFERROR(IF(J8="","",VLOOKUP(J8,LISTAS!$F$5:$G$1004,2,0)),"0")</f>
        <v>COLÉGIO MARCONI - GRU</v>
      </c>
      <c r="L8" s="119" t="str">
        <f>IF(B8&lt;&gt;"",IF(G5=1,"OURO",IF(G5=2,IF(H8&lt;3,"",IF(H8&gt;4,"",IF(H8=3,"OURO",IF(H8=4,"OURO")))),IF(G5&gt;=3,"OURO",""))),"")</f>
        <v>OURO</v>
      </c>
      <c r="M8" s="20">
        <f>IF(B8&lt;&gt;"",COUNTIF(D8:G8,"V")+(SUMIF(B16:B25,B8,D16:E25)/1000)+(SUMIF(J16:J25,B8,H16:I25)/1000)-(SUMIF(B16:B25,B8,H16:I25)/1000)-(SUMIF(J16:J25,B8,D16:E25)/1000)+0.005,"")</f>
        <v>1E-3</v>
      </c>
      <c r="N8" s="20" t="str">
        <f>IF(B8="","",B8)</f>
        <v>MANUELA TEJOS</v>
      </c>
      <c r="O8" s="20">
        <f>IF(B8&lt;&gt;"",LARGE(M8:M12,1),"")</f>
        <v>2.0079999999999996</v>
      </c>
      <c r="P8" s="20" t="str">
        <f>VLOOKUP(O8,M8:N12,2,0)</f>
        <v>LUIZA SARAIVA</v>
      </c>
    </row>
    <row r="9" spans="2:17" ht="18" customHeight="1" x14ac:dyDescent="0.25">
      <c r="B9" s="15" t="s">
        <v>443</v>
      </c>
      <c r="C9" s="15" t="str">
        <f>IFERROR(IF(B9="","",VLOOKUP(B9,LISTAS!$F$5:$G$1004,2,0)),"0")</f>
        <v>COLÉGIO MARCONI - GRU</v>
      </c>
      <c r="D9" s="15" t="str">
        <f>IF(H8&lt;3,"",IF(H8=3,IF(D17&lt;&gt;"",IF(H17&lt;&gt;"",IF(D17&lt;&gt;H17,IF(D17&gt;H17,"V","D"),""),""),""),IF(H8=4,IF(D17&lt;&gt;"",IF(H17&lt;&gt;"",IF(D17&lt;&gt;H17,IF(D17&gt;H17,"V","D"),""),""),""),IF(H8=5,IF(D17&lt;&gt;"",IF(H17&lt;&gt;"",IF(D17&lt;&gt;H17,IF(D17&gt;H17,"V","D"),""),""),"")))))</f>
        <v>V</v>
      </c>
      <c r="E9" s="15" t="str">
        <f>IF(H8&lt;3,"",IF(H8=3,IF(D18&lt;&gt;"",IF(H18&lt;&gt;"",IF(D18&lt;&gt;H18,IF(D18&gt;H18,"D","V"),""),""),""),IF(H8=4,IF(D19&lt;&gt;"",IF(H19&lt;&gt;"",IF(D19&lt;&gt;H19,IF(D19&gt;H19,"V","D"),""),""),""),IF(H8=5,IF(D18&lt;&gt;"",IF(H18&lt;&gt;"",IF(D18&lt;&gt;H18,IF(D18&gt;H18,"V","D"),""),""),"")))))</f>
        <v>V</v>
      </c>
      <c r="F9" s="15" t="str">
        <f>IF(H8&lt;4,"-",IF(H8=3,"",IF(H8=4,IF(D21&lt;&gt;"",IF(H21&lt;&gt;"",IF(D21&lt;&gt;H21,IF(D21&gt;H21,"D","V"),""),""),""),IF(H8=5,IF(D22&lt;&gt;"",IF(H22&lt;&gt;"",IF(D22&lt;&gt;H22,IF(D22&gt;H22,"D","V"),""),""),"")))))</f>
        <v>-</v>
      </c>
      <c r="G9" s="15" t="str">
        <f>IF(H8&lt;5,"-",IF(H8=3,"",IF(H8=4,"",IF(H8=5,IF(D25&lt;&gt;"",IF(H25&lt;&gt;"",IF(D25&lt;&gt;H25,IF(D25&gt;H25,"V","D"),""),""),"")))))</f>
        <v>-</v>
      </c>
      <c r="H9" s="159"/>
      <c r="I9" s="15">
        <f>IF(B9&lt;&gt;"",2,"")</f>
        <v>2</v>
      </c>
      <c r="J9" s="15" t="str">
        <f>IF(I9&lt;&gt;"",P9,"")</f>
        <v>AMANDA SOPHIA PIROZZI</v>
      </c>
      <c r="K9" s="15" t="str">
        <f>IFERROR(IF(J9="","",VLOOKUP(J9,LISTAS!$F$5:$G$1004,2,0)),"0")</f>
        <v>LICEU JARDIM</v>
      </c>
      <c r="L9" s="119" t="str">
        <f>IF(B9&lt;&gt;"",IF(G5=1,"OURO",IF(G5=2,IF(H8&lt;3,"",IF(H8&gt;4,"",IF(H8=3,"PRATA",IF(H8=4,"OURO")))),IF(G5&gt;=3,"PRATA",""))),"")</f>
        <v>PRATA</v>
      </c>
      <c r="M9" s="118">
        <f>IF(B9&lt;&gt;"",COUNTIF(D9:G9,"V")+(SUMIF(B16:B25,B9,D16:E25)/1000)+(SUMIF(J16:J25,B9,H16:I25)/1000)-(SUMIF(B16:B25,B9,H16:I25)/1000)-(SUMIF(J16:J25,B9,D16:E25)/1000)+0.004,"")</f>
        <v>2.0079999999999996</v>
      </c>
      <c r="N9" s="20" t="str">
        <f t="shared" ref="N9" si="0">IF(B9="","",B9)</f>
        <v>LUIZA SARAIVA</v>
      </c>
      <c r="O9" s="20">
        <f>IF(B9&lt;&gt;"",LARGE(M8:M12,2),"")</f>
        <v>1.0029999999999999</v>
      </c>
      <c r="P9" s="20" t="str">
        <f>VLOOKUP(O9,M8:N12,2,0)</f>
        <v>AMANDA SOPHIA PIROZZI</v>
      </c>
    </row>
    <row r="10" spans="2:17" ht="18" customHeight="1" x14ac:dyDescent="0.25">
      <c r="B10" s="15" t="s">
        <v>369</v>
      </c>
      <c r="C10" s="15" t="str">
        <f>IFERROR(IF(B10="","",VLOOKUP(B10,LISTAS!$F$5:$G$1004,2,0)),"0")</f>
        <v>LICEU JARDIM</v>
      </c>
      <c r="D10" s="15" t="str">
        <f>IF(H8&lt;3,"",IF(H8=3,IF(D16&lt;&gt;"",IF(H16&lt;&gt;"",IF(D16&lt;&gt;H16,IF(D16&gt;H16,"D","V"),""),""),""),IF(H8=4,IF(D17&lt;&gt;"",IF(H17&lt;&gt;"",IF(D17&lt;&gt;H17,IF(D17&gt;H17,"D","V"),""),""),""),IF(H8=5,IF(D18&lt;&gt;"",IF(H18&lt;&gt;"",IF(D18&lt;&gt;H18,IF(D18&gt;H18,"D","V"),""),""),"")))))</f>
        <v>V</v>
      </c>
      <c r="E10" s="15" t="str">
        <f>IF(H8&lt;3,"",IF(H8=3,IF(D17&lt;&gt;"",IF(H17&lt;&gt;"",IF(D17&lt;&gt;H17,IF(D17&gt;H17,"D","V"),""),""),""),IF(H8=4,IF(D18&lt;&gt;"",IF(H18&lt;&gt;"",IF(D18&lt;&gt;H18,IF(D18&gt;H18,"D","V"),""),""),""),IF(H8=5,IF(D21&lt;&gt;"",IF(H21&lt;&gt;"",IF(D21&lt;&gt;H21,IF(D21&gt;H21,"D","V"),""),""),"")))))</f>
        <v>D</v>
      </c>
      <c r="F10" s="15" t="str">
        <f>IF(H8&lt;4,"-",IF(H8=3,"",IF(H8=4,IF(D20&lt;&gt;"",IF(H20&lt;&gt;"",IF(D20&lt;&gt;H20,IF(D20&gt;H20,"V","D"),""),""),""),IF(H8=5,IF(D23&lt;&gt;"",IF(H23&lt;&gt;"",IF(D23&lt;&gt;H23,IF(D23&gt;H23,"V","D"),""),""),"")))))</f>
        <v>-</v>
      </c>
      <c r="G10" s="15" t="str">
        <f>IF(H8&lt;5,"-",IF(H8=3,"",IF(H8=4,"",IF(H8=5,IF(D24&lt;&gt;"",IF(H24&lt;&gt;"",IF(D24&lt;&gt;H24,IF(D24&gt;H24,"V","D"),""),""),"")))))</f>
        <v>-</v>
      </c>
      <c r="H10" s="159"/>
      <c r="I10" s="15">
        <f>IF(B10&lt;&gt;"",3,"")</f>
        <v>3</v>
      </c>
      <c r="J10" s="15" t="str">
        <f>IF(I10&lt;&gt;"",P10,"")</f>
        <v>MANUELA TEJOS</v>
      </c>
      <c r="K10" s="15" t="str">
        <f>IFERROR(IF(J10="","",VLOOKUP(J10,LISTAS!$F$5:$G$1004,2,0)),"0")</f>
        <v>COLÉGIO ARBOS SÃO CAETANO DO SUL</v>
      </c>
      <c r="L10" s="119" t="str">
        <f>IF(B10&lt;&gt;"",IF(G5=1,"OURO",IF(G5=2,IF(H8&lt;3,"",IF(H8&gt;4,"",IF(H8=3,"BRONZE",IF(H8=4,"PRATA")))),IF(G5&gt;=3,"BRONZE",""))),"")</f>
        <v>BRONZE</v>
      </c>
      <c r="M10" s="118">
        <f>IF(B10&lt;&gt;"",COUNTIF(D10:G10,"V")+(SUMIF(B16:B25,B10,D16:E25)/1000)+(SUMIF(J16:J25,B10,H16:I25)/1000)-(SUMIF(B16:B25,B10,H16:I25)/1000)-(SUMIF(J16:J25,B10,D16:E25)/1000)+0.003,"")</f>
        <v>1.0029999999999999</v>
      </c>
      <c r="N10" s="20" t="str">
        <f>IF(B10="","",B10)</f>
        <v>AMANDA SOPHIA PIROZZI</v>
      </c>
      <c r="O10" s="20">
        <f>IF(B10&lt;&gt;"",LARGE(M8:M12,3),"")</f>
        <v>1E-3</v>
      </c>
      <c r="P10" s="20" t="str">
        <f>VLOOKUP(O10,M8:N12,2,0)</f>
        <v>MANUELA TEJOS</v>
      </c>
    </row>
    <row r="11" spans="2:17" ht="18" customHeight="1" x14ac:dyDescent="0.25">
      <c r="B11" s="83"/>
      <c r="C11" s="15" t="str">
        <f>IFERROR(IF(B11="","",VLOOKUP(B11,LISTAS!$F$5:$G$1004,2,0)),"0")</f>
        <v/>
      </c>
      <c r="D11" s="15" t="str">
        <f>IF(H8&lt;3,"",IF(H8=3,"",IF(H8=4,IF(D16&lt;&gt;"",IF(H16&lt;&gt;"",IF(D16&lt;&gt;H16,IF(D16&gt;H16,"D","V"),""),""),""),IF(H8=5,IF(D17&lt;&gt;"",IF(H17&lt;&gt;"",IF(D17&lt;&gt;H17,IF(D17&gt;H17,"D","V"),""),""),"")))))</f>
        <v/>
      </c>
      <c r="E11" s="15" t="str">
        <f>IF(H8&lt;3,"",IF(H8=3,"",IF(H8=4,IF(D19&lt;&gt;"",IF(H19&lt;&gt;"",IF(D19&lt;&gt;H19,IF(D19&gt;H19,"D","V"),""),""),""),IF(H8=5,IF(D19&lt;&gt;"",IF(H19&lt;&gt;"",IF(D19&lt;&gt;H19,IF(D19&gt;H19,"V","D"),""),""),"")))))</f>
        <v/>
      </c>
      <c r="F11" s="15" t="str">
        <f>IF(H8&lt;4,"-",IF(H8=3,"",IF(H8=4,IF(D20&lt;&gt;"",IF(H20&lt;&gt;"",IF(D20&lt;&gt;H20,IF(D20&gt;H20,"D","V"),""),""),""),IF(H8=5,IF(D20&lt;&gt;"",IF(H20&lt;&gt;"",IF(D20&lt;&gt;H20,IF(D20&gt;H20,"V","D"),""),""),"")))))</f>
        <v>-</v>
      </c>
      <c r="G11" s="15" t="str">
        <f>IF(H8&lt;5,"-",IF(H8=3,"",IF(H8=4,"",IF(H8=5,IF(D24&lt;&gt;"",IF(H24&lt;&gt;"",IF(D24&lt;&gt;H24,IF(D24&gt;H24,"D","V"),""),""),"")))))</f>
        <v>-</v>
      </c>
      <c r="H11" s="159"/>
      <c r="I11" s="15" t="str">
        <f>IF(B11&lt;&gt;"",4,"")</f>
        <v/>
      </c>
      <c r="J11" s="15" t="str">
        <f>IF(I11&lt;&gt;"",P11,"")</f>
        <v/>
      </c>
      <c r="K11" s="15" t="str">
        <f>IFERROR(IF(J11="","",VLOOKUP(J11,LISTAS!$F$5:$G$1004,2,0)),"0")</f>
        <v/>
      </c>
      <c r="L11" s="119" t="str">
        <f>IF(B11&lt;&gt;"",IF(G5=1,"OURO",IF(G5=2,IF(H8&lt;3,"",IF(H8&gt;4,"",IF(H8=3,"",IF(H8=4,"PRATA")))),IF(G5&gt;=3,"",""))),"")</f>
        <v/>
      </c>
      <c r="M11" s="20" t="str">
        <f>IF(B11&lt;&gt;"",COUNTIF(D11:G11,"V")+(SUMIF(B16:B25,B11,D16:E25)/1000)+(SUMIF(J16:J25,B11,H16:I25)/1000)-(SUMIF(B16:B25,B11,H16:I25)/1000)-(SUMIF(J16:J25,B11,D16:E25)/1000)+0.002,"")</f>
        <v/>
      </c>
      <c r="N11" s="20" t="str">
        <f>IF(B11="","",B11)</f>
        <v/>
      </c>
      <c r="O11" s="20" t="str">
        <f>IF(B11&lt;&gt;"",LARGE(M8:M12,4),"")</f>
        <v/>
      </c>
      <c r="P11" s="20" t="str">
        <f>VLOOKUP(O11,M8:N12,2,0)</f>
        <v/>
      </c>
    </row>
    <row r="12" spans="2:17" ht="18" customHeight="1" x14ac:dyDescent="0.25">
      <c r="B12" s="83"/>
      <c r="C12" s="15" t="str">
        <f>IFERROR(IF(B12="","",VLOOKUP(B12,LISTAS!$F$5:$G$1004,2,0)),"0")</f>
        <v/>
      </c>
      <c r="D12" s="15" t="str">
        <f>IF(H8&lt;3,"",IF(H8=3,"",IF(H8=4,"",IF(H8=5,IF(D16&lt;&gt;"",IF(H16&lt;&gt;"",IF(D16&lt;&gt;H16,IF(D16&gt;H16,"D","V"),""),""),"")))))</f>
        <v/>
      </c>
      <c r="E12" s="15" t="str">
        <f>IF(H8&lt;3,"",IF(H8=3,"",IF(H8=4,"",IF(H8=5,IF(D19&lt;&gt;"",IF(H19&lt;&gt;"",IF(D19&lt;&gt;H19,IF(D19&gt;H19,"D","V"),""),""),"")))))</f>
        <v/>
      </c>
      <c r="F12" s="15" t="str">
        <f>IF(H8&lt;4,"-",IF(H8=3,"",IF(H8=4,"",IF(H8=5,IF(D21&lt;&gt;"",IF(H21&lt;&gt;"",IF(D21&lt;&gt;H21,IF(D21&gt;H21,"V","D"),""),""),"")))))</f>
        <v>-</v>
      </c>
      <c r="G12" s="15" t="str">
        <f>IF(H8&lt;5,"-",IF(H8=3,"",IF(H8=4,"",IF(H8=5,IF(D22&lt;&gt;"",IF(H22&lt;&gt;"",IF(D22&lt;&gt;H22,IF(D22&gt;H22,"V","D"),""),""),"")))))</f>
        <v>-</v>
      </c>
      <c r="H12" s="160"/>
      <c r="I12" s="15" t="str">
        <f>IF(B12&lt;&gt;"",5,"")</f>
        <v/>
      </c>
      <c r="J12" s="15" t="str">
        <f>IF(I12&lt;&gt;"",P12,"")</f>
        <v/>
      </c>
      <c r="K12" s="15" t="str">
        <f>IFERROR(IF(J12="","",VLOOKUP(J12,LISTAS!$F$5:$G$1004,2,0)),"0")</f>
        <v/>
      </c>
      <c r="L12" s="119" t="str">
        <f>IF(B12&lt;&gt;"",IF(G5=1,"OURO",IF(G5=2,IF(H8&lt;3,"",IF(H8&gt;4,"",IF(H8=3,"",IF(H8=4,"")))),IF(G5&gt;=3,"",""))),"")</f>
        <v/>
      </c>
      <c r="M12" s="20" t="str">
        <f>IF(B12&lt;&gt;"",COUNTIF(D12:G12,"V")+(SUMIF(B16:B25,B12,D16:E25)/1000)+(SUMIF(J16:J25,B12,H16:I25)/1000)-(SUMIF(B16:B25,B12,H16:I25)/1000)-(SUMIF(J16:J25,B12,D16:E25)/1000)+0.001,"")</f>
        <v/>
      </c>
      <c r="N12" s="20" t="str">
        <f>IF(B12="","",B12)</f>
        <v/>
      </c>
      <c r="O12" s="20" t="str">
        <f>IF(B12&lt;&gt;"",LARGE(M8:M12,5),"")</f>
        <v/>
      </c>
      <c r="P12" s="20" t="str">
        <f>VLOOKUP(O12,M8:N12,2,0)</f>
        <v/>
      </c>
    </row>
    <row r="13" spans="2:17" ht="18" customHeight="1" x14ac:dyDescent="0.25">
      <c r="B13" s="79"/>
      <c r="C13" s="79"/>
      <c r="D13" s="79"/>
      <c r="E13" s="79"/>
      <c r="F13" s="79"/>
      <c r="G13" s="79"/>
      <c r="H13" s="158"/>
      <c r="I13" s="80"/>
      <c r="J13" s="79"/>
      <c r="K13" s="81"/>
      <c r="L13" s="81"/>
    </row>
    <row r="14" spans="2:17" ht="23.25" customHeight="1" x14ac:dyDescent="0.25">
      <c r="B14" s="82" t="s">
        <v>40</v>
      </c>
      <c r="C14" s="79"/>
      <c r="D14" s="79"/>
      <c r="E14" s="79"/>
      <c r="F14" s="79"/>
      <c r="G14" s="79"/>
      <c r="H14" s="79"/>
      <c r="I14" s="79"/>
      <c r="J14" s="79"/>
      <c r="K14" s="79"/>
      <c r="L14" s="79"/>
    </row>
    <row r="15" spans="2:17" ht="18" customHeight="1" x14ac:dyDescent="0.25">
      <c r="B15" s="9" t="s">
        <v>15</v>
      </c>
      <c r="C15" s="9" t="s">
        <v>0</v>
      </c>
      <c r="D15" s="228" t="s">
        <v>41</v>
      </c>
      <c r="E15" s="229"/>
      <c r="F15" s="229"/>
      <c r="G15" s="229"/>
      <c r="H15" s="229"/>
      <c r="I15" s="230"/>
      <c r="J15" s="9" t="s">
        <v>15</v>
      </c>
      <c r="K15" s="9" t="s">
        <v>0</v>
      </c>
      <c r="L15" s="79"/>
    </row>
    <row r="16" spans="2:17" ht="18" customHeight="1" x14ac:dyDescent="0.25">
      <c r="B16" s="15" t="str">
        <f>IF(H8=3,B8,IF(H8=4,B8,IF(H8=5,B8,"")))</f>
        <v>MANUELA TEJOS</v>
      </c>
      <c r="C16" s="15" t="str">
        <f>IFERROR(IF(B16="","",VLOOKUP(B16,LISTAS!$F$5:$G$1004,2,0)),"0")</f>
        <v>COLÉGIO ARBOS SÃO CAETANO DO SUL</v>
      </c>
      <c r="D16" s="223">
        <v>0</v>
      </c>
      <c r="E16" s="224"/>
      <c r="F16" s="223" t="s">
        <v>38</v>
      </c>
      <c r="G16" s="224"/>
      <c r="H16" s="223">
        <v>2</v>
      </c>
      <c r="I16" s="224"/>
      <c r="J16" s="21" t="str">
        <f>IF(H8=3,B10,IF(H8=4,B11,IF(H8=5,B12,"")))</f>
        <v>AMANDA SOPHIA PIROZZI</v>
      </c>
      <c r="K16" s="15" t="str">
        <f>IFERROR(IF(J16="","",VLOOKUP(J16,LISTAS!$F$5:$G$1004,2,0)),"0")</f>
        <v>LICEU JARDIM</v>
      </c>
      <c r="L16" s="81"/>
    </row>
    <row r="17" spans="2:16" ht="18" customHeight="1" x14ac:dyDescent="0.25">
      <c r="B17" s="15" t="str">
        <f>IF(H8=3,B9,IF(H8=4,B9,IF(H8=5,B9,"")))</f>
        <v>LUIZA SARAIVA</v>
      </c>
      <c r="C17" s="15" t="str">
        <f>IFERROR(IF(B17="","",VLOOKUP(B17,LISTAS!$F$5:$G$1004,2,0)),"0")</f>
        <v>COLÉGIO MARCONI - GRU</v>
      </c>
      <c r="D17" s="223">
        <v>2</v>
      </c>
      <c r="E17" s="224"/>
      <c r="F17" s="223" t="s">
        <v>38</v>
      </c>
      <c r="G17" s="224"/>
      <c r="H17" s="223">
        <v>0</v>
      </c>
      <c r="I17" s="224"/>
      <c r="J17" s="21" t="str">
        <f>IF(H8=3,B10,IF(H8=4,B10,IF(H8=5,B11,"")))</f>
        <v>AMANDA SOPHIA PIROZZI</v>
      </c>
      <c r="K17" s="15" t="str">
        <f>IFERROR(IF(J17="","",VLOOKUP(J17,LISTAS!$F$5:$G$1004,2,0)),"0")</f>
        <v>LICEU JARDIM</v>
      </c>
      <c r="L17" s="79"/>
    </row>
    <row r="18" spans="2:16" ht="18" customHeight="1" x14ac:dyDescent="0.25">
      <c r="B18" s="15" t="str">
        <f>IF(H8=3,B8,IF(H8=4,B8,IF(H8=5,B9,"")))</f>
        <v>MANUELA TEJOS</v>
      </c>
      <c r="C18" s="15" t="str">
        <f>IFERROR(IF(B18="","",VLOOKUP(B18,LISTAS!$F$5:$G$1004,2,0)),"0")</f>
        <v>COLÉGIO ARBOS SÃO CAETANO DO SUL</v>
      </c>
      <c r="D18" s="223">
        <v>0</v>
      </c>
      <c r="E18" s="224"/>
      <c r="F18" s="223" t="s">
        <v>38</v>
      </c>
      <c r="G18" s="224"/>
      <c r="H18" s="223">
        <v>2</v>
      </c>
      <c r="I18" s="224"/>
      <c r="J18" s="21" t="str">
        <f>IF(H8=3,B9,IF(H8=4,B10,IF(H8=5,B10,"")))</f>
        <v>LUIZA SARAIVA</v>
      </c>
      <c r="K18" s="15" t="str">
        <f>IFERROR(IF(J18="","",VLOOKUP(J18,LISTAS!$F$5:$G$1004,2,0)),"0")</f>
        <v>COLÉGIO MARCONI - GRU</v>
      </c>
      <c r="L18" s="81"/>
    </row>
    <row r="19" spans="2:16" ht="18" customHeight="1" x14ac:dyDescent="0.25">
      <c r="B19" s="15" t="str">
        <f>IF(H8=3,"",IF(H8=4,B9,IF(H8=5,B11,"")))</f>
        <v/>
      </c>
      <c r="C19" s="15" t="str">
        <f>IFERROR(IF(B19="","",VLOOKUP(B19,LISTAS!$F$5:$G$1004,2,0)),"0")</f>
        <v/>
      </c>
      <c r="D19" s="223"/>
      <c r="E19" s="224"/>
      <c r="F19" s="223" t="s">
        <v>38</v>
      </c>
      <c r="G19" s="224"/>
      <c r="H19" s="223"/>
      <c r="I19" s="224"/>
      <c r="J19" s="21" t="str">
        <f>IF(H8=3,"",IF(H8=4,B11,IF(H8=5,B12,"")))</f>
        <v/>
      </c>
      <c r="K19" s="15" t="str">
        <f>IFERROR(IF(J19="","",VLOOKUP(J19,LISTAS!$F$5:$G$1004,2,0)),"0")</f>
        <v/>
      </c>
      <c r="L19" s="81"/>
    </row>
    <row r="20" spans="2:16" ht="18" customHeight="1" x14ac:dyDescent="0.25">
      <c r="B20" s="15" t="str">
        <f>IF(H8=3,"",IF(H8=4,B10,IF(H8=5,B11,"")))</f>
        <v/>
      </c>
      <c r="C20" s="15" t="str">
        <f>IFERROR(IF(B20="","",VLOOKUP(B20,LISTAS!$F$5:$G$1004,2,0)),"0")</f>
        <v/>
      </c>
      <c r="D20" s="223"/>
      <c r="E20" s="224"/>
      <c r="F20" s="223" t="s">
        <v>38</v>
      </c>
      <c r="G20" s="224"/>
      <c r="H20" s="223"/>
      <c r="I20" s="224"/>
      <c r="J20" s="21" t="str">
        <f>IF(H8=3,"",IF(H8=4,B11,IF(H8=5,B8,"")))</f>
        <v/>
      </c>
      <c r="K20" s="15" t="str">
        <f>IFERROR(IF(J20="","",VLOOKUP(J20,LISTAS!$F$5:$G$1004,2,0)),"0")</f>
        <v/>
      </c>
      <c r="L20" s="81"/>
    </row>
    <row r="21" spans="2:16" ht="18" customHeight="1" x14ac:dyDescent="0.25">
      <c r="B21" s="15" t="str">
        <f>IF(H8=3,"",IF(H8=4,B8,IF(H8=5,B12,"")))</f>
        <v/>
      </c>
      <c r="C21" s="15" t="str">
        <f>IFERROR(IF(B21="","",VLOOKUP(B21,LISTAS!$F$5:$G$1004,2,0)),"0")</f>
        <v/>
      </c>
      <c r="D21" s="223"/>
      <c r="E21" s="224"/>
      <c r="F21" s="223" t="s">
        <v>38</v>
      </c>
      <c r="G21" s="224"/>
      <c r="H21" s="223"/>
      <c r="I21" s="224"/>
      <c r="J21" s="21" t="str">
        <f>IF(H8=3,"",IF(H8=4,B9,IF(H8=5,B10,"")))</f>
        <v/>
      </c>
      <c r="K21" s="15" t="str">
        <f>IFERROR(IF(J21="","",VLOOKUP(J21,LISTAS!$F$5:$G$1004,2,0)),"0")</f>
        <v/>
      </c>
      <c r="L21" s="81"/>
    </row>
    <row r="22" spans="2:16" ht="18" customHeight="1" x14ac:dyDescent="0.25">
      <c r="B22" s="15" t="str">
        <f>IF(H8=3,"",IF(H8=4,"",IF(H8=5,B12,"")))</f>
        <v/>
      </c>
      <c r="C22" s="15" t="str">
        <f>IFERROR(IF(B22="","",VLOOKUP(B22,LISTAS!$F$5:$G$1004,2,0)),"0")</f>
        <v/>
      </c>
      <c r="D22" s="223"/>
      <c r="E22" s="224"/>
      <c r="F22" s="223" t="s">
        <v>38</v>
      </c>
      <c r="G22" s="224"/>
      <c r="H22" s="223"/>
      <c r="I22" s="224"/>
      <c r="J22" s="21" t="str">
        <f>IF(H8=3,"",IF(H8=4,"",IF(H8=5,B9,"")))</f>
        <v/>
      </c>
      <c r="K22" s="15" t="str">
        <f>IFERROR(IF(J22="","",VLOOKUP(J22,LISTAS!$F$5:$G$1004,2,0)),"0")</f>
        <v/>
      </c>
      <c r="L22" s="81"/>
    </row>
    <row r="23" spans="2:16" ht="18" customHeight="1" x14ac:dyDescent="0.25">
      <c r="B23" s="63" t="str">
        <f>IF(H8=3,"",IF(H8=4,"",IF(H8=5,B10,"")))</f>
        <v/>
      </c>
      <c r="C23" s="15" t="str">
        <f>IFERROR(IF(B23="","",VLOOKUP(B23,LISTAS!$F$5:$G$1004,2,0)),"0")</f>
        <v/>
      </c>
      <c r="D23" s="223"/>
      <c r="E23" s="224"/>
      <c r="F23" s="223" t="s">
        <v>38</v>
      </c>
      <c r="G23" s="224"/>
      <c r="H23" s="223"/>
      <c r="I23" s="224"/>
      <c r="J23" s="21" t="str">
        <f>IF(H8=3,"",IF(H8=4,"",IF(H8=5,B8,"")))</f>
        <v/>
      </c>
      <c r="K23" s="15" t="str">
        <f>IFERROR(IF(J23="","",VLOOKUP(J23,LISTAS!$F$5:$G$1004,2,0)),"0")</f>
        <v/>
      </c>
      <c r="L23" s="81"/>
    </row>
    <row r="24" spans="2:16" ht="18" customHeight="1" x14ac:dyDescent="0.25">
      <c r="B24" s="15" t="str">
        <f>IF(H8=3,"",IF(H8=4,"",IF(H8=5,B10,"")))</f>
        <v/>
      </c>
      <c r="C24" s="15" t="str">
        <f>IFERROR(IF(B24="","",VLOOKUP(B24,LISTAS!$F$5:$G$1004,2,0)),"0")</f>
        <v/>
      </c>
      <c r="D24" s="223"/>
      <c r="E24" s="224"/>
      <c r="F24" s="223" t="s">
        <v>38</v>
      </c>
      <c r="G24" s="224"/>
      <c r="H24" s="223"/>
      <c r="I24" s="224"/>
      <c r="J24" s="21" t="str">
        <f>IF(H8=3,"",IF(H8=4,"",IF(H8=5,B11,"")))</f>
        <v/>
      </c>
      <c r="K24" s="15" t="str">
        <f>IFERROR(IF(J24="","",VLOOKUP(J24,LISTAS!$F$5:$G$1004,2,0)),"0")</f>
        <v/>
      </c>
      <c r="L24" s="81"/>
    </row>
    <row r="25" spans="2:16" ht="18" customHeight="1" x14ac:dyDescent="0.25">
      <c r="B25" s="63" t="str">
        <f>IF(H8=3,"",IF(H8=4,"",IF(H8=5,B9,"")))</f>
        <v/>
      </c>
      <c r="C25" s="15" t="str">
        <f>IFERROR(IF(B25="","",VLOOKUP(B25,LISTAS!$F$5:$G$1004,2,0)),"0")</f>
        <v/>
      </c>
      <c r="D25" s="223"/>
      <c r="E25" s="224"/>
      <c r="F25" s="231" t="s">
        <v>38</v>
      </c>
      <c r="G25" s="232"/>
      <c r="H25" s="223"/>
      <c r="I25" s="224"/>
      <c r="J25" s="21" t="str">
        <f>IF(H8=3,"",IF(H8=4,"",IF(H8=5,B8,"")))</f>
        <v/>
      </c>
      <c r="K25" s="15" t="str">
        <f>IFERROR(IF(J25="","",VLOOKUP(J25,LISTAS!$F$5:$G$1004,2,0)),"0")</f>
        <v/>
      </c>
      <c r="L25" s="81"/>
    </row>
    <row r="28" spans="2:16" ht="30" customHeight="1" x14ac:dyDescent="0.25">
      <c r="B28" s="161" t="s">
        <v>46</v>
      </c>
      <c r="C28" s="79"/>
      <c r="D28" s="225" t="s">
        <v>42</v>
      </c>
      <c r="E28" s="226"/>
      <c r="F28" s="226"/>
      <c r="G28" s="227"/>
      <c r="H28" s="113"/>
      <c r="I28" s="225" t="s">
        <v>3</v>
      </c>
      <c r="J28" s="226"/>
      <c r="K28" s="226"/>
      <c r="L28" s="226"/>
    </row>
    <row r="29" spans="2:16" ht="18" customHeight="1" x14ac:dyDescent="0.25">
      <c r="B29" s="9" t="s">
        <v>15</v>
      </c>
      <c r="C29" s="9" t="s">
        <v>0</v>
      </c>
      <c r="D29" s="9" t="s">
        <v>43</v>
      </c>
      <c r="E29" s="9" t="s">
        <v>44</v>
      </c>
      <c r="F29" s="9" t="s">
        <v>77</v>
      </c>
      <c r="G29" s="9" t="s">
        <v>78</v>
      </c>
      <c r="H29" s="114"/>
      <c r="I29" s="9" t="s">
        <v>18</v>
      </c>
      <c r="J29" s="9" t="s">
        <v>15</v>
      </c>
      <c r="K29" s="9" t="s">
        <v>0</v>
      </c>
      <c r="L29" s="9" t="s">
        <v>45</v>
      </c>
    </row>
    <row r="30" spans="2:16" ht="18" customHeight="1" x14ac:dyDescent="0.25">
      <c r="B30" s="15" t="s">
        <v>430</v>
      </c>
      <c r="C30" s="15" t="str">
        <f>IFERROR(IF(B30="","",VLOOKUP(B30,LISTAS!$F$5:$G$1004,2,0)),"0")</f>
        <v>ABACO IPIRANGA</v>
      </c>
      <c r="D30" s="15" t="str">
        <f>IF(H30&lt;3,"",IF(H30=3,IF(D37&lt;&gt;"",IF(H37&lt;&gt;"",IF(D37&lt;&gt;H37,IF(D37&gt;H37,"V","D"),""),""),""),IF(H30=4,IF(D37&lt;&gt;"",IF(H37&lt;&gt;"",IF(D37&lt;&gt;H37,IF(D37&gt;H37,"V","D"),""),""),""))))</f>
        <v>V</v>
      </c>
      <c r="E30" s="15" t="str">
        <f>IF(H30&lt;3,"",IF(H30=3,IF(D39&lt;&gt;"",IF(H39&lt;&gt;"",IF(D39&lt;&gt;H39,IF(D39&gt;H39,"V","D"),""),""),""),IF(H30=4,IF(D39&lt;&gt;"",IF(H39&lt;&gt;"",IF(D39&lt;&gt;H39,IF(D39&gt;H39,"V","D"),""),""),""))))</f>
        <v>D</v>
      </c>
      <c r="F30" s="15" t="str">
        <f>IF(H30&lt;4,"-",IF(H30=3,"",IF(H30=4,IF(D42&lt;&gt;"",IF(H42&lt;&gt;"",IF(D42&lt;&gt;H42,IF(D42&gt;H42,"V","D"),""),""),""))))</f>
        <v>-</v>
      </c>
      <c r="G30" s="15" t="s">
        <v>81</v>
      </c>
      <c r="H30" s="117">
        <f>COUNTA(B30:B33)</f>
        <v>3</v>
      </c>
      <c r="I30" s="15">
        <f>IF(B30&lt;&gt;"",1,"")</f>
        <v>1</v>
      </c>
      <c r="J30" s="15" t="str">
        <f>IF(I30&lt;&gt;"",P30,"")</f>
        <v>MARINA MARTINS MEDRANO</v>
      </c>
      <c r="K30" s="15" t="str">
        <f>IFERROR(IF(J30="","",VLOOKUP(J30,LISTAS!$F$5:$G$1004,2,0)),"0")</f>
        <v>COLEGIO PETROPOLIS</v>
      </c>
      <c r="L30" s="119" t="str">
        <f>IF(B30&lt;&gt;"",IF(G5=1,"OURO",IF(G5=2,IF(H8&lt;3,"",IF(H8=3,"OURO",IF(H8=4,"OURO"))),IF(G5&gt;=3,"OURO",""))),"")</f>
        <v>OURO</v>
      </c>
      <c r="M30" s="20">
        <f>IF(B30&lt;&gt;"",COUNTIF(D30:G30,"V")+(SUMIF(B37:B42,B30,D37:E42)/1000)+(SUMIF(J37:J42,B30,H37:I42)/1000)-(SUMIF(B37:B42,B30,H37:I42)/1000)-(SUMIF(J37:J42,B30,D37:E42)/1000)+0.005,"")</f>
        <v>1.0059999999999998</v>
      </c>
      <c r="N30" s="20" t="str">
        <f>IF(B30="","",B30)</f>
        <v>LAMAR ANDRAWES</v>
      </c>
      <c r="O30" s="20">
        <f>IF(B30&lt;&gt;"",LARGE(M30:M33,1),"")</f>
        <v>2.0069999999999997</v>
      </c>
      <c r="P30" s="20" t="str">
        <f>VLOOKUP(O30,M30:N33,2,0)</f>
        <v>MARINA MARTINS MEDRANO</v>
      </c>
    </row>
    <row r="31" spans="2:16" ht="18" customHeight="1" x14ac:dyDescent="0.25">
      <c r="B31" s="15" t="s">
        <v>447</v>
      </c>
      <c r="C31" s="15" t="str">
        <f>IFERROR(IF(B31="","",VLOOKUP(B31,LISTAS!$F$5:$G$1004,2,0)),"0")</f>
        <v>COLEGIO PETROPOLIS</v>
      </c>
      <c r="D31" s="15" t="str">
        <f>IF(H30&lt;3,"",IF(H30=3,IF(D38&lt;&gt;"",IF(H38&lt;&gt;"",IF(D38&lt;&gt;H38,IF(D38&gt;H38,"V","D"),""),""),""),IF(H30=4,IF(D38&lt;&gt;"",IF(H38&lt;&gt;"",IF(D38&lt;&gt;H38,IF(D38&gt;H38,"V","D"),""),""),""))))</f>
        <v>V</v>
      </c>
      <c r="E31" s="15" t="str">
        <f>IF(H30&lt;3,"",IF(H30=3,IF(D39&lt;&gt;"",IF(H39&lt;&gt;"",IF(D39&lt;&gt;H39,IF(D39&gt;H39,"D","V"),""),""),""),IF(H30=4,IF(D40&lt;&gt;"",IF(H40&lt;&gt;"",IF(D40&lt;&gt;H40,IF(D40&gt;H40,"V","D"),""),""),""))))</f>
        <v>V</v>
      </c>
      <c r="F31" s="15" t="str">
        <f>IF(H30&lt;4,"-",IF(H30=3,"",IF(H30=4,IF(D42&lt;&gt;"",IF(H42&lt;&gt;"",IF(D42&lt;&gt;H42,IF(D42&gt;H42,"D","V"),""),""),""))))</f>
        <v>-</v>
      </c>
      <c r="G31" s="15" t="s">
        <v>81</v>
      </c>
      <c r="H31" s="159"/>
      <c r="I31" s="15">
        <f>IF(B31&lt;&gt;"",2,"")</f>
        <v>2</v>
      </c>
      <c r="J31" s="15" t="str">
        <f>IF(I31&lt;&gt;"",P31,"")</f>
        <v>LAMAR ANDRAWES</v>
      </c>
      <c r="K31" s="15" t="str">
        <f>IFERROR(IF(J31="","",VLOOKUP(J31,LISTAS!$F$5:$G$1004,2,0)),"0")</f>
        <v>ABACO IPIRANGA</v>
      </c>
      <c r="L31" s="119" t="str">
        <f>IF(B31&lt;&gt;"",IF(G5=1,"OURO",IF(G5=2,IF(H8&lt;3,"",IF(H8=3,"PRATA",IF(H8=4,"OURO"))),IF(G5&gt;=3,"PRATA",""))),"")</f>
        <v>PRATA</v>
      </c>
      <c r="M31" s="118">
        <f>IF(B31&lt;&gt;"",COUNTIF(D31:G31,"V")+(SUMIF(B37:B42,B31,D37:E42)/1000)+(SUMIF(J37:J42,B31,H37:I42)/1000)-(SUMIF(B37:B42,B31,H37:I42)/1000)-(SUMIF(J37:J42,B31,D37:E42)/1000)+0.004,"")</f>
        <v>2.0069999999999997</v>
      </c>
      <c r="N31" s="20" t="str">
        <f t="shared" ref="N31" si="1">IF(B31="","",B31)</f>
        <v>MARINA MARTINS MEDRANO</v>
      </c>
      <c r="O31" s="20">
        <f>IF(B31&lt;&gt;"",LARGE(M30:M33,2),"")</f>
        <v>1.0059999999999998</v>
      </c>
      <c r="P31" s="20" t="str">
        <f>VLOOKUP(O31,M30:N33,2,0)</f>
        <v>LAMAR ANDRAWES</v>
      </c>
    </row>
    <row r="32" spans="2:16" ht="18" customHeight="1" x14ac:dyDescent="0.25">
      <c r="B32" s="15" t="s">
        <v>449</v>
      </c>
      <c r="C32" s="15" t="str">
        <f>IFERROR(IF(B32="","",VLOOKUP(B32,LISTAS!$F$5:$G$1004,2,0)),"0")</f>
        <v>COLÉGIO ARBOS - UNIDADE SANTO ANDRÉ</v>
      </c>
      <c r="D32" s="15" t="str">
        <f>IF(H30&lt;3,"",IF(H30=3,IF(D37&lt;&gt;"",IF(H37&lt;&gt;"",IF(D37&lt;&gt;H37,IF(D37&gt;H37,"D","V"),""),""),""),IF(H30=4,IF(D38&lt;&gt;"",IF(H38&lt;&gt;"",IF(D38&lt;&gt;H38,IF(D38&gt;H38,"D","V"),""),""),""))))</f>
        <v>D</v>
      </c>
      <c r="E32" s="15" t="str">
        <f>IF(H30&lt;3,"",IF(H30=3,IF(D38&lt;&gt;"",IF(H38&lt;&gt;"",IF(D38&lt;&gt;H38,IF(D38&gt;H38,"D","V"),""),""),""),IF(H30=4,IF(D39&lt;&gt;"",IF(H39&lt;&gt;"",IF(D39&lt;&gt;H39,IF(D39&gt;H39,"D","V"),""),""),""))))</f>
        <v>D</v>
      </c>
      <c r="F32" s="15" t="str">
        <f>IF(H30&lt;4,"-",IF(H30=3,"-",IF(H30=4,IF(D41&lt;&gt;"",IF(H41&lt;&gt;"",IF(D41&lt;&gt;H41,IF(D41&gt;H41,"V","D"),""),""),""))))</f>
        <v>-</v>
      </c>
      <c r="G32" s="15" t="s">
        <v>81</v>
      </c>
      <c r="H32" s="159"/>
      <c r="I32" s="15">
        <f>IF(B32&lt;&gt;"",3,"")</f>
        <v>3</v>
      </c>
      <c r="J32" s="15" t="str">
        <f>IF(I32&lt;&gt;"",P32,"")</f>
        <v>MELISSA MATSUMOTO</v>
      </c>
      <c r="K32" s="15" t="str">
        <f>IFERROR(IF(J32="","",VLOOKUP(J32,LISTAS!$F$5:$G$1004,2,0)),"0")</f>
        <v>COLÉGIO ARBOS - UNIDADE SANTO ANDRÉ</v>
      </c>
      <c r="L32" s="119" t="str">
        <f>IF(B32&lt;&gt;"",IF(G5=1,"OURO",IF(G5=2,IF(H8&lt;3,"",IF(H8=3,"BRONZE",IF(H8=4,"PRATA"))),IF(G5&gt;=3,"BRONZE",""))),"")</f>
        <v>BRONZE</v>
      </c>
      <c r="M32" s="118">
        <f>IF(B32&lt;&gt;"",COUNTIF(D32:G32,"V")+(SUMIF(B37:B42,B32,D37:E42)/1000)+(SUMIF(J37:J42,B32,H37:I42)/1000)-(SUMIF(B37:B42,B32,H37:I42)/1000)-(SUMIF(J37:J42,B32,D37:E42)/1000)+0.003,"")</f>
        <v>-1E-3</v>
      </c>
      <c r="N32" s="20" t="str">
        <f>IF(B32="","",B32)</f>
        <v>MELISSA MATSUMOTO</v>
      </c>
      <c r="O32" s="20">
        <f>IF(B32&lt;&gt;"",LARGE(M30:M33,3),"")</f>
        <v>-1E-3</v>
      </c>
      <c r="P32" s="20" t="str">
        <f>VLOOKUP(O32,M30:N33,2,0)</f>
        <v>MELISSA MATSUMOTO</v>
      </c>
    </row>
    <row r="33" spans="2:16" ht="18" customHeight="1" x14ac:dyDescent="0.25">
      <c r="B33" s="83"/>
      <c r="C33" s="15" t="str">
        <f>IFERROR(IF(B33="","",VLOOKUP(B33,LISTAS!$F$5:$G$1004,2,0)),"0")</f>
        <v/>
      </c>
      <c r="D33" s="15" t="str">
        <f>IF(H30&lt;3,"",IF(H30=3,"",IF(H30=4,IF(D37&lt;&gt;"",IF(H37&lt;&gt;"",IF(D37&lt;&gt;H37,IF(D37&gt;H37,"D","V"),""),""),""))))</f>
        <v/>
      </c>
      <c r="E33" s="15" t="str">
        <f>IF(H30&lt;3,"",IF(H30=3,"",IF(H30=4,IF(D40&lt;&gt;"",IF(H40&lt;&gt;"",IF(D40&lt;&gt;H40,IF(D40&gt;H40,"D","V"),""),""),""))))</f>
        <v/>
      </c>
      <c r="F33" s="15" t="str">
        <f>IF(H30&lt;4,"-",IF(H30=3,"",IF(H30=4,IF(D41&lt;&gt;"",IF(H41&lt;&gt;"",IF(D41&lt;&gt;H41,IF(D41&gt;H41,"D","V"),""),""),""))))</f>
        <v>-</v>
      </c>
      <c r="G33" s="15" t="s">
        <v>81</v>
      </c>
      <c r="H33" s="159"/>
      <c r="I33" s="15" t="str">
        <f>IF(B33&lt;&gt;"",4,"")</f>
        <v/>
      </c>
      <c r="J33" s="15" t="str">
        <f>IF(I33&lt;&gt;"",P33,"")</f>
        <v/>
      </c>
      <c r="K33" s="15" t="str">
        <f>IFERROR(IF(J33="","",VLOOKUP(J33,LISTAS!$F$5:$G$1004,2,0)),"0")</f>
        <v/>
      </c>
      <c r="L33" s="119" t="str">
        <f>IF(B33&lt;&gt;"",IF(G5=1,"OURO",IF(G5=2,IF(H8&lt;3,"",IF(H8=3,"",IF(H8=4,"PRATA"))),IF(G5&gt;=3,"",""))),"")</f>
        <v/>
      </c>
      <c r="M33" s="20" t="str">
        <f>IF(B33&lt;&gt;"",COUNTIF(D33:G33,"V")+(SUMIF(B37:B42,B33,D37:E42)/1000)+(SUMIF(J37:J42,B33,H37:I42)/1000)-(SUMIF(B37:B42,B33,H37:I42)/1000)-(SUMIF(J37:J42,B33,D37:E42)/1000)+0.002,"")</f>
        <v/>
      </c>
      <c r="N33" s="20" t="str">
        <f>IF(B33="","",B33)</f>
        <v/>
      </c>
      <c r="O33" s="20" t="str">
        <f>IF(B33&lt;&gt;"",LARGE(M30:M33,4),"")</f>
        <v/>
      </c>
      <c r="P33" s="20" t="str">
        <f>VLOOKUP(O33,M30:N33,2,0)</f>
        <v/>
      </c>
    </row>
    <row r="34" spans="2:16" ht="18" customHeight="1" x14ac:dyDescent="0.25">
      <c r="B34" s="79"/>
      <c r="C34" s="79"/>
      <c r="D34" s="79"/>
      <c r="E34" s="79"/>
      <c r="F34" s="79"/>
      <c r="G34" s="79"/>
      <c r="I34" s="80"/>
      <c r="J34" s="79"/>
      <c r="K34" s="81"/>
      <c r="L34" s="81"/>
    </row>
    <row r="35" spans="2:16" ht="23.25" customHeight="1" x14ac:dyDescent="0.25">
      <c r="B35" s="82" t="s">
        <v>40</v>
      </c>
      <c r="C35" s="79"/>
      <c r="D35" s="79"/>
      <c r="E35" s="79"/>
      <c r="F35" s="79"/>
      <c r="G35" s="79"/>
      <c r="H35" s="79"/>
      <c r="I35" s="79"/>
      <c r="J35" s="79"/>
      <c r="K35" s="79"/>
      <c r="L35" s="79"/>
    </row>
    <row r="36" spans="2:16" ht="18" customHeight="1" x14ac:dyDescent="0.25">
      <c r="B36" s="9" t="s">
        <v>15</v>
      </c>
      <c r="C36" s="9" t="s">
        <v>0</v>
      </c>
      <c r="D36" s="228" t="s">
        <v>41</v>
      </c>
      <c r="E36" s="229"/>
      <c r="F36" s="229"/>
      <c r="G36" s="229"/>
      <c r="H36" s="229"/>
      <c r="I36" s="230"/>
      <c r="J36" s="9" t="s">
        <v>15</v>
      </c>
      <c r="K36" s="9" t="s">
        <v>0</v>
      </c>
      <c r="L36" s="79"/>
    </row>
    <row r="37" spans="2:16" ht="18" customHeight="1" x14ac:dyDescent="0.25">
      <c r="B37" s="15" t="str">
        <f>IF(H30=3,B30,IF(H30=4,B30,""))</f>
        <v>LAMAR ANDRAWES</v>
      </c>
      <c r="C37" s="15" t="str">
        <f>IFERROR(IF(B37="","",VLOOKUP(B37,LISTAS!$F$5:$G$1004,2,0)),"0")</f>
        <v>ABACO IPIRANGA</v>
      </c>
      <c r="D37" s="223">
        <v>2</v>
      </c>
      <c r="E37" s="224"/>
      <c r="F37" s="223" t="s">
        <v>38</v>
      </c>
      <c r="G37" s="224"/>
      <c r="H37" s="223">
        <v>0</v>
      </c>
      <c r="I37" s="224"/>
      <c r="J37" s="21" t="str">
        <f>IF(H30=3,B32,IF(H30=4,B33,""))</f>
        <v>MELISSA MATSUMOTO</v>
      </c>
      <c r="K37" s="15" t="str">
        <f>IFERROR(IF(J37="","",VLOOKUP(J37,LISTAS!$F$5:$G$1004,2,0)),"0")</f>
        <v>COLÉGIO ARBOS - UNIDADE SANTO ANDRÉ</v>
      </c>
      <c r="L37" s="81"/>
    </row>
    <row r="38" spans="2:16" ht="18" customHeight="1" x14ac:dyDescent="0.25">
      <c r="B38" s="15" t="str">
        <f>IF(H30=3,B31,IF(H30=4,B31,""))</f>
        <v>MARINA MARTINS MEDRANO</v>
      </c>
      <c r="C38" s="15" t="str">
        <f>IFERROR(IF(B38="","",VLOOKUP(B38,LISTAS!$F$5:$G$1004,2,0)),"0")</f>
        <v>COLEGIO PETROPOLIS</v>
      </c>
      <c r="D38" s="223">
        <v>2</v>
      </c>
      <c r="E38" s="224"/>
      <c r="F38" s="223" t="s">
        <v>38</v>
      </c>
      <c r="G38" s="224"/>
      <c r="H38" s="223">
        <v>0</v>
      </c>
      <c r="I38" s="224"/>
      <c r="J38" s="21" t="str">
        <f>IF(H30=3,B32,IF(H30=4,B32,""))</f>
        <v>MELISSA MATSUMOTO</v>
      </c>
      <c r="K38" s="15" t="str">
        <f>IFERROR(IF(J38="","",VLOOKUP(J38,LISTAS!$F$5:$G$1004,2,0)),"0")</f>
        <v>COLÉGIO ARBOS - UNIDADE SANTO ANDRÉ</v>
      </c>
      <c r="L38" s="79"/>
    </row>
    <row r="39" spans="2:16" ht="18" customHeight="1" x14ac:dyDescent="0.25">
      <c r="B39" s="15" t="str">
        <f>IF(H30=3,B30,IF(H30=4,B30,""))</f>
        <v>LAMAR ANDRAWES</v>
      </c>
      <c r="C39" s="15" t="str">
        <f>IFERROR(IF(B39="","",VLOOKUP(B39,LISTAS!$F$5:$G$1004,2,0)),"0")</f>
        <v>ABACO IPIRANGA</v>
      </c>
      <c r="D39" s="223">
        <v>1</v>
      </c>
      <c r="E39" s="224"/>
      <c r="F39" s="223" t="s">
        <v>38</v>
      </c>
      <c r="G39" s="224"/>
      <c r="H39" s="223">
        <v>2</v>
      </c>
      <c r="I39" s="224"/>
      <c r="J39" s="21" t="str">
        <f>IF(H30=3,B31,IF(H30=4,B32,""))</f>
        <v>MARINA MARTINS MEDRANO</v>
      </c>
      <c r="K39" s="15" t="str">
        <f>IFERROR(IF(J39="","",VLOOKUP(J39,LISTAS!$F$5:$G$1004,2,0)),"0")</f>
        <v>COLEGIO PETROPOLIS</v>
      </c>
      <c r="L39" s="81"/>
    </row>
    <row r="40" spans="2:16" ht="18" customHeight="1" x14ac:dyDescent="0.25">
      <c r="B40" s="15" t="str">
        <f>IF(H30=3,"",IF(H30=4,B31,""))</f>
        <v/>
      </c>
      <c r="C40" s="15" t="str">
        <f>IFERROR(IF(B40="","",VLOOKUP(B40,LISTAS!$F$5:$G$1004,2,0)),"0")</f>
        <v/>
      </c>
      <c r="D40" s="223"/>
      <c r="E40" s="224"/>
      <c r="F40" s="223" t="s">
        <v>38</v>
      </c>
      <c r="G40" s="224"/>
      <c r="H40" s="223"/>
      <c r="I40" s="224"/>
      <c r="J40" s="21" t="str">
        <f>IF(H30=3,"",IF(H30=4,B33,""))</f>
        <v/>
      </c>
      <c r="K40" s="15" t="str">
        <f>IFERROR(IF(J40="","",VLOOKUP(J40,LISTAS!$F$5:$G$1004,2,0)),"0")</f>
        <v/>
      </c>
      <c r="L40" s="81"/>
    </row>
    <row r="41" spans="2:16" ht="18" customHeight="1" x14ac:dyDescent="0.25">
      <c r="B41" s="15" t="str">
        <f>IF(H30=3,"",IF(H30=4,B32,""))</f>
        <v/>
      </c>
      <c r="C41" s="15" t="str">
        <f>IFERROR(IF(B41="","",VLOOKUP(B41,LISTAS!$F$5:$G$1004,2,0)),"0")</f>
        <v/>
      </c>
      <c r="D41" s="223"/>
      <c r="E41" s="224"/>
      <c r="F41" s="223" t="s">
        <v>38</v>
      </c>
      <c r="G41" s="224"/>
      <c r="H41" s="223"/>
      <c r="I41" s="224"/>
      <c r="J41" s="21" t="str">
        <f>IF(H30=3,"",IF(H30=4,B33,""))</f>
        <v/>
      </c>
      <c r="K41" s="15" t="str">
        <f>IFERROR(IF(J41="","",VLOOKUP(J41,LISTAS!$F$5:$G$1004,2,0)),"0")</f>
        <v/>
      </c>
      <c r="L41" s="81"/>
    </row>
    <row r="42" spans="2:16" ht="18" customHeight="1" x14ac:dyDescent="0.25">
      <c r="B42" s="15" t="str">
        <f>IF(H30=3,"",IF(H30=4,B30,""))</f>
        <v/>
      </c>
      <c r="C42" s="15" t="str">
        <f>IFERROR(IF(B42="","",VLOOKUP(B42,LISTAS!$F$5:$G$1004,2,0)),"0")</f>
        <v/>
      </c>
      <c r="D42" s="223"/>
      <c r="E42" s="224"/>
      <c r="F42" s="223" t="s">
        <v>38</v>
      </c>
      <c r="G42" s="224"/>
      <c r="H42" s="223"/>
      <c r="I42" s="224"/>
      <c r="J42" s="21" t="str">
        <f>IF(H30=3,"",IF(H30=4,B31,""))</f>
        <v/>
      </c>
      <c r="K42" s="15" t="str">
        <f>IFERROR(IF(J42="","",VLOOKUP(J42,LISTAS!$F$5:$G$1004,2,0)),"0")</f>
        <v/>
      </c>
      <c r="L42" s="81"/>
    </row>
    <row r="45" spans="2:16" ht="30" customHeight="1" x14ac:dyDescent="0.25">
      <c r="B45" s="161" t="s">
        <v>47</v>
      </c>
      <c r="C45" s="79"/>
      <c r="D45" s="225" t="s">
        <v>42</v>
      </c>
      <c r="E45" s="226"/>
      <c r="F45" s="226"/>
      <c r="G45" s="227"/>
      <c r="H45" s="113"/>
      <c r="I45" s="225" t="s">
        <v>3</v>
      </c>
      <c r="J45" s="226"/>
      <c r="K45" s="226"/>
      <c r="L45" s="226"/>
    </row>
    <row r="46" spans="2:16" ht="18" customHeight="1" x14ac:dyDescent="0.25">
      <c r="B46" s="9" t="s">
        <v>15</v>
      </c>
      <c r="C46" s="9" t="s">
        <v>0</v>
      </c>
      <c r="D46" s="9" t="s">
        <v>43</v>
      </c>
      <c r="E46" s="9" t="s">
        <v>44</v>
      </c>
      <c r="F46" s="9" t="s">
        <v>77</v>
      </c>
      <c r="G46" s="9" t="s">
        <v>78</v>
      </c>
      <c r="H46" s="114"/>
      <c r="I46" s="9" t="s">
        <v>18</v>
      </c>
      <c r="J46" s="9" t="s">
        <v>15</v>
      </c>
      <c r="K46" s="9" t="s">
        <v>0</v>
      </c>
      <c r="L46" s="9" t="s">
        <v>45</v>
      </c>
    </row>
    <row r="47" spans="2:16" ht="18" customHeight="1" x14ac:dyDescent="0.25">
      <c r="B47" s="15" t="s">
        <v>457</v>
      </c>
      <c r="C47" s="15" t="str">
        <f>IFERROR(IF(B47="","",VLOOKUP(B47,LISTAS!$F$5:$G$1004,2,0)),"0")</f>
        <v>COLÉGIO ARBOS DE SÃO BERNARDO DO CAMPO</v>
      </c>
      <c r="D47" s="15" t="str">
        <f>IF(H47&lt;3,"",IF(H47=3,IF(D53&lt;&gt;"",IF(H53&lt;&gt;"",IF(D53&lt;&gt;H53,IF(D53&gt;H53,"V","D"),""),""),"")))</f>
        <v>D</v>
      </c>
      <c r="E47" s="15" t="str">
        <f>IF(H47&lt;3,"",IF(H47=3,IF(D55&lt;&gt;"",IF(H55&lt;&gt;"",IF(D55&lt;&gt;H55,IF(D55&gt;H55,"V","D"),""),""),"")))</f>
        <v>V</v>
      </c>
      <c r="F47" s="15" t="s">
        <v>81</v>
      </c>
      <c r="G47" s="15" t="s">
        <v>81</v>
      </c>
      <c r="H47" s="117">
        <f>COUNTA(B47:B49)</f>
        <v>3</v>
      </c>
      <c r="I47" s="15">
        <f>IF(B47&lt;&gt;"",1,"")</f>
        <v>1</v>
      </c>
      <c r="J47" s="15" t="str">
        <f>IF(I47&lt;&gt;"",P47,"")</f>
        <v>BEATRIZ TOMÉ CYRILLO</v>
      </c>
      <c r="K47" s="15" t="str">
        <f>IFERROR(IF(J47="","",VLOOKUP(J47,LISTAS!$F$5:$G$1004,2,0)),"0")</f>
        <v>LICEU JARDIM</v>
      </c>
      <c r="L47" s="119" t="str">
        <f>IF(H47=3,"OURO",IF(H47=4,"OURO",IF(H47=5,"OURO","")))</f>
        <v>OURO</v>
      </c>
      <c r="M47" s="20">
        <f>IF(B47&lt;&gt;"",COUNTIF(D47:G47,"V")+(SUMIF(B53:B55,B47,D53:E55)/1000)+(SUMIF(J53:J55,B47,H53:I55)/1000)-(SUMIF(B53:B55,B47,H53:I55)/1000)-(SUMIF(J53:J55,B47,D53:E55)/1000)+0.003,"")</f>
        <v>1.002</v>
      </c>
      <c r="N47" s="20" t="str">
        <f>IF(B47="","",B47)</f>
        <v>NATHALIA IERVOLINO COLLETTI</v>
      </c>
      <c r="O47" s="20">
        <f>IF(B47&lt;&gt;"",LARGE(M47:M49,1),"")</f>
        <v>2.0049999999999999</v>
      </c>
      <c r="P47" s="20" t="str">
        <f>VLOOKUP(O47,M47:N49,2,0)</f>
        <v>BEATRIZ TOMÉ CYRILLO</v>
      </c>
    </row>
    <row r="48" spans="2:16" ht="18" customHeight="1" x14ac:dyDescent="0.25">
      <c r="B48" s="15" t="s">
        <v>413</v>
      </c>
      <c r="C48" s="15" t="str">
        <f>IFERROR(IF(B48="","",VLOOKUP(B48,LISTAS!$F$5:$G$1004,2,0)),"0")</f>
        <v>COLÉGIO ENGENHEIRO SALVADOR ARENA</v>
      </c>
      <c r="D48" s="15" t="str">
        <f>IF(H47&lt;3,"",IF(H47=3,IF(D54&lt;&gt;"",IF(H54&lt;&gt;"",IF(D54&lt;&gt;H54,IF(D54&gt;H54,"V","D"),""),""),"")))</f>
        <v>D</v>
      </c>
      <c r="E48" s="15" t="str">
        <f>IF(H47&lt;3,"",IF(H47=3,IF(D55&lt;&gt;"",IF(H55&lt;&gt;"",IF(D55&lt;&gt;H55,IF(D55&gt;H55,"D","V"),""),""),"")))</f>
        <v>D</v>
      </c>
      <c r="F48" s="15" t="s">
        <v>81</v>
      </c>
      <c r="G48" s="15" t="s">
        <v>81</v>
      </c>
      <c r="H48" s="115"/>
      <c r="I48" s="15">
        <f>IF(B48&lt;&gt;"",2,"")</f>
        <v>2</v>
      </c>
      <c r="J48" s="15" t="str">
        <f>IF(I48&lt;&gt;"",P48,"")</f>
        <v>NATHALIA IERVOLINO COLLETTI</v>
      </c>
      <c r="K48" s="15" t="str">
        <f>IFERROR(IF(J48="","",VLOOKUP(J48,LISTAS!$F$5:$G$1004,2,0)),"0")</f>
        <v>COLÉGIO ARBOS DE SÃO BERNARDO DO CAMPO</v>
      </c>
      <c r="L48" s="119" t="str">
        <f>IF(H47=3,"PRATA",IF(H47=4,"OURO",IF(H47=5,"OURO","")))</f>
        <v>PRATA</v>
      </c>
      <c r="M48" s="20">
        <f>IF(B48&lt;&gt;"",COUNTIF(D48:G48,"V")+(SUMIF(B53:B55,B48,D53:E55)/1000)+(SUMIF(J53:J55,B48,H53:I55)/1000)-(SUMIF(B53:B55,B48,H53:I55)/1000)-(SUMIF(J53:J55,B48,D53:E55)/1000)+0.002,"")</f>
        <v>-1E-3</v>
      </c>
      <c r="N48" s="20" t="str">
        <f t="shared" ref="N48" si="2">IF(B48="","",B48)</f>
        <v>GIOVANA CASTELLAN MAGIONE</v>
      </c>
      <c r="O48" s="20">
        <f>IF(B48&lt;&gt;"",LARGE(M47:M49,2),"")</f>
        <v>1.002</v>
      </c>
      <c r="P48" s="20" t="str">
        <f>VLOOKUP(O48,M47:N49,2,0)</f>
        <v>NATHALIA IERVOLINO COLLETTI</v>
      </c>
    </row>
    <row r="49" spans="2:16" ht="18" customHeight="1" x14ac:dyDescent="0.25">
      <c r="B49" s="15" t="s">
        <v>377</v>
      </c>
      <c r="C49" s="15" t="str">
        <f>IFERROR(IF(B49="","",VLOOKUP(B49,LISTAS!$F$5:$G$1004,2,0)),"0")</f>
        <v>LICEU JARDIM</v>
      </c>
      <c r="D49" s="15" t="str">
        <f>IF(H47&lt;3,"",IF(H47=3,IF(D53&lt;&gt;"",IF(H53&lt;&gt;"",IF(D53&lt;&gt;H53,IF(D53&gt;H53,"D","V"),""),""),"")))</f>
        <v>V</v>
      </c>
      <c r="E49" s="15" t="str">
        <f>IF(H47&lt;3,"",IF(H47=3,IF(D54&lt;&gt;"",IF(H54&lt;&gt;"",IF(D54&lt;&gt;H54,IF(D54&gt;H54,"D","V"),""),""),"")))</f>
        <v>V</v>
      </c>
      <c r="F49" s="15" t="s">
        <v>81</v>
      </c>
      <c r="G49" s="15" t="s">
        <v>81</v>
      </c>
      <c r="H49" s="115"/>
      <c r="I49" s="15">
        <f>IF(B49&lt;&gt;"",3,"")</f>
        <v>3</v>
      </c>
      <c r="J49" s="15" t="str">
        <f>IF(I49&lt;&gt;"",P49,"")</f>
        <v>GIOVANA CASTELLAN MAGIONE</v>
      </c>
      <c r="K49" s="15" t="str">
        <f>IFERROR(IF(J49="","",VLOOKUP(J49,LISTAS!$F$5:$G$1004,2,0)),"0")</f>
        <v>COLÉGIO ENGENHEIRO SALVADOR ARENA</v>
      </c>
      <c r="L49" s="119" t="str">
        <f>IF(H47=3,"BRONZE",IF(H47=4,"PRATA",IF(H47=5,"OURO","")))</f>
        <v>BRONZE</v>
      </c>
      <c r="M49" s="20">
        <f>IF(B49&lt;&gt;"",COUNTIF(D49:G49,"V")+(SUMIF(B53:B55,B49,D53:E55)/1000)+(SUMIF(J53:J55,B49,H53:I55)/1000)-(SUMIF(B53:B55,B49,H53:I55)/1000)-(SUMIF(J53:J55,B49,D53:E55)/1000)+0.001,"")</f>
        <v>2.0049999999999999</v>
      </c>
      <c r="N49" s="20" t="str">
        <f>IF(B49="","",B49)</f>
        <v>BEATRIZ TOMÉ CYRILLO</v>
      </c>
      <c r="O49" s="20">
        <f>IF(B49&lt;&gt;"",LARGE(M47:M49,3),"")</f>
        <v>-1E-3</v>
      </c>
      <c r="P49" s="20" t="str">
        <f>VLOOKUP(O49,M47:N49,2,0)</f>
        <v>GIOVANA CASTELLAN MAGIONE</v>
      </c>
    </row>
    <row r="50" spans="2:16" ht="18" customHeight="1" x14ac:dyDescent="0.25">
      <c r="B50" s="79"/>
      <c r="C50" s="79"/>
      <c r="D50" s="79"/>
      <c r="E50" s="79"/>
      <c r="F50" s="79"/>
      <c r="G50" s="79"/>
      <c r="I50" s="80"/>
      <c r="J50" s="79"/>
      <c r="K50" s="81"/>
      <c r="L50" s="81"/>
    </row>
    <row r="51" spans="2:16" ht="23.25" customHeight="1" x14ac:dyDescent="0.25">
      <c r="B51" s="82" t="s">
        <v>40</v>
      </c>
      <c r="C51" s="79"/>
      <c r="D51" s="79"/>
      <c r="E51" s="79"/>
      <c r="F51" s="79"/>
      <c r="G51" s="79"/>
      <c r="H51" s="79"/>
      <c r="I51" s="79"/>
      <c r="J51" s="79"/>
      <c r="K51" s="79"/>
      <c r="L51" s="79"/>
    </row>
    <row r="52" spans="2:16" ht="18" customHeight="1" x14ac:dyDescent="0.25">
      <c r="B52" s="9" t="s">
        <v>15</v>
      </c>
      <c r="C52" s="9" t="s">
        <v>0</v>
      </c>
      <c r="D52" s="228" t="s">
        <v>41</v>
      </c>
      <c r="E52" s="229"/>
      <c r="F52" s="229"/>
      <c r="G52" s="229"/>
      <c r="H52" s="229"/>
      <c r="I52" s="230"/>
      <c r="J52" s="9" t="s">
        <v>15</v>
      </c>
      <c r="K52" s="9" t="s">
        <v>0</v>
      </c>
      <c r="L52" s="79"/>
    </row>
    <row r="53" spans="2:16" ht="18" customHeight="1" x14ac:dyDescent="0.25">
      <c r="B53" s="15" t="str">
        <f>IF(H47=3,B47,"")</f>
        <v>NATHALIA IERVOLINO COLLETTI</v>
      </c>
      <c r="C53" s="15" t="str">
        <f>IFERROR(IF(B53="","",VLOOKUP(B53,LISTAS!$F$5:$G$1004,2,0)),"0")</f>
        <v>COLÉGIO ARBOS DE SÃO BERNARDO DO CAMPO</v>
      </c>
      <c r="D53" s="223">
        <v>0</v>
      </c>
      <c r="E53" s="224"/>
      <c r="F53" s="223" t="s">
        <v>38</v>
      </c>
      <c r="G53" s="224"/>
      <c r="H53" s="223">
        <v>2</v>
      </c>
      <c r="I53" s="224"/>
      <c r="J53" s="21" t="str">
        <f>IF(H47=3,B49,"")</f>
        <v>BEATRIZ TOMÉ CYRILLO</v>
      </c>
      <c r="K53" s="15" t="str">
        <f>IFERROR(IF(J53="","",VLOOKUP(J53,LISTAS!$F$5:$G$1004,2,0)),"0")</f>
        <v>LICEU JARDIM</v>
      </c>
      <c r="L53" s="81"/>
    </row>
    <row r="54" spans="2:16" ht="18" customHeight="1" x14ac:dyDescent="0.25">
      <c r="B54" s="15" t="str">
        <f>IF(H47=3,B48,"")</f>
        <v>GIOVANA CASTELLAN MAGIONE</v>
      </c>
      <c r="C54" s="15" t="str">
        <f>IFERROR(IF(B54="","",VLOOKUP(B54,LISTAS!$F$5:$G$1004,2,0)),"0")</f>
        <v>COLÉGIO ENGENHEIRO SALVADOR ARENA</v>
      </c>
      <c r="D54" s="223">
        <v>0</v>
      </c>
      <c r="E54" s="224"/>
      <c r="F54" s="223" t="s">
        <v>38</v>
      </c>
      <c r="G54" s="224"/>
      <c r="H54" s="223">
        <v>2</v>
      </c>
      <c r="I54" s="224"/>
      <c r="J54" s="21" t="str">
        <f>IF(H47=3,B49,"")</f>
        <v>BEATRIZ TOMÉ CYRILLO</v>
      </c>
      <c r="K54" s="15" t="str">
        <f>IFERROR(IF(J54="","",VLOOKUP(J54,LISTAS!$F$5:$G$1004,2,0)),"0")</f>
        <v>LICEU JARDIM</v>
      </c>
      <c r="L54" s="79"/>
    </row>
    <row r="55" spans="2:16" ht="18" customHeight="1" x14ac:dyDescent="0.25">
      <c r="B55" s="15" t="str">
        <f>IF(H47=3,B47,"")</f>
        <v>NATHALIA IERVOLINO COLLETTI</v>
      </c>
      <c r="C55" s="15" t="str">
        <f>IFERROR(IF(B55="","",VLOOKUP(B55,LISTAS!$F$5:$G$1004,2,0)),"0")</f>
        <v>COLÉGIO ARBOS DE SÃO BERNARDO DO CAMPO</v>
      </c>
      <c r="D55" s="223">
        <v>2</v>
      </c>
      <c r="E55" s="224"/>
      <c r="F55" s="223" t="s">
        <v>38</v>
      </c>
      <c r="G55" s="224"/>
      <c r="H55" s="223">
        <v>1</v>
      </c>
      <c r="I55" s="224"/>
      <c r="J55" s="21" t="str">
        <f>IF(H47=3,B48,"")</f>
        <v>GIOVANA CASTELLAN MAGIONE</v>
      </c>
      <c r="K55" s="15" t="str">
        <f>IFERROR(IF(J55="","",VLOOKUP(J55,LISTAS!$F$5:$G$1004,2,0)),"0")</f>
        <v>COLÉGIO ENGENHEIRO SALVADOR ARENA</v>
      </c>
      <c r="L55" s="81"/>
    </row>
    <row r="58" spans="2:16" ht="30" customHeight="1" x14ac:dyDescent="0.25">
      <c r="B58" s="161" t="s">
        <v>48</v>
      </c>
      <c r="C58" s="79"/>
      <c r="D58" s="225" t="s">
        <v>42</v>
      </c>
      <c r="E58" s="226"/>
      <c r="F58" s="226"/>
      <c r="G58" s="227"/>
      <c r="H58" s="113"/>
      <c r="I58" s="225" t="s">
        <v>3</v>
      </c>
      <c r="J58" s="226"/>
      <c r="K58" s="226"/>
      <c r="L58" s="226"/>
    </row>
    <row r="59" spans="2:16" ht="18" customHeight="1" x14ac:dyDescent="0.25">
      <c r="B59" s="9" t="s">
        <v>15</v>
      </c>
      <c r="C59" s="9" t="s">
        <v>0</v>
      </c>
      <c r="D59" s="9" t="s">
        <v>43</v>
      </c>
      <c r="E59" s="9" t="s">
        <v>44</v>
      </c>
      <c r="F59" s="9" t="s">
        <v>77</v>
      </c>
      <c r="G59" s="9" t="s">
        <v>78</v>
      </c>
      <c r="H59" s="114"/>
      <c r="I59" s="9" t="s">
        <v>18</v>
      </c>
      <c r="J59" s="9" t="s">
        <v>15</v>
      </c>
      <c r="K59" s="9" t="s">
        <v>0</v>
      </c>
      <c r="L59" s="9" t="s">
        <v>45</v>
      </c>
    </row>
    <row r="60" spans="2:16" ht="18" customHeight="1" x14ac:dyDescent="0.25">
      <c r="B60" s="15" t="s">
        <v>431</v>
      </c>
      <c r="C60" s="15" t="str">
        <f>IFERROR(IF(B60="","",VLOOKUP(B60,LISTAS!$F$5:$G$1004,2,0)),"0")</f>
        <v>COLÉGIO ARBOS SÃO CAETANO DO SUL</v>
      </c>
      <c r="D60" s="15" t="str">
        <f>IF(H60&lt;3,"",IF(H60=3,IF(D66&lt;&gt;"",IF(H66&lt;&gt;"",IF(D66&lt;&gt;H66,IF(D66&gt;H66,"V","D"),""),""),"")))</f>
        <v>D</v>
      </c>
      <c r="E60" s="15" t="str">
        <f>IF(H60&lt;3,"",IF(H60=3,IF(D68&lt;&gt;"",IF(H68&lt;&gt;"",IF(D68&lt;&gt;H68,IF(D68&gt;H68,"V","D"),""),""),"")))</f>
        <v>V</v>
      </c>
      <c r="F60" s="15" t="s">
        <v>81</v>
      </c>
      <c r="G60" s="15" t="s">
        <v>81</v>
      </c>
      <c r="H60" s="117">
        <f>COUNTA(B60:B62)</f>
        <v>3</v>
      </c>
      <c r="I60" s="15">
        <f>IF(B60&lt;&gt;"",1,"")</f>
        <v>1</v>
      </c>
      <c r="J60" s="15" t="str">
        <f>IF(I60&lt;&gt;"",P60,"")</f>
        <v>NATÁLIA PAIVA BRANCALHÃO</v>
      </c>
      <c r="K60" s="15" t="str">
        <f>IFERROR(IF(J60="","",VLOOKUP(J60,LISTAS!$F$5:$G$1004,2,0)),"0")</f>
        <v>LICEU JARDIM</v>
      </c>
      <c r="L60" s="119" t="str">
        <f>IF(H60=3,"OURO",IF(H60=4,"OURO",IF(H60=5,"OURO","")))</f>
        <v>OURO</v>
      </c>
      <c r="M60" s="20">
        <f>IF(B60&lt;&gt;"",COUNTIF(D60:G60,"V")+(SUMIF(B66:B68,B60,D66:E68)/1000)+(SUMIF(J66:J68,B60,H66:I68)/1000)-(SUMIF(B66:B68,B60,H66:I68)/1000)-(SUMIF(J66:J68,B60,D66:E68)/1000)+0.003,"")</f>
        <v>1.002</v>
      </c>
      <c r="N60" s="20" t="str">
        <f>IF(B60="","",B60)</f>
        <v>LARA BERSANO BENTO</v>
      </c>
      <c r="O60" s="20">
        <f>IF(B60&lt;&gt;"",LARGE(M60:M62,1),"")</f>
        <v>2.0049999999999999</v>
      </c>
      <c r="P60" s="20" t="str">
        <f>VLOOKUP(O60,M60:N62,2,0)</f>
        <v>NATÁLIA PAIVA BRANCALHÃO</v>
      </c>
    </row>
    <row r="61" spans="2:16" ht="18" customHeight="1" x14ac:dyDescent="0.25">
      <c r="B61" s="39" t="s">
        <v>664</v>
      </c>
      <c r="C61" s="15" t="str">
        <f>IFERROR(IF(B61="","",VLOOKUP(B61,LISTAS!$F$5:$G$1004,2,0)),"0")</f>
        <v>ESCOLA STAGIUM</v>
      </c>
      <c r="D61" s="15" t="str">
        <f>IF(H60&lt;3,"",IF(H60=3,IF(D67&lt;&gt;"",IF(H67&lt;&gt;"",IF(D67&lt;&gt;H67,IF(D67&gt;H67,"V","D"),""),""),"")))</f>
        <v>D</v>
      </c>
      <c r="E61" s="15" t="str">
        <f>IF(H60&lt;3,"",IF(H60=3,IF(D68&lt;&gt;"",IF(H68&lt;&gt;"",IF(D68&lt;&gt;H68,IF(D68&gt;H68,"D","V"),""),""),"")))</f>
        <v>D</v>
      </c>
      <c r="F61" s="15" t="s">
        <v>81</v>
      </c>
      <c r="G61" s="15" t="s">
        <v>81</v>
      </c>
      <c r="H61" s="115"/>
      <c r="I61" s="15">
        <f>IF(B61&lt;&gt;"",2,"")</f>
        <v>2</v>
      </c>
      <c r="J61" s="15" t="str">
        <f>IF(I61&lt;&gt;"",P61,"")</f>
        <v>LARA BERSANO BENTO</v>
      </c>
      <c r="K61" s="15" t="str">
        <f>IFERROR(IF(J61="","",VLOOKUP(J61,LISTAS!$F$5:$G$1004,2,0)),"0")</f>
        <v>COLÉGIO ARBOS SÃO CAETANO DO SUL</v>
      </c>
      <c r="L61" s="119" t="str">
        <f>IF(H60=3,"PRATA",IF(H60=4,"OURO",IF(H60=5,"OURO","")))</f>
        <v>PRATA</v>
      </c>
      <c r="M61" s="20">
        <f>IF(B61&lt;&gt;"",COUNTIF(D61:G61,"V")+(SUMIF(B66:B68,B61,D66:E68)/1000)+(SUMIF(J66:J68,B61,H66:I68)/1000)-(SUMIF(B66:B68,B61,H66:I68)/1000)-(SUMIF(J66:J68,B61,D66:E68)/1000)+0.002,"")</f>
        <v>-1E-3</v>
      </c>
      <c r="N61" s="20" t="str">
        <f t="shared" ref="N61" si="3">IF(B61="","",B61)</f>
        <v>MARIA EDUARDA</v>
      </c>
      <c r="O61" s="20">
        <f>IF(B61&lt;&gt;"",LARGE(M60:M62,2),"")</f>
        <v>1.002</v>
      </c>
      <c r="P61" s="20" t="str">
        <f>VLOOKUP(O61,M60:N62,2,0)</f>
        <v>LARA BERSANO BENTO</v>
      </c>
    </row>
    <row r="62" spans="2:16" ht="18" customHeight="1" x14ac:dyDescent="0.25">
      <c r="B62" s="15" t="s">
        <v>456</v>
      </c>
      <c r="C62" s="15" t="str">
        <f>IFERROR(IF(B62="","",VLOOKUP(B62,LISTAS!$F$5:$G$1004,2,0)),"0")</f>
        <v>LICEU JARDIM</v>
      </c>
      <c r="D62" s="15" t="str">
        <f>IF(H60&lt;3,"",IF(H60=3,IF(D66&lt;&gt;"",IF(H66&lt;&gt;"",IF(D66&lt;&gt;H66,IF(D66&gt;H66,"D","V"),""),""),"")))</f>
        <v>V</v>
      </c>
      <c r="E62" s="15" t="str">
        <f>IF(H60&lt;3,"",IF(H60=3,IF(D67&lt;&gt;"",IF(H67&lt;&gt;"",IF(D67&lt;&gt;H67,IF(D67&gt;H67,"D","V"),""),""),"")))</f>
        <v>V</v>
      </c>
      <c r="F62" s="15" t="s">
        <v>81</v>
      </c>
      <c r="G62" s="15" t="s">
        <v>81</v>
      </c>
      <c r="H62" s="115"/>
      <c r="I62" s="15">
        <f>IF(B62&lt;&gt;"",3,"")</f>
        <v>3</v>
      </c>
      <c r="J62" s="15" t="str">
        <f>IF(I62&lt;&gt;"",P62,"")</f>
        <v>MARIA EDUARDA</v>
      </c>
      <c r="K62" s="15" t="str">
        <f>IFERROR(IF(J62="","",VLOOKUP(J62,LISTAS!$F$5:$G$1004,2,0)),"0")</f>
        <v>ESCOLA STAGIUM</v>
      </c>
      <c r="L62" s="119" t="str">
        <f>IF(H60=3,"BRONZE",IF(H60=4,"PRATA",IF(H60=5,"OURO","")))</f>
        <v>BRONZE</v>
      </c>
      <c r="M62" s="20">
        <f>IF(B62&lt;&gt;"",COUNTIF(D62:G62,"V")+(SUMIF(B66:B68,B62,D66:E68)/1000)+(SUMIF(J66:J68,B62,H66:I68)/1000)-(SUMIF(B66:B68,B62,H66:I68)/1000)-(SUMIF(J66:J68,B62,D66:E68)/1000)+0.001,"")</f>
        <v>2.0049999999999999</v>
      </c>
      <c r="N62" s="20" t="str">
        <f>IF(B62="","",B62)</f>
        <v>NATÁLIA PAIVA BRANCALHÃO</v>
      </c>
      <c r="O62" s="20">
        <f>IF(B62&lt;&gt;"",LARGE(M60:M62,3),"")</f>
        <v>-1E-3</v>
      </c>
      <c r="P62" s="20" t="str">
        <f>VLOOKUP(O62,M60:N62,2,0)</f>
        <v>MARIA EDUARDA</v>
      </c>
    </row>
    <row r="63" spans="2:16" ht="18" customHeight="1" x14ac:dyDescent="0.25">
      <c r="B63" s="79"/>
      <c r="C63" s="79"/>
      <c r="D63" s="79"/>
      <c r="E63" s="79"/>
      <c r="F63" s="79"/>
      <c r="G63" s="79"/>
      <c r="I63" s="80"/>
      <c r="J63" s="79"/>
      <c r="K63" s="81"/>
      <c r="L63" s="81"/>
    </row>
    <row r="64" spans="2:16" ht="23.25" customHeight="1" x14ac:dyDescent="0.25">
      <c r="B64" s="82" t="s">
        <v>40</v>
      </c>
      <c r="C64" s="79"/>
      <c r="D64" s="79"/>
      <c r="E64" s="79"/>
      <c r="F64" s="79"/>
      <c r="G64" s="79"/>
      <c r="H64" s="79"/>
      <c r="I64" s="79"/>
      <c r="J64" s="79"/>
      <c r="K64" s="79"/>
      <c r="L64" s="79"/>
    </row>
    <row r="65" spans="2:16" ht="18" customHeight="1" x14ac:dyDescent="0.25">
      <c r="B65" s="9" t="s">
        <v>15</v>
      </c>
      <c r="C65" s="9" t="s">
        <v>0</v>
      </c>
      <c r="D65" s="228" t="s">
        <v>41</v>
      </c>
      <c r="E65" s="229"/>
      <c r="F65" s="229"/>
      <c r="G65" s="229"/>
      <c r="H65" s="229"/>
      <c r="I65" s="230"/>
      <c r="J65" s="9" t="s">
        <v>15</v>
      </c>
      <c r="K65" s="9" t="s">
        <v>0</v>
      </c>
      <c r="L65" s="79"/>
    </row>
    <row r="66" spans="2:16" ht="18" customHeight="1" x14ac:dyDescent="0.25">
      <c r="B66" s="15" t="str">
        <f>IF(H60=3,B60,"")</f>
        <v>LARA BERSANO BENTO</v>
      </c>
      <c r="C66" s="15" t="str">
        <f>IFERROR(IF(B66="","",VLOOKUP(B66,LISTAS!$F$5:$G$1004,2,0)),"0")</f>
        <v>COLÉGIO ARBOS SÃO CAETANO DO SUL</v>
      </c>
      <c r="D66" s="223">
        <v>0</v>
      </c>
      <c r="E66" s="224"/>
      <c r="F66" s="223" t="s">
        <v>38</v>
      </c>
      <c r="G66" s="224"/>
      <c r="H66" s="223">
        <v>2</v>
      </c>
      <c r="I66" s="224"/>
      <c r="J66" s="21" t="str">
        <f>IF(H60=3,B62,"")</f>
        <v>NATÁLIA PAIVA BRANCALHÃO</v>
      </c>
      <c r="K66" s="15" t="str">
        <f>IFERROR(IF(J66="","",VLOOKUP(J66,LISTAS!$F$5:$G$1004,2,0)),"0")</f>
        <v>LICEU JARDIM</v>
      </c>
      <c r="L66" s="81"/>
    </row>
    <row r="67" spans="2:16" ht="18" customHeight="1" x14ac:dyDescent="0.25">
      <c r="B67" s="15" t="str">
        <f>IF(H60=3,B61,"")</f>
        <v>MARIA EDUARDA</v>
      </c>
      <c r="C67" s="15" t="str">
        <f>IFERROR(IF(B67="","",VLOOKUP(B67,LISTAS!$F$5:$G$1004,2,0)),"0")</f>
        <v>ESCOLA STAGIUM</v>
      </c>
      <c r="D67" s="223">
        <v>0</v>
      </c>
      <c r="E67" s="224"/>
      <c r="F67" s="223" t="s">
        <v>38</v>
      </c>
      <c r="G67" s="224"/>
      <c r="H67" s="223">
        <v>2</v>
      </c>
      <c r="I67" s="224"/>
      <c r="J67" s="21" t="str">
        <f>IF(H60=3,B62,"")</f>
        <v>NATÁLIA PAIVA BRANCALHÃO</v>
      </c>
      <c r="K67" s="15" t="str">
        <f>IFERROR(IF(J67="","",VLOOKUP(J67,LISTAS!$F$5:$G$1004,2,0)),"0")</f>
        <v>LICEU JARDIM</v>
      </c>
      <c r="L67" s="79"/>
    </row>
    <row r="68" spans="2:16" ht="18" customHeight="1" x14ac:dyDescent="0.25">
      <c r="B68" s="15" t="str">
        <f>IF(H60=3,B60,"")</f>
        <v>LARA BERSANO BENTO</v>
      </c>
      <c r="C68" s="15" t="str">
        <f>IFERROR(IF(B68="","",VLOOKUP(B68,LISTAS!$F$5:$G$1004,2,0)),"0")</f>
        <v>COLÉGIO ARBOS SÃO CAETANO DO SUL</v>
      </c>
      <c r="D68" s="223">
        <v>2</v>
      </c>
      <c r="E68" s="224"/>
      <c r="F68" s="223" t="s">
        <v>38</v>
      </c>
      <c r="G68" s="224"/>
      <c r="H68" s="223">
        <v>1</v>
      </c>
      <c r="I68" s="224"/>
      <c r="J68" s="21" t="str">
        <f>IF(H60=3,B61,"")</f>
        <v>MARIA EDUARDA</v>
      </c>
      <c r="K68" s="15" t="str">
        <f>IFERROR(IF(J68="","",VLOOKUP(J68,LISTAS!$F$5:$G$1004,2,0)),"0")</f>
        <v>ESCOLA STAGIUM</v>
      </c>
      <c r="L68" s="81"/>
    </row>
    <row r="71" spans="2:16" ht="30" customHeight="1" x14ac:dyDescent="0.25">
      <c r="B71" s="161" t="s">
        <v>49</v>
      </c>
      <c r="C71" s="79"/>
      <c r="D71" s="225" t="s">
        <v>42</v>
      </c>
      <c r="E71" s="226"/>
      <c r="F71" s="226"/>
      <c r="G71" s="227"/>
      <c r="H71" s="113"/>
      <c r="I71" s="225" t="s">
        <v>3</v>
      </c>
      <c r="J71" s="226"/>
      <c r="K71" s="226"/>
      <c r="L71" s="226"/>
    </row>
    <row r="72" spans="2:16" ht="18" customHeight="1" x14ac:dyDescent="0.25">
      <c r="B72" s="9" t="s">
        <v>15</v>
      </c>
      <c r="C72" s="9" t="s">
        <v>0</v>
      </c>
      <c r="D72" s="9" t="s">
        <v>43</v>
      </c>
      <c r="E72" s="9" t="s">
        <v>44</v>
      </c>
      <c r="F72" s="9" t="s">
        <v>77</v>
      </c>
      <c r="G72" s="9" t="s">
        <v>78</v>
      </c>
      <c r="H72" s="114"/>
      <c r="I72" s="9" t="s">
        <v>18</v>
      </c>
      <c r="J72" s="9" t="s">
        <v>15</v>
      </c>
      <c r="K72" s="9" t="s">
        <v>0</v>
      </c>
      <c r="L72" s="9" t="s">
        <v>45</v>
      </c>
    </row>
    <row r="73" spans="2:16" ht="18" customHeight="1" x14ac:dyDescent="0.25">
      <c r="B73" s="39" t="s">
        <v>663</v>
      </c>
      <c r="C73" s="15" t="str">
        <f>IFERROR(IF(B73="","",VLOOKUP(B73,LISTAS!$F$5:$G$1004,2,0)),"0")</f>
        <v>COLÉGIO ARBOS SÃO CAETANO DO SUL</v>
      </c>
      <c r="D73" s="15" t="str">
        <f>IF(H73&lt;3,"",IF(H73=3,IF(D79&lt;&gt;"",IF(H79&lt;&gt;"",IF(D79&lt;&gt;H79,IF(D79&gt;H79,"V","D"),""),""),"")))</f>
        <v>D</v>
      </c>
      <c r="E73" s="15" t="str">
        <f>IF(H73&lt;3,"",IF(H73=3,IF(D81&lt;&gt;"",IF(H81&lt;&gt;"",IF(D81&lt;&gt;H81,IF(D81&gt;H81,"V","D"),""),""),"")))</f>
        <v>D</v>
      </c>
      <c r="F73" s="15" t="s">
        <v>81</v>
      </c>
      <c r="G73" s="15" t="s">
        <v>81</v>
      </c>
      <c r="H73" s="117">
        <f>COUNTA(B73:B75)</f>
        <v>3</v>
      </c>
      <c r="I73" s="15">
        <f>IF(B73&lt;&gt;"",1,"")</f>
        <v>1</v>
      </c>
      <c r="J73" s="15" t="str">
        <f>IF(I73&lt;&gt;"",P73,"")</f>
        <v>LAURA SARAIVA</v>
      </c>
      <c r="K73" s="15" t="str">
        <f>IFERROR(IF(J73="","",VLOOKUP(J73,LISTAS!$F$5:$G$1004,2,0)),"0")</f>
        <v>COLÉGIO MARCONI - GRU</v>
      </c>
      <c r="L73" s="119" t="str">
        <f>IF(H73=3,"OURO",IF(H73=4,"OURO",IF(H73=5,"OURO","")))</f>
        <v>OURO</v>
      </c>
      <c r="M73" s="20">
        <f>IF(B73&lt;&gt;"",COUNTIF(D73:G73,"V")+(SUMIF(B79:B81,B73,D79:E81)/1000)+(SUMIF(J79:J81,B73,H79:I81)/1000)-(SUMIF(B79:B81,B73,H79:I81)/1000)-(SUMIF(J79:J81,B73,D79:E81)/1000)+0.003,"")</f>
        <v>-1E-3</v>
      </c>
      <c r="N73" s="20" t="str">
        <f>IF(B73="","",B73)</f>
        <v>KAILA ATTIS</v>
      </c>
      <c r="O73" s="20">
        <f>IF(B73&lt;&gt;"",LARGE(M73:M75,1),"")</f>
        <v>2.0049999999999999</v>
      </c>
      <c r="P73" s="20" t="str">
        <f>VLOOKUP(O73,M73:N75,2,0)</f>
        <v>LAURA SARAIVA</v>
      </c>
    </row>
    <row r="74" spans="2:16" ht="18" customHeight="1" x14ac:dyDescent="0.25">
      <c r="B74" s="15" t="s">
        <v>446</v>
      </c>
      <c r="C74" s="15" t="str">
        <f>IFERROR(IF(B74="","",VLOOKUP(B74,LISTAS!$F$5:$G$1004,2,0)),"0")</f>
        <v>COLÉGIO SÃO MAURO</v>
      </c>
      <c r="D74" s="15" t="str">
        <f>IF(H73&lt;3,"",IF(H73=3,IF(D80&lt;&gt;"",IF(H80&lt;&gt;"",IF(D80&lt;&gt;H80,IF(D80&gt;H80,"V","D"),""),""),"")))</f>
        <v>D</v>
      </c>
      <c r="E74" s="15" t="str">
        <f>IF(H73&lt;3,"",IF(H73=3,IF(D81&lt;&gt;"",IF(H81&lt;&gt;"",IF(D81&lt;&gt;H81,IF(D81&gt;H81,"D","V"),""),""),"")))</f>
        <v>V</v>
      </c>
      <c r="F74" s="15" t="s">
        <v>81</v>
      </c>
      <c r="G74" s="15" t="s">
        <v>81</v>
      </c>
      <c r="H74" s="115"/>
      <c r="I74" s="15">
        <f>IF(B74&lt;&gt;"",2,"")</f>
        <v>2</v>
      </c>
      <c r="J74" s="15" t="str">
        <f>IF(I74&lt;&gt;"",P74,"")</f>
        <v>MARIA PIETRA FURUKAVA MONTEIRO</v>
      </c>
      <c r="K74" s="15" t="str">
        <f>IFERROR(IF(J74="","",VLOOKUP(J74,LISTAS!$F$5:$G$1004,2,0)),"0")</f>
        <v>COLÉGIO SÃO MAURO</v>
      </c>
      <c r="L74" s="119" t="str">
        <f>IF(H73=3,"PRATA",IF(H73=4,"OURO",IF(H73=5,"OURO","")))</f>
        <v>PRATA</v>
      </c>
      <c r="M74" s="20">
        <f>IF(B74&lt;&gt;"",COUNTIF(D74:G74,"V")+(SUMIF(B79:B81,B74,D79:E81)/1000)+(SUMIF(J79:J81,B74,H79:I81)/1000)-(SUMIF(B79:B81,B74,H79:I81)/1000)-(SUMIF(J79:J81,B74,D79:E81)/1000)+0.002,"")</f>
        <v>1.002</v>
      </c>
      <c r="N74" s="20" t="str">
        <f t="shared" ref="N74" si="4">IF(B74="","",B74)</f>
        <v>MARIA PIETRA FURUKAVA MONTEIRO</v>
      </c>
      <c r="O74" s="20">
        <f>IF(B74&lt;&gt;"",LARGE(M73:M75,2),"")</f>
        <v>1.002</v>
      </c>
      <c r="P74" s="20" t="str">
        <f>VLOOKUP(O74,M73:N75,2,0)</f>
        <v>MARIA PIETRA FURUKAVA MONTEIRO</v>
      </c>
    </row>
    <row r="75" spans="2:16" ht="18" customHeight="1" x14ac:dyDescent="0.25">
      <c r="B75" s="15" t="s">
        <v>433</v>
      </c>
      <c r="C75" s="15" t="str">
        <f>IFERROR(IF(B75="","",VLOOKUP(B75,LISTAS!$F$5:$G$1004,2,0)),"0")</f>
        <v>COLÉGIO MARCONI - GRU</v>
      </c>
      <c r="D75" s="15" t="str">
        <f>IF(H73&lt;3,"",IF(H73=3,IF(D79&lt;&gt;"",IF(H79&lt;&gt;"",IF(D79&lt;&gt;H79,IF(D79&gt;H79,"D","V"),""),""),"")))</f>
        <v>V</v>
      </c>
      <c r="E75" s="15" t="str">
        <f>IF(H73&lt;3,"",IF(H73=3,IF(D80&lt;&gt;"",IF(H80&lt;&gt;"",IF(D80&lt;&gt;H80,IF(D80&gt;H80,"D","V"),""),""),"")))</f>
        <v>V</v>
      </c>
      <c r="F75" s="15" t="s">
        <v>81</v>
      </c>
      <c r="G75" s="15" t="s">
        <v>81</v>
      </c>
      <c r="H75" s="115"/>
      <c r="I75" s="15">
        <f>IF(B75&lt;&gt;"",3,"")</f>
        <v>3</v>
      </c>
      <c r="J75" s="15" t="str">
        <f>IF(I75&lt;&gt;"",P75,"")</f>
        <v>KAILA ATTIS</v>
      </c>
      <c r="K75" s="15" t="str">
        <f>IFERROR(IF(J75="","",VLOOKUP(J75,LISTAS!$F$5:$G$1004,2,0)),"0")</f>
        <v>COLÉGIO ARBOS SÃO CAETANO DO SUL</v>
      </c>
      <c r="L75" s="119" t="str">
        <f>IF(H73=3,"BRONZE",IF(H73=4,"PRATA",IF(H73=5,"OURO","")))</f>
        <v>BRONZE</v>
      </c>
      <c r="M75" s="20">
        <f>IF(B75&lt;&gt;"",COUNTIF(D75:G75,"V")+(SUMIF(B79:B81,B75,D79:E81)/1000)+(SUMIF(J79:J81,B75,H79:I81)/1000)-(SUMIF(B79:B81,B75,H79:I81)/1000)-(SUMIF(J79:J81,B75,D79:E81)/1000)+0.001,"")</f>
        <v>2.0049999999999999</v>
      </c>
      <c r="N75" s="20" t="str">
        <f>IF(B75="","",B75)</f>
        <v>LAURA SARAIVA</v>
      </c>
      <c r="O75" s="20">
        <f>IF(B75&lt;&gt;"",LARGE(M73:M75,3),"")</f>
        <v>-1E-3</v>
      </c>
      <c r="P75" s="20" t="str">
        <f>VLOOKUP(O75,M73:N75,2,0)</f>
        <v>KAILA ATTIS</v>
      </c>
    </row>
    <row r="76" spans="2:16" ht="18" customHeight="1" x14ac:dyDescent="0.25">
      <c r="B76" s="79"/>
      <c r="C76" s="79"/>
      <c r="D76" s="79"/>
      <c r="E76" s="79"/>
      <c r="F76" s="79"/>
      <c r="G76" s="79"/>
      <c r="I76" s="80"/>
      <c r="J76" s="79"/>
      <c r="K76" s="81"/>
      <c r="L76" s="81"/>
    </row>
    <row r="77" spans="2:16" ht="23.25" customHeight="1" x14ac:dyDescent="0.25">
      <c r="B77" s="82" t="s">
        <v>40</v>
      </c>
      <c r="C77" s="79"/>
      <c r="D77" s="79"/>
      <c r="E77" s="79"/>
      <c r="F77" s="79"/>
      <c r="G77" s="79"/>
      <c r="H77" s="79"/>
      <c r="I77" s="79"/>
      <c r="J77" s="79"/>
      <c r="K77" s="79"/>
      <c r="L77" s="79"/>
    </row>
    <row r="78" spans="2:16" ht="18" customHeight="1" x14ac:dyDescent="0.25">
      <c r="B78" s="9" t="s">
        <v>15</v>
      </c>
      <c r="C78" s="9" t="s">
        <v>0</v>
      </c>
      <c r="D78" s="228" t="s">
        <v>41</v>
      </c>
      <c r="E78" s="229"/>
      <c r="F78" s="229"/>
      <c r="G78" s="229"/>
      <c r="H78" s="229"/>
      <c r="I78" s="230"/>
      <c r="J78" s="9" t="s">
        <v>15</v>
      </c>
      <c r="K78" s="9" t="s">
        <v>0</v>
      </c>
      <c r="L78" s="79"/>
    </row>
    <row r="79" spans="2:16" ht="18" customHeight="1" x14ac:dyDescent="0.25">
      <c r="B79" s="15" t="str">
        <f>IF(H73=3,B73,"")</f>
        <v>KAILA ATTIS</v>
      </c>
      <c r="C79" s="15" t="str">
        <f>IFERROR(IF(B79="","",VLOOKUP(B79,LISTAS!$F$5:$G$1004,2,0)),"0")</f>
        <v>COLÉGIO ARBOS SÃO CAETANO DO SUL</v>
      </c>
      <c r="D79" s="223">
        <v>0</v>
      </c>
      <c r="E79" s="224"/>
      <c r="F79" s="223" t="s">
        <v>38</v>
      </c>
      <c r="G79" s="224"/>
      <c r="H79" s="223">
        <v>2</v>
      </c>
      <c r="I79" s="224"/>
      <c r="J79" s="21" t="str">
        <f>IF(H73=3,B75,"")</f>
        <v>LAURA SARAIVA</v>
      </c>
      <c r="K79" s="15" t="str">
        <f>IFERROR(IF(J79="","",VLOOKUP(J79,LISTAS!$F$5:$G$1004,2,0)),"0")</f>
        <v>COLÉGIO MARCONI - GRU</v>
      </c>
      <c r="L79" s="81"/>
    </row>
    <row r="80" spans="2:16" ht="18" customHeight="1" x14ac:dyDescent="0.25">
      <c r="B80" s="15" t="str">
        <f>IF(H73=3,B74,"")</f>
        <v>MARIA PIETRA FURUKAVA MONTEIRO</v>
      </c>
      <c r="C80" s="15" t="str">
        <f>IFERROR(IF(B80="","",VLOOKUP(B80,LISTAS!$F$5:$G$1004,2,0)),"0")</f>
        <v>COLÉGIO SÃO MAURO</v>
      </c>
      <c r="D80" s="223">
        <v>0</v>
      </c>
      <c r="E80" s="224"/>
      <c r="F80" s="223" t="s">
        <v>38</v>
      </c>
      <c r="G80" s="224"/>
      <c r="H80" s="223">
        <v>2</v>
      </c>
      <c r="I80" s="224"/>
      <c r="J80" s="21" t="str">
        <f>IF(H73=3,B75,"")</f>
        <v>LAURA SARAIVA</v>
      </c>
      <c r="K80" s="15" t="str">
        <f>IFERROR(IF(J80="","",VLOOKUP(J80,LISTAS!$F$5:$G$1004,2,0)),"0")</f>
        <v>COLÉGIO MARCONI - GRU</v>
      </c>
      <c r="L80" s="79"/>
    </row>
    <row r="81" spans="2:16" ht="18" customHeight="1" x14ac:dyDescent="0.25">
      <c r="B81" s="15" t="str">
        <f>IF(H73=3,B73,"")</f>
        <v>KAILA ATTIS</v>
      </c>
      <c r="C81" s="15" t="str">
        <f>IFERROR(IF(B81="","",VLOOKUP(B81,LISTAS!$F$5:$G$1004,2,0)),"0")</f>
        <v>COLÉGIO ARBOS SÃO CAETANO DO SUL</v>
      </c>
      <c r="D81" s="223">
        <v>0</v>
      </c>
      <c r="E81" s="224"/>
      <c r="F81" s="223" t="s">
        <v>38</v>
      </c>
      <c r="G81" s="224"/>
      <c r="H81" s="223">
        <v>2</v>
      </c>
      <c r="I81" s="224"/>
      <c r="J81" s="21" t="str">
        <f>IF(H73=3,B74,"")</f>
        <v>MARIA PIETRA FURUKAVA MONTEIRO</v>
      </c>
      <c r="K81" s="15" t="str">
        <f>IFERROR(IF(J81="","",VLOOKUP(J81,LISTAS!$F$5:$G$1004,2,0)),"0")</f>
        <v>COLÉGIO SÃO MAURO</v>
      </c>
      <c r="L81" s="81"/>
    </row>
    <row r="84" spans="2:16" ht="30" customHeight="1" x14ac:dyDescent="0.25">
      <c r="B84" s="161" t="s">
        <v>50</v>
      </c>
      <c r="C84" s="79"/>
      <c r="D84" s="225" t="s">
        <v>42</v>
      </c>
      <c r="E84" s="226"/>
      <c r="F84" s="226"/>
      <c r="G84" s="227"/>
      <c r="H84" s="113"/>
      <c r="I84" s="225" t="s">
        <v>3</v>
      </c>
      <c r="J84" s="226"/>
      <c r="K84" s="226"/>
      <c r="L84" s="226"/>
    </row>
    <row r="85" spans="2:16" ht="18" customHeight="1" x14ac:dyDescent="0.25">
      <c r="B85" s="9" t="s">
        <v>15</v>
      </c>
      <c r="C85" s="9" t="s">
        <v>0</v>
      </c>
      <c r="D85" s="9" t="s">
        <v>43</v>
      </c>
      <c r="E85" s="9" t="s">
        <v>44</v>
      </c>
      <c r="F85" s="9" t="s">
        <v>77</v>
      </c>
      <c r="G85" s="9" t="s">
        <v>78</v>
      </c>
      <c r="H85" s="114"/>
      <c r="I85" s="9" t="s">
        <v>18</v>
      </c>
      <c r="J85" s="9" t="s">
        <v>15</v>
      </c>
      <c r="K85" s="9" t="s">
        <v>0</v>
      </c>
      <c r="L85" s="9" t="s">
        <v>45</v>
      </c>
    </row>
    <row r="86" spans="2:16" ht="18" customHeight="1" x14ac:dyDescent="0.25">
      <c r="B86" s="15"/>
      <c r="C86" s="15" t="str">
        <f>IFERROR(IF(B86="","",VLOOKUP(B86,LISTAS!$F$5:$G$1004,2,0)),"0")</f>
        <v/>
      </c>
      <c r="D86" s="15" t="str">
        <f>IF(H86&lt;3,"",IF(H86=3,IF(D92&lt;&gt;"",IF(H92&lt;&gt;"",IF(D92&lt;&gt;H92,IF(D92&gt;H92,"V","D"),""),""),"")))</f>
        <v/>
      </c>
      <c r="E86" s="15" t="str">
        <f>IF(H86&lt;3,"",IF(H86=3,IF(D94&lt;&gt;"",IF(H94&lt;&gt;"",IF(D94&lt;&gt;H94,IF(D94&gt;H94,"V","D"),""),""),"")))</f>
        <v/>
      </c>
      <c r="F86" s="15" t="s">
        <v>81</v>
      </c>
      <c r="G86" s="15" t="s">
        <v>81</v>
      </c>
      <c r="H86" s="117">
        <f>COUNTA(B86:B88)</f>
        <v>0</v>
      </c>
      <c r="I86" s="15" t="str">
        <f>IF(B86&lt;&gt;"",1,"")</f>
        <v/>
      </c>
      <c r="J86" s="15" t="str">
        <f>IF(I86&lt;&gt;"",P86,"")</f>
        <v/>
      </c>
      <c r="K86" s="15" t="str">
        <f>IFERROR(IF(J86="","",VLOOKUP(J86,LISTAS!$F$5:$G$1004,2,0)),"0")</f>
        <v/>
      </c>
      <c r="L86" s="119" t="str">
        <f>IF(H86=3,"OURO",IF(H86=4,"OURO",IF(H86=5,"OURO","")))</f>
        <v/>
      </c>
      <c r="M86" s="20" t="str">
        <f>IF(B86&lt;&gt;"",COUNTIF(D86:G86,"V")+(SUMIF(B92:B94,B86,D92:E94)/1000)+(SUMIF(J92:J94,B86,H92:I94)/1000)-(SUMIF(B92:B94,B86,H92:I94)/1000)-(SUMIF(J92:J94,B86,D92:E94)/1000)+0.003,"")</f>
        <v/>
      </c>
      <c r="N86" s="20" t="str">
        <f>IF(B86="","",B86)</f>
        <v/>
      </c>
      <c r="O86" s="20" t="str">
        <f>IF(B86&lt;&gt;"",LARGE(M86:M88,1),"")</f>
        <v/>
      </c>
      <c r="P86" s="20" t="str">
        <f>VLOOKUP(O86,M86:N88,2,0)</f>
        <v/>
      </c>
    </row>
    <row r="87" spans="2:16" ht="18" customHeight="1" x14ac:dyDescent="0.25">
      <c r="B87" s="15"/>
      <c r="C87" s="15" t="str">
        <f>IFERROR(IF(B87="","",VLOOKUP(B87,LISTAS!$F$5:$G$1004,2,0)),"0")</f>
        <v/>
      </c>
      <c r="D87" s="15" t="str">
        <f>IF(H86&lt;3,"",IF(H86=3,IF(D93&lt;&gt;"",IF(H93&lt;&gt;"",IF(D93&lt;&gt;H93,IF(D93&gt;H93,"V","D"),""),""),"")))</f>
        <v/>
      </c>
      <c r="E87" s="15" t="str">
        <f>IF(H86&lt;3,"",IF(H86=3,IF(D94&lt;&gt;"",IF(H94&lt;&gt;"",IF(D94&lt;&gt;H94,IF(D94&gt;H94,"D","V"),""),""),"")))</f>
        <v/>
      </c>
      <c r="F87" s="15" t="s">
        <v>81</v>
      </c>
      <c r="G87" s="15" t="s">
        <v>81</v>
      </c>
      <c r="H87" s="115"/>
      <c r="I87" s="15" t="str">
        <f>IF(B87&lt;&gt;"",2,"")</f>
        <v/>
      </c>
      <c r="J87" s="15" t="str">
        <f>IF(I87&lt;&gt;"",P87,"")</f>
        <v/>
      </c>
      <c r="K87" s="15" t="str">
        <f>IFERROR(IF(J87="","",VLOOKUP(J87,LISTAS!$F$5:$G$1004,2,0)),"0")</f>
        <v/>
      </c>
      <c r="L87" s="119" t="str">
        <f>IF(H86=3,"PRATA",IF(H86=4,"OURO",IF(H86=5,"OURO","")))</f>
        <v/>
      </c>
      <c r="M87" s="20" t="str">
        <f>IF(B87&lt;&gt;"",COUNTIF(D87:G87,"V")+(SUMIF(B92:B94,B87,D92:E94)/1000)+(SUMIF(J92:J94,B87,H92:I94)/1000)-(SUMIF(B92:B94,B87,H92:I94)/1000)-(SUMIF(J92:J94,B87,D92:E94)/1000)+0.002,"")</f>
        <v/>
      </c>
      <c r="N87" s="20" t="str">
        <f t="shared" ref="N87" si="5">IF(B87="","",B87)</f>
        <v/>
      </c>
      <c r="O87" s="20" t="str">
        <f>IF(B87&lt;&gt;"",LARGE(M86:M88,2),"")</f>
        <v/>
      </c>
      <c r="P87" s="20" t="str">
        <f>VLOOKUP(O87,M86:N88,2,0)</f>
        <v/>
      </c>
    </row>
    <row r="88" spans="2:16" ht="18" customHeight="1" x14ac:dyDescent="0.25">
      <c r="B88" s="15"/>
      <c r="C88" s="15" t="str">
        <f>IFERROR(IF(B88="","",VLOOKUP(B88,LISTAS!$F$5:$G$1004,2,0)),"0")</f>
        <v/>
      </c>
      <c r="D88" s="15" t="str">
        <f>IF(H86&lt;3,"",IF(H86=3,IF(D92&lt;&gt;"",IF(H92&lt;&gt;"",IF(D92&lt;&gt;H92,IF(D92&gt;H92,"D","V"),""),""),"")))</f>
        <v/>
      </c>
      <c r="E88" s="15" t="str">
        <f>IF(H86&lt;3,"",IF(H86=3,IF(D93&lt;&gt;"",IF(H93&lt;&gt;"",IF(D93&lt;&gt;H93,IF(D93&gt;H93,"D","V"),""),""),"")))</f>
        <v/>
      </c>
      <c r="F88" s="15" t="s">
        <v>81</v>
      </c>
      <c r="G88" s="15" t="s">
        <v>81</v>
      </c>
      <c r="H88" s="115"/>
      <c r="I88" s="15" t="str">
        <f>IF(B88&lt;&gt;"",3,"")</f>
        <v/>
      </c>
      <c r="J88" s="15" t="str">
        <f>IF(I88&lt;&gt;"",P88,"")</f>
        <v/>
      </c>
      <c r="K88" s="15" t="str">
        <f>IFERROR(IF(J88="","",VLOOKUP(J88,LISTAS!$F$5:$G$1004,2,0)),"0")</f>
        <v/>
      </c>
      <c r="L88" s="119" t="str">
        <f>IF(H86=3,"BRONZE",IF(H86=4,"PRATA",IF(H86=5,"OURO","")))</f>
        <v/>
      </c>
      <c r="M88" s="20" t="str">
        <f>IF(B88&lt;&gt;"",COUNTIF(D88:G88,"V")+(SUMIF(B92:B94,B88,D92:E94)/1000)+(SUMIF(J92:J94,B88,H92:I94)/1000)-(SUMIF(B92:B94,B88,H92:I94)/1000)-(SUMIF(J92:J94,B88,D92:E94)/1000)+0.001,"")</f>
        <v/>
      </c>
      <c r="N88" s="20" t="str">
        <f>IF(B88="","",B88)</f>
        <v/>
      </c>
      <c r="O88" s="20" t="str">
        <f>IF(B88&lt;&gt;"",LARGE(M86:M88,3),"")</f>
        <v/>
      </c>
      <c r="P88" s="20" t="str">
        <f>VLOOKUP(O88,M86:N88,2,0)</f>
        <v/>
      </c>
    </row>
    <row r="89" spans="2:16" ht="18" customHeight="1" x14ac:dyDescent="0.25">
      <c r="B89" s="79"/>
      <c r="C89" s="79"/>
      <c r="D89" s="79"/>
      <c r="E89" s="79"/>
      <c r="F89" s="79"/>
      <c r="G89" s="79"/>
      <c r="I89" s="80"/>
      <c r="J89" s="79"/>
      <c r="K89" s="81"/>
      <c r="L89" s="81"/>
    </row>
    <row r="90" spans="2:16" ht="23.25" customHeight="1" x14ac:dyDescent="0.25">
      <c r="B90" s="82" t="s">
        <v>40</v>
      </c>
      <c r="C90" s="79"/>
      <c r="D90" s="79"/>
      <c r="E90" s="79"/>
      <c r="F90" s="79"/>
      <c r="G90" s="79"/>
      <c r="H90" s="79"/>
      <c r="I90" s="79"/>
      <c r="J90" s="79"/>
      <c r="K90" s="79"/>
      <c r="L90" s="79"/>
    </row>
    <row r="91" spans="2:16" ht="18" customHeight="1" x14ac:dyDescent="0.25">
      <c r="B91" s="9" t="s">
        <v>15</v>
      </c>
      <c r="C91" s="9" t="s">
        <v>0</v>
      </c>
      <c r="D91" s="228" t="s">
        <v>41</v>
      </c>
      <c r="E91" s="229"/>
      <c r="F91" s="229"/>
      <c r="G91" s="229"/>
      <c r="H91" s="229"/>
      <c r="I91" s="230"/>
      <c r="J91" s="9" t="s">
        <v>15</v>
      </c>
      <c r="K91" s="9" t="s">
        <v>0</v>
      </c>
      <c r="L91" s="79"/>
    </row>
    <row r="92" spans="2:16" ht="18" customHeight="1" x14ac:dyDescent="0.25">
      <c r="B92" s="15" t="str">
        <f>IF(H86=3,B86,"")</f>
        <v/>
      </c>
      <c r="C92" s="15" t="str">
        <f>IFERROR(IF(B92="","",VLOOKUP(B92,LISTAS!$F$5:$G$1004,2,0)),"0")</f>
        <v/>
      </c>
      <c r="D92" s="223"/>
      <c r="E92" s="224"/>
      <c r="F92" s="223" t="s">
        <v>38</v>
      </c>
      <c r="G92" s="224"/>
      <c r="H92" s="223"/>
      <c r="I92" s="224"/>
      <c r="J92" s="21" t="str">
        <f>IF(H86=3,B88,"")</f>
        <v/>
      </c>
      <c r="K92" s="15" t="str">
        <f>IFERROR(IF(J92="","",VLOOKUP(J92,LISTAS!$F$5:$G$1004,2,0)),"0")</f>
        <v/>
      </c>
      <c r="L92" s="81"/>
    </row>
    <row r="93" spans="2:16" ht="18" customHeight="1" x14ac:dyDescent="0.25">
      <c r="B93" s="15" t="str">
        <f>IF(H86=3,B87,"")</f>
        <v/>
      </c>
      <c r="C93" s="15" t="str">
        <f>IFERROR(IF(B93="","",VLOOKUP(B93,LISTAS!$F$5:$G$1004,2,0)),"0")</f>
        <v/>
      </c>
      <c r="D93" s="223"/>
      <c r="E93" s="224"/>
      <c r="F93" s="223" t="s">
        <v>38</v>
      </c>
      <c r="G93" s="224"/>
      <c r="H93" s="223"/>
      <c r="I93" s="224"/>
      <c r="J93" s="21" t="str">
        <f>IF(H86=3,B88,"")</f>
        <v/>
      </c>
      <c r="K93" s="15" t="str">
        <f>IFERROR(IF(J93="","",VLOOKUP(J93,LISTAS!$F$5:$G$1004,2,0)),"0")</f>
        <v/>
      </c>
      <c r="L93" s="79"/>
    </row>
    <row r="94" spans="2:16" ht="18" customHeight="1" x14ac:dyDescent="0.25">
      <c r="B94" s="15" t="str">
        <f>IF(H86=3,B86,"")</f>
        <v/>
      </c>
      <c r="C94" s="15" t="str">
        <f>IFERROR(IF(B94="","",VLOOKUP(B94,LISTAS!$F$5:$G$1004,2,0)),"0")</f>
        <v/>
      </c>
      <c r="D94" s="223"/>
      <c r="E94" s="224"/>
      <c r="F94" s="223" t="s">
        <v>38</v>
      </c>
      <c r="G94" s="224"/>
      <c r="H94" s="223"/>
      <c r="I94" s="224"/>
      <c r="J94" s="21" t="str">
        <f>IF(H86=3,B87,"")</f>
        <v/>
      </c>
      <c r="K94" s="15" t="str">
        <f>IFERROR(IF(J94="","",VLOOKUP(J94,LISTAS!$F$5:$G$1004,2,0)),"0")</f>
        <v/>
      </c>
      <c r="L94" s="81"/>
    </row>
    <row r="97" spans="2:16" ht="30" customHeight="1" x14ac:dyDescent="0.25">
      <c r="B97" s="161" t="s">
        <v>51</v>
      </c>
      <c r="C97" s="79"/>
      <c r="D97" s="225" t="s">
        <v>42</v>
      </c>
      <c r="E97" s="226"/>
      <c r="F97" s="226"/>
      <c r="G97" s="227"/>
      <c r="H97" s="113"/>
      <c r="I97" s="225" t="s">
        <v>3</v>
      </c>
      <c r="J97" s="226"/>
      <c r="K97" s="226"/>
      <c r="L97" s="226"/>
    </row>
    <row r="98" spans="2:16" ht="18" customHeight="1" x14ac:dyDescent="0.25">
      <c r="B98" s="9" t="s">
        <v>15</v>
      </c>
      <c r="C98" s="9" t="s">
        <v>0</v>
      </c>
      <c r="D98" s="9" t="s">
        <v>43</v>
      </c>
      <c r="E98" s="9" t="s">
        <v>44</v>
      </c>
      <c r="F98" s="9" t="s">
        <v>77</v>
      </c>
      <c r="G98" s="9" t="s">
        <v>78</v>
      </c>
      <c r="H98" s="114"/>
      <c r="I98" s="9" t="s">
        <v>18</v>
      </c>
      <c r="J98" s="9" t="s">
        <v>15</v>
      </c>
      <c r="K98" s="9" t="s">
        <v>0</v>
      </c>
      <c r="L98" s="9" t="s">
        <v>45</v>
      </c>
    </row>
    <row r="99" spans="2:16" ht="18" customHeight="1" x14ac:dyDescent="0.25">
      <c r="B99" s="15"/>
      <c r="C99" s="15" t="str">
        <f>IFERROR(IF(B99="","",VLOOKUP(B99,LISTAS!$F$5:$G$1004,2,0)),"0")</f>
        <v/>
      </c>
      <c r="D99" s="15" t="str">
        <f>IF(H99&lt;3,"",IF(H99=3,IF(D105&lt;&gt;"",IF(H105&lt;&gt;"",IF(D105&lt;&gt;H105,IF(D105&gt;H105,"V","D"),""),""),"")))</f>
        <v/>
      </c>
      <c r="E99" s="15" t="str">
        <f>IF(H99&lt;3,"",IF(H99=3,IF(D107&lt;&gt;"",IF(H107&lt;&gt;"",IF(D107&lt;&gt;H107,IF(D107&gt;H107,"V","D"),""),""),"")))</f>
        <v/>
      </c>
      <c r="F99" s="15" t="s">
        <v>81</v>
      </c>
      <c r="G99" s="15" t="s">
        <v>81</v>
      </c>
      <c r="H99" s="117">
        <f>COUNTA(B99:B101)</f>
        <v>0</v>
      </c>
      <c r="I99" s="15" t="str">
        <f>IF(B99&lt;&gt;"",1,"")</f>
        <v/>
      </c>
      <c r="J99" s="15" t="str">
        <f>IF(I99&lt;&gt;"",P99,"")</f>
        <v/>
      </c>
      <c r="K99" s="15" t="str">
        <f>IFERROR(IF(J99="","",VLOOKUP(J99,LISTAS!$F$5:$G$1004,2,0)),"0")</f>
        <v/>
      </c>
      <c r="L99" s="119" t="str">
        <f>IF(H99=3,"OURO",IF(H99=4,"OURO",IF(H99=5,"OURO","")))</f>
        <v/>
      </c>
      <c r="M99" s="20" t="str">
        <f>IF(B99&lt;&gt;"",COUNTIF(D99:G99,"V")+(SUMIF(B105:B107,B99,D105:E107)/1000)+(SUMIF(J105:J107,B99,H105:I107)/1000)-(SUMIF(B105:B107,B99,H105:I107)/1000)-(SUMIF(J105:J107,B99,D105:E107)/1000)+0.003,"")</f>
        <v/>
      </c>
      <c r="N99" s="20" t="str">
        <f>IF(B99="","",B99)</f>
        <v/>
      </c>
      <c r="O99" s="20" t="str">
        <f>IF(B99&lt;&gt;"",LARGE(M99:M101,1),"")</f>
        <v/>
      </c>
      <c r="P99" s="20" t="str">
        <f>VLOOKUP(O99,M99:N101,2,0)</f>
        <v/>
      </c>
    </row>
    <row r="100" spans="2:16" ht="18" customHeight="1" x14ac:dyDescent="0.25">
      <c r="B100" s="15"/>
      <c r="C100" s="15" t="str">
        <f>IFERROR(IF(B100="","",VLOOKUP(B100,LISTAS!$F$5:$G$1004,2,0)),"0")</f>
        <v/>
      </c>
      <c r="D100" s="15" t="str">
        <f>IF(H99&lt;3,"",IF(H99=3,IF(D106&lt;&gt;"",IF(H106&lt;&gt;"",IF(D106&lt;&gt;H106,IF(D106&gt;H106,"V","D"),""),""),"")))</f>
        <v/>
      </c>
      <c r="E100" s="15" t="str">
        <f>IF(H99&lt;3,"",IF(H99=3,IF(D107&lt;&gt;"",IF(H107&lt;&gt;"",IF(D107&lt;&gt;H107,IF(D107&gt;H107,"D","V"),""),""),"")))</f>
        <v/>
      </c>
      <c r="F100" s="15" t="s">
        <v>81</v>
      </c>
      <c r="G100" s="15" t="s">
        <v>81</v>
      </c>
      <c r="H100" s="115"/>
      <c r="I100" s="15" t="str">
        <f>IF(B100&lt;&gt;"",2,"")</f>
        <v/>
      </c>
      <c r="J100" s="15" t="str">
        <f>IF(I100&lt;&gt;"",P100,"")</f>
        <v/>
      </c>
      <c r="K100" s="15" t="str">
        <f>IFERROR(IF(J100="","",VLOOKUP(J100,LISTAS!$F$5:$G$1004,2,0)),"0")</f>
        <v/>
      </c>
      <c r="L100" s="119" t="str">
        <f>IF(H99=3,"PRATA",IF(H99=4,"OURO",IF(H99=5,"OURO","")))</f>
        <v/>
      </c>
      <c r="M100" s="20" t="str">
        <f>IF(B100&lt;&gt;"",COUNTIF(D100:G100,"V")+(SUMIF(B105:B107,B100,D105:E107)/1000)+(SUMIF(J105:J107,B100,H105:I107)/1000)-(SUMIF(B105:B107,B100,H105:I107)/1000)-(SUMIF(J105:J107,B100,D105:E107)/1000)+0.002,"")</f>
        <v/>
      </c>
      <c r="N100" s="20" t="str">
        <f t="shared" ref="N100" si="6">IF(B100="","",B100)</f>
        <v/>
      </c>
      <c r="O100" s="20" t="str">
        <f>IF(B100&lt;&gt;"",LARGE(M99:M101,2),"")</f>
        <v/>
      </c>
      <c r="P100" s="20" t="str">
        <f>VLOOKUP(O100,M99:N101,2,0)</f>
        <v/>
      </c>
    </row>
    <row r="101" spans="2:16" ht="18" customHeight="1" x14ac:dyDescent="0.25">
      <c r="B101" s="15"/>
      <c r="C101" s="15" t="str">
        <f>IFERROR(IF(B101="","",VLOOKUP(B101,LISTAS!$F$5:$G$1004,2,0)),"0")</f>
        <v/>
      </c>
      <c r="D101" s="15" t="str">
        <f>IF(H99&lt;3,"",IF(H99=3,IF(D105&lt;&gt;"",IF(H105&lt;&gt;"",IF(D105&lt;&gt;H105,IF(D105&gt;H105,"D","V"),""),""),"")))</f>
        <v/>
      </c>
      <c r="E101" s="15" t="str">
        <f>IF(H99&lt;3,"",IF(H99=3,IF(D106&lt;&gt;"",IF(H106&lt;&gt;"",IF(D106&lt;&gt;H106,IF(D106&gt;H106,"D","V"),""),""),"")))</f>
        <v/>
      </c>
      <c r="F101" s="15" t="s">
        <v>81</v>
      </c>
      <c r="G101" s="15" t="s">
        <v>81</v>
      </c>
      <c r="H101" s="115"/>
      <c r="I101" s="15" t="str">
        <f>IF(B101&lt;&gt;"",3,"")</f>
        <v/>
      </c>
      <c r="J101" s="15" t="str">
        <f>IF(I101&lt;&gt;"",P101,"")</f>
        <v/>
      </c>
      <c r="K101" s="15" t="str">
        <f>IFERROR(IF(J101="","",VLOOKUP(J101,LISTAS!$F$5:$G$1004,2,0)),"0")</f>
        <v/>
      </c>
      <c r="L101" s="119" t="str">
        <f>IF(H99=3,"BRONZE",IF(H99=4,"PRATA",IF(H99=5,"OURO","")))</f>
        <v/>
      </c>
      <c r="M101" s="20" t="str">
        <f>IF(B101&lt;&gt;"",COUNTIF(D101:G101,"V")+(SUMIF(B105:B107,B101,D105:E107)/1000)+(SUMIF(J105:J107,B101,H105:I107)/1000)-(SUMIF(B105:B107,B101,H105:I107)/1000)-(SUMIF(J105:J107,B101,D105:E107)/1000)+0.001,"")</f>
        <v/>
      </c>
      <c r="N101" s="20" t="str">
        <f>IF(B101="","",B101)</f>
        <v/>
      </c>
      <c r="O101" s="20" t="str">
        <f>IF(B101&lt;&gt;"",LARGE(M99:M101,3),"")</f>
        <v/>
      </c>
      <c r="P101" s="20" t="str">
        <f>VLOOKUP(O101,M99:N101,2,0)</f>
        <v/>
      </c>
    </row>
    <row r="102" spans="2:16" ht="18" customHeight="1" x14ac:dyDescent="0.25">
      <c r="B102" s="79"/>
      <c r="C102" s="79"/>
      <c r="D102" s="79"/>
      <c r="E102" s="79"/>
      <c r="F102" s="79"/>
      <c r="G102" s="79"/>
      <c r="I102" s="80"/>
      <c r="J102" s="79"/>
      <c r="K102" s="81"/>
      <c r="L102" s="81"/>
    </row>
    <row r="103" spans="2:16" ht="23.25" customHeight="1" x14ac:dyDescent="0.25">
      <c r="B103" s="82" t="s">
        <v>40</v>
      </c>
      <c r="C103" s="79"/>
      <c r="D103" s="79"/>
      <c r="E103" s="79"/>
      <c r="F103" s="79"/>
      <c r="G103" s="79"/>
      <c r="H103" s="79"/>
      <c r="I103" s="79"/>
      <c r="J103" s="79"/>
      <c r="K103" s="79"/>
      <c r="L103" s="79"/>
    </row>
    <row r="104" spans="2:16" ht="18" customHeight="1" x14ac:dyDescent="0.25">
      <c r="B104" s="9" t="s">
        <v>15</v>
      </c>
      <c r="C104" s="9" t="s">
        <v>0</v>
      </c>
      <c r="D104" s="228" t="s">
        <v>41</v>
      </c>
      <c r="E104" s="229"/>
      <c r="F104" s="229"/>
      <c r="G104" s="229"/>
      <c r="H104" s="229"/>
      <c r="I104" s="230"/>
      <c r="J104" s="9" t="s">
        <v>15</v>
      </c>
      <c r="K104" s="9" t="s">
        <v>0</v>
      </c>
      <c r="L104" s="79"/>
    </row>
    <row r="105" spans="2:16" ht="18" customHeight="1" x14ac:dyDescent="0.25">
      <c r="B105" s="15" t="str">
        <f>IF(H99=3,B99,"")</f>
        <v/>
      </c>
      <c r="C105" s="15" t="str">
        <f>IFERROR(IF(B105="","",VLOOKUP(B105,LISTAS!$F$5:$G$1004,2,0)),"0")</f>
        <v/>
      </c>
      <c r="D105" s="223"/>
      <c r="E105" s="224"/>
      <c r="F105" s="223" t="s">
        <v>38</v>
      </c>
      <c r="G105" s="224"/>
      <c r="H105" s="223"/>
      <c r="I105" s="224"/>
      <c r="J105" s="21" t="str">
        <f>IF(H99=3,B101,"")</f>
        <v/>
      </c>
      <c r="K105" s="15" t="str">
        <f>IFERROR(IF(J105="","",VLOOKUP(J105,LISTAS!$F$5:$G$1004,2,0)),"0")</f>
        <v/>
      </c>
      <c r="L105" s="81"/>
    </row>
    <row r="106" spans="2:16" ht="18" customHeight="1" x14ac:dyDescent="0.25">
      <c r="B106" s="15" t="str">
        <f>IF(H99=3,B100,"")</f>
        <v/>
      </c>
      <c r="C106" s="15" t="str">
        <f>IFERROR(IF(B106="","",VLOOKUP(B106,LISTAS!$F$5:$G$1004,2,0)),"0")</f>
        <v/>
      </c>
      <c r="D106" s="223"/>
      <c r="E106" s="224"/>
      <c r="F106" s="223" t="s">
        <v>38</v>
      </c>
      <c r="G106" s="224"/>
      <c r="H106" s="223"/>
      <c r="I106" s="224"/>
      <c r="J106" s="21" t="str">
        <f>IF(H99=3,B101,"")</f>
        <v/>
      </c>
      <c r="K106" s="15" t="str">
        <f>IFERROR(IF(J106="","",VLOOKUP(J106,LISTAS!$F$5:$G$1004,2,0)),"0")</f>
        <v/>
      </c>
      <c r="L106" s="79"/>
    </row>
    <row r="107" spans="2:16" ht="18" customHeight="1" x14ac:dyDescent="0.25">
      <c r="B107" s="15" t="str">
        <f>IF(H99=3,B99,"")</f>
        <v/>
      </c>
      <c r="C107" s="15" t="str">
        <f>IFERROR(IF(B107="","",VLOOKUP(B107,LISTAS!$F$5:$G$1004,2,0)),"0")</f>
        <v/>
      </c>
      <c r="D107" s="223"/>
      <c r="E107" s="224"/>
      <c r="F107" s="223" t="s">
        <v>38</v>
      </c>
      <c r="G107" s="224"/>
      <c r="H107" s="223"/>
      <c r="I107" s="224"/>
      <c r="J107" s="21" t="str">
        <f>IF(H99=3,B100,"")</f>
        <v/>
      </c>
      <c r="K107" s="15" t="str">
        <f>IFERROR(IF(J107="","",VLOOKUP(J107,LISTAS!$F$5:$G$1004,2,0)),"0")</f>
        <v/>
      </c>
      <c r="L107" s="81"/>
    </row>
    <row r="110" spans="2:16" ht="30" customHeight="1" x14ac:dyDescent="0.25">
      <c r="B110" s="161" t="s">
        <v>52</v>
      </c>
      <c r="C110" s="79"/>
      <c r="D110" s="225" t="s">
        <v>42</v>
      </c>
      <c r="E110" s="226"/>
      <c r="F110" s="226"/>
      <c r="G110" s="227"/>
      <c r="H110" s="113"/>
      <c r="I110" s="225" t="s">
        <v>3</v>
      </c>
      <c r="J110" s="226"/>
      <c r="K110" s="226"/>
      <c r="L110" s="226"/>
    </row>
    <row r="111" spans="2:16" ht="18" customHeight="1" x14ac:dyDescent="0.25">
      <c r="B111" s="9" t="s">
        <v>15</v>
      </c>
      <c r="C111" s="9" t="s">
        <v>0</v>
      </c>
      <c r="D111" s="9" t="s">
        <v>43</v>
      </c>
      <c r="E111" s="9" t="s">
        <v>44</v>
      </c>
      <c r="F111" s="9" t="s">
        <v>77</v>
      </c>
      <c r="G111" s="9" t="s">
        <v>78</v>
      </c>
      <c r="H111" s="114"/>
      <c r="I111" s="9" t="s">
        <v>18</v>
      </c>
      <c r="J111" s="9" t="s">
        <v>15</v>
      </c>
      <c r="K111" s="9" t="s">
        <v>0</v>
      </c>
      <c r="L111" s="9" t="s">
        <v>45</v>
      </c>
    </row>
    <row r="112" spans="2:16" ht="18" customHeight="1" x14ac:dyDescent="0.25">
      <c r="B112" s="15"/>
      <c r="C112" s="15" t="str">
        <f>IFERROR(IF(B112="","",VLOOKUP(B112,LISTAS!$F$5:$G$1004,2,0)),"0")</f>
        <v/>
      </c>
      <c r="D112" s="15" t="str">
        <f>IF(H112&lt;3,"",IF(H112=3,IF(D118&lt;&gt;"",IF(H118&lt;&gt;"",IF(D118&lt;&gt;H118,IF(D118&gt;H118,"V","D"),""),""),"")))</f>
        <v/>
      </c>
      <c r="E112" s="15" t="str">
        <f>IF(H112&lt;3,"",IF(H112=3,IF(D120&lt;&gt;"",IF(H120&lt;&gt;"",IF(D120&lt;&gt;H120,IF(D120&gt;H120,"V","D"),""),""),"")))</f>
        <v/>
      </c>
      <c r="F112" s="15" t="s">
        <v>81</v>
      </c>
      <c r="G112" s="15" t="s">
        <v>81</v>
      </c>
      <c r="H112" s="117">
        <f>COUNTA(B112:B114)</f>
        <v>0</v>
      </c>
      <c r="I112" s="15" t="str">
        <f>IF(B112&lt;&gt;"",1,"")</f>
        <v/>
      </c>
      <c r="J112" s="15" t="str">
        <f>IF(I112&lt;&gt;"",P112,"")</f>
        <v/>
      </c>
      <c r="K112" s="15" t="str">
        <f>IFERROR(IF(J112="","",VLOOKUP(J112,LISTAS!$F$5:$G$1004,2,0)),"0")</f>
        <v/>
      </c>
      <c r="L112" s="119" t="str">
        <f>IF(H112=3,"OURO",IF(H112=4,"OURO",IF(H112=5,"OURO","")))</f>
        <v/>
      </c>
      <c r="M112" s="20" t="str">
        <f>IF(B112&lt;&gt;"",COUNTIF(D112:G112,"V")+(SUMIF(B118:B120,B112,D118:E120)/1000)+(SUMIF(J118:J120,B112,H118:I120)/1000)-(SUMIF(B118:B120,B112,H118:I120)/1000)-(SUMIF(J118:J120,B112,D118:E120)/1000)+0.003,"")</f>
        <v/>
      </c>
      <c r="N112" s="20" t="str">
        <f>IF(B112="","",B112)</f>
        <v/>
      </c>
      <c r="O112" s="20" t="str">
        <f>IF(B112&lt;&gt;"",LARGE(M112:M114,1),"")</f>
        <v/>
      </c>
      <c r="P112" s="20" t="str">
        <f>VLOOKUP(O112,M112:N114,2,0)</f>
        <v/>
      </c>
    </row>
    <row r="113" spans="2:16" ht="18" customHeight="1" x14ac:dyDescent="0.25">
      <c r="B113" s="15"/>
      <c r="C113" s="15" t="str">
        <f>IFERROR(IF(B113="","",VLOOKUP(B113,LISTAS!$F$5:$G$1004,2,0)),"0")</f>
        <v/>
      </c>
      <c r="D113" s="15" t="str">
        <f>IF(H112&lt;3,"",IF(H112=3,IF(D119&lt;&gt;"",IF(H119&lt;&gt;"",IF(D119&lt;&gt;H119,IF(D119&gt;H119,"V","D"),""),""),"")))</f>
        <v/>
      </c>
      <c r="E113" s="15" t="str">
        <f>IF(H112&lt;3,"",IF(H112=3,IF(D120&lt;&gt;"",IF(H120&lt;&gt;"",IF(D120&lt;&gt;H120,IF(D120&gt;H120,"D","V"),""),""),"")))</f>
        <v/>
      </c>
      <c r="F113" s="15" t="s">
        <v>81</v>
      </c>
      <c r="G113" s="15" t="s">
        <v>81</v>
      </c>
      <c r="H113" s="115"/>
      <c r="I113" s="15" t="str">
        <f>IF(B113&lt;&gt;"",2,"")</f>
        <v/>
      </c>
      <c r="J113" s="15" t="str">
        <f>IF(I113&lt;&gt;"",P113,"")</f>
        <v/>
      </c>
      <c r="K113" s="15" t="str">
        <f>IFERROR(IF(J113="","",VLOOKUP(J113,LISTAS!$F$5:$G$1004,2,0)),"0")</f>
        <v/>
      </c>
      <c r="L113" s="119" t="str">
        <f>IF(H112=3,"PRATA",IF(H112=4,"OURO",IF(H112=5,"OURO","")))</f>
        <v/>
      </c>
      <c r="M113" s="20" t="str">
        <f>IF(B113&lt;&gt;"",COUNTIF(D113:G113,"V")+(SUMIF(B118:B120,B113,D118:E120)/1000)+(SUMIF(J118:J120,B113,H118:I120)/1000)-(SUMIF(B118:B120,B113,H118:I120)/1000)-(SUMIF(J118:J120,B113,D118:E120)/1000)+0.002,"")</f>
        <v/>
      </c>
      <c r="N113" s="20" t="str">
        <f t="shared" ref="N113" si="7">IF(B113="","",B113)</f>
        <v/>
      </c>
      <c r="O113" s="20" t="str">
        <f>IF(B113&lt;&gt;"",LARGE(M112:M114,2),"")</f>
        <v/>
      </c>
      <c r="P113" s="20" t="str">
        <f>VLOOKUP(O113,M112:N114,2,0)</f>
        <v/>
      </c>
    </row>
    <row r="114" spans="2:16" ht="18" customHeight="1" x14ac:dyDescent="0.25">
      <c r="B114" s="15"/>
      <c r="C114" s="15" t="str">
        <f>IFERROR(IF(B114="","",VLOOKUP(B114,LISTAS!$F$5:$G$1004,2,0)),"0")</f>
        <v/>
      </c>
      <c r="D114" s="15" t="str">
        <f>IF(H112&lt;3,"",IF(H112=3,IF(D118&lt;&gt;"",IF(H118&lt;&gt;"",IF(D118&lt;&gt;H118,IF(D118&gt;H118,"D","V"),""),""),"")))</f>
        <v/>
      </c>
      <c r="E114" s="15" t="str">
        <f>IF(H112&lt;3,"",IF(H112=3,IF(D119&lt;&gt;"",IF(H119&lt;&gt;"",IF(D119&lt;&gt;H119,IF(D119&gt;H119,"D","V"),""),""),"")))</f>
        <v/>
      </c>
      <c r="F114" s="15" t="s">
        <v>81</v>
      </c>
      <c r="G114" s="15" t="s">
        <v>81</v>
      </c>
      <c r="H114" s="115"/>
      <c r="I114" s="15" t="str">
        <f>IF(B114&lt;&gt;"",3,"")</f>
        <v/>
      </c>
      <c r="J114" s="15" t="str">
        <f>IF(I114&lt;&gt;"",P114,"")</f>
        <v/>
      </c>
      <c r="K114" s="15" t="str">
        <f>IFERROR(IF(J114="","",VLOOKUP(J114,LISTAS!$F$5:$G$1004,2,0)),"0")</f>
        <v/>
      </c>
      <c r="L114" s="119" t="str">
        <f>IF(H112=3,"BRONZE",IF(H112=4,"PRATA",IF(H112=5,"OURO","")))</f>
        <v/>
      </c>
      <c r="M114" s="20" t="str">
        <f>IF(B114&lt;&gt;"",COUNTIF(D114:G114,"V")+(SUMIF(B118:B120,B114,D118:E120)/1000)+(SUMIF(J118:J120,B114,H118:I120)/1000)-(SUMIF(B118:B120,B114,H118:I120)/1000)-(SUMIF(J118:J120,B114,D118:E120)/1000)+0.001,"")</f>
        <v/>
      </c>
      <c r="N114" s="20" t="str">
        <f>IF(B114="","",B114)</f>
        <v/>
      </c>
      <c r="O114" s="20" t="str">
        <f>IF(B114&lt;&gt;"",LARGE(M112:M114,3),"")</f>
        <v/>
      </c>
      <c r="P114" s="20" t="str">
        <f>VLOOKUP(O114,M112:N114,2,0)</f>
        <v/>
      </c>
    </row>
    <row r="115" spans="2:16" ht="18" customHeight="1" x14ac:dyDescent="0.25">
      <c r="B115" s="79"/>
      <c r="C115" s="79"/>
      <c r="D115" s="79"/>
      <c r="E115" s="79"/>
      <c r="F115" s="79"/>
      <c r="G115" s="79"/>
      <c r="I115" s="80"/>
      <c r="J115" s="79"/>
      <c r="K115" s="81"/>
      <c r="L115" s="81"/>
    </row>
    <row r="116" spans="2:16" ht="23.25" customHeight="1" x14ac:dyDescent="0.25">
      <c r="B116" s="82" t="s">
        <v>40</v>
      </c>
      <c r="C116" s="79"/>
      <c r="D116" s="79"/>
      <c r="E116" s="79"/>
      <c r="F116" s="79"/>
      <c r="G116" s="79"/>
      <c r="H116" s="79"/>
      <c r="I116" s="79"/>
      <c r="J116" s="79"/>
      <c r="K116" s="79"/>
      <c r="L116" s="79"/>
    </row>
    <row r="117" spans="2:16" ht="18" customHeight="1" x14ac:dyDescent="0.25">
      <c r="B117" s="9" t="s">
        <v>15</v>
      </c>
      <c r="C117" s="9" t="s">
        <v>0</v>
      </c>
      <c r="D117" s="228" t="s">
        <v>41</v>
      </c>
      <c r="E117" s="229"/>
      <c r="F117" s="229"/>
      <c r="G117" s="229"/>
      <c r="H117" s="229"/>
      <c r="I117" s="230"/>
      <c r="J117" s="9" t="s">
        <v>15</v>
      </c>
      <c r="K117" s="9" t="s">
        <v>0</v>
      </c>
      <c r="L117" s="79"/>
    </row>
    <row r="118" spans="2:16" ht="18" customHeight="1" x14ac:dyDescent="0.25">
      <c r="B118" s="15" t="str">
        <f>IF(H112=3,B112,"")</f>
        <v/>
      </c>
      <c r="C118" s="15" t="str">
        <f>IFERROR(IF(B118="","",VLOOKUP(B118,LISTAS!$F$5:$G$1004,2,0)),"0")</f>
        <v/>
      </c>
      <c r="D118" s="223"/>
      <c r="E118" s="224"/>
      <c r="F118" s="223" t="s">
        <v>38</v>
      </c>
      <c r="G118" s="224"/>
      <c r="H118" s="223"/>
      <c r="I118" s="224"/>
      <c r="J118" s="21" t="str">
        <f>IF(H112=3,B114,"")</f>
        <v/>
      </c>
      <c r="K118" s="15" t="str">
        <f>IFERROR(IF(J118="","",VLOOKUP(J118,LISTAS!$F$5:$G$1004,2,0)),"0")</f>
        <v/>
      </c>
      <c r="L118" s="81"/>
    </row>
    <row r="119" spans="2:16" ht="18" customHeight="1" x14ac:dyDescent="0.25">
      <c r="B119" s="15" t="str">
        <f>IF(H112=3,B113,"")</f>
        <v/>
      </c>
      <c r="C119" s="15" t="str">
        <f>IFERROR(IF(B119="","",VLOOKUP(B119,LISTAS!$F$5:$G$1004,2,0)),"0")</f>
        <v/>
      </c>
      <c r="D119" s="223"/>
      <c r="E119" s="224"/>
      <c r="F119" s="223" t="s">
        <v>38</v>
      </c>
      <c r="G119" s="224"/>
      <c r="H119" s="223"/>
      <c r="I119" s="224"/>
      <c r="J119" s="21" t="str">
        <f>IF(H112=3,B114,"")</f>
        <v/>
      </c>
      <c r="K119" s="15" t="str">
        <f>IFERROR(IF(J119="","",VLOOKUP(J119,LISTAS!$F$5:$G$1004,2,0)),"0")</f>
        <v/>
      </c>
      <c r="L119" s="79"/>
    </row>
    <row r="120" spans="2:16" ht="18" customHeight="1" x14ac:dyDescent="0.25">
      <c r="B120" s="15" t="str">
        <f>IF(H112=3,B112,"")</f>
        <v/>
      </c>
      <c r="C120" s="15" t="str">
        <f>IFERROR(IF(B120="","",VLOOKUP(B120,LISTAS!$F$5:$G$1004,2,0)),"0")</f>
        <v/>
      </c>
      <c r="D120" s="223"/>
      <c r="E120" s="224"/>
      <c r="F120" s="223" t="s">
        <v>38</v>
      </c>
      <c r="G120" s="224"/>
      <c r="H120" s="223"/>
      <c r="I120" s="224"/>
      <c r="J120" s="21" t="str">
        <f>IF(H112=3,B113,"")</f>
        <v/>
      </c>
      <c r="K120" s="15" t="str">
        <f>IFERROR(IF(J120="","",VLOOKUP(J120,LISTAS!$F$5:$G$1004,2,0)),"0")</f>
        <v/>
      </c>
      <c r="L120" s="81"/>
    </row>
    <row r="123" spans="2:16" ht="30" customHeight="1" x14ac:dyDescent="0.25">
      <c r="B123" s="161" t="s">
        <v>53</v>
      </c>
      <c r="C123" s="79"/>
      <c r="D123" s="225" t="s">
        <v>42</v>
      </c>
      <c r="E123" s="226"/>
      <c r="F123" s="226"/>
      <c r="G123" s="227"/>
      <c r="H123" s="113"/>
      <c r="I123" s="225" t="s">
        <v>3</v>
      </c>
      <c r="J123" s="226"/>
      <c r="K123" s="226"/>
      <c r="L123" s="226"/>
    </row>
    <row r="124" spans="2:16" ht="18" customHeight="1" x14ac:dyDescent="0.25">
      <c r="B124" s="9" t="s">
        <v>15</v>
      </c>
      <c r="C124" s="9" t="s">
        <v>0</v>
      </c>
      <c r="D124" s="9" t="s">
        <v>43</v>
      </c>
      <c r="E124" s="9" t="s">
        <v>44</v>
      </c>
      <c r="F124" s="9" t="s">
        <v>77</v>
      </c>
      <c r="G124" s="9" t="s">
        <v>78</v>
      </c>
      <c r="H124" s="114"/>
      <c r="I124" s="9" t="s">
        <v>18</v>
      </c>
      <c r="J124" s="9" t="s">
        <v>15</v>
      </c>
      <c r="K124" s="9" t="s">
        <v>0</v>
      </c>
      <c r="L124" s="9" t="s">
        <v>45</v>
      </c>
    </row>
    <row r="125" spans="2:16" ht="18" customHeight="1" x14ac:dyDescent="0.25">
      <c r="B125" s="15"/>
      <c r="C125" s="15" t="str">
        <f>IFERROR(IF(B125="","",VLOOKUP(B125,LISTAS!$F$5:$G$1004,2,0)),"0")</f>
        <v/>
      </c>
      <c r="D125" s="15" t="str">
        <f>IF(H125&lt;3,"",IF(H125=3,IF(D131&lt;&gt;"",IF(H131&lt;&gt;"",IF(D131&lt;&gt;H131,IF(D131&gt;H131,"V","D"),""),""),"")))</f>
        <v/>
      </c>
      <c r="E125" s="15" t="str">
        <f>IF(H125&lt;3,"",IF(H125=3,IF(D133&lt;&gt;"",IF(H133&lt;&gt;"",IF(D133&lt;&gt;H133,IF(D133&gt;H133,"V","D"),""),""),"")))</f>
        <v/>
      </c>
      <c r="F125" s="15" t="s">
        <v>81</v>
      </c>
      <c r="G125" s="15" t="s">
        <v>81</v>
      </c>
      <c r="H125" s="117">
        <f>COUNTA(B125:B127)</f>
        <v>0</v>
      </c>
      <c r="I125" s="15" t="str">
        <f>IF(B125&lt;&gt;"",1,"")</f>
        <v/>
      </c>
      <c r="J125" s="15" t="str">
        <f>IF(I125&lt;&gt;"",P125,"")</f>
        <v/>
      </c>
      <c r="K125" s="15" t="str">
        <f>IFERROR(IF(J125="","",VLOOKUP(J125,LISTAS!$F$5:$G$1004,2,0)),"0")</f>
        <v/>
      </c>
      <c r="L125" s="119" t="str">
        <f>IF(H125=3,"OURO",IF(H125=4,"OURO",IF(H125=5,"OURO","")))</f>
        <v/>
      </c>
      <c r="M125" s="20" t="str">
        <f>IF(B125&lt;&gt;"",COUNTIF(D125:G125,"V")+(SUMIF(B131:B133,B125,D131:E133)/1000)+(SUMIF(J131:J133,B125,H131:I133)/1000)-(SUMIF(B131:B133,B125,H131:I133)/1000)-(SUMIF(J131:J133,B125,D131:E133)/1000)+0.003,"")</f>
        <v/>
      </c>
      <c r="N125" s="20" t="str">
        <f>IF(B125="","",B125)</f>
        <v/>
      </c>
      <c r="O125" s="20" t="str">
        <f>IF(B125&lt;&gt;"",LARGE(M125:M127,1),"")</f>
        <v/>
      </c>
      <c r="P125" s="20" t="str">
        <f>VLOOKUP(O125,M125:N127,2,0)</f>
        <v/>
      </c>
    </row>
    <row r="126" spans="2:16" ht="18" customHeight="1" x14ac:dyDescent="0.25">
      <c r="B126" s="15"/>
      <c r="C126" s="15" t="str">
        <f>IFERROR(IF(B126="","",VLOOKUP(B126,LISTAS!$F$5:$G$1004,2,0)),"0")</f>
        <v/>
      </c>
      <c r="D126" s="15" t="str">
        <f>IF(H125&lt;3,"",IF(H125=3,IF(D132&lt;&gt;"",IF(H132&lt;&gt;"",IF(D132&lt;&gt;H132,IF(D132&gt;H132,"V","D"),""),""),"")))</f>
        <v/>
      </c>
      <c r="E126" s="15" t="str">
        <f>IF(H125&lt;3,"",IF(H125=3,IF(D133&lt;&gt;"",IF(H133&lt;&gt;"",IF(D133&lt;&gt;H133,IF(D133&gt;H133,"D","V"),""),""),"")))</f>
        <v/>
      </c>
      <c r="F126" s="15" t="s">
        <v>81</v>
      </c>
      <c r="G126" s="15" t="s">
        <v>81</v>
      </c>
      <c r="H126" s="115"/>
      <c r="I126" s="15" t="str">
        <f>IF(B126&lt;&gt;"",2,"")</f>
        <v/>
      </c>
      <c r="J126" s="15" t="str">
        <f>IF(I126&lt;&gt;"",P126,"")</f>
        <v/>
      </c>
      <c r="K126" s="15" t="str">
        <f>IFERROR(IF(J126="","",VLOOKUP(J126,LISTAS!$F$5:$G$1004,2,0)),"0")</f>
        <v/>
      </c>
      <c r="L126" s="119" t="str">
        <f>IF(H125=3,"PRATA",IF(H125=4,"OURO",IF(H125=5,"OURO","")))</f>
        <v/>
      </c>
      <c r="M126" s="20" t="str">
        <f>IF(B126&lt;&gt;"",COUNTIF(D126:G126,"V")+(SUMIF(B131:B133,B126,D131:E133)/1000)+(SUMIF(J131:J133,B126,H131:I133)/1000)-(SUMIF(B131:B133,B126,H131:I133)/1000)-(SUMIF(J131:J133,B126,D131:E133)/1000)+0.002,"")</f>
        <v/>
      </c>
      <c r="N126" s="20" t="str">
        <f t="shared" ref="N126" si="8">IF(B126="","",B126)</f>
        <v/>
      </c>
      <c r="O126" s="20" t="str">
        <f>IF(B126&lt;&gt;"",LARGE(M125:M127,2),"")</f>
        <v/>
      </c>
      <c r="P126" s="20" t="str">
        <f>VLOOKUP(O126,M125:N127,2,0)</f>
        <v/>
      </c>
    </row>
    <row r="127" spans="2:16" ht="18" customHeight="1" x14ac:dyDescent="0.25">
      <c r="B127" s="15"/>
      <c r="C127" s="15" t="str">
        <f>IFERROR(IF(B127="","",VLOOKUP(B127,LISTAS!$F$5:$G$1004,2,0)),"0")</f>
        <v/>
      </c>
      <c r="D127" s="15" t="str">
        <f>IF(H125&lt;3,"",IF(H125=3,IF(D131&lt;&gt;"",IF(H131&lt;&gt;"",IF(D131&lt;&gt;H131,IF(D131&gt;H131,"D","V"),""),""),"")))</f>
        <v/>
      </c>
      <c r="E127" s="15" t="str">
        <f>IF(H125&lt;3,"",IF(H125=3,IF(D132&lt;&gt;"",IF(H132&lt;&gt;"",IF(D132&lt;&gt;H132,IF(D132&gt;H132,"D","V"),""),""),"")))</f>
        <v/>
      </c>
      <c r="F127" s="15" t="s">
        <v>81</v>
      </c>
      <c r="G127" s="15" t="s">
        <v>81</v>
      </c>
      <c r="H127" s="115"/>
      <c r="I127" s="15" t="str">
        <f>IF(B127&lt;&gt;"",3,"")</f>
        <v/>
      </c>
      <c r="J127" s="15" t="str">
        <f>IF(I127&lt;&gt;"",P127,"")</f>
        <v/>
      </c>
      <c r="K127" s="15" t="str">
        <f>IFERROR(IF(J127="","",VLOOKUP(J127,LISTAS!$F$5:$G$1004,2,0)),"0")</f>
        <v/>
      </c>
      <c r="L127" s="119" t="str">
        <f>IF(H125=3,"BRONZE",IF(H125=4,"PRATA",IF(H125=5,"OURO","")))</f>
        <v/>
      </c>
      <c r="M127" s="20" t="str">
        <f>IF(B127&lt;&gt;"",COUNTIF(D127:G127,"V")+(SUMIF(B131:B133,B127,D131:E133)/1000)+(SUMIF(J131:J133,B127,H131:I133)/1000)-(SUMIF(B131:B133,B127,H131:I133)/1000)-(SUMIF(J131:J133,B127,D131:E133)/1000)+0.001,"")</f>
        <v/>
      </c>
      <c r="N127" s="20" t="str">
        <f>IF(B127="","",B127)</f>
        <v/>
      </c>
      <c r="O127" s="20" t="str">
        <f>IF(B127&lt;&gt;"",LARGE(M125:M127,3),"")</f>
        <v/>
      </c>
      <c r="P127" s="20" t="str">
        <f>VLOOKUP(O127,M125:N127,2,0)</f>
        <v/>
      </c>
    </row>
    <row r="128" spans="2:16" ht="18" customHeight="1" x14ac:dyDescent="0.25">
      <c r="B128" s="79"/>
      <c r="C128" s="79"/>
      <c r="D128" s="79"/>
      <c r="E128" s="79"/>
      <c r="F128" s="79"/>
      <c r="G128" s="79"/>
      <c r="I128" s="80"/>
      <c r="J128" s="79"/>
      <c r="K128" s="81"/>
      <c r="L128" s="81"/>
    </row>
    <row r="129" spans="2:16" ht="23.25" customHeight="1" x14ac:dyDescent="0.25">
      <c r="B129" s="82" t="s">
        <v>40</v>
      </c>
      <c r="C129" s="79"/>
      <c r="D129" s="79"/>
      <c r="E129" s="79"/>
      <c r="F129" s="79"/>
      <c r="G129" s="79"/>
      <c r="H129" s="79"/>
      <c r="I129" s="79"/>
      <c r="J129" s="79"/>
      <c r="K129" s="79"/>
      <c r="L129" s="79"/>
    </row>
    <row r="130" spans="2:16" ht="18" customHeight="1" x14ac:dyDescent="0.25">
      <c r="B130" s="9" t="s">
        <v>15</v>
      </c>
      <c r="C130" s="9" t="s">
        <v>0</v>
      </c>
      <c r="D130" s="228" t="s">
        <v>41</v>
      </c>
      <c r="E130" s="229"/>
      <c r="F130" s="229"/>
      <c r="G130" s="229"/>
      <c r="H130" s="229"/>
      <c r="I130" s="230"/>
      <c r="J130" s="9" t="s">
        <v>15</v>
      </c>
      <c r="K130" s="9" t="s">
        <v>0</v>
      </c>
      <c r="L130" s="79"/>
    </row>
    <row r="131" spans="2:16" ht="18" customHeight="1" x14ac:dyDescent="0.25">
      <c r="B131" s="15" t="str">
        <f>IF(H125=3,B125,"")</f>
        <v/>
      </c>
      <c r="C131" s="15" t="str">
        <f>IFERROR(IF(B131="","",VLOOKUP(B131,LISTAS!$F$5:$G$1004,2,0)),"0")</f>
        <v/>
      </c>
      <c r="D131" s="223"/>
      <c r="E131" s="224"/>
      <c r="F131" s="223" t="s">
        <v>38</v>
      </c>
      <c r="G131" s="224"/>
      <c r="H131" s="223"/>
      <c r="I131" s="224"/>
      <c r="J131" s="21" t="str">
        <f>IF(H125=3,B127,"")</f>
        <v/>
      </c>
      <c r="K131" s="15" t="str">
        <f>IFERROR(IF(J131="","",VLOOKUP(J131,LISTAS!$F$5:$G$1004,2,0)),"0")</f>
        <v/>
      </c>
      <c r="L131" s="81"/>
    </row>
    <row r="132" spans="2:16" ht="18" customHeight="1" x14ac:dyDescent="0.25">
      <c r="B132" s="15" t="str">
        <f>IF(H125=3,B126,"")</f>
        <v/>
      </c>
      <c r="C132" s="15" t="str">
        <f>IFERROR(IF(B132="","",VLOOKUP(B132,LISTAS!$F$5:$G$1004,2,0)),"0")</f>
        <v/>
      </c>
      <c r="D132" s="223"/>
      <c r="E132" s="224"/>
      <c r="F132" s="223" t="s">
        <v>38</v>
      </c>
      <c r="G132" s="224"/>
      <c r="H132" s="223"/>
      <c r="I132" s="224"/>
      <c r="J132" s="21" t="str">
        <f>IF(H125=3,B127,"")</f>
        <v/>
      </c>
      <c r="K132" s="15" t="str">
        <f>IFERROR(IF(J132="","",VLOOKUP(J132,LISTAS!$F$5:$G$1004,2,0)),"0")</f>
        <v/>
      </c>
      <c r="L132" s="79"/>
    </row>
    <row r="133" spans="2:16" ht="18" customHeight="1" x14ac:dyDescent="0.25">
      <c r="B133" s="15" t="str">
        <f>IF(H125=3,B125,"")</f>
        <v/>
      </c>
      <c r="C133" s="15" t="str">
        <f>IFERROR(IF(B133="","",VLOOKUP(B133,LISTAS!$F$5:$G$1004,2,0)),"0")</f>
        <v/>
      </c>
      <c r="D133" s="223"/>
      <c r="E133" s="224"/>
      <c r="F133" s="223" t="s">
        <v>38</v>
      </c>
      <c r="G133" s="224"/>
      <c r="H133" s="223"/>
      <c r="I133" s="224"/>
      <c r="J133" s="21" t="str">
        <f>IF(H125=3,B126,"")</f>
        <v/>
      </c>
      <c r="K133" s="15" t="str">
        <f>IFERROR(IF(J133="","",VLOOKUP(J133,LISTAS!$F$5:$G$1004,2,0)),"0")</f>
        <v/>
      </c>
      <c r="L133" s="81"/>
    </row>
    <row r="136" spans="2:16" ht="30" customHeight="1" x14ac:dyDescent="0.25">
      <c r="B136" s="161" t="s">
        <v>54</v>
      </c>
      <c r="C136" s="79"/>
      <c r="D136" s="225" t="s">
        <v>42</v>
      </c>
      <c r="E136" s="226"/>
      <c r="F136" s="226"/>
      <c r="G136" s="227"/>
      <c r="H136" s="113"/>
      <c r="I136" s="225" t="s">
        <v>3</v>
      </c>
      <c r="J136" s="226"/>
      <c r="K136" s="226"/>
      <c r="L136" s="226"/>
    </row>
    <row r="137" spans="2:16" ht="18" customHeight="1" x14ac:dyDescent="0.25">
      <c r="B137" s="9" t="s">
        <v>15</v>
      </c>
      <c r="C137" s="9" t="s">
        <v>0</v>
      </c>
      <c r="D137" s="9" t="s">
        <v>43</v>
      </c>
      <c r="E137" s="9" t="s">
        <v>44</v>
      </c>
      <c r="F137" s="9" t="s">
        <v>77</v>
      </c>
      <c r="G137" s="9" t="s">
        <v>78</v>
      </c>
      <c r="H137" s="114"/>
      <c r="I137" s="9" t="s">
        <v>18</v>
      </c>
      <c r="J137" s="9" t="s">
        <v>15</v>
      </c>
      <c r="K137" s="9" t="s">
        <v>0</v>
      </c>
      <c r="L137" s="9" t="s">
        <v>45</v>
      </c>
    </row>
    <row r="138" spans="2:16" ht="18" customHeight="1" x14ac:dyDescent="0.25">
      <c r="B138" s="15"/>
      <c r="C138" s="15" t="str">
        <f>IFERROR(IF(B138="","",VLOOKUP(B138,LISTAS!$F$5:$G$1004,2,0)),"0")</f>
        <v/>
      </c>
      <c r="D138" s="15" t="str">
        <f>IF(H138&lt;3,"",IF(H138=3,IF(D144&lt;&gt;"",IF(H144&lt;&gt;"",IF(D144&lt;&gt;H144,IF(D144&gt;H144,"V","D"),""),""),"")))</f>
        <v/>
      </c>
      <c r="E138" s="15" t="str">
        <f>IF(H138&lt;3,"",IF(H138=3,IF(D146&lt;&gt;"",IF(H146&lt;&gt;"",IF(D146&lt;&gt;H146,IF(D146&gt;H146,"V","D"),""),""),"")))</f>
        <v/>
      </c>
      <c r="F138" s="15" t="s">
        <v>81</v>
      </c>
      <c r="G138" s="15" t="s">
        <v>81</v>
      </c>
      <c r="H138" s="117">
        <f>COUNTA(B138:B140)</f>
        <v>0</v>
      </c>
      <c r="I138" s="15" t="str">
        <f>IF(B138&lt;&gt;"",1,"")</f>
        <v/>
      </c>
      <c r="J138" s="15" t="str">
        <f>IF(I138&lt;&gt;"",P138,"")</f>
        <v/>
      </c>
      <c r="K138" s="15" t="str">
        <f>IFERROR(IF(J138="","",VLOOKUP(J138,LISTAS!$F$5:$G$1004,2,0)),"0")</f>
        <v/>
      </c>
      <c r="L138" s="119" t="str">
        <f>IF(H138=3,"OURO",IF(H138=4,"OURO",IF(H138=5,"OURO","")))</f>
        <v/>
      </c>
      <c r="M138" s="20" t="str">
        <f>IF(B138&lt;&gt;"",COUNTIF(D138:G138,"V")+(SUMIF(B144:B146,B138,D144:E146)/1000)+(SUMIF(J144:J146,B138,H144:I146)/1000)-(SUMIF(B144:B146,B138,H144:I146)/1000)-(SUMIF(J144:J146,B138,D144:E146)/1000)+0.003,"")</f>
        <v/>
      </c>
      <c r="N138" s="20" t="str">
        <f>IF(B138="","",B138)</f>
        <v/>
      </c>
      <c r="O138" s="20" t="str">
        <f>IF(B138&lt;&gt;"",LARGE(M138:M140,1),"")</f>
        <v/>
      </c>
      <c r="P138" s="20" t="str">
        <f>VLOOKUP(O138,M138:N140,2,0)</f>
        <v/>
      </c>
    </row>
    <row r="139" spans="2:16" ht="18" customHeight="1" x14ac:dyDescent="0.25">
      <c r="B139" s="15"/>
      <c r="C139" s="15" t="str">
        <f>IFERROR(IF(B139="","",VLOOKUP(B139,LISTAS!$F$5:$G$1004,2,0)),"0")</f>
        <v/>
      </c>
      <c r="D139" s="15" t="str">
        <f>IF(H138&lt;3,"",IF(H138=3,IF(D145&lt;&gt;"",IF(H145&lt;&gt;"",IF(D145&lt;&gt;H145,IF(D145&gt;H145,"V","D"),""),""),"")))</f>
        <v/>
      </c>
      <c r="E139" s="15" t="str">
        <f>IF(H138&lt;3,"",IF(H138=3,IF(D146&lt;&gt;"",IF(H146&lt;&gt;"",IF(D146&lt;&gt;H146,IF(D146&gt;H146,"D","V"),""),""),"")))</f>
        <v/>
      </c>
      <c r="F139" s="15" t="s">
        <v>81</v>
      </c>
      <c r="G139" s="15" t="s">
        <v>81</v>
      </c>
      <c r="H139" s="115"/>
      <c r="I139" s="15" t="str">
        <f>IF(B139&lt;&gt;"",2,"")</f>
        <v/>
      </c>
      <c r="J139" s="15" t="str">
        <f>IF(I139&lt;&gt;"",P139,"")</f>
        <v/>
      </c>
      <c r="K139" s="15" t="str">
        <f>IFERROR(IF(J139="","",VLOOKUP(J139,LISTAS!$F$5:$G$1004,2,0)),"0")</f>
        <v/>
      </c>
      <c r="L139" s="119" t="str">
        <f>IF(H138=3,"PRATA",IF(H138=4,"OURO",IF(H138=5,"OURO","")))</f>
        <v/>
      </c>
      <c r="M139" s="20" t="str">
        <f>IF(B139&lt;&gt;"",COUNTIF(D139:G139,"V")+(SUMIF(B144:B146,B139,D144:E146)/1000)+(SUMIF(J144:J146,B139,H144:I146)/1000)-(SUMIF(B144:B146,B139,H144:I146)/1000)-(SUMIF(J144:J146,B139,D144:E146)/1000)+0.002,"")</f>
        <v/>
      </c>
      <c r="N139" s="20" t="str">
        <f t="shared" ref="N139" si="9">IF(B139="","",B139)</f>
        <v/>
      </c>
      <c r="O139" s="20" t="str">
        <f>IF(B139&lt;&gt;"",LARGE(M138:M140,2),"")</f>
        <v/>
      </c>
      <c r="P139" s="20" t="str">
        <f>VLOOKUP(O139,M138:N140,2,0)</f>
        <v/>
      </c>
    </row>
    <row r="140" spans="2:16" ht="18" customHeight="1" x14ac:dyDescent="0.25">
      <c r="B140" s="15"/>
      <c r="C140" s="15" t="str">
        <f>IFERROR(IF(B140="","",VLOOKUP(B140,LISTAS!$F$5:$G$1004,2,0)),"0")</f>
        <v/>
      </c>
      <c r="D140" s="15" t="str">
        <f>IF(H138&lt;3,"",IF(H138=3,IF(D144&lt;&gt;"",IF(H144&lt;&gt;"",IF(D144&lt;&gt;H144,IF(D144&gt;H144,"D","V"),""),""),"")))</f>
        <v/>
      </c>
      <c r="E140" s="15" t="str">
        <f>IF(H138&lt;3,"",IF(H138=3,IF(D145&lt;&gt;"",IF(H145&lt;&gt;"",IF(D145&lt;&gt;H145,IF(D145&gt;H145,"D","V"),""),""),"")))</f>
        <v/>
      </c>
      <c r="F140" s="15" t="s">
        <v>81</v>
      </c>
      <c r="G140" s="15" t="s">
        <v>81</v>
      </c>
      <c r="H140" s="115"/>
      <c r="I140" s="15" t="str">
        <f>IF(B140&lt;&gt;"",3,"")</f>
        <v/>
      </c>
      <c r="J140" s="15" t="str">
        <f>IF(I140&lt;&gt;"",P140,"")</f>
        <v/>
      </c>
      <c r="K140" s="15" t="str">
        <f>IFERROR(IF(J140="","",VLOOKUP(J140,LISTAS!$F$5:$G$1004,2,0)),"0")</f>
        <v/>
      </c>
      <c r="L140" s="119" t="str">
        <f>IF(H138=3,"BRONZE",IF(H138=4,"PRATA",IF(H138=5,"OURO","")))</f>
        <v/>
      </c>
      <c r="M140" s="20" t="str">
        <f>IF(B140&lt;&gt;"",COUNTIF(D140:G140,"V")+(SUMIF(B144:B146,B140,D144:E146)/1000)+(SUMIF(J144:J146,B140,H144:I146)/1000)-(SUMIF(B144:B146,B140,H144:I146)/1000)-(SUMIF(J144:J146,B140,D144:E146)/1000)+0.001,"")</f>
        <v/>
      </c>
      <c r="N140" s="20" t="str">
        <f>IF(B140="","",B140)</f>
        <v/>
      </c>
      <c r="O140" s="20" t="str">
        <f>IF(B140&lt;&gt;"",LARGE(M138:M140,3),"")</f>
        <v/>
      </c>
      <c r="P140" s="20" t="str">
        <f>VLOOKUP(O140,M138:N140,2,0)</f>
        <v/>
      </c>
    </row>
    <row r="141" spans="2:16" ht="18" customHeight="1" x14ac:dyDescent="0.25">
      <c r="B141" s="79"/>
      <c r="C141" s="79"/>
      <c r="D141" s="79"/>
      <c r="E141" s="79"/>
      <c r="F141" s="79"/>
      <c r="G141" s="79"/>
      <c r="I141" s="80"/>
      <c r="J141" s="79"/>
      <c r="K141" s="81"/>
      <c r="L141" s="81"/>
    </row>
    <row r="142" spans="2:16" ht="23.25" customHeight="1" x14ac:dyDescent="0.25">
      <c r="B142" s="82" t="s">
        <v>40</v>
      </c>
      <c r="C142" s="79"/>
      <c r="D142" s="79"/>
      <c r="E142" s="79"/>
      <c r="F142" s="79"/>
      <c r="G142" s="79"/>
      <c r="H142" s="79"/>
      <c r="I142" s="79"/>
      <c r="J142" s="79"/>
      <c r="K142" s="79"/>
      <c r="L142" s="79"/>
    </row>
    <row r="143" spans="2:16" ht="18" customHeight="1" x14ac:dyDescent="0.25">
      <c r="B143" s="9" t="s">
        <v>15</v>
      </c>
      <c r="C143" s="9" t="s">
        <v>0</v>
      </c>
      <c r="D143" s="228" t="s">
        <v>41</v>
      </c>
      <c r="E143" s="229"/>
      <c r="F143" s="229"/>
      <c r="G143" s="229"/>
      <c r="H143" s="229"/>
      <c r="I143" s="230"/>
      <c r="J143" s="9" t="s">
        <v>15</v>
      </c>
      <c r="K143" s="9" t="s">
        <v>0</v>
      </c>
      <c r="L143" s="79"/>
    </row>
    <row r="144" spans="2:16" ht="18" customHeight="1" x14ac:dyDescent="0.25">
      <c r="B144" s="15" t="str">
        <f>IF(H138=3,B138,"")</f>
        <v/>
      </c>
      <c r="C144" s="15" t="str">
        <f>IFERROR(IF(B144="","",VLOOKUP(B144,LISTAS!$F$5:$G$1004,2,0)),"0")</f>
        <v/>
      </c>
      <c r="D144" s="223"/>
      <c r="E144" s="224"/>
      <c r="F144" s="223" t="s">
        <v>38</v>
      </c>
      <c r="G144" s="224"/>
      <c r="H144" s="223"/>
      <c r="I144" s="224"/>
      <c r="J144" s="21" t="str">
        <f>IF(H138=3,B140,"")</f>
        <v/>
      </c>
      <c r="K144" s="15" t="str">
        <f>IFERROR(IF(J144="","",VLOOKUP(J144,LISTAS!$F$5:$G$1004,2,0)),"0")</f>
        <v/>
      </c>
      <c r="L144" s="81"/>
    </row>
    <row r="145" spans="2:16" ht="18" customHeight="1" x14ac:dyDescent="0.25">
      <c r="B145" s="15" t="str">
        <f>IF(H138=3,B139,"")</f>
        <v/>
      </c>
      <c r="C145" s="15" t="str">
        <f>IFERROR(IF(B145="","",VLOOKUP(B145,LISTAS!$F$5:$G$1004,2,0)),"0")</f>
        <v/>
      </c>
      <c r="D145" s="223"/>
      <c r="E145" s="224"/>
      <c r="F145" s="223" t="s">
        <v>38</v>
      </c>
      <c r="G145" s="224"/>
      <c r="H145" s="223"/>
      <c r="I145" s="224"/>
      <c r="J145" s="21" t="str">
        <f>IF(H138=3,B140,"")</f>
        <v/>
      </c>
      <c r="K145" s="15" t="str">
        <f>IFERROR(IF(J145="","",VLOOKUP(J145,LISTAS!$F$5:$G$1004,2,0)),"0")</f>
        <v/>
      </c>
      <c r="L145" s="79"/>
    </row>
    <row r="146" spans="2:16" ht="18" customHeight="1" x14ac:dyDescent="0.25">
      <c r="B146" s="15" t="str">
        <f>IF(H138=3,B138,"")</f>
        <v/>
      </c>
      <c r="C146" s="15" t="str">
        <f>IFERROR(IF(B146="","",VLOOKUP(B146,LISTAS!$F$5:$G$1004,2,0)),"0")</f>
        <v/>
      </c>
      <c r="D146" s="223"/>
      <c r="E146" s="224"/>
      <c r="F146" s="223" t="s">
        <v>38</v>
      </c>
      <c r="G146" s="224"/>
      <c r="H146" s="223"/>
      <c r="I146" s="224"/>
      <c r="J146" s="21" t="str">
        <f>IF(H138=3,B139,"")</f>
        <v/>
      </c>
      <c r="K146" s="15" t="str">
        <f>IFERROR(IF(J146="","",VLOOKUP(J146,LISTAS!$F$5:$G$1004,2,0)),"0")</f>
        <v/>
      </c>
      <c r="L146" s="81"/>
    </row>
    <row r="149" spans="2:16" ht="30" customHeight="1" x14ac:dyDescent="0.25">
      <c r="B149" s="161" t="s">
        <v>55</v>
      </c>
      <c r="C149" s="79"/>
      <c r="D149" s="225" t="s">
        <v>42</v>
      </c>
      <c r="E149" s="226"/>
      <c r="F149" s="226"/>
      <c r="G149" s="227"/>
      <c r="H149" s="113"/>
      <c r="I149" s="225" t="s">
        <v>3</v>
      </c>
      <c r="J149" s="226"/>
      <c r="K149" s="226"/>
      <c r="L149" s="226"/>
    </row>
    <row r="150" spans="2:16" ht="18" customHeight="1" x14ac:dyDescent="0.25">
      <c r="B150" s="9" t="s">
        <v>15</v>
      </c>
      <c r="C150" s="9" t="s">
        <v>0</v>
      </c>
      <c r="D150" s="9" t="s">
        <v>43</v>
      </c>
      <c r="E150" s="9" t="s">
        <v>44</v>
      </c>
      <c r="F150" s="9" t="s">
        <v>77</v>
      </c>
      <c r="G150" s="9" t="s">
        <v>78</v>
      </c>
      <c r="H150" s="114"/>
      <c r="I150" s="9" t="s">
        <v>18</v>
      </c>
      <c r="J150" s="9" t="s">
        <v>15</v>
      </c>
      <c r="K150" s="9" t="s">
        <v>0</v>
      </c>
      <c r="L150" s="9" t="s">
        <v>45</v>
      </c>
    </row>
    <row r="151" spans="2:16" ht="18" customHeight="1" x14ac:dyDescent="0.25">
      <c r="B151" s="15"/>
      <c r="C151" s="15" t="str">
        <f>IFERROR(IF(B151="","",VLOOKUP(B151,LISTAS!$F$5:$G$1004,2,0)),"0")</f>
        <v/>
      </c>
      <c r="D151" s="15" t="str">
        <f>IF(H151&lt;3,"",IF(H151=3,IF(D157&lt;&gt;"",IF(H157&lt;&gt;"",IF(D157&lt;&gt;H157,IF(D157&gt;H157,"V","D"),""),""),"")))</f>
        <v/>
      </c>
      <c r="E151" s="15" t="str">
        <f>IF(H151&lt;3,"",IF(H151=3,IF(D159&lt;&gt;"",IF(H159&lt;&gt;"",IF(D159&lt;&gt;H159,IF(D159&gt;H159,"V","D"),""),""),"")))</f>
        <v/>
      </c>
      <c r="F151" s="15" t="s">
        <v>81</v>
      </c>
      <c r="G151" s="15" t="s">
        <v>81</v>
      </c>
      <c r="H151" s="117">
        <f>COUNTA(B151:B153)</f>
        <v>0</v>
      </c>
      <c r="I151" s="15" t="str">
        <f>IF(B151&lt;&gt;"",1,"")</f>
        <v/>
      </c>
      <c r="J151" s="15" t="str">
        <f>IF(I151&lt;&gt;"",P151,"")</f>
        <v/>
      </c>
      <c r="K151" s="15" t="str">
        <f>IFERROR(IF(J151="","",VLOOKUP(J151,LISTAS!$F$5:$G$1004,2,0)),"0")</f>
        <v/>
      </c>
      <c r="L151" s="119" t="str">
        <f>IF(H151=3,"OURO",IF(H151=4,"OURO",IF(H151=5,"OURO","")))</f>
        <v/>
      </c>
      <c r="M151" s="20" t="str">
        <f>IF(B151&lt;&gt;"",COUNTIF(D151:G151,"V")+(SUMIF(B157:B159,B151,D157:E159)/1000)+(SUMIF(J157:J159,B151,H157:I159)/1000)-(SUMIF(B157:B159,B151,H157:I159)/1000)-(SUMIF(J157:J159,B151,D157:E159)/1000)+0.003,"")</f>
        <v/>
      </c>
      <c r="N151" s="20" t="str">
        <f>IF(B151="","",B151)</f>
        <v/>
      </c>
      <c r="O151" s="20" t="str">
        <f>IF(B151&lt;&gt;"",LARGE(M151:M153,1),"")</f>
        <v/>
      </c>
      <c r="P151" s="20" t="str">
        <f>VLOOKUP(O151,M151:N153,2,0)</f>
        <v/>
      </c>
    </row>
    <row r="152" spans="2:16" ht="18" customHeight="1" x14ac:dyDescent="0.25">
      <c r="B152" s="15"/>
      <c r="C152" s="15" t="str">
        <f>IFERROR(IF(B152="","",VLOOKUP(B152,LISTAS!$F$5:$G$1004,2,0)),"0")</f>
        <v/>
      </c>
      <c r="D152" s="15" t="str">
        <f>IF(H151&lt;3,"",IF(H151=3,IF(D158&lt;&gt;"",IF(H158&lt;&gt;"",IF(D158&lt;&gt;H158,IF(D158&gt;H158,"V","D"),""),""),"")))</f>
        <v/>
      </c>
      <c r="E152" s="15" t="str">
        <f>IF(H151&lt;3,"",IF(H151=3,IF(D159&lt;&gt;"",IF(H159&lt;&gt;"",IF(D159&lt;&gt;H159,IF(D159&gt;H159,"D","V"),""),""),"")))</f>
        <v/>
      </c>
      <c r="F152" s="15" t="s">
        <v>81</v>
      </c>
      <c r="G152" s="15" t="s">
        <v>81</v>
      </c>
      <c r="H152" s="115"/>
      <c r="I152" s="15" t="str">
        <f>IF(B152&lt;&gt;"",2,"")</f>
        <v/>
      </c>
      <c r="J152" s="15" t="str">
        <f>IF(I152&lt;&gt;"",P152,"")</f>
        <v/>
      </c>
      <c r="K152" s="15" t="str">
        <f>IFERROR(IF(J152="","",VLOOKUP(J152,LISTAS!$F$5:$G$1004,2,0)),"0")</f>
        <v/>
      </c>
      <c r="L152" s="119" t="str">
        <f>IF(H151=3,"PRATA",IF(H151=4,"OURO",IF(H151=5,"OURO","")))</f>
        <v/>
      </c>
      <c r="M152" s="20" t="str">
        <f>IF(B152&lt;&gt;"",COUNTIF(D152:G152,"V")+(SUMIF(B157:B159,B152,D157:E159)/1000)+(SUMIF(J157:J159,B152,H157:I159)/1000)-(SUMIF(B157:B159,B152,H157:I159)/1000)-(SUMIF(J157:J159,B152,D157:E159)/1000)+0.002,"")</f>
        <v/>
      </c>
      <c r="N152" s="20" t="str">
        <f t="shared" ref="N152" si="10">IF(B152="","",B152)</f>
        <v/>
      </c>
      <c r="O152" s="20" t="str">
        <f>IF(B152&lt;&gt;"",LARGE(M151:M153,2),"")</f>
        <v/>
      </c>
      <c r="P152" s="20" t="str">
        <f>VLOOKUP(O152,M151:N153,2,0)</f>
        <v/>
      </c>
    </row>
    <row r="153" spans="2:16" ht="18" customHeight="1" x14ac:dyDescent="0.25">
      <c r="B153" s="15"/>
      <c r="C153" s="15" t="str">
        <f>IFERROR(IF(B153="","",VLOOKUP(B153,LISTAS!$F$5:$G$1004,2,0)),"0")</f>
        <v/>
      </c>
      <c r="D153" s="15" t="str">
        <f>IF(H151&lt;3,"",IF(H151=3,IF(D157&lt;&gt;"",IF(H157&lt;&gt;"",IF(D157&lt;&gt;H157,IF(D157&gt;H157,"D","V"),""),""),"")))</f>
        <v/>
      </c>
      <c r="E153" s="15" t="str">
        <f>IF(H151&lt;3,"",IF(H151=3,IF(D158&lt;&gt;"",IF(H158&lt;&gt;"",IF(D158&lt;&gt;H158,IF(D158&gt;H158,"D","V"),""),""),"")))</f>
        <v/>
      </c>
      <c r="F153" s="15" t="s">
        <v>81</v>
      </c>
      <c r="G153" s="15" t="s">
        <v>81</v>
      </c>
      <c r="H153" s="115"/>
      <c r="I153" s="15" t="str">
        <f>IF(B153&lt;&gt;"",3,"")</f>
        <v/>
      </c>
      <c r="J153" s="15" t="str">
        <f>IF(I153&lt;&gt;"",P153,"")</f>
        <v/>
      </c>
      <c r="K153" s="15" t="str">
        <f>IFERROR(IF(J153="","",VLOOKUP(J153,LISTAS!$F$5:$G$1004,2,0)),"0")</f>
        <v/>
      </c>
      <c r="L153" s="119" t="str">
        <f>IF(H151=3,"BRONZE",IF(H151=4,"PRATA",IF(H151=5,"OURO","")))</f>
        <v/>
      </c>
      <c r="M153" s="20" t="str">
        <f>IF(B153&lt;&gt;"",COUNTIF(D153:G153,"V")+(SUMIF(B157:B159,B153,D157:E159)/1000)+(SUMIF(J157:J159,B153,H157:I159)/1000)-(SUMIF(B157:B159,B153,H157:I159)/1000)-(SUMIF(J157:J159,B153,D157:E159)/1000)+0.001,"")</f>
        <v/>
      </c>
      <c r="N153" s="20" t="str">
        <f>IF(B153="","",B153)</f>
        <v/>
      </c>
      <c r="O153" s="20" t="str">
        <f>IF(B153&lt;&gt;"",LARGE(M151:M153,3),"")</f>
        <v/>
      </c>
      <c r="P153" s="20" t="str">
        <f>VLOOKUP(O153,M151:N153,2,0)</f>
        <v/>
      </c>
    </row>
    <row r="154" spans="2:16" ht="18" customHeight="1" x14ac:dyDescent="0.25">
      <c r="B154" s="79"/>
      <c r="C154" s="79"/>
      <c r="D154" s="79"/>
      <c r="E154" s="79"/>
      <c r="F154" s="79"/>
      <c r="G154" s="79"/>
      <c r="I154" s="80"/>
      <c r="J154" s="79"/>
      <c r="K154" s="81"/>
      <c r="L154" s="81"/>
    </row>
    <row r="155" spans="2:16" ht="23.25" customHeight="1" x14ac:dyDescent="0.25">
      <c r="B155" s="82" t="s">
        <v>40</v>
      </c>
      <c r="C155" s="79"/>
      <c r="D155" s="79"/>
      <c r="E155" s="79"/>
      <c r="F155" s="79"/>
      <c r="G155" s="79"/>
      <c r="H155" s="79"/>
      <c r="I155" s="79"/>
      <c r="J155" s="79"/>
      <c r="K155" s="79"/>
      <c r="L155" s="79"/>
    </row>
    <row r="156" spans="2:16" ht="18" customHeight="1" x14ac:dyDescent="0.25">
      <c r="B156" s="9" t="s">
        <v>15</v>
      </c>
      <c r="C156" s="9" t="s">
        <v>0</v>
      </c>
      <c r="D156" s="228" t="s">
        <v>41</v>
      </c>
      <c r="E156" s="229"/>
      <c r="F156" s="229"/>
      <c r="G156" s="229"/>
      <c r="H156" s="229"/>
      <c r="I156" s="230"/>
      <c r="J156" s="9" t="s">
        <v>15</v>
      </c>
      <c r="K156" s="9" t="s">
        <v>0</v>
      </c>
      <c r="L156" s="79"/>
    </row>
    <row r="157" spans="2:16" ht="18" customHeight="1" x14ac:dyDescent="0.25">
      <c r="B157" s="15" t="str">
        <f>IF(H151=3,B151,"")</f>
        <v/>
      </c>
      <c r="C157" s="15" t="str">
        <f>IFERROR(IF(B157="","",VLOOKUP(B157,LISTAS!$F$5:$G$1004,2,0)),"0")</f>
        <v/>
      </c>
      <c r="D157" s="223"/>
      <c r="E157" s="224"/>
      <c r="F157" s="223" t="s">
        <v>38</v>
      </c>
      <c r="G157" s="224"/>
      <c r="H157" s="223"/>
      <c r="I157" s="224"/>
      <c r="J157" s="21" t="str">
        <f>IF(H151=3,B153,"")</f>
        <v/>
      </c>
      <c r="K157" s="15" t="str">
        <f>IFERROR(IF(J157="","",VLOOKUP(J157,LISTAS!$F$5:$G$1004,2,0)),"0")</f>
        <v/>
      </c>
      <c r="L157" s="81"/>
    </row>
    <row r="158" spans="2:16" ht="18" customHeight="1" x14ac:dyDescent="0.25">
      <c r="B158" s="15" t="str">
        <f>IF(H151=3,B152,"")</f>
        <v/>
      </c>
      <c r="C158" s="15" t="str">
        <f>IFERROR(IF(B158="","",VLOOKUP(B158,LISTAS!$F$5:$G$1004,2,0)),"0")</f>
        <v/>
      </c>
      <c r="D158" s="223"/>
      <c r="E158" s="224"/>
      <c r="F158" s="223" t="s">
        <v>38</v>
      </c>
      <c r="G158" s="224"/>
      <c r="H158" s="223"/>
      <c r="I158" s="224"/>
      <c r="J158" s="21" t="str">
        <f>IF(H151=3,B153,"")</f>
        <v/>
      </c>
      <c r="K158" s="15" t="str">
        <f>IFERROR(IF(J158="","",VLOOKUP(J158,LISTAS!$F$5:$G$1004,2,0)),"0")</f>
        <v/>
      </c>
      <c r="L158" s="79"/>
    </row>
    <row r="159" spans="2:16" ht="18" customHeight="1" x14ac:dyDescent="0.25">
      <c r="B159" s="15" t="str">
        <f>IF(H151=3,B151,"")</f>
        <v/>
      </c>
      <c r="C159" s="15" t="str">
        <f>IFERROR(IF(B159="","",VLOOKUP(B159,LISTAS!$F$5:$G$1004,2,0)),"0")</f>
        <v/>
      </c>
      <c r="D159" s="223"/>
      <c r="E159" s="224"/>
      <c r="F159" s="223" t="s">
        <v>38</v>
      </c>
      <c r="G159" s="224"/>
      <c r="H159" s="223"/>
      <c r="I159" s="224"/>
      <c r="J159" s="21" t="str">
        <f>IF(H151=3,B152,"")</f>
        <v/>
      </c>
      <c r="K159" s="15" t="str">
        <f>IFERROR(IF(J159="","",VLOOKUP(J159,LISTAS!$F$5:$G$1004,2,0)),"0")</f>
        <v/>
      </c>
      <c r="L159" s="81"/>
    </row>
    <row r="162" spans="2:16" ht="30" customHeight="1" x14ac:dyDescent="0.25">
      <c r="B162" s="161" t="s">
        <v>56</v>
      </c>
      <c r="C162" s="79"/>
      <c r="D162" s="225" t="s">
        <v>42</v>
      </c>
      <c r="E162" s="226"/>
      <c r="F162" s="226"/>
      <c r="G162" s="227"/>
      <c r="H162" s="113"/>
      <c r="I162" s="225" t="s">
        <v>3</v>
      </c>
      <c r="J162" s="226"/>
      <c r="K162" s="226"/>
      <c r="L162" s="226"/>
    </row>
    <row r="163" spans="2:16" ht="18" customHeight="1" x14ac:dyDescent="0.25">
      <c r="B163" s="9" t="s">
        <v>15</v>
      </c>
      <c r="C163" s="9" t="s">
        <v>0</v>
      </c>
      <c r="D163" s="9" t="s">
        <v>43</v>
      </c>
      <c r="E163" s="9" t="s">
        <v>44</v>
      </c>
      <c r="F163" s="9" t="s">
        <v>77</v>
      </c>
      <c r="G163" s="9" t="s">
        <v>78</v>
      </c>
      <c r="H163" s="114"/>
      <c r="I163" s="9" t="s">
        <v>18</v>
      </c>
      <c r="J163" s="9" t="s">
        <v>15</v>
      </c>
      <c r="K163" s="9" t="s">
        <v>0</v>
      </c>
      <c r="L163" s="9" t="s">
        <v>45</v>
      </c>
    </row>
    <row r="164" spans="2:16" ht="18" customHeight="1" x14ac:dyDescent="0.25">
      <c r="B164" s="15"/>
      <c r="C164" s="15" t="str">
        <f>IFERROR(IF(B164="","",VLOOKUP(B164,LISTAS!$F$5:$G$1004,2,0)),"0")</f>
        <v/>
      </c>
      <c r="D164" s="15" t="str">
        <f>IF(H164&lt;3,"",IF(H164=3,IF(D170&lt;&gt;"",IF(H170&lt;&gt;"",IF(D170&lt;&gt;H170,IF(D170&gt;H170,"V","D"),""),""),"")))</f>
        <v/>
      </c>
      <c r="E164" s="15" t="str">
        <f>IF(H164&lt;3,"",IF(H164=3,IF(D172&lt;&gt;"",IF(H172&lt;&gt;"",IF(D172&lt;&gt;H172,IF(D172&gt;H172,"V","D"),""),""),"")))</f>
        <v/>
      </c>
      <c r="F164" s="15" t="s">
        <v>81</v>
      </c>
      <c r="G164" s="15" t="s">
        <v>81</v>
      </c>
      <c r="H164" s="117">
        <f>COUNTA(B164:B166)</f>
        <v>0</v>
      </c>
      <c r="I164" s="15" t="str">
        <f>IF(B164&lt;&gt;"",1,"")</f>
        <v/>
      </c>
      <c r="J164" s="15" t="str">
        <f>IF(I164&lt;&gt;"",P164,"")</f>
        <v/>
      </c>
      <c r="K164" s="15" t="str">
        <f>IFERROR(IF(J164="","",VLOOKUP(J164,LISTAS!$F$5:$G$1004,2,0)),"0")</f>
        <v/>
      </c>
      <c r="L164" s="119" t="str">
        <f>IF(H164=3,"OURO",IF(H164=4,"OURO",IF(H164=5,"OURO","")))</f>
        <v/>
      </c>
      <c r="M164" s="20" t="str">
        <f>IF(B164&lt;&gt;"",COUNTIF(D164:G164,"V")+(SUMIF(B170:B172,B164,D170:E172)/1000)+(SUMIF(J170:J172,B164,H170:I172)/1000)-(SUMIF(B170:B172,B164,H170:I172)/1000)-(SUMIF(J170:J172,B164,D170:E172)/1000)+0.003,"")</f>
        <v/>
      </c>
      <c r="N164" s="20" t="str">
        <f>IF(B164="","",B164)</f>
        <v/>
      </c>
      <c r="O164" s="20" t="str">
        <f>IF(B164&lt;&gt;"",LARGE(M164:M166,1),"")</f>
        <v/>
      </c>
      <c r="P164" s="20" t="str">
        <f>VLOOKUP(O164,M164:N166,2,0)</f>
        <v/>
      </c>
    </row>
    <row r="165" spans="2:16" ht="18" customHeight="1" x14ac:dyDescent="0.25">
      <c r="B165" s="15"/>
      <c r="C165" s="15" t="str">
        <f>IFERROR(IF(B165="","",VLOOKUP(B165,LISTAS!$F$5:$G$1004,2,0)),"0")</f>
        <v/>
      </c>
      <c r="D165" s="15" t="str">
        <f>IF(H164&lt;3,"",IF(H164=3,IF(D171&lt;&gt;"",IF(H171&lt;&gt;"",IF(D171&lt;&gt;H171,IF(D171&gt;H171,"V","D"),""),""),"")))</f>
        <v/>
      </c>
      <c r="E165" s="15" t="str">
        <f>IF(H164&lt;3,"",IF(H164=3,IF(D172&lt;&gt;"",IF(H172&lt;&gt;"",IF(D172&lt;&gt;H172,IF(D172&gt;H172,"D","V"),""),""),"")))</f>
        <v/>
      </c>
      <c r="F165" s="15" t="s">
        <v>81</v>
      </c>
      <c r="G165" s="15" t="s">
        <v>81</v>
      </c>
      <c r="H165" s="115"/>
      <c r="I165" s="15" t="str">
        <f>IF(B165&lt;&gt;"",2,"")</f>
        <v/>
      </c>
      <c r="J165" s="15" t="str">
        <f>IF(I165&lt;&gt;"",P165,"")</f>
        <v/>
      </c>
      <c r="K165" s="15" t="str">
        <f>IFERROR(IF(J165="","",VLOOKUP(J165,LISTAS!$F$5:$G$1004,2,0)),"0")</f>
        <v/>
      </c>
      <c r="L165" s="119" t="str">
        <f>IF(H164=3,"PRATA",IF(H164=4,"OURO",IF(H164=5,"OURO","")))</f>
        <v/>
      </c>
      <c r="M165" s="20" t="str">
        <f>IF(B165&lt;&gt;"",COUNTIF(D165:G165,"V")+(SUMIF(B170:B172,B165,D170:E172)/1000)+(SUMIF(J170:J172,B165,H170:I172)/1000)-(SUMIF(B170:B172,B165,H170:I172)/1000)-(SUMIF(J170:J172,B165,D170:E172)/1000)+0.002,"")</f>
        <v/>
      </c>
      <c r="N165" s="20" t="str">
        <f t="shared" ref="N165" si="11">IF(B165="","",B165)</f>
        <v/>
      </c>
      <c r="O165" s="20" t="str">
        <f>IF(B165&lt;&gt;"",LARGE(M164:M166,2),"")</f>
        <v/>
      </c>
      <c r="P165" s="20" t="str">
        <f>VLOOKUP(O165,M164:N166,2,0)</f>
        <v/>
      </c>
    </row>
    <row r="166" spans="2:16" ht="18" customHeight="1" x14ac:dyDescent="0.25">
      <c r="B166" s="15"/>
      <c r="C166" s="15" t="str">
        <f>IFERROR(IF(B166="","",VLOOKUP(B166,LISTAS!$F$5:$G$1004,2,0)),"0")</f>
        <v/>
      </c>
      <c r="D166" s="15" t="str">
        <f>IF(H164&lt;3,"",IF(H164=3,IF(D170&lt;&gt;"",IF(H170&lt;&gt;"",IF(D170&lt;&gt;H170,IF(D170&gt;H170,"D","V"),""),""),"")))</f>
        <v/>
      </c>
      <c r="E166" s="15" t="str">
        <f>IF(H164&lt;3,"",IF(H164=3,IF(D171&lt;&gt;"",IF(H171&lt;&gt;"",IF(D171&lt;&gt;H171,IF(D171&gt;H171,"D","V"),""),""),"")))</f>
        <v/>
      </c>
      <c r="F166" s="15" t="s">
        <v>81</v>
      </c>
      <c r="G166" s="15" t="s">
        <v>81</v>
      </c>
      <c r="H166" s="115"/>
      <c r="I166" s="15" t="str">
        <f>IF(B166&lt;&gt;"",3,"")</f>
        <v/>
      </c>
      <c r="J166" s="15" t="str">
        <f>IF(I166&lt;&gt;"",P166,"")</f>
        <v/>
      </c>
      <c r="K166" s="15" t="str">
        <f>IFERROR(IF(J166="","",VLOOKUP(J166,LISTAS!$F$5:$G$1004,2,0)),"0")</f>
        <v/>
      </c>
      <c r="L166" s="119" t="str">
        <f>IF(H164=3,"BRONZE",IF(H164=4,"PRATA",IF(H164=5,"OURO","")))</f>
        <v/>
      </c>
      <c r="M166" s="20" t="str">
        <f>IF(B166&lt;&gt;"",COUNTIF(D166:G166,"V")+(SUMIF(B170:B172,B166,D170:E172)/1000)+(SUMIF(J170:J172,B166,H170:I172)/1000)-(SUMIF(B170:B172,B166,H170:I172)/1000)-(SUMIF(J170:J172,B166,D170:E172)/1000)+0.001,"")</f>
        <v/>
      </c>
      <c r="N166" s="20" t="str">
        <f>IF(B166="","",B166)</f>
        <v/>
      </c>
      <c r="O166" s="20" t="str">
        <f>IF(B166&lt;&gt;"",LARGE(M164:M166,3),"")</f>
        <v/>
      </c>
      <c r="P166" s="20" t="str">
        <f>VLOOKUP(O166,M164:N166,2,0)</f>
        <v/>
      </c>
    </row>
    <row r="167" spans="2:16" ht="18" customHeight="1" x14ac:dyDescent="0.25">
      <c r="B167" s="79"/>
      <c r="C167" s="79"/>
      <c r="D167" s="79"/>
      <c r="E167" s="79"/>
      <c r="F167" s="79"/>
      <c r="G167" s="79"/>
      <c r="I167" s="80"/>
      <c r="J167" s="79"/>
      <c r="K167" s="81"/>
      <c r="L167" s="81"/>
    </row>
    <row r="168" spans="2:16" ht="23.25" customHeight="1" x14ac:dyDescent="0.25">
      <c r="B168" s="82" t="s">
        <v>40</v>
      </c>
      <c r="C168" s="79"/>
      <c r="D168" s="79"/>
      <c r="E168" s="79"/>
      <c r="F168" s="79"/>
      <c r="G168" s="79"/>
      <c r="H168" s="79"/>
      <c r="I168" s="79"/>
      <c r="J168" s="79"/>
      <c r="K168" s="79"/>
      <c r="L168" s="79"/>
    </row>
    <row r="169" spans="2:16" ht="18" customHeight="1" x14ac:dyDescent="0.25">
      <c r="B169" s="9" t="s">
        <v>15</v>
      </c>
      <c r="C169" s="9" t="s">
        <v>0</v>
      </c>
      <c r="D169" s="228" t="s">
        <v>41</v>
      </c>
      <c r="E169" s="229"/>
      <c r="F169" s="229"/>
      <c r="G169" s="229"/>
      <c r="H169" s="229"/>
      <c r="I169" s="230"/>
      <c r="J169" s="9" t="s">
        <v>15</v>
      </c>
      <c r="K169" s="9" t="s">
        <v>0</v>
      </c>
      <c r="L169" s="79"/>
    </row>
    <row r="170" spans="2:16" ht="18" customHeight="1" x14ac:dyDescent="0.25">
      <c r="B170" s="15" t="str">
        <f>IF(H164=3,B164,"")</f>
        <v/>
      </c>
      <c r="C170" s="15" t="str">
        <f>IFERROR(IF(B170="","",VLOOKUP(B170,LISTAS!$F$5:$G$1004,2,0)),"0")</f>
        <v/>
      </c>
      <c r="D170" s="223"/>
      <c r="E170" s="224"/>
      <c r="F170" s="223" t="s">
        <v>38</v>
      </c>
      <c r="G170" s="224"/>
      <c r="H170" s="223"/>
      <c r="I170" s="224"/>
      <c r="J170" s="21" t="str">
        <f>IF(H164=3,B166,"")</f>
        <v/>
      </c>
      <c r="K170" s="15" t="str">
        <f>IFERROR(IF(J170="","",VLOOKUP(J170,LISTAS!$F$5:$G$1004,2,0)),"0")</f>
        <v/>
      </c>
      <c r="L170" s="81"/>
    </row>
    <row r="171" spans="2:16" ht="18" customHeight="1" x14ac:dyDescent="0.25">
      <c r="B171" s="15" t="str">
        <f>IF(H164=3,B165,"")</f>
        <v/>
      </c>
      <c r="C171" s="15" t="str">
        <f>IFERROR(IF(B171="","",VLOOKUP(B171,LISTAS!$F$5:$G$1004,2,0)),"0")</f>
        <v/>
      </c>
      <c r="D171" s="223"/>
      <c r="E171" s="224"/>
      <c r="F171" s="223" t="s">
        <v>38</v>
      </c>
      <c r="G171" s="224"/>
      <c r="H171" s="223"/>
      <c r="I171" s="224"/>
      <c r="J171" s="21" t="str">
        <f>IF(H164=3,B166,"")</f>
        <v/>
      </c>
      <c r="K171" s="15" t="str">
        <f>IFERROR(IF(J171="","",VLOOKUP(J171,LISTAS!$F$5:$G$1004,2,0)),"0")</f>
        <v/>
      </c>
      <c r="L171" s="79"/>
    </row>
    <row r="172" spans="2:16" ht="18" customHeight="1" x14ac:dyDescent="0.25">
      <c r="B172" s="15" t="str">
        <f>IF(H164=3,B164,"")</f>
        <v/>
      </c>
      <c r="C172" s="15" t="str">
        <f>IFERROR(IF(B172="","",VLOOKUP(B172,LISTAS!$F$5:$G$1004,2,0)),"0")</f>
        <v/>
      </c>
      <c r="D172" s="223"/>
      <c r="E172" s="224"/>
      <c r="F172" s="223" t="s">
        <v>38</v>
      </c>
      <c r="G172" s="224"/>
      <c r="H172" s="223"/>
      <c r="I172" s="224"/>
      <c r="J172" s="21" t="str">
        <f>IF(H164=3,B165,"")</f>
        <v/>
      </c>
      <c r="K172" s="15" t="str">
        <f>IFERROR(IF(J172="","",VLOOKUP(J172,LISTAS!$F$5:$G$1004,2,0)),"0")</f>
        <v/>
      </c>
      <c r="L172" s="81"/>
    </row>
    <row r="175" spans="2:16" ht="30" customHeight="1" x14ac:dyDescent="0.25">
      <c r="B175" s="161" t="s">
        <v>57</v>
      </c>
      <c r="C175" s="79"/>
      <c r="D175" s="225" t="s">
        <v>42</v>
      </c>
      <c r="E175" s="226"/>
      <c r="F175" s="226"/>
      <c r="G175" s="227"/>
      <c r="H175" s="113"/>
      <c r="I175" s="225" t="s">
        <v>3</v>
      </c>
      <c r="J175" s="226"/>
      <c r="K175" s="226"/>
      <c r="L175" s="226"/>
    </row>
    <row r="176" spans="2:16" ht="18" customHeight="1" x14ac:dyDescent="0.25">
      <c r="B176" s="9" t="s">
        <v>15</v>
      </c>
      <c r="C176" s="9" t="s">
        <v>0</v>
      </c>
      <c r="D176" s="9" t="s">
        <v>43</v>
      </c>
      <c r="E176" s="9" t="s">
        <v>44</v>
      </c>
      <c r="F176" s="9" t="s">
        <v>77</v>
      </c>
      <c r="G176" s="9" t="s">
        <v>78</v>
      </c>
      <c r="H176" s="114"/>
      <c r="I176" s="9" t="s">
        <v>18</v>
      </c>
      <c r="J176" s="9" t="s">
        <v>15</v>
      </c>
      <c r="K176" s="9" t="s">
        <v>0</v>
      </c>
      <c r="L176" s="9" t="s">
        <v>45</v>
      </c>
    </row>
    <row r="177" spans="2:16" ht="18" customHeight="1" x14ac:dyDescent="0.25">
      <c r="B177" s="15"/>
      <c r="C177" s="15" t="str">
        <f>IFERROR(IF(B177="","",VLOOKUP(B177,LISTAS!$F$5:$G$1004,2,0)),"0")</f>
        <v/>
      </c>
      <c r="D177" s="15" t="str">
        <f>IF(H177&lt;3,"",IF(H177=3,IF(D183&lt;&gt;"",IF(H183&lt;&gt;"",IF(D183&lt;&gt;H183,IF(D183&gt;H183,"V","D"),""),""),"")))</f>
        <v/>
      </c>
      <c r="E177" s="15" t="str">
        <f>IF(H177&lt;3,"",IF(H177=3,IF(D185&lt;&gt;"",IF(H185&lt;&gt;"",IF(D185&lt;&gt;H185,IF(D185&gt;H185,"V","D"),""),""),"")))</f>
        <v/>
      </c>
      <c r="F177" s="15" t="s">
        <v>81</v>
      </c>
      <c r="G177" s="15" t="s">
        <v>81</v>
      </c>
      <c r="H177" s="117">
        <f>COUNTA(B177:B179)</f>
        <v>0</v>
      </c>
      <c r="I177" s="15" t="str">
        <f>IF(B177&lt;&gt;"",1,"")</f>
        <v/>
      </c>
      <c r="J177" s="15" t="str">
        <f>IF(I177&lt;&gt;"",P177,"")</f>
        <v/>
      </c>
      <c r="K177" s="15" t="str">
        <f>IFERROR(IF(J177="","",VLOOKUP(J177,LISTAS!$F$5:$G$1004,2,0)),"0")</f>
        <v/>
      </c>
      <c r="L177" s="119" t="str">
        <f>IF(H177=3,"OURO",IF(H177=4,"OURO",IF(H177=5,"OURO","")))</f>
        <v/>
      </c>
      <c r="M177" s="20" t="str">
        <f>IF(B177&lt;&gt;"",COUNTIF(D177:G177,"V")+(SUMIF(B183:B185,B177,D183:E185)/1000)+(SUMIF(J183:J185,B177,H183:I185)/1000)-(SUMIF(B183:B185,B177,H183:I185)/1000)-(SUMIF(J183:J185,B177,D183:E185)/1000)+0.003,"")</f>
        <v/>
      </c>
      <c r="N177" s="20" t="str">
        <f>IF(B177="","",B177)</f>
        <v/>
      </c>
      <c r="O177" s="20" t="str">
        <f>IF(B177&lt;&gt;"",LARGE(M177:M179,1),"")</f>
        <v/>
      </c>
      <c r="P177" s="20" t="str">
        <f>VLOOKUP(O177,M177:N179,2,0)</f>
        <v/>
      </c>
    </row>
    <row r="178" spans="2:16" ht="18" customHeight="1" x14ac:dyDescent="0.25">
      <c r="B178" s="15"/>
      <c r="C178" s="15" t="str">
        <f>IFERROR(IF(B178="","",VLOOKUP(B178,LISTAS!$F$5:$G$1004,2,0)),"0")</f>
        <v/>
      </c>
      <c r="D178" s="15" t="str">
        <f>IF(H177&lt;3,"",IF(H177=3,IF(D184&lt;&gt;"",IF(H184&lt;&gt;"",IF(D184&lt;&gt;H184,IF(D184&gt;H184,"V","D"),""),""),"")))</f>
        <v/>
      </c>
      <c r="E178" s="15" t="str">
        <f>IF(H177&lt;3,"",IF(H177=3,IF(D185&lt;&gt;"",IF(H185&lt;&gt;"",IF(D185&lt;&gt;H185,IF(D185&gt;H185,"D","V"),""),""),"")))</f>
        <v/>
      </c>
      <c r="F178" s="15" t="s">
        <v>81</v>
      </c>
      <c r="G178" s="15" t="s">
        <v>81</v>
      </c>
      <c r="H178" s="115"/>
      <c r="I178" s="15" t="str">
        <f>IF(B178&lt;&gt;"",2,"")</f>
        <v/>
      </c>
      <c r="J178" s="15" t="str">
        <f>IF(I178&lt;&gt;"",P178,"")</f>
        <v/>
      </c>
      <c r="K178" s="15" t="str">
        <f>IFERROR(IF(J178="","",VLOOKUP(J178,LISTAS!$F$5:$G$1004,2,0)),"0")</f>
        <v/>
      </c>
      <c r="L178" s="119" t="str">
        <f>IF(H177=3,"PRATA",IF(H177=4,"OURO",IF(H177=5,"OURO","")))</f>
        <v/>
      </c>
      <c r="M178" s="20" t="str">
        <f>IF(B178&lt;&gt;"",COUNTIF(D178:G178,"V")+(SUMIF(B183:B185,B178,D183:E185)/1000)+(SUMIF(J183:J185,B178,H183:I185)/1000)-(SUMIF(B183:B185,B178,H183:I185)/1000)-(SUMIF(J183:J185,B178,D183:E185)/1000)+0.002,"")</f>
        <v/>
      </c>
      <c r="N178" s="20" t="str">
        <f t="shared" ref="N178" si="12">IF(B178="","",B178)</f>
        <v/>
      </c>
      <c r="O178" s="20" t="str">
        <f>IF(B178&lt;&gt;"",LARGE(M177:M179,2),"")</f>
        <v/>
      </c>
      <c r="P178" s="20" t="str">
        <f>VLOOKUP(O178,M177:N179,2,0)</f>
        <v/>
      </c>
    </row>
    <row r="179" spans="2:16" ht="18" customHeight="1" x14ac:dyDescent="0.25">
      <c r="B179" s="15"/>
      <c r="C179" s="15" t="str">
        <f>IFERROR(IF(B179="","",VLOOKUP(B179,LISTAS!$F$5:$G$1004,2,0)),"0")</f>
        <v/>
      </c>
      <c r="D179" s="15" t="str">
        <f>IF(H177&lt;3,"",IF(H177=3,IF(D183&lt;&gt;"",IF(H183&lt;&gt;"",IF(D183&lt;&gt;H183,IF(D183&gt;H183,"D","V"),""),""),"")))</f>
        <v/>
      </c>
      <c r="E179" s="15" t="str">
        <f>IF(H177&lt;3,"",IF(H177=3,IF(D184&lt;&gt;"",IF(H184&lt;&gt;"",IF(D184&lt;&gt;H184,IF(D184&gt;H184,"D","V"),""),""),"")))</f>
        <v/>
      </c>
      <c r="F179" s="15" t="s">
        <v>81</v>
      </c>
      <c r="G179" s="15" t="s">
        <v>81</v>
      </c>
      <c r="H179" s="115"/>
      <c r="I179" s="15" t="str">
        <f>IF(B179&lt;&gt;"",3,"")</f>
        <v/>
      </c>
      <c r="J179" s="15" t="str">
        <f>IF(I179&lt;&gt;"",P179,"")</f>
        <v/>
      </c>
      <c r="K179" s="15" t="str">
        <f>IFERROR(IF(J179="","",VLOOKUP(J179,LISTAS!$F$5:$G$1004,2,0)),"0")</f>
        <v/>
      </c>
      <c r="L179" s="119" t="str">
        <f>IF(H177=3,"BRONZE",IF(H177=4,"PRATA",IF(H177=5,"OURO","")))</f>
        <v/>
      </c>
      <c r="M179" s="20" t="str">
        <f>IF(B179&lt;&gt;"",COUNTIF(D179:G179,"V")+(SUMIF(B183:B185,B179,D183:E185)/1000)+(SUMIF(J183:J185,B179,H183:I185)/1000)-(SUMIF(B183:B185,B179,H183:I185)/1000)-(SUMIF(J183:J185,B179,D183:E185)/1000)+0.001,"")</f>
        <v/>
      </c>
      <c r="N179" s="20" t="str">
        <f>IF(B179="","",B179)</f>
        <v/>
      </c>
      <c r="O179" s="20" t="str">
        <f>IF(B179&lt;&gt;"",LARGE(M177:M179,3),"")</f>
        <v/>
      </c>
      <c r="P179" s="20" t="str">
        <f>VLOOKUP(O179,M177:N179,2,0)</f>
        <v/>
      </c>
    </row>
    <row r="180" spans="2:16" ht="18" customHeight="1" x14ac:dyDescent="0.25">
      <c r="B180" s="79"/>
      <c r="C180" s="79"/>
      <c r="D180" s="79"/>
      <c r="E180" s="79"/>
      <c r="F180" s="79"/>
      <c r="G180" s="79"/>
      <c r="I180" s="80"/>
      <c r="J180" s="79"/>
      <c r="K180" s="81"/>
      <c r="L180" s="81"/>
    </row>
    <row r="181" spans="2:16" ht="23.25" customHeight="1" x14ac:dyDescent="0.25">
      <c r="B181" s="82" t="s">
        <v>40</v>
      </c>
      <c r="C181" s="79"/>
      <c r="D181" s="79"/>
      <c r="E181" s="79"/>
      <c r="F181" s="79"/>
      <c r="G181" s="79"/>
      <c r="H181" s="79"/>
      <c r="I181" s="79"/>
      <c r="J181" s="79"/>
      <c r="K181" s="79"/>
      <c r="L181" s="79"/>
    </row>
    <row r="182" spans="2:16" ht="18" customHeight="1" x14ac:dyDescent="0.25">
      <c r="B182" s="9" t="s">
        <v>15</v>
      </c>
      <c r="C182" s="9" t="s">
        <v>0</v>
      </c>
      <c r="D182" s="228" t="s">
        <v>41</v>
      </c>
      <c r="E182" s="229"/>
      <c r="F182" s="229"/>
      <c r="G182" s="229"/>
      <c r="H182" s="229"/>
      <c r="I182" s="230"/>
      <c r="J182" s="9" t="s">
        <v>15</v>
      </c>
      <c r="K182" s="9" t="s">
        <v>0</v>
      </c>
      <c r="L182" s="79"/>
    </row>
    <row r="183" spans="2:16" ht="18" customHeight="1" x14ac:dyDescent="0.25">
      <c r="B183" s="15" t="str">
        <f>IF(H177=3,B177,"")</f>
        <v/>
      </c>
      <c r="C183" s="15" t="str">
        <f>IFERROR(IF(B183="","",VLOOKUP(B183,LISTAS!$F$5:$G$1004,2,0)),"0")</f>
        <v/>
      </c>
      <c r="D183" s="223"/>
      <c r="E183" s="224"/>
      <c r="F183" s="223" t="s">
        <v>38</v>
      </c>
      <c r="G183" s="224"/>
      <c r="H183" s="223"/>
      <c r="I183" s="224"/>
      <c r="J183" s="21" t="str">
        <f>IF(H177=3,B179,"")</f>
        <v/>
      </c>
      <c r="K183" s="15" t="str">
        <f>IFERROR(IF(J183="","",VLOOKUP(J183,LISTAS!$F$5:$G$1004,2,0)),"0")</f>
        <v/>
      </c>
      <c r="L183" s="81"/>
    </row>
    <row r="184" spans="2:16" ht="18" customHeight="1" x14ac:dyDescent="0.25">
      <c r="B184" s="15" t="str">
        <f>IF(H177=3,B178,"")</f>
        <v/>
      </c>
      <c r="C184" s="15" t="str">
        <f>IFERROR(IF(B184="","",VLOOKUP(B184,LISTAS!$F$5:$G$1004,2,0)),"0")</f>
        <v/>
      </c>
      <c r="D184" s="223"/>
      <c r="E184" s="224"/>
      <c r="F184" s="223" t="s">
        <v>38</v>
      </c>
      <c r="G184" s="224"/>
      <c r="H184" s="223"/>
      <c r="I184" s="224"/>
      <c r="J184" s="21" t="str">
        <f>IF(H177=3,B179,"")</f>
        <v/>
      </c>
      <c r="K184" s="15" t="str">
        <f>IFERROR(IF(J184="","",VLOOKUP(J184,LISTAS!$F$5:$G$1004,2,0)),"0")</f>
        <v/>
      </c>
      <c r="L184" s="79"/>
    </row>
    <row r="185" spans="2:16" ht="18" customHeight="1" x14ac:dyDescent="0.25">
      <c r="B185" s="15" t="str">
        <f>IF(H177=3,B177,"")</f>
        <v/>
      </c>
      <c r="C185" s="15" t="str">
        <f>IFERROR(IF(B185="","",VLOOKUP(B185,LISTAS!$F$5:$G$1004,2,0)),"0")</f>
        <v/>
      </c>
      <c r="D185" s="223"/>
      <c r="E185" s="224"/>
      <c r="F185" s="223" t="s">
        <v>38</v>
      </c>
      <c r="G185" s="224"/>
      <c r="H185" s="223"/>
      <c r="I185" s="224"/>
      <c r="J185" s="21" t="str">
        <f>IF(H177=3,B178,"")</f>
        <v/>
      </c>
      <c r="K185" s="15" t="str">
        <f>IFERROR(IF(J185="","",VLOOKUP(J185,LISTAS!$F$5:$G$1004,2,0)),"0")</f>
        <v/>
      </c>
      <c r="L185" s="81"/>
    </row>
    <row r="188" spans="2:16" ht="30" customHeight="1" x14ac:dyDescent="0.25">
      <c r="B188" s="161" t="s">
        <v>58</v>
      </c>
      <c r="C188" s="79"/>
      <c r="D188" s="225" t="s">
        <v>42</v>
      </c>
      <c r="E188" s="226"/>
      <c r="F188" s="226"/>
      <c r="G188" s="227"/>
      <c r="H188" s="113"/>
      <c r="I188" s="225" t="s">
        <v>3</v>
      </c>
      <c r="J188" s="226"/>
      <c r="K188" s="226"/>
      <c r="L188" s="226"/>
    </row>
    <row r="189" spans="2:16" ht="18" customHeight="1" x14ac:dyDescent="0.25">
      <c r="B189" s="9" t="s">
        <v>15</v>
      </c>
      <c r="C189" s="9" t="s">
        <v>0</v>
      </c>
      <c r="D189" s="9" t="s">
        <v>43</v>
      </c>
      <c r="E189" s="9" t="s">
        <v>44</v>
      </c>
      <c r="F189" s="9" t="s">
        <v>77</v>
      </c>
      <c r="G189" s="9" t="s">
        <v>78</v>
      </c>
      <c r="H189" s="114"/>
      <c r="I189" s="9" t="s">
        <v>18</v>
      </c>
      <c r="J189" s="9" t="s">
        <v>15</v>
      </c>
      <c r="K189" s="9" t="s">
        <v>0</v>
      </c>
      <c r="L189" s="9" t="s">
        <v>45</v>
      </c>
    </row>
    <row r="190" spans="2:16" ht="18" customHeight="1" x14ac:dyDescent="0.25">
      <c r="B190" s="15"/>
      <c r="C190" s="15" t="str">
        <f>IFERROR(IF(B190="","",VLOOKUP(B190,LISTAS!$F$5:$G$1004,2,0)),"0")</f>
        <v/>
      </c>
      <c r="D190" s="15" t="str">
        <f>IF(H190&lt;3,"",IF(H190=3,IF(D196&lt;&gt;"",IF(H196&lt;&gt;"",IF(D196&lt;&gt;H196,IF(D196&gt;H196,"V","D"),""),""),"")))</f>
        <v/>
      </c>
      <c r="E190" s="15" t="str">
        <f>IF(H190&lt;3,"",IF(H190=3,IF(D198&lt;&gt;"",IF(H198&lt;&gt;"",IF(D198&lt;&gt;H198,IF(D198&gt;H198,"V","D"),""),""),"")))</f>
        <v/>
      </c>
      <c r="F190" s="15" t="s">
        <v>81</v>
      </c>
      <c r="G190" s="15" t="s">
        <v>81</v>
      </c>
      <c r="H190" s="117">
        <f>COUNTA(B190:B192)</f>
        <v>0</v>
      </c>
      <c r="I190" s="15" t="str">
        <f>IF(B190&lt;&gt;"",1,"")</f>
        <v/>
      </c>
      <c r="J190" s="15" t="str">
        <f>IF(I190&lt;&gt;"",P190,"")</f>
        <v/>
      </c>
      <c r="K190" s="15" t="str">
        <f>IFERROR(IF(J190="","",VLOOKUP(J190,LISTAS!$F$5:$G$1004,2,0)),"0")</f>
        <v/>
      </c>
      <c r="L190" s="119" t="str">
        <f>IF(H190=3,"OURO",IF(H190=4,"OURO",IF(H190=5,"OURO","")))</f>
        <v/>
      </c>
      <c r="M190" s="20" t="str">
        <f>IF(B190&lt;&gt;"",COUNTIF(D190:G190,"V")+(SUMIF(B196:B198,B190,D196:E198)/1000)+(SUMIF(J196:J198,B190,H196:I198)/1000)-(SUMIF(B196:B198,B190,H196:I198)/1000)-(SUMIF(J196:J198,B190,D196:E198)/1000)+0.003,"")</f>
        <v/>
      </c>
      <c r="N190" s="20" t="str">
        <f>IF(B190="","",B190)</f>
        <v/>
      </c>
      <c r="O190" s="20" t="str">
        <f>IF(B190&lt;&gt;"",LARGE(M190:M192,1),"")</f>
        <v/>
      </c>
      <c r="P190" s="20" t="str">
        <f>VLOOKUP(O190,M190:N192,2,0)</f>
        <v/>
      </c>
    </row>
    <row r="191" spans="2:16" ht="18" customHeight="1" x14ac:dyDescent="0.25">
      <c r="B191" s="15"/>
      <c r="C191" s="15" t="str">
        <f>IFERROR(IF(B191="","",VLOOKUP(B191,LISTAS!$F$5:$G$1004,2,0)),"0")</f>
        <v/>
      </c>
      <c r="D191" s="15" t="str">
        <f>IF(H190&lt;3,"",IF(H190=3,IF(D197&lt;&gt;"",IF(H197&lt;&gt;"",IF(D197&lt;&gt;H197,IF(D197&gt;H197,"V","D"),""),""),"")))</f>
        <v/>
      </c>
      <c r="E191" s="15" t="str">
        <f>IF(H190&lt;3,"",IF(H190=3,IF(D198&lt;&gt;"",IF(H198&lt;&gt;"",IF(D198&lt;&gt;H198,IF(D198&gt;H198,"D","V"),""),""),"")))</f>
        <v/>
      </c>
      <c r="F191" s="15" t="s">
        <v>81</v>
      </c>
      <c r="G191" s="15" t="s">
        <v>81</v>
      </c>
      <c r="H191" s="115"/>
      <c r="I191" s="15" t="str">
        <f>IF(B191&lt;&gt;"",2,"")</f>
        <v/>
      </c>
      <c r="J191" s="15" t="str">
        <f>IF(I191&lt;&gt;"",P191,"")</f>
        <v/>
      </c>
      <c r="K191" s="15" t="str">
        <f>IFERROR(IF(J191="","",VLOOKUP(J191,LISTAS!$F$5:$G$1004,2,0)),"0")</f>
        <v/>
      </c>
      <c r="L191" s="119" t="str">
        <f>IF(H190=3,"PRATA",IF(H190=4,"OURO",IF(H190=5,"OURO","")))</f>
        <v/>
      </c>
      <c r="M191" s="20" t="str">
        <f>IF(B191&lt;&gt;"",COUNTIF(D191:G191,"V")+(SUMIF(B196:B198,B191,D196:E198)/1000)+(SUMIF(J196:J198,B191,H196:I198)/1000)-(SUMIF(B196:B198,B191,H196:I198)/1000)-(SUMIF(J196:J198,B191,D196:E198)/1000)+0.002,"")</f>
        <v/>
      </c>
      <c r="N191" s="20" t="str">
        <f t="shared" ref="N191" si="13">IF(B191="","",B191)</f>
        <v/>
      </c>
      <c r="O191" s="20" t="str">
        <f>IF(B191&lt;&gt;"",LARGE(M190:M192,2),"")</f>
        <v/>
      </c>
      <c r="P191" s="20" t="str">
        <f>VLOOKUP(O191,M190:N192,2,0)</f>
        <v/>
      </c>
    </row>
    <row r="192" spans="2:16" ht="18" customHeight="1" x14ac:dyDescent="0.25">
      <c r="B192" s="15"/>
      <c r="C192" s="15" t="str">
        <f>IFERROR(IF(B192="","",VLOOKUP(B192,LISTAS!$F$5:$G$1004,2,0)),"0")</f>
        <v/>
      </c>
      <c r="D192" s="15" t="str">
        <f>IF(H190&lt;3,"",IF(H190=3,IF(D196&lt;&gt;"",IF(H196&lt;&gt;"",IF(D196&lt;&gt;H196,IF(D196&gt;H196,"D","V"),""),""),"")))</f>
        <v/>
      </c>
      <c r="E192" s="15" t="str">
        <f>IF(H190&lt;3,"",IF(H190=3,IF(D197&lt;&gt;"",IF(H197&lt;&gt;"",IF(D197&lt;&gt;H197,IF(D197&gt;H197,"D","V"),""),""),"")))</f>
        <v/>
      </c>
      <c r="F192" s="15" t="s">
        <v>81</v>
      </c>
      <c r="G192" s="15" t="s">
        <v>81</v>
      </c>
      <c r="H192" s="115"/>
      <c r="I192" s="15" t="str">
        <f>IF(B192&lt;&gt;"",3,"")</f>
        <v/>
      </c>
      <c r="J192" s="15" t="str">
        <f>IF(I192&lt;&gt;"",P192,"")</f>
        <v/>
      </c>
      <c r="K192" s="15" t="str">
        <f>IFERROR(IF(J192="","",VLOOKUP(J192,LISTAS!$F$5:$G$1004,2,0)),"0")</f>
        <v/>
      </c>
      <c r="L192" s="119" t="str">
        <f>IF(H190=3,"BRONZE",IF(H190=4,"PRATA",IF(H190=5,"OURO","")))</f>
        <v/>
      </c>
      <c r="M192" s="20" t="str">
        <f>IF(B192&lt;&gt;"",COUNTIF(D192:G192,"V")+(SUMIF(B196:B198,B192,D196:E198)/1000)+(SUMIF(J196:J198,B192,H196:I198)/1000)-(SUMIF(B196:B198,B192,H196:I198)/1000)-(SUMIF(J196:J198,B192,D196:E198)/1000)+0.001,"")</f>
        <v/>
      </c>
      <c r="N192" s="20" t="str">
        <f>IF(B192="","",B192)</f>
        <v/>
      </c>
      <c r="O192" s="20" t="str">
        <f>IF(B192&lt;&gt;"",LARGE(M190:M192,3),"")</f>
        <v/>
      </c>
      <c r="P192" s="20" t="str">
        <f>VLOOKUP(O192,M190:N192,2,0)</f>
        <v/>
      </c>
    </row>
    <row r="193" spans="2:16" ht="18" customHeight="1" x14ac:dyDescent="0.25">
      <c r="B193" s="79"/>
      <c r="C193" s="79"/>
      <c r="D193" s="79"/>
      <c r="E193" s="79"/>
      <c r="F193" s="79"/>
      <c r="G193" s="79"/>
      <c r="I193" s="80"/>
      <c r="J193" s="79"/>
      <c r="K193" s="81"/>
      <c r="L193" s="81"/>
    </row>
    <row r="194" spans="2:16" ht="23.25" customHeight="1" x14ac:dyDescent="0.25">
      <c r="B194" s="82" t="s">
        <v>40</v>
      </c>
      <c r="C194" s="79"/>
      <c r="D194" s="79"/>
      <c r="E194" s="79"/>
      <c r="F194" s="79"/>
      <c r="G194" s="79"/>
      <c r="H194" s="79"/>
      <c r="I194" s="79"/>
      <c r="J194" s="79"/>
      <c r="K194" s="79"/>
      <c r="L194" s="79"/>
    </row>
    <row r="195" spans="2:16" ht="18" customHeight="1" x14ac:dyDescent="0.25">
      <c r="B195" s="9" t="s">
        <v>15</v>
      </c>
      <c r="C195" s="9" t="s">
        <v>0</v>
      </c>
      <c r="D195" s="228" t="s">
        <v>41</v>
      </c>
      <c r="E195" s="229"/>
      <c r="F195" s="229"/>
      <c r="G195" s="229"/>
      <c r="H195" s="229"/>
      <c r="I195" s="230"/>
      <c r="J195" s="9" t="s">
        <v>15</v>
      </c>
      <c r="K195" s="9" t="s">
        <v>0</v>
      </c>
      <c r="L195" s="79"/>
    </row>
    <row r="196" spans="2:16" ht="18" customHeight="1" x14ac:dyDescent="0.25">
      <c r="B196" s="15" t="str">
        <f>IF(H190=3,B190,"")</f>
        <v/>
      </c>
      <c r="C196" s="15" t="str">
        <f>IFERROR(IF(B196="","",VLOOKUP(B196,LISTAS!$F$5:$G$1004,2,0)),"0")</f>
        <v/>
      </c>
      <c r="D196" s="223"/>
      <c r="E196" s="224"/>
      <c r="F196" s="223" t="s">
        <v>38</v>
      </c>
      <c r="G196" s="224"/>
      <c r="H196" s="223"/>
      <c r="I196" s="224"/>
      <c r="J196" s="21" t="str">
        <f>IF(H190=3,B192,"")</f>
        <v/>
      </c>
      <c r="K196" s="15" t="str">
        <f>IFERROR(IF(J196="","",VLOOKUP(J196,LISTAS!$F$5:$G$1004,2,0)),"0")</f>
        <v/>
      </c>
      <c r="L196" s="81"/>
    </row>
    <row r="197" spans="2:16" ht="18" customHeight="1" x14ac:dyDescent="0.25">
      <c r="B197" s="15" t="str">
        <f>IF(H190=3,B191,"")</f>
        <v/>
      </c>
      <c r="C197" s="15" t="str">
        <f>IFERROR(IF(B197="","",VLOOKUP(B197,LISTAS!$F$5:$G$1004,2,0)),"0")</f>
        <v/>
      </c>
      <c r="D197" s="223"/>
      <c r="E197" s="224"/>
      <c r="F197" s="223" t="s">
        <v>38</v>
      </c>
      <c r="G197" s="224"/>
      <c r="H197" s="223"/>
      <c r="I197" s="224"/>
      <c r="J197" s="21" t="str">
        <f>IF(H190=3,B192,"")</f>
        <v/>
      </c>
      <c r="K197" s="15" t="str">
        <f>IFERROR(IF(J197="","",VLOOKUP(J197,LISTAS!$F$5:$G$1004,2,0)),"0")</f>
        <v/>
      </c>
      <c r="L197" s="79"/>
    </row>
    <row r="198" spans="2:16" ht="18" customHeight="1" x14ac:dyDescent="0.25">
      <c r="B198" s="15" t="str">
        <f>IF(H190=3,B190,"")</f>
        <v/>
      </c>
      <c r="C198" s="15" t="str">
        <f>IFERROR(IF(B198="","",VLOOKUP(B198,LISTAS!$F$5:$G$1004,2,0)),"0")</f>
        <v/>
      </c>
      <c r="D198" s="223"/>
      <c r="E198" s="224"/>
      <c r="F198" s="223" t="s">
        <v>38</v>
      </c>
      <c r="G198" s="224"/>
      <c r="H198" s="223"/>
      <c r="I198" s="224"/>
      <c r="J198" s="21" t="str">
        <f>IF(H190=3,B191,"")</f>
        <v/>
      </c>
      <c r="K198" s="15" t="str">
        <f>IFERROR(IF(J198="","",VLOOKUP(J198,LISTAS!$F$5:$G$1004,2,0)),"0")</f>
        <v/>
      </c>
      <c r="L198" s="81"/>
    </row>
    <row r="201" spans="2:16" ht="30" customHeight="1" x14ac:dyDescent="0.25">
      <c r="B201" s="161" t="s">
        <v>59</v>
      </c>
      <c r="C201" s="79"/>
      <c r="D201" s="225" t="s">
        <v>42</v>
      </c>
      <c r="E201" s="226"/>
      <c r="F201" s="226"/>
      <c r="G201" s="227"/>
      <c r="H201" s="113"/>
      <c r="I201" s="225" t="s">
        <v>3</v>
      </c>
      <c r="J201" s="226"/>
      <c r="K201" s="226"/>
      <c r="L201" s="226"/>
    </row>
    <row r="202" spans="2:16" ht="18" customHeight="1" x14ac:dyDescent="0.25">
      <c r="B202" s="9" t="s">
        <v>15</v>
      </c>
      <c r="C202" s="9" t="s">
        <v>0</v>
      </c>
      <c r="D202" s="9" t="s">
        <v>43</v>
      </c>
      <c r="E202" s="9" t="s">
        <v>44</v>
      </c>
      <c r="F202" s="9" t="s">
        <v>77</v>
      </c>
      <c r="G202" s="9" t="s">
        <v>78</v>
      </c>
      <c r="H202" s="114"/>
      <c r="I202" s="9" t="s">
        <v>18</v>
      </c>
      <c r="J202" s="9" t="s">
        <v>15</v>
      </c>
      <c r="K202" s="9" t="s">
        <v>0</v>
      </c>
      <c r="L202" s="9" t="s">
        <v>45</v>
      </c>
    </row>
    <row r="203" spans="2:16" ht="18" customHeight="1" x14ac:dyDescent="0.25">
      <c r="B203" s="15"/>
      <c r="C203" s="15" t="str">
        <f>IFERROR(IF(B203="","",VLOOKUP(B203,LISTAS!$F$5:$G$1004,2,0)),"0")</f>
        <v/>
      </c>
      <c r="D203" s="15" t="str">
        <f>IF(H203&lt;3,"",IF(H203=3,IF(D209&lt;&gt;"",IF(H209&lt;&gt;"",IF(D209&lt;&gt;H209,IF(D209&gt;H209,"V","D"),""),""),"")))</f>
        <v/>
      </c>
      <c r="E203" s="15" t="str">
        <f>IF(H203&lt;3,"",IF(H203=3,IF(D211&lt;&gt;"",IF(H211&lt;&gt;"",IF(D211&lt;&gt;H211,IF(D211&gt;H211,"V","D"),""),""),"")))</f>
        <v/>
      </c>
      <c r="F203" s="15" t="s">
        <v>81</v>
      </c>
      <c r="G203" s="15" t="s">
        <v>81</v>
      </c>
      <c r="H203" s="117">
        <f>COUNTA(B203:B205)</f>
        <v>0</v>
      </c>
      <c r="I203" s="15" t="str">
        <f>IF(B203&lt;&gt;"",1,"")</f>
        <v/>
      </c>
      <c r="J203" s="15" t="str">
        <f>IF(I203&lt;&gt;"",P203,"")</f>
        <v/>
      </c>
      <c r="K203" s="15" t="str">
        <f>IFERROR(IF(J203="","",VLOOKUP(J203,LISTAS!$F$5:$G$1004,2,0)),"0")</f>
        <v/>
      </c>
      <c r="L203" s="119" t="str">
        <f>IF(H203=3,"OURO",IF(H203=4,"OURO",IF(H203=5,"OURO","")))</f>
        <v/>
      </c>
      <c r="M203" s="20" t="str">
        <f>IF(B203&lt;&gt;"",COUNTIF(D203:G203,"V")+(SUMIF(B209:B211,B203,D209:E211)/1000)+(SUMIF(J209:J211,B203,H209:I211)/1000)-(SUMIF(B209:B211,B203,H209:I211)/1000)-(SUMIF(J209:J211,B203,D209:E211)/1000)+0.003,"")</f>
        <v/>
      </c>
      <c r="N203" s="20" t="str">
        <f>IF(B203="","",B203)</f>
        <v/>
      </c>
      <c r="O203" s="20" t="str">
        <f>IF(B203&lt;&gt;"",LARGE(M203:M205,1),"")</f>
        <v/>
      </c>
      <c r="P203" s="20" t="str">
        <f>VLOOKUP(O203,M203:N205,2,0)</f>
        <v/>
      </c>
    </row>
    <row r="204" spans="2:16" ht="18" customHeight="1" x14ac:dyDescent="0.25">
      <c r="B204" s="15"/>
      <c r="C204" s="15" t="str">
        <f>IFERROR(IF(B204="","",VLOOKUP(B204,LISTAS!$F$5:$G$1004,2,0)),"0")</f>
        <v/>
      </c>
      <c r="D204" s="15" t="str">
        <f>IF(H203&lt;3,"",IF(H203=3,IF(D210&lt;&gt;"",IF(H210&lt;&gt;"",IF(D210&lt;&gt;H210,IF(D210&gt;H210,"V","D"),""),""),"")))</f>
        <v/>
      </c>
      <c r="E204" s="15" t="str">
        <f>IF(H203&lt;3,"",IF(H203=3,IF(D211&lt;&gt;"",IF(H211&lt;&gt;"",IF(D211&lt;&gt;H211,IF(D211&gt;H211,"D","V"),""),""),"")))</f>
        <v/>
      </c>
      <c r="F204" s="15" t="s">
        <v>81</v>
      </c>
      <c r="G204" s="15" t="s">
        <v>81</v>
      </c>
      <c r="H204" s="115"/>
      <c r="I204" s="15" t="str">
        <f>IF(B204&lt;&gt;"",2,"")</f>
        <v/>
      </c>
      <c r="J204" s="15" t="str">
        <f>IF(I204&lt;&gt;"",P204,"")</f>
        <v/>
      </c>
      <c r="K204" s="15" t="str">
        <f>IFERROR(IF(J204="","",VLOOKUP(J204,LISTAS!$F$5:$G$1004,2,0)),"0")</f>
        <v/>
      </c>
      <c r="L204" s="119" t="str">
        <f>IF(H203=3,"PRATA",IF(H203=4,"OURO",IF(H203=5,"OURO","")))</f>
        <v/>
      </c>
      <c r="M204" s="20" t="str">
        <f>IF(B204&lt;&gt;"",COUNTIF(D204:G204,"V")+(SUMIF(B209:B211,B204,D209:E211)/1000)+(SUMIF(J209:J211,B204,H209:I211)/1000)-(SUMIF(B209:B211,B204,H209:I211)/1000)-(SUMIF(J209:J211,B204,D209:E211)/1000)+0.002,"")</f>
        <v/>
      </c>
      <c r="N204" s="20" t="str">
        <f t="shared" ref="N204" si="14">IF(B204="","",B204)</f>
        <v/>
      </c>
      <c r="O204" s="20" t="str">
        <f>IF(B204&lt;&gt;"",LARGE(M203:M205,2),"")</f>
        <v/>
      </c>
      <c r="P204" s="20" t="str">
        <f>VLOOKUP(O204,M203:N205,2,0)</f>
        <v/>
      </c>
    </row>
    <row r="205" spans="2:16" ht="18" customHeight="1" x14ac:dyDescent="0.25">
      <c r="B205" s="15"/>
      <c r="C205" s="15" t="str">
        <f>IFERROR(IF(B205="","",VLOOKUP(B205,LISTAS!$F$5:$G$1004,2,0)),"0")</f>
        <v/>
      </c>
      <c r="D205" s="15" t="str">
        <f>IF(H203&lt;3,"",IF(H203=3,IF(D209&lt;&gt;"",IF(H209&lt;&gt;"",IF(D209&lt;&gt;H209,IF(D209&gt;H209,"D","V"),""),""),"")))</f>
        <v/>
      </c>
      <c r="E205" s="15" t="str">
        <f>IF(H203&lt;3,"",IF(H203=3,IF(D210&lt;&gt;"",IF(H210&lt;&gt;"",IF(D210&lt;&gt;H210,IF(D210&gt;H210,"D","V"),""),""),"")))</f>
        <v/>
      </c>
      <c r="F205" s="15" t="s">
        <v>81</v>
      </c>
      <c r="G205" s="15" t="s">
        <v>81</v>
      </c>
      <c r="H205" s="115"/>
      <c r="I205" s="15" t="str">
        <f>IF(B205&lt;&gt;"",3,"")</f>
        <v/>
      </c>
      <c r="J205" s="15" t="str">
        <f>IF(I205&lt;&gt;"",P205,"")</f>
        <v/>
      </c>
      <c r="K205" s="15" t="str">
        <f>IFERROR(IF(J205="","",VLOOKUP(J205,LISTAS!$F$5:$G$1004,2,0)),"0")</f>
        <v/>
      </c>
      <c r="L205" s="119" t="str">
        <f>IF(H203=3,"BRONZE",IF(H203=4,"PRATA",IF(H203=5,"OURO","")))</f>
        <v/>
      </c>
      <c r="M205" s="20" t="str">
        <f>IF(B205&lt;&gt;"",COUNTIF(D205:G205,"V")+(SUMIF(B209:B211,B205,D209:E211)/1000)+(SUMIF(J209:J211,B205,H209:I211)/1000)-(SUMIF(B209:B211,B205,H209:I211)/1000)-(SUMIF(J209:J211,B205,D209:E211)/1000)+0.001,"")</f>
        <v/>
      </c>
      <c r="N205" s="20" t="str">
        <f>IF(B205="","",B205)</f>
        <v/>
      </c>
      <c r="O205" s="20" t="str">
        <f>IF(B205&lt;&gt;"",LARGE(M203:M205,3),"")</f>
        <v/>
      </c>
      <c r="P205" s="20" t="str">
        <f>VLOOKUP(O205,M203:N205,2,0)</f>
        <v/>
      </c>
    </row>
    <row r="206" spans="2:16" ht="18" customHeight="1" x14ac:dyDescent="0.25">
      <c r="B206" s="79"/>
      <c r="C206" s="79"/>
      <c r="D206" s="79"/>
      <c r="E206" s="79"/>
      <c r="F206" s="79"/>
      <c r="G206" s="79"/>
      <c r="I206" s="80"/>
      <c r="J206" s="79"/>
      <c r="K206" s="81"/>
      <c r="L206" s="81"/>
    </row>
    <row r="207" spans="2:16" ht="23.25" customHeight="1" x14ac:dyDescent="0.25">
      <c r="B207" s="82" t="s">
        <v>40</v>
      </c>
      <c r="C207" s="79"/>
      <c r="D207" s="79"/>
      <c r="E207" s="79"/>
      <c r="F207" s="79"/>
      <c r="G207" s="79"/>
      <c r="H207" s="79"/>
      <c r="I207" s="79"/>
      <c r="J207" s="79"/>
      <c r="K207" s="79"/>
      <c r="L207" s="79"/>
    </row>
    <row r="208" spans="2:16" ht="18" customHeight="1" x14ac:dyDescent="0.25">
      <c r="B208" s="9" t="s">
        <v>15</v>
      </c>
      <c r="C208" s="9" t="s">
        <v>0</v>
      </c>
      <c r="D208" s="228" t="s">
        <v>41</v>
      </c>
      <c r="E208" s="229"/>
      <c r="F208" s="229"/>
      <c r="G208" s="229"/>
      <c r="H208" s="229"/>
      <c r="I208" s="230"/>
      <c r="J208" s="9" t="s">
        <v>15</v>
      </c>
      <c r="K208" s="9" t="s">
        <v>0</v>
      </c>
      <c r="L208" s="79"/>
    </row>
    <row r="209" spans="2:16" ht="18" customHeight="1" x14ac:dyDescent="0.25">
      <c r="B209" s="15" t="str">
        <f>IF(H203=3,B203,"")</f>
        <v/>
      </c>
      <c r="C209" s="15" t="str">
        <f>IFERROR(IF(B209="","",VLOOKUP(B209,LISTAS!$F$5:$G$1004,2,0)),"0")</f>
        <v/>
      </c>
      <c r="D209" s="223"/>
      <c r="E209" s="224"/>
      <c r="F209" s="223" t="s">
        <v>38</v>
      </c>
      <c r="G209" s="224"/>
      <c r="H209" s="223"/>
      <c r="I209" s="224"/>
      <c r="J209" s="21" t="str">
        <f>IF(H203=3,B205,"")</f>
        <v/>
      </c>
      <c r="K209" s="15" t="str">
        <f>IFERROR(IF(J209="","",VLOOKUP(J209,LISTAS!$F$5:$G$1004,2,0)),"0")</f>
        <v/>
      </c>
      <c r="L209" s="81"/>
    </row>
    <row r="210" spans="2:16" ht="18" customHeight="1" x14ac:dyDescent="0.25">
      <c r="B210" s="15" t="str">
        <f>IF(H203=3,B204,"")</f>
        <v/>
      </c>
      <c r="C210" s="15" t="str">
        <f>IFERROR(IF(B210="","",VLOOKUP(B210,LISTAS!$F$5:$G$1004,2,0)),"0")</f>
        <v/>
      </c>
      <c r="D210" s="223"/>
      <c r="E210" s="224"/>
      <c r="F210" s="223" t="s">
        <v>38</v>
      </c>
      <c r="G210" s="224"/>
      <c r="H210" s="223"/>
      <c r="I210" s="224"/>
      <c r="J210" s="21" t="str">
        <f>IF(H203=3,B205,"")</f>
        <v/>
      </c>
      <c r="K210" s="15" t="str">
        <f>IFERROR(IF(J210="","",VLOOKUP(J210,LISTAS!$F$5:$G$1004,2,0)),"0")</f>
        <v/>
      </c>
      <c r="L210" s="79"/>
    </row>
    <row r="211" spans="2:16" ht="18" customHeight="1" x14ac:dyDescent="0.25">
      <c r="B211" s="15" t="str">
        <f>IF(H203=3,B203,"")</f>
        <v/>
      </c>
      <c r="C211" s="15" t="str">
        <f>IFERROR(IF(B211="","",VLOOKUP(B211,LISTAS!$F$5:$G$1004,2,0)),"0")</f>
        <v/>
      </c>
      <c r="D211" s="223"/>
      <c r="E211" s="224"/>
      <c r="F211" s="223" t="s">
        <v>38</v>
      </c>
      <c r="G211" s="224"/>
      <c r="H211" s="223"/>
      <c r="I211" s="224"/>
      <c r="J211" s="21" t="str">
        <f>IF(H203=3,B204,"")</f>
        <v/>
      </c>
      <c r="K211" s="15" t="str">
        <f>IFERROR(IF(J211="","",VLOOKUP(J211,LISTAS!$F$5:$G$1004,2,0)),"0")</f>
        <v/>
      </c>
      <c r="L211" s="81"/>
    </row>
    <row r="214" spans="2:16" ht="30" customHeight="1" x14ac:dyDescent="0.25">
      <c r="B214" s="161" t="s">
        <v>60</v>
      </c>
      <c r="C214" s="79"/>
      <c r="D214" s="225" t="s">
        <v>42</v>
      </c>
      <c r="E214" s="226"/>
      <c r="F214" s="226"/>
      <c r="G214" s="227"/>
      <c r="H214" s="113"/>
      <c r="I214" s="225" t="s">
        <v>3</v>
      </c>
      <c r="J214" s="226"/>
      <c r="K214" s="226"/>
      <c r="L214" s="226"/>
    </row>
    <row r="215" spans="2:16" ht="18" customHeight="1" x14ac:dyDescent="0.25">
      <c r="B215" s="9" t="s">
        <v>15</v>
      </c>
      <c r="C215" s="9" t="s">
        <v>0</v>
      </c>
      <c r="D215" s="9" t="s">
        <v>43</v>
      </c>
      <c r="E215" s="9" t="s">
        <v>44</v>
      </c>
      <c r="F215" s="9" t="s">
        <v>77</v>
      </c>
      <c r="G215" s="9" t="s">
        <v>78</v>
      </c>
      <c r="H215" s="114"/>
      <c r="I215" s="9" t="s">
        <v>18</v>
      </c>
      <c r="J215" s="9" t="s">
        <v>15</v>
      </c>
      <c r="K215" s="9" t="s">
        <v>0</v>
      </c>
      <c r="L215" s="9" t="s">
        <v>45</v>
      </c>
    </row>
    <row r="216" spans="2:16" ht="18" customHeight="1" x14ac:dyDescent="0.25">
      <c r="B216" s="15"/>
      <c r="C216" s="15" t="str">
        <f>IFERROR(IF(B216="","",VLOOKUP(B216,LISTAS!$F$5:$G$1004,2,0)),"0")</f>
        <v/>
      </c>
      <c r="D216" s="15" t="str">
        <f>IF(H216&lt;3,"",IF(H216=3,IF(D222&lt;&gt;"",IF(H222&lt;&gt;"",IF(D222&lt;&gt;H222,IF(D222&gt;H222,"V","D"),""),""),"")))</f>
        <v/>
      </c>
      <c r="E216" s="15" t="str">
        <f>IF(H216&lt;3,"",IF(H216=3,IF(D224&lt;&gt;"",IF(H224&lt;&gt;"",IF(D224&lt;&gt;H224,IF(D224&gt;H224,"V","D"),""),""),"")))</f>
        <v/>
      </c>
      <c r="F216" s="15" t="s">
        <v>81</v>
      </c>
      <c r="G216" s="15" t="s">
        <v>81</v>
      </c>
      <c r="H216" s="117">
        <f>COUNTA(B216:B218)</f>
        <v>0</v>
      </c>
      <c r="I216" s="15" t="str">
        <f>IF(B216&lt;&gt;"",1,"")</f>
        <v/>
      </c>
      <c r="J216" s="15" t="str">
        <f>IF(I216&lt;&gt;"",P216,"")</f>
        <v/>
      </c>
      <c r="K216" s="15" t="str">
        <f>IFERROR(IF(J216="","",VLOOKUP(J216,LISTAS!$F$5:$G$1004,2,0)),"0")</f>
        <v/>
      </c>
      <c r="L216" s="119" t="str">
        <f>IF(H216=3,"OURO",IF(H216=4,"OURO",IF(H216=5,"OURO","")))</f>
        <v/>
      </c>
      <c r="M216" s="20" t="str">
        <f>IF(B216&lt;&gt;"",COUNTIF(D216:G216,"V")+(SUMIF(B222:B224,B216,D222:E224)/1000)+(SUMIF(J222:J224,B216,H222:I224)/1000)-(SUMIF(B222:B224,B216,H222:I224)/1000)-(SUMIF(J222:J224,B216,D222:E224)/1000)+0.003,"")</f>
        <v/>
      </c>
      <c r="N216" s="20" t="str">
        <f>IF(B216="","",B216)</f>
        <v/>
      </c>
      <c r="O216" s="20" t="str">
        <f>IF(B216&lt;&gt;"",LARGE(M216:M218,1),"")</f>
        <v/>
      </c>
      <c r="P216" s="20" t="str">
        <f>VLOOKUP(O216,M216:N218,2,0)</f>
        <v/>
      </c>
    </row>
    <row r="217" spans="2:16" ht="18" customHeight="1" x14ac:dyDescent="0.25">
      <c r="B217" s="15"/>
      <c r="C217" s="15" t="str">
        <f>IFERROR(IF(B217="","",VLOOKUP(B217,LISTAS!$F$5:$G$1004,2,0)),"0")</f>
        <v/>
      </c>
      <c r="D217" s="15" t="str">
        <f>IF(H216&lt;3,"",IF(H216=3,IF(D223&lt;&gt;"",IF(H223&lt;&gt;"",IF(D223&lt;&gt;H223,IF(D223&gt;H223,"V","D"),""),""),"")))</f>
        <v/>
      </c>
      <c r="E217" s="15" t="str">
        <f>IF(H216&lt;3,"",IF(H216=3,IF(D224&lt;&gt;"",IF(H224&lt;&gt;"",IF(D224&lt;&gt;H224,IF(D224&gt;H224,"D","V"),""),""),"")))</f>
        <v/>
      </c>
      <c r="F217" s="15" t="s">
        <v>81</v>
      </c>
      <c r="G217" s="15" t="s">
        <v>81</v>
      </c>
      <c r="H217" s="115"/>
      <c r="I217" s="15" t="str">
        <f>IF(B217&lt;&gt;"",2,"")</f>
        <v/>
      </c>
      <c r="J217" s="15" t="str">
        <f>IF(I217&lt;&gt;"",P217,"")</f>
        <v/>
      </c>
      <c r="K217" s="15" t="str">
        <f>IFERROR(IF(J217="","",VLOOKUP(J217,LISTAS!$F$5:$G$1004,2,0)),"0")</f>
        <v/>
      </c>
      <c r="L217" s="119" t="str">
        <f>IF(H216=3,"PRATA",IF(H216=4,"OURO",IF(H216=5,"OURO","")))</f>
        <v/>
      </c>
      <c r="M217" s="20" t="str">
        <f>IF(B217&lt;&gt;"",COUNTIF(D217:G217,"V")+(SUMIF(B222:B224,B217,D222:E224)/1000)+(SUMIF(J222:J224,B217,H222:I224)/1000)-(SUMIF(B222:B224,B217,H222:I224)/1000)-(SUMIF(J222:J224,B217,D222:E224)/1000)+0.002,"")</f>
        <v/>
      </c>
      <c r="N217" s="20" t="str">
        <f t="shared" ref="N217" si="15">IF(B217="","",B217)</f>
        <v/>
      </c>
      <c r="O217" s="20" t="str">
        <f>IF(B217&lt;&gt;"",LARGE(M216:M218,2),"")</f>
        <v/>
      </c>
      <c r="P217" s="20" t="str">
        <f>VLOOKUP(O217,M216:N218,2,0)</f>
        <v/>
      </c>
    </row>
    <row r="218" spans="2:16" ht="18" customHeight="1" x14ac:dyDescent="0.25">
      <c r="B218" s="15"/>
      <c r="C218" s="15" t="str">
        <f>IFERROR(IF(B218="","",VLOOKUP(B218,LISTAS!$F$5:$G$1004,2,0)),"0")</f>
        <v/>
      </c>
      <c r="D218" s="15" t="str">
        <f>IF(H216&lt;3,"",IF(H216=3,IF(D222&lt;&gt;"",IF(H222&lt;&gt;"",IF(D222&lt;&gt;H222,IF(D222&gt;H222,"D","V"),""),""),"")))</f>
        <v/>
      </c>
      <c r="E218" s="15" t="str">
        <f>IF(H216&lt;3,"",IF(H216=3,IF(D223&lt;&gt;"",IF(H223&lt;&gt;"",IF(D223&lt;&gt;H223,IF(D223&gt;H223,"D","V"),""),""),"")))</f>
        <v/>
      </c>
      <c r="F218" s="15" t="s">
        <v>81</v>
      </c>
      <c r="G218" s="15" t="s">
        <v>81</v>
      </c>
      <c r="H218" s="115"/>
      <c r="I218" s="15" t="str">
        <f>IF(B218&lt;&gt;"",3,"")</f>
        <v/>
      </c>
      <c r="J218" s="15" t="str">
        <f>IF(I218&lt;&gt;"",P218,"")</f>
        <v/>
      </c>
      <c r="K218" s="15" t="str">
        <f>IFERROR(IF(J218="","",VLOOKUP(J218,LISTAS!$F$5:$G$1004,2,0)),"0")</f>
        <v/>
      </c>
      <c r="L218" s="119" t="str">
        <f>IF(H216=3,"BRONZE",IF(H216=4,"PRATA",IF(H216=5,"OURO","")))</f>
        <v/>
      </c>
      <c r="M218" s="20" t="str">
        <f>IF(B218&lt;&gt;"",COUNTIF(D218:G218,"V")+(SUMIF(B222:B224,B218,D222:E224)/1000)+(SUMIF(J222:J224,B218,H222:I224)/1000)-(SUMIF(B222:B224,B218,H222:I224)/1000)-(SUMIF(J222:J224,B218,D222:E224)/1000)+0.001,"")</f>
        <v/>
      </c>
      <c r="N218" s="20" t="str">
        <f>IF(B218="","",B218)</f>
        <v/>
      </c>
      <c r="O218" s="20" t="str">
        <f>IF(B218&lt;&gt;"",LARGE(M216:M218,3),"")</f>
        <v/>
      </c>
      <c r="P218" s="20" t="str">
        <f>VLOOKUP(O218,M216:N218,2,0)</f>
        <v/>
      </c>
    </row>
    <row r="219" spans="2:16" ht="18" customHeight="1" x14ac:dyDescent="0.25">
      <c r="B219" s="79"/>
      <c r="C219" s="79"/>
      <c r="D219" s="79"/>
      <c r="E219" s="79"/>
      <c r="F219" s="79"/>
      <c r="G219" s="79"/>
      <c r="I219" s="80"/>
      <c r="J219" s="79"/>
      <c r="K219" s="81"/>
      <c r="L219" s="81"/>
    </row>
    <row r="220" spans="2:16" ht="23.25" customHeight="1" x14ac:dyDescent="0.25">
      <c r="B220" s="82" t="s">
        <v>40</v>
      </c>
      <c r="C220" s="79"/>
      <c r="D220" s="79"/>
      <c r="E220" s="79"/>
      <c r="F220" s="79"/>
      <c r="G220" s="79"/>
      <c r="H220" s="79"/>
      <c r="I220" s="79"/>
      <c r="J220" s="79"/>
      <c r="K220" s="79"/>
      <c r="L220" s="79"/>
    </row>
    <row r="221" spans="2:16" ht="18" customHeight="1" x14ac:dyDescent="0.25">
      <c r="B221" s="9" t="s">
        <v>15</v>
      </c>
      <c r="C221" s="9" t="s">
        <v>0</v>
      </c>
      <c r="D221" s="228" t="s">
        <v>41</v>
      </c>
      <c r="E221" s="229"/>
      <c r="F221" s="229"/>
      <c r="G221" s="229"/>
      <c r="H221" s="229"/>
      <c r="I221" s="230"/>
      <c r="J221" s="9" t="s">
        <v>15</v>
      </c>
      <c r="K221" s="9" t="s">
        <v>0</v>
      </c>
      <c r="L221" s="79"/>
    </row>
    <row r="222" spans="2:16" ht="18" customHeight="1" x14ac:dyDescent="0.25">
      <c r="B222" s="15" t="str">
        <f>IF(H216=3,B216,"")</f>
        <v/>
      </c>
      <c r="C222" s="15" t="str">
        <f>IFERROR(IF(B222="","",VLOOKUP(B222,LISTAS!$F$5:$G$1004,2,0)),"0")</f>
        <v/>
      </c>
      <c r="D222" s="223"/>
      <c r="E222" s="224"/>
      <c r="F222" s="223" t="s">
        <v>38</v>
      </c>
      <c r="G222" s="224"/>
      <c r="H222" s="223"/>
      <c r="I222" s="224"/>
      <c r="J222" s="21" t="str">
        <f>IF(H216=3,B218,"")</f>
        <v/>
      </c>
      <c r="K222" s="15" t="str">
        <f>IFERROR(IF(J222="","",VLOOKUP(J222,LISTAS!$F$5:$G$1004,2,0)),"0")</f>
        <v/>
      </c>
      <c r="L222" s="81"/>
    </row>
    <row r="223" spans="2:16" ht="18" customHeight="1" x14ac:dyDescent="0.25">
      <c r="B223" s="15" t="str">
        <f>IF(H216=3,B217,"")</f>
        <v/>
      </c>
      <c r="C223" s="15" t="str">
        <f>IFERROR(IF(B223="","",VLOOKUP(B223,LISTAS!$F$5:$G$1004,2,0)),"0")</f>
        <v/>
      </c>
      <c r="D223" s="223"/>
      <c r="E223" s="224"/>
      <c r="F223" s="223" t="s">
        <v>38</v>
      </c>
      <c r="G223" s="224"/>
      <c r="H223" s="223"/>
      <c r="I223" s="224"/>
      <c r="J223" s="21" t="str">
        <f>IF(H216=3,B218,"")</f>
        <v/>
      </c>
      <c r="K223" s="15" t="str">
        <f>IFERROR(IF(J223="","",VLOOKUP(J223,LISTAS!$F$5:$G$1004,2,0)),"0")</f>
        <v/>
      </c>
      <c r="L223" s="79"/>
    </row>
    <row r="224" spans="2:16" ht="18" customHeight="1" x14ac:dyDescent="0.25">
      <c r="B224" s="15" t="str">
        <f>IF(H216=3,B216,"")</f>
        <v/>
      </c>
      <c r="C224" s="15" t="str">
        <f>IFERROR(IF(B224="","",VLOOKUP(B224,LISTAS!$F$5:$G$1004,2,0)),"0")</f>
        <v/>
      </c>
      <c r="D224" s="223"/>
      <c r="E224" s="224"/>
      <c r="F224" s="223" t="s">
        <v>38</v>
      </c>
      <c r="G224" s="224"/>
      <c r="H224" s="223"/>
      <c r="I224" s="224"/>
      <c r="J224" s="21" t="str">
        <f>IF(H216=3,B217,"")</f>
        <v/>
      </c>
      <c r="K224" s="15" t="str">
        <f>IFERROR(IF(J224="","",VLOOKUP(J224,LISTAS!$F$5:$G$1004,2,0)),"0")</f>
        <v/>
      </c>
      <c r="L224" s="81"/>
    </row>
    <row r="227" spans="2:16" ht="30" customHeight="1" x14ac:dyDescent="0.25">
      <c r="B227" s="161" t="s">
        <v>61</v>
      </c>
      <c r="C227" s="79"/>
      <c r="D227" s="225" t="s">
        <v>42</v>
      </c>
      <c r="E227" s="226"/>
      <c r="F227" s="226"/>
      <c r="G227" s="227"/>
      <c r="H227" s="113"/>
      <c r="I227" s="225" t="s">
        <v>3</v>
      </c>
      <c r="J227" s="226"/>
      <c r="K227" s="226"/>
      <c r="L227" s="226"/>
    </row>
    <row r="228" spans="2:16" ht="18" customHeight="1" x14ac:dyDescent="0.25">
      <c r="B228" s="9" t="s">
        <v>15</v>
      </c>
      <c r="C228" s="9" t="s">
        <v>0</v>
      </c>
      <c r="D228" s="9" t="s">
        <v>43</v>
      </c>
      <c r="E228" s="9" t="s">
        <v>44</v>
      </c>
      <c r="F228" s="9" t="s">
        <v>77</v>
      </c>
      <c r="G228" s="9" t="s">
        <v>78</v>
      </c>
      <c r="H228" s="114"/>
      <c r="I228" s="9" t="s">
        <v>18</v>
      </c>
      <c r="J228" s="9" t="s">
        <v>15</v>
      </c>
      <c r="K228" s="9" t="s">
        <v>0</v>
      </c>
      <c r="L228" s="9" t="s">
        <v>45</v>
      </c>
    </row>
    <row r="229" spans="2:16" ht="18" customHeight="1" x14ac:dyDescent="0.25">
      <c r="B229" s="15"/>
      <c r="C229" s="15" t="str">
        <f>IFERROR(IF(B229="","",VLOOKUP(B229,LISTAS!$F$5:$G$1004,2,0)),"0")</f>
        <v/>
      </c>
      <c r="D229" s="15" t="str">
        <f>IF(H229&lt;3,"",IF(H229=3,IF(D235&lt;&gt;"",IF(H235&lt;&gt;"",IF(D235&lt;&gt;H235,IF(D235&gt;H235,"V","D"),""),""),"")))</f>
        <v/>
      </c>
      <c r="E229" s="15" t="str">
        <f>IF(H229&lt;3,"",IF(H229=3,IF(D237&lt;&gt;"",IF(H237&lt;&gt;"",IF(D237&lt;&gt;H237,IF(D237&gt;H237,"V","D"),""),""),"")))</f>
        <v/>
      </c>
      <c r="F229" s="15" t="s">
        <v>81</v>
      </c>
      <c r="G229" s="15" t="s">
        <v>81</v>
      </c>
      <c r="H229" s="117">
        <f>COUNTA(B229:B231)</f>
        <v>0</v>
      </c>
      <c r="I229" s="15" t="str">
        <f>IF(B229&lt;&gt;"",1,"")</f>
        <v/>
      </c>
      <c r="J229" s="15" t="str">
        <f>IF(I229&lt;&gt;"",P229,"")</f>
        <v/>
      </c>
      <c r="K229" s="15" t="str">
        <f>IFERROR(IF(J229="","",VLOOKUP(J229,LISTAS!$F$5:$G$1004,2,0)),"0")</f>
        <v/>
      </c>
      <c r="L229" s="119" t="str">
        <f>IF(H229=3,"OURO",IF(H229=4,"OURO",IF(H229=5,"OURO","")))</f>
        <v/>
      </c>
      <c r="M229" s="20" t="str">
        <f>IF(B229&lt;&gt;"",COUNTIF(D229:G229,"V")+(SUMIF(B235:B237,B229,D235:E237)/1000)+(SUMIF(J235:J237,B229,H235:I237)/1000)-(SUMIF(B235:B237,B229,H235:I237)/1000)-(SUMIF(J235:J237,B229,D235:E237)/1000)+0.003,"")</f>
        <v/>
      </c>
      <c r="N229" s="20" t="str">
        <f>IF(B229="","",B229)</f>
        <v/>
      </c>
      <c r="O229" s="20" t="str">
        <f>IF(B229&lt;&gt;"",LARGE(M229:M231,1),"")</f>
        <v/>
      </c>
      <c r="P229" s="20" t="str">
        <f>VLOOKUP(O229,M229:N231,2,0)</f>
        <v/>
      </c>
    </row>
    <row r="230" spans="2:16" ht="18" customHeight="1" x14ac:dyDescent="0.25">
      <c r="B230" s="15"/>
      <c r="C230" s="15" t="str">
        <f>IFERROR(IF(B230="","",VLOOKUP(B230,LISTAS!$F$5:$G$1004,2,0)),"0")</f>
        <v/>
      </c>
      <c r="D230" s="15" t="str">
        <f>IF(H229&lt;3,"",IF(H229=3,IF(D236&lt;&gt;"",IF(H236&lt;&gt;"",IF(D236&lt;&gt;H236,IF(D236&gt;H236,"V","D"),""),""),"")))</f>
        <v/>
      </c>
      <c r="E230" s="15" t="str">
        <f>IF(H229&lt;3,"",IF(H229=3,IF(D237&lt;&gt;"",IF(H237&lt;&gt;"",IF(D237&lt;&gt;H237,IF(D237&gt;H237,"D","V"),""),""),"")))</f>
        <v/>
      </c>
      <c r="F230" s="15" t="s">
        <v>81</v>
      </c>
      <c r="G230" s="15" t="s">
        <v>81</v>
      </c>
      <c r="H230" s="115"/>
      <c r="I230" s="15" t="str">
        <f>IF(B230&lt;&gt;"",2,"")</f>
        <v/>
      </c>
      <c r="J230" s="15" t="str">
        <f>IF(I230&lt;&gt;"",P230,"")</f>
        <v/>
      </c>
      <c r="K230" s="15" t="str">
        <f>IFERROR(IF(J230="","",VLOOKUP(J230,LISTAS!$F$5:$G$1004,2,0)),"0")</f>
        <v/>
      </c>
      <c r="L230" s="119" t="str">
        <f>IF(H229=3,"PRATA",IF(H229=4,"OURO",IF(H229=5,"OURO","")))</f>
        <v/>
      </c>
      <c r="M230" s="20" t="str">
        <f>IF(B230&lt;&gt;"",COUNTIF(D230:G230,"V")+(SUMIF(B235:B237,B230,D235:E237)/1000)+(SUMIF(J235:J237,B230,H235:I237)/1000)-(SUMIF(B235:B237,B230,H235:I237)/1000)-(SUMIF(J235:J237,B230,D235:E237)/1000)+0.002,"")</f>
        <v/>
      </c>
      <c r="N230" s="20" t="str">
        <f t="shared" ref="N230" si="16">IF(B230="","",B230)</f>
        <v/>
      </c>
      <c r="O230" s="20" t="str">
        <f>IF(B230&lt;&gt;"",LARGE(M229:M231,2),"")</f>
        <v/>
      </c>
      <c r="P230" s="20" t="str">
        <f>VLOOKUP(O230,M229:N231,2,0)</f>
        <v/>
      </c>
    </row>
    <row r="231" spans="2:16" ht="18" customHeight="1" x14ac:dyDescent="0.25">
      <c r="B231" s="15"/>
      <c r="C231" s="15" t="str">
        <f>IFERROR(IF(B231="","",VLOOKUP(B231,LISTAS!$F$5:$G$1004,2,0)),"0")</f>
        <v/>
      </c>
      <c r="D231" s="15" t="str">
        <f>IF(H229&lt;3,"",IF(H229=3,IF(D235&lt;&gt;"",IF(H235&lt;&gt;"",IF(D235&lt;&gt;H235,IF(D235&gt;H235,"D","V"),""),""),"")))</f>
        <v/>
      </c>
      <c r="E231" s="15" t="str">
        <f>IF(H229&lt;3,"",IF(H229=3,IF(D236&lt;&gt;"",IF(H236&lt;&gt;"",IF(D236&lt;&gt;H236,IF(D236&gt;H236,"D","V"),""),""),"")))</f>
        <v/>
      </c>
      <c r="F231" s="15" t="s">
        <v>81</v>
      </c>
      <c r="G231" s="15" t="s">
        <v>81</v>
      </c>
      <c r="H231" s="115"/>
      <c r="I231" s="15" t="str">
        <f>IF(B231&lt;&gt;"",3,"")</f>
        <v/>
      </c>
      <c r="J231" s="15" t="str">
        <f>IF(I231&lt;&gt;"",P231,"")</f>
        <v/>
      </c>
      <c r="K231" s="15" t="str">
        <f>IFERROR(IF(J231="","",VLOOKUP(J231,LISTAS!$F$5:$G$1004,2,0)),"0")</f>
        <v/>
      </c>
      <c r="L231" s="119" t="str">
        <f>IF(H229=3,"BRONZE",IF(H229=4,"PRATA",IF(H229=5,"OURO","")))</f>
        <v/>
      </c>
      <c r="M231" s="20" t="str">
        <f>IF(B231&lt;&gt;"",COUNTIF(D231:G231,"V")+(SUMIF(B235:B237,B231,D235:E237)/1000)+(SUMIF(J235:J237,B231,H235:I237)/1000)-(SUMIF(B235:B237,B231,H235:I237)/1000)-(SUMIF(J235:J237,B231,D235:E237)/1000)+0.001,"")</f>
        <v/>
      </c>
      <c r="N231" s="20" t="str">
        <f>IF(B231="","",B231)</f>
        <v/>
      </c>
      <c r="O231" s="20" t="str">
        <f>IF(B231&lt;&gt;"",LARGE(M229:M231,3),"")</f>
        <v/>
      </c>
      <c r="P231" s="20" t="str">
        <f>VLOOKUP(O231,M229:N231,2,0)</f>
        <v/>
      </c>
    </row>
    <row r="232" spans="2:16" ht="18" customHeight="1" x14ac:dyDescent="0.25">
      <c r="B232" s="79"/>
      <c r="C232" s="79"/>
      <c r="D232" s="79"/>
      <c r="E232" s="79"/>
      <c r="F232" s="79"/>
      <c r="G232" s="79"/>
      <c r="I232" s="80"/>
      <c r="J232" s="79"/>
      <c r="K232" s="81"/>
      <c r="L232" s="81"/>
    </row>
    <row r="233" spans="2:16" ht="23.25" customHeight="1" x14ac:dyDescent="0.25">
      <c r="B233" s="82" t="s">
        <v>40</v>
      </c>
      <c r="C233" s="79"/>
      <c r="D233" s="79"/>
      <c r="E233" s="79"/>
      <c r="F233" s="79"/>
      <c r="G233" s="79"/>
      <c r="H233" s="79"/>
      <c r="I233" s="79"/>
      <c r="J233" s="79"/>
      <c r="K233" s="79"/>
      <c r="L233" s="79"/>
    </row>
    <row r="234" spans="2:16" ht="18" customHeight="1" x14ac:dyDescent="0.25">
      <c r="B234" s="9" t="s">
        <v>15</v>
      </c>
      <c r="C234" s="9" t="s">
        <v>0</v>
      </c>
      <c r="D234" s="228" t="s">
        <v>41</v>
      </c>
      <c r="E234" s="229"/>
      <c r="F234" s="229"/>
      <c r="G234" s="229"/>
      <c r="H234" s="229"/>
      <c r="I234" s="230"/>
      <c r="J234" s="9" t="s">
        <v>15</v>
      </c>
      <c r="K234" s="9" t="s">
        <v>0</v>
      </c>
      <c r="L234" s="79"/>
    </row>
    <row r="235" spans="2:16" ht="18" customHeight="1" x14ac:dyDescent="0.25">
      <c r="B235" s="15" t="str">
        <f>IF(H229=3,B229,"")</f>
        <v/>
      </c>
      <c r="C235" s="15" t="str">
        <f>IFERROR(IF(B235="","",VLOOKUP(B235,LISTAS!$F$5:$G$1004,2,0)),"0")</f>
        <v/>
      </c>
      <c r="D235" s="223"/>
      <c r="E235" s="224"/>
      <c r="F235" s="223" t="s">
        <v>38</v>
      </c>
      <c r="G235" s="224"/>
      <c r="H235" s="223"/>
      <c r="I235" s="224"/>
      <c r="J235" s="21" t="str">
        <f>IF(H229=3,B231,"")</f>
        <v/>
      </c>
      <c r="K235" s="15" t="str">
        <f>IFERROR(IF(J235="","",VLOOKUP(J235,LISTAS!$F$5:$G$1004,2,0)),"0")</f>
        <v/>
      </c>
      <c r="L235" s="81"/>
    </row>
    <row r="236" spans="2:16" ht="18" customHeight="1" x14ac:dyDescent="0.25">
      <c r="B236" s="15" t="str">
        <f>IF(H229=3,B230,"")</f>
        <v/>
      </c>
      <c r="C236" s="15" t="str">
        <f>IFERROR(IF(B236="","",VLOOKUP(B236,LISTAS!$F$5:$G$1004,2,0)),"0")</f>
        <v/>
      </c>
      <c r="D236" s="223"/>
      <c r="E236" s="224"/>
      <c r="F236" s="223" t="s">
        <v>38</v>
      </c>
      <c r="G236" s="224"/>
      <c r="H236" s="223"/>
      <c r="I236" s="224"/>
      <c r="J236" s="21" t="str">
        <f>IF(H229=3,B231,"")</f>
        <v/>
      </c>
      <c r="K236" s="15" t="str">
        <f>IFERROR(IF(J236="","",VLOOKUP(J236,LISTAS!$F$5:$G$1004,2,0)),"0")</f>
        <v/>
      </c>
      <c r="L236" s="79"/>
    </row>
    <row r="237" spans="2:16" ht="18" customHeight="1" x14ac:dyDescent="0.25">
      <c r="B237" s="15" t="str">
        <f>IF(H229=3,B229,"")</f>
        <v/>
      </c>
      <c r="C237" s="15" t="str">
        <f>IFERROR(IF(B237="","",VLOOKUP(B237,LISTAS!$F$5:$G$1004,2,0)),"0")</f>
        <v/>
      </c>
      <c r="D237" s="223"/>
      <c r="E237" s="224"/>
      <c r="F237" s="223" t="s">
        <v>38</v>
      </c>
      <c r="G237" s="224"/>
      <c r="H237" s="223"/>
      <c r="I237" s="224"/>
      <c r="J237" s="21" t="str">
        <f>IF(H229=3,B230,"")</f>
        <v/>
      </c>
      <c r="K237" s="15" t="str">
        <f>IFERROR(IF(J237="","",VLOOKUP(J237,LISTAS!$F$5:$G$1004,2,0)),"0")</f>
        <v/>
      </c>
      <c r="L237" s="81"/>
    </row>
    <row r="240" spans="2:16" ht="30" customHeight="1" x14ac:dyDescent="0.25">
      <c r="B240" s="161" t="s">
        <v>62</v>
      </c>
      <c r="C240" s="79"/>
      <c r="D240" s="225" t="s">
        <v>42</v>
      </c>
      <c r="E240" s="226"/>
      <c r="F240" s="226"/>
      <c r="G240" s="227"/>
      <c r="H240" s="113"/>
      <c r="I240" s="225" t="s">
        <v>3</v>
      </c>
      <c r="J240" s="226"/>
      <c r="K240" s="226"/>
      <c r="L240" s="226"/>
    </row>
    <row r="241" spans="2:16" ht="18" customHeight="1" x14ac:dyDescent="0.25">
      <c r="B241" s="9" t="s">
        <v>15</v>
      </c>
      <c r="C241" s="9" t="s">
        <v>0</v>
      </c>
      <c r="D241" s="9" t="s">
        <v>43</v>
      </c>
      <c r="E241" s="9" t="s">
        <v>44</v>
      </c>
      <c r="F241" s="9" t="s">
        <v>77</v>
      </c>
      <c r="G241" s="9" t="s">
        <v>78</v>
      </c>
      <c r="H241" s="114"/>
      <c r="I241" s="9" t="s">
        <v>18</v>
      </c>
      <c r="J241" s="9" t="s">
        <v>15</v>
      </c>
      <c r="K241" s="9" t="s">
        <v>0</v>
      </c>
      <c r="L241" s="9" t="s">
        <v>45</v>
      </c>
    </row>
    <row r="242" spans="2:16" ht="18" customHeight="1" x14ac:dyDescent="0.25">
      <c r="B242" s="15"/>
      <c r="C242" s="15" t="str">
        <f>IFERROR(IF(B242="","",VLOOKUP(B242,LISTAS!$F$5:$G$1004,2,0)),"0")</f>
        <v/>
      </c>
      <c r="D242" s="15" t="str">
        <f>IF(H242&lt;3,"",IF(H242=3,IF(D248&lt;&gt;"",IF(H248&lt;&gt;"",IF(D248&lt;&gt;H248,IF(D248&gt;H248,"V","D"),""),""),"")))</f>
        <v/>
      </c>
      <c r="E242" s="15" t="str">
        <f>IF(H242&lt;3,"",IF(H242=3,IF(D250&lt;&gt;"",IF(H250&lt;&gt;"",IF(D250&lt;&gt;H250,IF(D250&gt;H250,"V","D"),""),""),"")))</f>
        <v/>
      </c>
      <c r="F242" s="15" t="s">
        <v>81</v>
      </c>
      <c r="G242" s="15" t="s">
        <v>81</v>
      </c>
      <c r="H242" s="117">
        <f>COUNTA(B242:B244)</f>
        <v>0</v>
      </c>
      <c r="I242" s="15" t="str">
        <f>IF(B242&lt;&gt;"",1,"")</f>
        <v/>
      </c>
      <c r="J242" s="15" t="str">
        <f>IF(I242&lt;&gt;"",P242,"")</f>
        <v/>
      </c>
      <c r="K242" s="15" t="str">
        <f>IFERROR(IF(J242="","",VLOOKUP(J242,LISTAS!$F$5:$G$1004,2,0)),"0")</f>
        <v/>
      </c>
      <c r="L242" s="119" t="str">
        <f>IF(H242=3,"OURO",IF(H242=4,"OURO",IF(H242=5,"OURO","")))</f>
        <v/>
      </c>
      <c r="M242" s="20" t="str">
        <f>IF(B242&lt;&gt;"",COUNTIF(D242:G242,"V")+(SUMIF(B248:B250,B242,D248:E250)/1000)+(SUMIF(J248:J250,B242,H248:I250)/1000)-(SUMIF(B248:B250,B242,H248:I250)/1000)-(SUMIF(J248:J250,B242,D248:E250)/1000)+0.003,"")</f>
        <v/>
      </c>
      <c r="N242" s="20" t="str">
        <f>IF(B242="","",B242)</f>
        <v/>
      </c>
      <c r="O242" s="20" t="str">
        <f>IF(B242&lt;&gt;"",LARGE(M242:M244,1),"")</f>
        <v/>
      </c>
      <c r="P242" s="20" t="str">
        <f>VLOOKUP(O242,M242:N244,2,0)</f>
        <v/>
      </c>
    </row>
    <row r="243" spans="2:16" ht="18" customHeight="1" x14ac:dyDescent="0.25">
      <c r="B243" s="15"/>
      <c r="C243" s="15" t="str">
        <f>IFERROR(IF(B243="","",VLOOKUP(B243,LISTAS!$F$5:$G$1004,2,0)),"0")</f>
        <v/>
      </c>
      <c r="D243" s="15" t="str">
        <f>IF(H242&lt;3,"",IF(H242=3,IF(D249&lt;&gt;"",IF(H249&lt;&gt;"",IF(D249&lt;&gt;H249,IF(D249&gt;H249,"V","D"),""),""),"")))</f>
        <v/>
      </c>
      <c r="E243" s="15" t="str">
        <f>IF(H242&lt;3,"",IF(H242=3,IF(D250&lt;&gt;"",IF(H250&lt;&gt;"",IF(D250&lt;&gt;H250,IF(D250&gt;H250,"D","V"),""),""),"")))</f>
        <v/>
      </c>
      <c r="F243" s="15" t="s">
        <v>81</v>
      </c>
      <c r="G243" s="15" t="s">
        <v>81</v>
      </c>
      <c r="H243" s="115"/>
      <c r="I243" s="15" t="str">
        <f>IF(B243&lt;&gt;"",2,"")</f>
        <v/>
      </c>
      <c r="J243" s="15" t="str">
        <f>IF(I243&lt;&gt;"",P243,"")</f>
        <v/>
      </c>
      <c r="K243" s="15" t="str">
        <f>IFERROR(IF(J243="","",VLOOKUP(J243,LISTAS!$F$5:$G$1004,2,0)),"0")</f>
        <v/>
      </c>
      <c r="L243" s="119" t="str">
        <f>IF(H242=3,"PRATA",IF(H242=4,"OURO",IF(H242=5,"OURO","")))</f>
        <v/>
      </c>
      <c r="M243" s="20" t="str">
        <f>IF(B243&lt;&gt;"",COUNTIF(D243:G243,"V")+(SUMIF(B248:B250,B243,D248:E250)/1000)+(SUMIF(J248:J250,B243,H248:I250)/1000)-(SUMIF(B248:B250,B243,H248:I250)/1000)-(SUMIF(J248:J250,B243,D248:E250)/1000)+0.002,"")</f>
        <v/>
      </c>
      <c r="N243" s="20" t="str">
        <f t="shared" ref="N243" si="17">IF(B243="","",B243)</f>
        <v/>
      </c>
      <c r="O243" s="20" t="str">
        <f>IF(B243&lt;&gt;"",LARGE(M242:M244,2),"")</f>
        <v/>
      </c>
      <c r="P243" s="20" t="str">
        <f>VLOOKUP(O243,M242:N244,2,0)</f>
        <v/>
      </c>
    </row>
    <row r="244" spans="2:16" ht="18" customHeight="1" x14ac:dyDescent="0.25">
      <c r="B244" s="15"/>
      <c r="C244" s="15" t="str">
        <f>IFERROR(IF(B244="","",VLOOKUP(B244,LISTAS!$F$5:$G$1004,2,0)),"0")</f>
        <v/>
      </c>
      <c r="D244" s="15" t="str">
        <f>IF(H242&lt;3,"",IF(H242=3,IF(D248&lt;&gt;"",IF(H248&lt;&gt;"",IF(D248&lt;&gt;H248,IF(D248&gt;H248,"D","V"),""),""),"")))</f>
        <v/>
      </c>
      <c r="E244" s="15" t="str">
        <f>IF(H242&lt;3,"",IF(H242=3,IF(D249&lt;&gt;"",IF(H249&lt;&gt;"",IF(D249&lt;&gt;H249,IF(D249&gt;H249,"D","V"),""),""),"")))</f>
        <v/>
      </c>
      <c r="F244" s="15" t="s">
        <v>81</v>
      </c>
      <c r="G244" s="15" t="s">
        <v>81</v>
      </c>
      <c r="H244" s="115"/>
      <c r="I244" s="15" t="str">
        <f>IF(B244&lt;&gt;"",3,"")</f>
        <v/>
      </c>
      <c r="J244" s="15" t="str">
        <f>IF(I244&lt;&gt;"",P244,"")</f>
        <v/>
      </c>
      <c r="K244" s="15" t="str">
        <f>IFERROR(IF(J244="","",VLOOKUP(J244,LISTAS!$F$5:$G$1004,2,0)),"0")</f>
        <v/>
      </c>
      <c r="L244" s="119" t="str">
        <f>IF(H242=3,"BRONZE",IF(H242=4,"PRATA",IF(H242=5,"OURO","")))</f>
        <v/>
      </c>
      <c r="M244" s="20" t="str">
        <f>IF(B244&lt;&gt;"",COUNTIF(D244:G244,"V")+(SUMIF(B248:B250,B244,D248:E250)/1000)+(SUMIF(J248:J250,B244,H248:I250)/1000)-(SUMIF(B248:B250,B244,H248:I250)/1000)-(SUMIF(J248:J250,B244,D248:E250)/1000)+0.001,"")</f>
        <v/>
      </c>
      <c r="N244" s="20" t="str">
        <f>IF(B244="","",B244)</f>
        <v/>
      </c>
      <c r="O244" s="20" t="str">
        <f>IF(B244&lt;&gt;"",LARGE(M242:M244,3),"")</f>
        <v/>
      </c>
      <c r="P244" s="20" t="str">
        <f>VLOOKUP(O244,M242:N244,2,0)</f>
        <v/>
      </c>
    </row>
    <row r="245" spans="2:16" ht="18" customHeight="1" x14ac:dyDescent="0.25">
      <c r="B245" s="79"/>
      <c r="C245" s="79"/>
      <c r="D245" s="79"/>
      <c r="E245" s="79"/>
      <c r="F245" s="79"/>
      <c r="G245" s="79"/>
      <c r="I245" s="80"/>
      <c r="J245" s="79"/>
      <c r="K245" s="81"/>
      <c r="L245" s="81"/>
    </row>
    <row r="246" spans="2:16" ht="23.25" customHeight="1" x14ac:dyDescent="0.25">
      <c r="B246" s="82" t="s">
        <v>40</v>
      </c>
      <c r="C246" s="79"/>
      <c r="D246" s="79"/>
      <c r="E246" s="79"/>
      <c r="F246" s="79"/>
      <c r="G246" s="79"/>
      <c r="H246" s="79"/>
      <c r="I246" s="79"/>
      <c r="J246" s="79"/>
      <c r="K246" s="79"/>
      <c r="L246" s="79"/>
    </row>
    <row r="247" spans="2:16" ht="18" customHeight="1" x14ac:dyDescent="0.25">
      <c r="B247" s="9" t="s">
        <v>15</v>
      </c>
      <c r="C247" s="9" t="s">
        <v>0</v>
      </c>
      <c r="D247" s="228" t="s">
        <v>41</v>
      </c>
      <c r="E247" s="229"/>
      <c r="F247" s="229"/>
      <c r="G247" s="229"/>
      <c r="H247" s="229"/>
      <c r="I247" s="230"/>
      <c r="J247" s="9" t="s">
        <v>15</v>
      </c>
      <c r="K247" s="9" t="s">
        <v>0</v>
      </c>
      <c r="L247" s="79"/>
    </row>
    <row r="248" spans="2:16" ht="18" customHeight="1" x14ac:dyDescent="0.25">
      <c r="B248" s="15" t="str">
        <f>IF(H242=3,B242,"")</f>
        <v/>
      </c>
      <c r="C248" s="15" t="str">
        <f>IFERROR(IF(B248="","",VLOOKUP(B248,LISTAS!$F$5:$G$1004,2,0)),"0")</f>
        <v/>
      </c>
      <c r="D248" s="223"/>
      <c r="E248" s="224"/>
      <c r="F248" s="223" t="s">
        <v>38</v>
      </c>
      <c r="G248" s="224"/>
      <c r="H248" s="223"/>
      <c r="I248" s="224"/>
      <c r="J248" s="21" t="str">
        <f>IF(H242=3,B244,"")</f>
        <v/>
      </c>
      <c r="K248" s="15" t="str">
        <f>IFERROR(IF(J248="","",VLOOKUP(J248,LISTAS!$F$5:$G$1004,2,0)),"0")</f>
        <v/>
      </c>
      <c r="L248" s="81"/>
    </row>
    <row r="249" spans="2:16" ht="18" customHeight="1" x14ac:dyDescent="0.25">
      <c r="B249" s="15" t="str">
        <f>IF(H242=3,B243,"")</f>
        <v/>
      </c>
      <c r="C249" s="15" t="str">
        <f>IFERROR(IF(B249="","",VLOOKUP(B249,LISTAS!$F$5:$G$1004,2,0)),"0")</f>
        <v/>
      </c>
      <c r="D249" s="223"/>
      <c r="E249" s="224"/>
      <c r="F249" s="223" t="s">
        <v>38</v>
      </c>
      <c r="G249" s="224"/>
      <c r="H249" s="223"/>
      <c r="I249" s="224"/>
      <c r="J249" s="21" t="str">
        <f>IF(H242=3,B244,"")</f>
        <v/>
      </c>
      <c r="K249" s="15" t="str">
        <f>IFERROR(IF(J249="","",VLOOKUP(J249,LISTAS!$F$5:$G$1004,2,0)),"0")</f>
        <v/>
      </c>
      <c r="L249" s="79"/>
    </row>
    <row r="250" spans="2:16" ht="18" customHeight="1" x14ac:dyDescent="0.25">
      <c r="B250" s="15" t="str">
        <f>IF(H242=3,B242,"")</f>
        <v/>
      </c>
      <c r="C250" s="15" t="str">
        <f>IFERROR(IF(B250="","",VLOOKUP(B250,LISTAS!$F$5:$G$1004,2,0)),"0")</f>
        <v/>
      </c>
      <c r="D250" s="223"/>
      <c r="E250" s="224"/>
      <c r="F250" s="223" t="s">
        <v>38</v>
      </c>
      <c r="G250" s="224"/>
      <c r="H250" s="223"/>
      <c r="I250" s="224"/>
      <c r="J250" s="21" t="str">
        <f>IF(H242=3,B243,"")</f>
        <v/>
      </c>
      <c r="K250" s="15" t="str">
        <f>IFERROR(IF(J250="","",VLOOKUP(J250,LISTAS!$F$5:$G$1004,2,0)),"0")</f>
        <v/>
      </c>
      <c r="L250" s="81"/>
    </row>
    <row r="253" spans="2:16" ht="30" customHeight="1" x14ac:dyDescent="0.25">
      <c r="B253" s="161" t="s">
        <v>63</v>
      </c>
      <c r="C253" s="79"/>
      <c r="D253" s="225" t="s">
        <v>42</v>
      </c>
      <c r="E253" s="226"/>
      <c r="F253" s="226"/>
      <c r="G253" s="227"/>
      <c r="H253" s="113"/>
      <c r="I253" s="225" t="s">
        <v>3</v>
      </c>
      <c r="J253" s="226"/>
      <c r="K253" s="226"/>
      <c r="L253" s="226"/>
    </row>
    <row r="254" spans="2:16" ht="18" customHeight="1" x14ac:dyDescent="0.25">
      <c r="B254" s="9" t="s">
        <v>15</v>
      </c>
      <c r="C254" s="9" t="s">
        <v>0</v>
      </c>
      <c r="D254" s="9" t="s">
        <v>43</v>
      </c>
      <c r="E254" s="9" t="s">
        <v>44</v>
      </c>
      <c r="F254" s="9" t="s">
        <v>77</v>
      </c>
      <c r="G254" s="9" t="s">
        <v>78</v>
      </c>
      <c r="H254" s="114"/>
      <c r="I254" s="9" t="s">
        <v>18</v>
      </c>
      <c r="J254" s="9" t="s">
        <v>15</v>
      </c>
      <c r="K254" s="9" t="s">
        <v>0</v>
      </c>
      <c r="L254" s="9" t="s">
        <v>45</v>
      </c>
    </row>
    <row r="255" spans="2:16" ht="18" customHeight="1" x14ac:dyDescent="0.25">
      <c r="B255" s="15"/>
      <c r="C255" s="15" t="str">
        <f>IFERROR(IF(B255="","",VLOOKUP(B255,LISTAS!$F$5:$G$1004,2,0)),"0")</f>
        <v/>
      </c>
      <c r="D255" s="15" t="str">
        <f>IF(H255&lt;3,"",IF(H255=3,IF(D261&lt;&gt;"",IF(H261&lt;&gt;"",IF(D261&lt;&gt;H261,IF(D261&gt;H261,"V","D"),""),""),"")))</f>
        <v/>
      </c>
      <c r="E255" s="15" t="str">
        <f>IF(H255&lt;3,"",IF(H255=3,IF(D263&lt;&gt;"",IF(H263&lt;&gt;"",IF(D263&lt;&gt;H263,IF(D263&gt;H263,"V","D"),""),""),"")))</f>
        <v/>
      </c>
      <c r="F255" s="15" t="s">
        <v>81</v>
      </c>
      <c r="G255" s="15" t="s">
        <v>81</v>
      </c>
      <c r="H255" s="117">
        <f>COUNTA(B255:B257)</f>
        <v>0</v>
      </c>
      <c r="I255" s="15" t="str">
        <f>IF(B255&lt;&gt;"",1,"")</f>
        <v/>
      </c>
      <c r="J255" s="15" t="str">
        <f>IF(I255&lt;&gt;"",P255,"")</f>
        <v/>
      </c>
      <c r="K255" s="15" t="str">
        <f>IFERROR(IF(J255="","",VLOOKUP(J255,LISTAS!$F$5:$G$1004,2,0)),"0")</f>
        <v/>
      </c>
      <c r="L255" s="119" t="str">
        <f>IF(H255=3,"OURO",IF(H255=4,"OURO",IF(H255=5,"OURO","")))</f>
        <v/>
      </c>
      <c r="M255" s="20" t="str">
        <f>IF(B255&lt;&gt;"",COUNTIF(D255:G255,"V")+(SUMIF(B261:B263,B255,D261:E263)/1000)+(SUMIF(J261:J263,B255,H261:I263)/1000)-(SUMIF(B261:B263,B255,H261:I263)/1000)-(SUMIF(J261:J263,B255,D261:E263)/1000)+0.003,"")</f>
        <v/>
      </c>
      <c r="N255" s="20" t="str">
        <f>IF(B255="","",B255)</f>
        <v/>
      </c>
      <c r="O255" s="20" t="str">
        <f>IF(B255&lt;&gt;"",LARGE(M255:M257,1),"")</f>
        <v/>
      </c>
      <c r="P255" s="20" t="str">
        <f>VLOOKUP(O255,M255:N257,2,0)</f>
        <v/>
      </c>
    </row>
    <row r="256" spans="2:16" ht="18" customHeight="1" x14ac:dyDescent="0.25">
      <c r="B256" s="15"/>
      <c r="C256" s="15" t="str">
        <f>IFERROR(IF(B256="","",VLOOKUP(B256,LISTAS!$F$5:$G$1004,2,0)),"0")</f>
        <v/>
      </c>
      <c r="D256" s="15" t="str">
        <f>IF(H255&lt;3,"",IF(H255=3,IF(D262&lt;&gt;"",IF(H262&lt;&gt;"",IF(D262&lt;&gt;H262,IF(D262&gt;H262,"V","D"),""),""),"")))</f>
        <v/>
      </c>
      <c r="E256" s="15" t="str">
        <f>IF(H255&lt;3,"",IF(H255=3,IF(D263&lt;&gt;"",IF(H263&lt;&gt;"",IF(D263&lt;&gt;H263,IF(D263&gt;H263,"D","V"),""),""),"")))</f>
        <v/>
      </c>
      <c r="F256" s="15" t="s">
        <v>81</v>
      </c>
      <c r="G256" s="15" t="s">
        <v>81</v>
      </c>
      <c r="H256" s="115"/>
      <c r="I256" s="15" t="str">
        <f>IF(B256&lt;&gt;"",2,"")</f>
        <v/>
      </c>
      <c r="J256" s="15" t="str">
        <f>IF(I256&lt;&gt;"",P256,"")</f>
        <v/>
      </c>
      <c r="K256" s="15" t="str">
        <f>IFERROR(IF(J256="","",VLOOKUP(J256,LISTAS!$F$5:$G$1004,2,0)),"0")</f>
        <v/>
      </c>
      <c r="L256" s="119" t="str">
        <f>IF(H255=3,"PRATA",IF(H255=4,"OURO",IF(H255=5,"OURO","")))</f>
        <v/>
      </c>
      <c r="M256" s="20" t="str">
        <f>IF(B256&lt;&gt;"",COUNTIF(D256:G256,"V")+(SUMIF(B261:B263,B256,D261:E263)/1000)+(SUMIF(J261:J263,B256,H261:I263)/1000)-(SUMIF(B261:B263,B256,H261:I263)/1000)-(SUMIF(J261:J263,B256,D261:E263)/1000)+0.002,"")</f>
        <v/>
      </c>
      <c r="N256" s="20" t="str">
        <f t="shared" ref="N256" si="18">IF(B256="","",B256)</f>
        <v/>
      </c>
      <c r="O256" s="20" t="str">
        <f>IF(B256&lt;&gt;"",LARGE(M255:M257,2),"")</f>
        <v/>
      </c>
      <c r="P256" s="20" t="str">
        <f>VLOOKUP(O256,M255:N257,2,0)</f>
        <v/>
      </c>
    </row>
    <row r="257" spans="2:16" ht="18" customHeight="1" x14ac:dyDescent="0.25">
      <c r="B257" s="15"/>
      <c r="C257" s="15" t="str">
        <f>IFERROR(IF(B257="","",VLOOKUP(B257,LISTAS!$F$5:$G$1004,2,0)),"0")</f>
        <v/>
      </c>
      <c r="D257" s="15" t="str">
        <f>IF(H255&lt;3,"",IF(H255=3,IF(D261&lt;&gt;"",IF(H261&lt;&gt;"",IF(D261&lt;&gt;H261,IF(D261&gt;H261,"D","V"),""),""),"")))</f>
        <v/>
      </c>
      <c r="E257" s="15" t="str">
        <f>IF(H255&lt;3,"",IF(H255=3,IF(D262&lt;&gt;"",IF(H262&lt;&gt;"",IF(D262&lt;&gt;H262,IF(D262&gt;H262,"D","V"),""),""),"")))</f>
        <v/>
      </c>
      <c r="F257" s="15" t="s">
        <v>81</v>
      </c>
      <c r="G257" s="15" t="s">
        <v>81</v>
      </c>
      <c r="H257" s="115"/>
      <c r="I257" s="15" t="str">
        <f>IF(B257&lt;&gt;"",3,"")</f>
        <v/>
      </c>
      <c r="J257" s="15" t="str">
        <f>IF(I257&lt;&gt;"",P257,"")</f>
        <v/>
      </c>
      <c r="K257" s="15" t="str">
        <f>IFERROR(IF(J257="","",VLOOKUP(J257,LISTAS!$F$5:$G$1004,2,0)),"0")</f>
        <v/>
      </c>
      <c r="L257" s="119" t="str">
        <f>IF(H255=3,"BRONZE",IF(H255=4,"PRATA",IF(H255=5,"OURO","")))</f>
        <v/>
      </c>
      <c r="M257" s="20" t="str">
        <f>IF(B257&lt;&gt;"",COUNTIF(D257:G257,"V")+(SUMIF(B261:B263,B257,D261:E263)/1000)+(SUMIF(J261:J263,B257,H261:I263)/1000)-(SUMIF(B261:B263,B257,H261:I263)/1000)-(SUMIF(J261:J263,B257,D261:E263)/1000)+0.001,"")</f>
        <v/>
      </c>
      <c r="N257" s="20" t="str">
        <f>IF(B257="","",B257)</f>
        <v/>
      </c>
      <c r="O257" s="20" t="str">
        <f>IF(B257&lt;&gt;"",LARGE(M255:M257,3),"")</f>
        <v/>
      </c>
      <c r="P257" s="20" t="str">
        <f>VLOOKUP(O257,M255:N257,2,0)</f>
        <v/>
      </c>
    </row>
    <row r="258" spans="2:16" ht="18" customHeight="1" x14ac:dyDescent="0.25">
      <c r="B258" s="79"/>
      <c r="C258" s="79"/>
      <c r="D258" s="79"/>
      <c r="E258" s="79"/>
      <c r="F258" s="79"/>
      <c r="G258" s="79"/>
      <c r="I258" s="80"/>
      <c r="J258" s="79"/>
      <c r="K258" s="81"/>
      <c r="L258" s="81"/>
    </row>
    <row r="259" spans="2:16" ht="23.25" customHeight="1" x14ac:dyDescent="0.25">
      <c r="B259" s="82" t="s">
        <v>40</v>
      </c>
      <c r="C259" s="79"/>
      <c r="D259" s="79"/>
      <c r="E259" s="79"/>
      <c r="F259" s="79"/>
      <c r="G259" s="79"/>
      <c r="H259" s="79"/>
      <c r="I259" s="79"/>
      <c r="J259" s="79"/>
      <c r="K259" s="79"/>
      <c r="L259" s="79"/>
    </row>
    <row r="260" spans="2:16" ht="18" customHeight="1" x14ac:dyDescent="0.25">
      <c r="B260" s="9" t="s">
        <v>15</v>
      </c>
      <c r="C260" s="9" t="s">
        <v>0</v>
      </c>
      <c r="D260" s="228" t="s">
        <v>41</v>
      </c>
      <c r="E260" s="229"/>
      <c r="F260" s="229"/>
      <c r="G260" s="229"/>
      <c r="H260" s="229"/>
      <c r="I260" s="230"/>
      <c r="J260" s="9" t="s">
        <v>15</v>
      </c>
      <c r="K260" s="9" t="s">
        <v>0</v>
      </c>
      <c r="L260" s="79"/>
    </row>
    <row r="261" spans="2:16" ht="18" customHeight="1" x14ac:dyDescent="0.25">
      <c r="B261" s="15" t="str">
        <f>IF(H255=3,B255,"")</f>
        <v/>
      </c>
      <c r="C261" s="15" t="str">
        <f>IFERROR(IF(B261="","",VLOOKUP(B261,LISTAS!$F$5:$G$1004,2,0)),"0")</f>
        <v/>
      </c>
      <c r="D261" s="223"/>
      <c r="E261" s="224"/>
      <c r="F261" s="223" t="s">
        <v>38</v>
      </c>
      <c r="G261" s="224"/>
      <c r="H261" s="223"/>
      <c r="I261" s="224"/>
      <c r="J261" s="21" t="str">
        <f>IF(H255=3,B257,"")</f>
        <v/>
      </c>
      <c r="K261" s="15" t="str">
        <f>IFERROR(IF(J261="","",VLOOKUP(J261,LISTAS!$F$5:$G$1004,2,0)),"0")</f>
        <v/>
      </c>
      <c r="L261" s="81"/>
    </row>
    <row r="262" spans="2:16" ht="18" customHeight="1" x14ac:dyDescent="0.25">
      <c r="B262" s="15" t="str">
        <f>IF(H255=3,B256,"")</f>
        <v/>
      </c>
      <c r="C262" s="15" t="str">
        <f>IFERROR(IF(B262="","",VLOOKUP(B262,LISTAS!$F$5:$G$1004,2,0)),"0")</f>
        <v/>
      </c>
      <c r="D262" s="223"/>
      <c r="E262" s="224"/>
      <c r="F262" s="223" t="s">
        <v>38</v>
      </c>
      <c r="G262" s="224"/>
      <c r="H262" s="223"/>
      <c r="I262" s="224"/>
      <c r="J262" s="21" t="str">
        <f>IF(H255=3,B257,"")</f>
        <v/>
      </c>
      <c r="K262" s="15" t="str">
        <f>IFERROR(IF(J262="","",VLOOKUP(J262,LISTAS!$F$5:$G$1004,2,0)),"0")</f>
        <v/>
      </c>
      <c r="L262" s="79"/>
    </row>
    <row r="263" spans="2:16" ht="18" customHeight="1" x14ac:dyDescent="0.25">
      <c r="B263" s="15" t="str">
        <f>IF(H255=3,B255,"")</f>
        <v/>
      </c>
      <c r="C263" s="15" t="str">
        <f>IFERROR(IF(B263="","",VLOOKUP(B263,LISTAS!$F$5:$G$1004,2,0)),"0")</f>
        <v/>
      </c>
      <c r="D263" s="223"/>
      <c r="E263" s="224"/>
      <c r="F263" s="223" t="s">
        <v>38</v>
      </c>
      <c r="G263" s="224"/>
      <c r="H263" s="223"/>
      <c r="I263" s="224"/>
      <c r="J263" s="21" t="str">
        <f>IF(H255=3,B256,"")</f>
        <v/>
      </c>
      <c r="K263" s="15" t="str">
        <f>IFERROR(IF(J263="","",VLOOKUP(J263,LISTAS!$F$5:$G$1004,2,0)),"0")</f>
        <v/>
      </c>
      <c r="L263" s="81"/>
    </row>
    <row r="266" spans="2:16" ht="30" customHeight="1" x14ac:dyDescent="0.25">
      <c r="B266" s="161" t="s">
        <v>64</v>
      </c>
      <c r="C266" s="79"/>
      <c r="D266" s="225" t="s">
        <v>42</v>
      </c>
      <c r="E266" s="226"/>
      <c r="F266" s="226"/>
      <c r="G266" s="227"/>
      <c r="H266" s="113"/>
      <c r="I266" s="225" t="s">
        <v>3</v>
      </c>
      <c r="J266" s="226"/>
      <c r="K266" s="226"/>
      <c r="L266" s="226"/>
    </row>
    <row r="267" spans="2:16" ht="18" customHeight="1" x14ac:dyDescent="0.25">
      <c r="B267" s="9" t="s">
        <v>15</v>
      </c>
      <c r="C267" s="9" t="s">
        <v>0</v>
      </c>
      <c r="D267" s="9" t="s">
        <v>43</v>
      </c>
      <c r="E267" s="9" t="s">
        <v>44</v>
      </c>
      <c r="F267" s="9" t="s">
        <v>77</v>
      </c>
      <c r="G267" s="9" t="s">
        <v>78</v>
      </c>
      <c r="H267" s="114"/>
      <c r="I267" s="9" t="s">
        <v>18</v>
      </c>
      <c r="J267" s="9" t="s">
        <v>15</v>
      </c>
      <c r="K267" s="9" t="s">
        <v>0</v>
      </c>
      <c r="L267" s="9" t="s">
        <v>45</v>
      </c>
    </row>
    <row r="268" spans="2:16" ht="18" customHeight="1" x14ac:dyDescent="0.25">
      <c r="B268" s="15"/>
      <c r="C268" s="15" t="str">
        <f>IFERROR(IF(B268="","",VLOOKUP(B268,LISTAS!$F$5:$G$1004,2,0)),"0")</f>
        <v/>
      </c>
      <c r="D268" s="15" t="str">
        <f>IF(H268&lt;3,"",IF(H268=3,IF(D274&lt;&gt;"",IF(H274&lt;&gt;"",IF(D274&lt;&gt;H274,IF(D274&gt;H274,"V","D"),""),""),"")))</f>
        <v/>
      </c>
      <c r="E268" s="15" t="str">
        <f>IF(H268&lt;3,"",IF(H268=3,IF(D276&lt;&gt;"",IF(H276&lt;&gt;"",IF(D276&lt;&gt;H276,IF(D276&gt;H276,"V","D"),""),""),"")))</f>
        <v/>
      </c>
      <c r="F268" s="15" t="s">
        <v>81</v>
      </c>
      <c r="G268" s="15" t="s">
        <v>81</v>
      </c>
      <c r="H268" s="117">
        <f>COUNTA(B268:B270)</f>
        <v>0</v>
      </c>
      <c r="I268" s="15" t="str">
        <f>IF(B268&lt;&gt;"",1,"")</f>
        <v/>
      </c>
      <c r="J268" s="15" t="str">
        <f>IF(I268&lt;&gt;"",P268,"")</f>
        <v/>
      </c>
      <c r="K268" s="15" t="str">
        <f>IFERROR(IF(J268="","",VLOOKUP(J268,LISTAS!$F$5:$G$1004,2,0)),"0")</f>
        <v/>
      </c>
      <c r="L268" s="119" t="str">
        <f>IF(H268=3,"OURO",IF(H268=4,"OURO",IF(H268=5,"OURO","")))</f>
        <v/>
      </c>
      <c r="M268" s="20" t="str">
        <f>IF(B268&lt;&gt;"",COUNTIF(D268:G268,"V")+(SUMIF(B274:B276,B268,D274:E276)/1000)+(SUMIF(J274:J276,B268,H274:I276)/1000)-(SUMIF(B274:B276,B268,H274:I276)/1000)-(SUMIF(J274:J276,B268,D274:E276)/1000)+0.003,"")</f>
        <v/>
      </c>
      <c r="N268" s="20" t="str">
        <f>IF(B268="","",B268)</f>
        <v/>
      </c>
      <c r="O268" s="20" t="str">
        <f>IF(B268&lt;&gt;"",LARGE(M268:M270,1),"")</f>
        <v/>
      </c>
      <c r="P268" s="20" t="str">
        <f>VLOOKUP(O268,M268:N270,2,0)</f>
        <v/>
      </c>
    </row>
    <row r="269" spans="2:16" ht="18" customHeight="1" x14ac:dyDescent="0.25">
      <c r="B269" s="15"/>
      <c r="C269" s="15" t="str">
        <f>IFERROR(IF(B269="","",VLOOKUP(B269,LISTAS!$F$5:$G$1004,2,0)),"0")</f>
        <v/>
      </c>
      <c r="D269" s="15" t="str">
        <f>IF(H268&lt;3,"",IF(H268=3,IF(D275&lt;&gt;"",IF(H275&lt;&gt;"",IF(D275&lt;&gt;H275,IF(D275&gt;H275,"V","D"),""),""),"")))</f>
        <v/>
      </c>
      <c r="E269" s="15" t="str">
        <f>IF(H268&lt;3,"",IF(H268=3,IF(D276&lt;&gt;"",IF(H276&lt;&gt;"",IF(D276&lt;&gt;H276,IF(D276&gt;H276,"D","V"),""),""),"")))</f>
        <v/>
      </c>
      <c r="F269" s="15" t="s">
        <v>81</v>
      </c>
      <c r="G269" s="15" t="s">
        <v>81</v>
      </c>
      <c r="H269" s="115"/>
      <c r="I269" s="15" t="str">
        <f>IF(B269&lt;&gt;"",2,"")</f>
        <v/>
      </c>
      <c r="J269" s="15" t="str">
        <f>IF(I269&lt;&gt;"",P269,"")</f>
        <v/>
      </c>
      <c r="K269" s="15" t="str">
        <f>IFERROR(IF(J269="","",VLOOKUP(J269,LISTAS!$F$5:$G$1004,2,0)),"0")</f>
        <v/>
      </c>
      <c r="L269" s="119" t="str">
        <f>IF(H268=3,"PRATA",IF(H268=4,"OURO",IF(H268=5,"OURO","")))</f>
        <v/>
      </c>
      <c r="M269" s="20" t="str">
        <f>IF(B269&lt;&gt;"",COUNTIF(D269:G269,"V")+(SUMIF(B274:B276,B269,D274:E276)/1000)+(SUMIF(J274:J276,B269,H274:I276)/1000)-(SUMIF(B274:B276,B269,H274:I276)/1000)-(SUMIF(J274:J276,B269,D274:E276)/1000)+0.002,"")</f>
        <v/>
      </c>
      <c r="N269" s="20" t="str">
        <f t="shared" ref="N269" si="19">IF(B269="","",B269)</f>
        <v/>
      </c>
      <c r="O269" s="20" t="str">
        <f>IF(B269&lt;&gt;"",LARGE(M268:M270,2),"")</f>
        <v/>
      </c>
      <c r="P269" s="20" t="str">
        <f>VLOOKUP(O269,M268:N270,2,0)</f>
        <v/>
      </c>
    </row>
    <row r="270" spans="2:16" ht="18" customHeight="1" x14ac:dyDescent="0.25">
      <c r="B270" s="15"/>
      <c r="C270" s="15" t="str">
        <f>IFERROR(IF(B270="","",VLOOKUP(B270,LISTAS!$F$5:$G$1004,2,0)),"0")</f>
        <v/>
      </c>
      <c r="D270" s="15" t="str">
        <f>IF(H268&lt;3,"",IF(H268=3,IF(D274&lt;&gt;"",IF(H274&lt;&gt;"",IF(D274&lt;&gt;H274,IF(D274&gt;H274,"D","V"),""),""),"")))</f>
        <v/>
      </c>
      <c r="E270" s="15" t="str">
        <f>IF(H268&lt;3,"",IF(H268=3,IF(D275&lt;&gt;"",IF(H275&lt;&gt;"",IF(D275&lt;&gt;H275,IF(D275&gt;H275,"D","V"),""),""),"")))</f>
        <v/>
      </c>
      <c r="F270" s="15" t="s">
        <v>81</v>
      </c>
      <c r="G270" s="15" t="s">
        <v>81</v>
      </c>
      <c r="H270" s="115"/>
      <c r="I270" s="15" t="str">
        <f>IF(B270&lt;&gt;"",3,"")</f>
        <v/>
      </c>
      <c r="J270" s="15" t="str">
        <f>IF(I270&lt;&gt;"",P270,"")</f>
        <v/>
      </c>
      <c r="K270" s="15" t="str">
        <f>IFERROR(IF(J270="","",VLOOKUP(J270,LISTAS!$F$5:$G$1004,2,0)),"0")</f>
        <v/>
      </c>
      <c r="L270" s="119" t="str">
        <f>IF(H268=3,"BRONZE",IF(H268=4,"PRATA",IF(H268=5,"OURO","")))</f>
        <v/>
      </c>
      <c r="M270" s="20" t="str">
        <f>IF(B270&lt;&gt;"",COUNTIF(D270:G270,"V")+(SUMIF(B274:B276,B270,D274:E276)/1000)+(SUMIF(J274:J276,B270,H274:I276)/1000)-(SUMIF(B274:B276,B270,H274:I276)/1000)-(SUMIF(J274:J276,B270,D274:E276)/1000)+0.001,"")</f>
        <v/>
      </c>
      <c r="N270" s="20" t="str">
        <f>IF(B270="","",B270)</f>
        <v/>
      </c>
      <c r="O270" s="20" t="str">
        <f>IF(B270&lt;&gt;"",LARGE(M268:M270,3),"")</f>
        <v/>
      </c>
      <c r="P270" s="20" t="str">
        <f>VLOOKUP(O270,M268:N270,2,0)</f>
        <v/>
      </c>
    </row>
    <row r="271" spans="2:16" ht="18" customHeight="1" x14ac:dyDescent="0.25">
      <c r="B271" s="79"/>
      <c r="C271" s="79"/>
      <c r="D271" s="79"/>
      <c r="E271" s="79"/>
      <c r="F271" s="79"/>
      <c r="G271" s="79"/>
      <c r="I271" s="80"/>
      <c r="J271" s="79"/>
      <c r="K271" s="81"/>
      <c r="L271" s="81"/>
    </row>
    <row r="272" spans="2:16" ht="23.25" customHeight="1" x14ac:dyDescent="0.25">
      <c r="B272" s="82" t="s">
        <v>40</v>
      </c>
      <c r="C272" s="79"/>
      <c r="D272" s="79"/>
      <c r="E272" s="79"/>
      <c r="F272" s="79"/>
      <c r="G272" s="79"/>
      <c r="H272" s="79"/>
      <c r="I272" s="79"/>
      <c r="J272" s="79"/>
      <c r="K272" s="79"/>
      <c r="L272" s="79"/>
    </row>
    <row r="273" spans="2:16" ht="18" customHeight="1" x14ac:dyDescent="0.25">
      <c r="B273" s="9" t="s">
        <v>15</v>
      </c>
      <c r="C273" s="9" t="s">
        <v>0</v>
      </c>
      <c r="D273" s="228" t="s">
        <v>41</v>
      </c>
      <c r="E273" s="229"/>
      <c r="F273" s="229"/>
      <c r="G273" s="229"/>
      <c r="H273" s="229"/>
      <c r="I273" s="230"/>
      <c r="J273" s="9" t="s">
        <v>15</v>
      </c>
      <c r="K273" s="9" t="s">
        <v>0</v>
      </c>
      <c r="L273" s="79"/>
    </row>
    <row r="274" spans="2:16" ht="18" customHeight="1" x14ac:dyDescent="0.25">
      <c r="B274" s="15" t="str">
        <f>IF(H268=3,B268,"")</f>
        <v/>
      </c>
      <c r="C274" s="15" t="str">
        <f>IFERROR(IF(B274="","",VLOOKUP(B274,LISTAS!$F$5:$G$1004,2,0)),"0")</f>
        <v/>
      </c>
      <c r="D274" s="223"/>
      <c r="E274" s="224"/>
      <c r="F274" s="223" t="s">
        <v>38</v>
      </c>
      <c r="G274" s="224"/>
      <c r="H274" s="223"/>
      <c r="I274" s="224"/>
      <c r="J274" s="21" t="str">
        <f>IF(H268=3,B270,"")</f>
        <v/>
      </c>
      <c r="K274" s="15" t="str">
        <f>IFERROR(IF(J274="","",VLOOKUP(J274,LISTAS!$F$5:$G$1004,2,0)),"0")</f>
        <v/>
      </c>
      <c r="L274" s="81"/>
    </row>
    <row r="275" spans="2:16" ht="18" customHeight="1" x14ac:dyDescent="0.25">
      <c r="B275" s="15" t="str">
        <f>IF(H268=3,B269,"")</f>
        <v/>
      </c>
      <c r="C275" s="15" t="str">
        <f>IFERROR(IF(B275="","",VLOOKUP(B275,LISTAS!$F$5:$G$1004,2,0)),"0")</f>
        <v/>
      </c>
      <c r="D275" s="223"/>
      <c r="E275" s="224"/>
      <c r="F275" s="223" t="s">
        <v>38</v>
      </c>
      <c r="G275" s="224"/>
      <c r="H275" s="223"/>
      <c r="I275" s="224"/>
      <c r="J275" s="21" t="str">
        <f>IF(H268=3,B270,"")</f>
        <v/>
      </c>
      <c r="K275" s="15" t="str">
        <f>IFERROR(IF(J275="","",VLOOKUP(J275,LISTAS!$F$5:$G$1004,2,0)),"0")</f>
        <v/>
      </c>
      <c r="L275" s="79"/>
    </row>
    <row r="276" spans="2:16" ht="18" customHeight="1" x14ac:dyDescent="0.25">
      <c r="B276" s="15" t="str">
        <f>IF(H268=3,B268,"")</f>
        <v/>
      </c>
      <c r="C276" s="15" t="str">
        <f>IFERROR(IF(B276="","",VLOOKUP(B276,LISTAS!$F$5:$G$1004,2,0)),"0")</f>
        <v/>
      </c>
      <c r="D276" s="223"/>
      <c r="E276" s="224"/>
      <c r="F276" s="223" t="s">
        <v>38</v>
      </c>
      <c r="G276" s="224"/>
      <c r="H276" s="223"/>
      <c r="I276" s="224"/>
      <c r="J276" s="21" t="str">
        <f>IF(H268=3,B269,"")</f>
        <v/>
      </c>
      <c r="K276" s="15" t="str">
        <f>IFERROR(IF(J276="","",VLOOKUP(J276,LISTAS!$F$5:$G$1004,2,0)),"0")</f>
        <v/>
      </c>
      <c r="L276" s="81"/>
    </row>
    <row r="279" spans="2:16" ht="30" customHeight="1" x14ac:dyDescent="0.25">
      <c r="B279" s="161" t="s">
        <v>65</v>
      </c>
      <c r="C279" s="79"/>
      <c r="D279" s="225" t="s">
        <v>42</v>
      </c>
      <c r="E279" s="226"/>
      <c r="F279" s="226"/>
      <c r="G279" s="227"/>
      <c r="H279" s="113"/>
      <c r="I279" s="225" t="s">
        <v>3</v>
      </c>
      <c r="J279" s="226"/>
      <c r="K279" s="226"/>
      <c r="L279" s="226"/>
    </row>
    <row r="280" spans="2:16" ht="18" customHeight="1" x14ac:dyDescent="0.25">
      <c r="B280" s="9" t="s">
        <v>15</v>
      </c>
      <c r="C280" s="9" t="s">
        <v>0</v>
      </c>
      <c r="D280" s="9" t="s">
        <v>43</v>
      </c>
      <c r="E280" s="9" t="s">
        <v>44</v>
      </c>
      <c r="F280" s="9" t="s">
        <v>77</v>
      </c>
      <c r="G280" s="9" t="s">
        <v>78</v>
      </c>
      <c r="H280" s="114"/>
      <c r="I280" s="9" t="s">
        <v>18</v>
      </c>
      <c r="J280" s="9" t="s">
        <v>15</v>
      </c>
      <c r="K280" s="9" t="s">
        <v>0</v>
      </c>
      <c r="L280" s="9" t="s">
        <v>45</v>
      </c>
    </row>
    <row r="281" spans="2:16" ht="18" customHeight="1" x14ac:dyDescent="0.25">
      <c r="B281" s="15"/>
      <c r="C281" s="15" t="str">
        <f>IFERROR(IF(B281="","",VLOOKUP(B281,LISTAS!$F$5:$G$1004,2,0)),"0")</f>
        <v/>
      </c>
      <c r="D281" s="15" t="str">
        <f>IF(H281&lt;3,"",IF(H281=3,IF(D287&lt;&gt;"",IF(H287&lt;&gt;"",IF(D287&lt;&gt;H287,IF(D287&gt;H287,"V","D"),""),""),"")))</f>
        <v/>
      </c>
      <c r="E281" s="15" t="str">
        <f>IF(H281&lt;3,"",IF(H281=3,IF(D289&lt;&gt;"",IF(H289&lt;&gt;"",IF(D289&lt;&gt;H289,IF(D289&gt;H289,"V","D"),""),""),"")))</f>
        <v/>
      </c>
      <c r="F281" s="15" t="s">
        <v>81</v>
      </c>
      <c r="G281" s="15" t="s">
        <v>81</v>
      </c>
      <c r="H281" s="117">
        <f>COUNTA(B281:B283)</f>
        <v>0</v>
      </c>
      <c r="I281" s="15" t="str">
        <f>IF(B281&lt;&gt;"",1,"")</f>
        <v/>
      </c>
      <c r="J281" s="15" t="str">
        <f>IF(I281&lt;&gt;"",P281,"")</f>
        <v/>
      </c>
      <c r="K281" s="15" t="str">
        <f>IFERROR(IF(J281="","",VLOOKUP(J281,LISTAS!$F$5:$G$1004,2,0)),"0")</f>
        <v/>
      </c>
      <c r="L281" s="119" t="str">
        <f>IF(H281=3,"OURO",IF(H281=4,"OURO",IF(H281=5,"OURO","")))</f>
        <v/>
      </c>
      <c r="M281" s="20" t="str">
        <f>IF(B281&lt;&gt;"",COUNTIF(D281:G281,"V")+(SUMIF(B287:B289,B281,D287:E289)/1000)+(SUMIF(J287:J289,B281,H287:I289)/1000)-(SUMIF(B287:B289,B281,H287:I289)/1000)-(SUMIF(J287:J289,B281,D287:E289)/1000)+0.003,"")</f>
        <v/>
      </c>
      <c r="N281" s="20" t="str">
        <f>IF(B281="","",B281)</f>
        <v/>
      </c>
      <c r="O281" s="20" t="str">
        <f>IF(B281&lt;&gt;"",LARGE(M281:M283,1),"")</f>
        <v/>
      </c>
      <c r="P281" s="20" t="str">
        <f>VLOOKUP(O281,M281:N283,2,0)</f>
        <v/>
      </c>
    </row>
    <row r="282" spans="2:16" ht="18" customHeight="1" x14ac:dyDescent="0.25">
      <c r="B282" s="15"/>
      <c r="C282" s="15" t="str">
        <f>IFERROR(IF(B282="","",VLOOKUP(B282,LISTAS!$F$5:$G$1004,2,0)),"0")</f>
        <v/>
      </c>
      <c r="D282" s="15" t="str">
        <f>IF(H281&lt;3,"",IF(H281=3,IF(D288&lt;&gt;"",IF(H288&lt;&gt;"",IF(D288&lt;&gt;H288,IF(D288&gt;H288,"V","D"),""),""),"")))</f>
        <v/>
      </c>
      <c r="E282" s="15" t="str">
        <f>IF(H281&lt;3,"",IF(H281=3,IF(D289&lt;&gt;"",IF(H289&lt;&gt;"",IF(D289&lt;&gt;H289,IF(D289&gt;H289,"D","V"),""),""),"")))</f>
        <v/>
      </c>
      <c r="F282" s="15" t="s">
        <v>81</v>
      </c>
      <c r="G282" s="15" t="s">
        <v>81</v>
      </c>
      <c r="H282" s="115"/>
      <c r="I282" s="15" t="str">
        <f>IF(B282&lt;&gt;"",2,"")</f>
        <v/>
      </c>
      <c r="J282" s="15" t="str">
        <f>IF(I282&lt;&gt;"",P282,"")</f>
        <v/>
      </c>
      <c r="K282" s="15" t="str">
        <f>IFERROR(IF(J282="","",VLOOKUP(J282,LISTAS!$F$5:$G$1004,2,0)),"0")</f>
        <v/>
      </c>
      <c r="L282" s="119" t="str">
        <f>IF(H281=3,"PRATA",IF(H281=4,"OURO",IF(H281=5,"OURO","")))</f>
        <v/>
      </c>
      <c r="M282" s="20" t="str">
        <f>IF(B282&lt;&gt;"",COUNTIF(D282:G282,"V")+(SUMIF(B287:B289,B282,D287:E289)/1000)+(SUMIF(J287:J289,B282,H287:I289)/1000)-(SUMIF(B287:B289,B282,H287:I289)/1000)-(SUMIF(J287:J289,B282,D287:E289)/1000)+0.002,"")</f>
        <v/>
      </c>
      <c r="N282" s="20" t="str">
        <f t="shared" ref="N282" si="20">IF(B282="","",B282)</f>
        <v/>
      </c>
      <c r="O282" s="20" t="str">
        <f>IF(B282&lt;&gt;"",LARGE(M281:M283,2),"")</f>
        <v/>
      </c>
      <c r="P282" s="20" t="str">
        <f>VLOOKUP(O282,M281:N283,2,0)</f>
        <v/>
      </c>
    </row>
    <row r="283" spans="2:16" ht="18" customHeight="1" x14ac:dyDescent="0.25">
      <c r="B283" s="15"/>
      <c r="C283" s="15" t="str">
        <f>IFERROR(IF(B283="","",VLOOKUP(B283,LISTAS!$F$5:$G$1004,2,0)),"0")</f>
        <v/>
      </c>
      <c r="D283" s="15" t="str">
        <f>IF(H281&lt;3,"",IF(H281=3,IF(D287&lt;&gt;"",IF(H287&lt;&gt;"",IF(D287&lt;&gt;H287,IF(D287&gt;H287,"D","V"),""),""),"")))</f>
        <v/>
      </c>
      <c r="E283" s="15" t="str">
        <f>IF(H281&lt;3,"",IF(H281=3,IF(D288&lt;&gt;"",IF(H288&lt;&gt;"",IF(D288&lt;&gt;H288,IF(D288&gt;H288,"D","V"),""),""),"")))</f>
        <v/>
      </c>
      <c r="F283" s="15" t="s">
        <v>81</v>
      </c>
      <c r="G283" s="15" t="s">
        <v>81</v>
      </c>
      <c r="H283" s="115"/>
      <c r="I283" s="15" t="str">
        <f>IF(B283&lt;&gt;"",3,"")</f>
        <v/>
      </c>
      <c r="J283" s="15" t="str">
        <f>IF(I283&lt;&gt;"",P283,"")</f>
        <v/>
      </c>
      <c r="K283" s="15" t="str">
        <f>IFERROR(IF(J283="","",VLOOKUP(J283,LISTAS!$F$5:$G$1004,2,0)),"0")</f>
        <v/>
      </c>
      <c r="L283" s="119" t="str">
        <f>IF(H281=3,"BRONZE",IF(H281=4,"PRATA",IF(H281=5,"OURO","")))</f>
        <v/>
      </c>
      <c r="M283" s="20" t="str">
        <f>IF(B283&lt;&gt;"",COUNTIF(D283:G283,"V")+(SUMIF(B287:B289,B283,D287:E289)/1000)+(SUMIF(J287:J289,B283,H287:I289)/1000)-(SUMIF(B287:B289,B283,H287:I289)/1000)-(SUMIF(J287:J289,B283,D287:E289)/1000)+0.001,"")</f>
        <v/>
      </c>
      <c r="N283" s="20" t="str">
        <f>IF(B283="","",B283)</f>
        <v/>
      </c>
      <c r="O283" s="20" t="str">
        <f>IF(B283&lt;&gt;"",LARGE(M281:M283,3),"")</f>
        <v/>
      </c>
      <c r="P283" s="20" t="str">
        <f>VLOOKUP(O283,M281:N283,2,0)</f>
        <v/>
      </c>
    </row>
    <row r="284" spans="2:16" ht="18" customHeight="1" x14ac:dyDescent="0.25">
      <c r="B284" s="79"/>
      <c r="C284" s="79"/>
      <c r="D284" s="79"/>
      <c r="E284" s="79"/>
      <c r="F284" s="79"/>
      <c r="G284" s="79"/>
      <c r="I284" s="80"/>
      <c r="J284" s="79"/>
      <c r="K284" s="81"/>
      <c r="L284" s="81"/>
    </row>
    <row r="285" spans="2:16" ht="23.25" customHeight="1" x14ac:dyDescent="0.25">
      <c r="B285" s="82" t="s">
        <v>40</v>
      </c>
      <c r="C285" s="79"/>
      <c r="D285" s="79"/>
      <c r="E285" s="79"/>
      <c r="F285" s="79"/>
      <c r="G285" s="79"/>
      <c r="H285" s="79"/>
      <c r="I285" s="79"/>
      <c r="J285" s="79"/>
      <c r="K285" s="79"/>
      <c r="L285" s="79"/>
    </row>
    <row r="286" spans="2:16" ht="18" customHeight="1" x14ac:dyDescent="0.25">
      <c r="B286" s="9" t="s">
        <v>15</v>
      </c>
      <c r="C286" s="9" t="s">
        <v>0</v>
      </c>
      <c r="D286" s="228" t="s">
        <v>41</v>
      </c>
      <c r="E286" s="229"/>
      <c r="F286" s="229"/>
      <c r="G286" s="229"/>
      <c r="H286" s="229"/>
      <c r="I286" s="230"/>
      <c r="J286" s="9" t="s">
        <v>15</v>
      </c>
      <c r="K286" s="9" t="s">
        <v>0</v>
      </c>
      <c r="L286" s="79"/>
    </row>
    <row r="287" spans="2:16" ht="18" customHeight="1" x14ac:dyDescent="0.25">
      <c r="B287" s="15" t="str">
        <f>IF(H281=3,B281,"")</f>
        <v/>
      </c>
      <c r="C287" s="15" t="str">
        <f>IFERROR(IF(B287="","",VLOOKUP(B287,LISTAS!$F$5:$G$1004,2,0)),"0")</f>
        <v/>
      </c>
      <c r="D287" s="223"/>
      <c r="E287" s="224"/>
      <c r="F287" s="223" t="s">
        <v>38</v>
      </c>
      <c r="G287" s="224"/>
      <c r="H287" s="223"/>
      <c r="I287" s="224"/>
      <c r="J287" s="21" t="str">
        <f>IF(H281=3,B283,"")</f>
        <v/>
      </c>
      <c r="K287" s="15" t="str">
        <f>IFERROR(IF(J287="","",VLOOKUP(J287,LISTAS!$F$5:$G$1004,2,0)),"0")</f>
        <v/>
      </c>
      <c r="L287" s="81"/>
    </row>
    <row r="288" spans="2:16" ht="18" customHeight="1" x14ac:dyDescent="0.25">
      <c r="B288" s="15" t="str">
        <f>IF(H281=3,B282,"")</f>
        <v/>
      </c>
      <c r="C288" s="15" t="str">
        <f>IFERROR(IF(B288="","",VLOOKUP(B288,LISTAS!$F$5:$G$1004,2,0)),"0")</f>
        <v/>
      </c>
      <c r="D288" s="223"/>
      <c r="E288" s="224"/>
      <c r="F288" s="223" t="s">
        <v>38</v>
      </c>
      <c r="G288" s="224"/>
      <c r="H288" s="223"/>
      <c r="I288" s="224"/>
      <c r="J288" s="21" t="str">
        <f>IF(H281=3,B283,"")</f>
        <v/>
      </c>
      <c r="K288" s="15" t="str">
        <f>IFERROR(IF(J288="","",VLOOKUP(J288,LISTAS!$F$5:$G$1004,2,0)),"0")</f>
        <v/>
      </c>
      <c r="L288" s="79"/>
    </row>
    <row r="289" spans="2:16" ht="18" customHeight="1" x14ac:dyDescent="0.25">
      <c r="B289" s="15" t="str">
        <f>IF(H281=3,B281,"")</f>
        <v/>
      </c>
      <c r="C289" s="15" t="str">
        <f>IFERROR(IF(B289="","",VLOOKUP(B289,LISTAS!$F$5:$G$1004,2,0)),"0")</f>
        <v/>
      </c>
      <c r="D289" s="223"/>
      <c r="E289" s="224"/>
      <c r="F289" s="223" t="s">
        <v>38</v>
      </c>
      <c r="G289" s="224"/>
      <c r="H289" s="223"/>
      <c r="I289" s="224"/>
      <c r="J289" s="21" t="str">
        <f>IF(H281=3,B282,"")</f>
        <v/>
      </c>
      <c r="K289" s="15" t="str">
        <f>IFERROR(IF(J289="","",VLOOKUP(J289,LISTAS!$F$5:$G$1004,2,0)),"0")</f>
        <v/>
      </c>
      <c r="L289" s="81"/>
    </row>
    <row r="292" spans="2:16" ht="30" customHeight="1" x14ac:dyDescent="0.25">
      <c r="B292" s="161" t="s">
        <v>66</v>
      </c>
      <c r="C292" s="79"/>
      <c r="D292" s="225" t="s">
        <v>42</v>
      </c>
      <c r="E292" s="226"/>
      <c r="F292" s="226"/>
      <c r="G292" s="227"/>
      <c r="H292" s="113"/>
      <c r="I292" s="225" t="s">
        <v>3</v>
      </c>
      <c r="J292" s="226"/>
      <c r="K292" s="226"/>
      <c r="L292" s="226"/>
    </row>
    <row r="293" spans="2:16" ht="18" customHeight="1" x14ac:dyDescent="0.25">
      <c r="B293" s="9" t="s">
        <v>15</v>
      </c>
      <c r="C293" s="9" t="s">
        <v>0</v>
      </c>
      <c r="D293" s="9" t="s">
        <v>43</v>
      </c>
      <c r="E293" s="9" t="s">
        <v>44</v>
      </c>
      <c r="F293" s="9" t="s">
        <v>77</v>
      </c>
      <c r="G293" s="9" t="s">
        <v>78</v>
      </c>
      <c r="H293" s="114"/>
      <c r="I293" s="9" t="s">
        <v>18</v>
      </c>
      <c r="J293" s="9" t="s">
        <v>15</v>
      </c>
      <c r="K293" s="9" t="s">
        <v>0</v>
      </c>
      <c r="L293" s="9" t="s">
        <v>45</v>
      </c>
    </row>
    <row r="294" spans="2:16" ht="18" customHeight="1" x14ac:dyDescent="0.25">
      <c r="B294" s="15"/>
      <c r="C294" s="15" t="str">
        <f>IFERROR(IF(B294="","",VLOOKUP(B294,LISTAS!$F$5:$G$1004,2,0)),"0")</f>
        <v/>
      </c>
      <c r="D294" s="15" t="str">
        <f>IF(H294&lt;3,"",IF(H294=3,IF(D300&lt;&gt;"",IF(H300&lt;&gt;"",IF(D300&lt;&gt;H300,IF(D300&gt;H300,"V","D"),""),""),"")))</f>
        <v/>
      </c>
      <c r="E294" s="15" t="str">
        <f>IF(H294&lt;3,"",IF(H294=3,IF(D302&lt;&gt;"",IF(H302&lt;&gt;"",IF(D302&lt;&gt;H302,IF(D302&gt;H302,"V","D"),""),""),"")))</f>
        <v/>
      </c>
      <c r="F294" s="15" t="s">
        <v>81</v>
      </c>
      <c r="G294" s="15" t="s">
        <v>81</v>
      </c>
      <c r="H294" s="117">
        <f>COUNTA(B294:B296)</f>
        <v>0</v>
      </c>
      <c r="I294" s="15" t="str">
        <f>IF(B294&lt;&gt;"",1,"")</f>
        <v/>
      </c>
      <c r="J294" s="15" t="str">
        <f>IF(I294&lt;&gt;"",P294,"")</f>
        <v/>
      </c>
      <c r="K294" s="15" t="str">
        <f>IFERROR(IF(J294="","",VLOOKUP(J294,LISTAS!$F$5:$G$1004,2,0)),"0")</f>
        <v/>
      </c>
      <c r="L294" s="119" t="str">
        <f>IF(H294=3,"OURO",IF(H294=4,"OURO",IF(H294=5,"OURO","")))</f>
        <v/>
      </c>
      <c r="M294" s="20" t="str">
        <f>IF(B294&lt;&gt;"",COUNTIF(D294:G294,"V")+(SUMIF(B300:B302,B294,D300:E302)/1000)+(SUMIF(J300:J302,B294,H300:I302)/1000)-(SUMIF(B300:B302,B294,H300:I302)/1000)-(SUMIF(J300:J302,B294,D300:E302)/1000)+0.003,"")</f>
        <v/>
      </c>
      <c r="N294" s="20" t="str">
        <f>IF(B294="","",B294)</f>
        <v/>
      </c>
      <c r="O294" s="20" t="str">
        <f>IF(B294&lt;&gt;"",LARGE(M294:M296,1),"")</f>
        <v/>
      </c>
      <c r="P294" s="20" t="str">
        <f>VLOOKUP(O294,M294:N296,2,0)</f>
        <v/>
      </c>
    </row>
    <row r="295" spans="2:16" ht="18" customHeight="1" x14ac:dyDescent="0.25">
      <c r="B295" s="15"/>
      <c r="C295" s="15" t="str">
        <f>IFERROR(IF(B295="","",VLOOKUP(B295,LISTAS!$F$5:$G$1004,2,0)),"0")</f>
        <v/>
      </c>
      <c r="D295" s="15" t="str">
        <f>IF(H294&lt;3,"",IF(H294=3,IF(D301&lt;&gt;"",IF(H301&lt;&gt;"",IF(D301&lt;&gt;H301,IF(D301&gt;H301,"V","D"),""),""),"")))</f>
        <v/>
      </c>
      <c r="E295" s="15" t="str">
        <f>IF(H294&lt;3,"",IF(H294=3,IF(D302&lt;&gt;"",IF(H302&lt;&gt;"",IF(D302&lt;&gt;H302,IF(D302&gt;H302,"D","V"),""),""),"")))</f>
        <v/>
      </c>
      <c r="F295" s="15" t="s">
        <v>81</v>
      </c>
      <c r="G295" s="15" t="s">
        <v>81</v>
      </c>
      <c r="H295" s="115"/>
      <c r="I295" s="15" t="str">
        <f>IF(B295&lt;&gt;"",2,"")</f>
        <v/>
      </c>
      <c r="J295" s="15" t="str">
        <f>IF(I295&lt;&gt;"",P295,"")</f>
        <v/>
      </c>
      <c r="K295" s="15" t="str">
        <f>IFERROR(IF(J295="","",VLOOKUP(J295,LISTAS!$F$5:$G$1004,2,0)),"0")</f>
        <v/>
      </c>
      <c r="L295" s="119" t="str">
        <f>IF(H294=3,"PRATA",IF(H294=4,"OURO",IF(H294=5,"OURO","")))</f>
        <v/>
      </c>
      <c r="M295" s="20" t="str">
        <f>IF(B295&lt;&gt;"",COUNTIF(D295:G295,"V")+(SUMIF(B300:B302,B295,D300:E302)/1000)+(SUMIF(J300:J302,B295,H300:I302)/1000)-(SUMIF(B300:B302,B295,H300:I302)/1000)-(SUMIF(J300:J302,B295,D300:E302)/1000)+0.002,"")</f>
        <v/>
      </c>
      <c r="N295" s="20" t="str">
        <f t="shared" ref="N295" si="21">IF(B295="","",B295)</f>
        <v/>
      </c>
      <c r="O295" s="20" t="str">
        <f>IF(B295&lt;&gt;"",LARGE(M294:M296,2),"")</f>
        <v/>
      </c>
      <c r="P295" s="20" t="str">
        <f>VLOOKUP(O295,M294:N296,2,0)</f>
        <v/>
      </c>
    </row>
    <row r="296" spans="2:16" ht="18" customHeight="1" x14ac:dyDescent="0.25">
      <c r="B296" s="15"/>
      <c r="C296" s="15" t="str">
        <f>IFERROR(IF(B296="","",VLOOKUP(B296,LISTAS!$F$5:$G$1004,2,0)),"0")</f>
        <v/>
      </c>
      <c r="D296" s="15" t="str">
        <f>IF(H294&lt;3,"",IF(H294=3,IF(D300&lt;&gt;"",IF(H300&lt;&gt;"",IF(D300&lt;&gt;H300,IF(D300&gt;H300,"D","V"),""),""),"")))</f>
        <v/>
      </c>
      <c r="E296" s="15" t="str">
        <f>IF(H294&lt;3,"",IF(H294=3,IF(D301&lt;&gt;"",IF(H301&lt;&gt;"",IF(D301&lt;&gt;H301,IF(D301&gt;H301,"D","V"),""),""),"")))</f>
        <v/>
      </c>
      <c r="F296" s="15" t="s">
        <v>81</v>
      </c>
      <c r="G296" s="15" t="s">
        <v>81</v>
      </c>
      <c r="H296" s="115"/>
      <c r="I296" s="15" t="str">
        <f>IF(B296&lt;&gt;"",3,"")</f>
        <v/>
      </c>
      <c r="J296" s="15" t="str">
        <f>IF(I296&lt;&gt;"",P296,"")</f>
        <v/>
      </c>
      <c r="K296" s="15" t="str">
        <f>IFERROR(IF(J296="","",VLOOKUP(J296,LISTAS!$F$5:$G$1004,2,0)),"0")</f>
        <v/>
      </c>
      <c r="L296" s="119" t="str">
        <f>IF(H294=3,"BRONZE",IF(H294=4,"PRATA",IF(H294=5,"OURO","")))</f>
        <v/>
      </c>
      <c r="M296" s="20" t="str">
        <f>IF(B296&lt;&gt;"",COUNTIF(D296:G296,"V")+(SUMIF(B300:B302,B296,D300:E302)/1000)+(SUMIF(J300:J302,B296,H300:I302)/1000)-(SUMIF(B300:B302,B296,H300:I302)/1000)-(SUMIF(J300:J302,B296,D300:E302)/1000)+0.001,"")</f>
        <v/>
      </c>
      <c r="N296" s="20" t="str">
        <f>IF(B296="","",B296)</f>
        <v/>
      </c>
      <c r="O296" s="20" t="str">
        <f>IF(B296&lt;&gt;"",LARGE(M294:M296,3),"")</f>
        <v/>
      </c>
      <c r="P296" s="20" t="str">
        <f>VLOOKUP(O296,M294:N296,2,0)</f>
        <v/>
      </c>
    </row>
    <row r="297" spans="2:16" ht="18" customHeight="1" x14ac:dyDescent="0.25">
      <c r="B297" s="79"/>
      <c r="C297" s="79"/>
      <c r="D297" s="79"/>
      <c r="E297" s="79"/>
      <c r="F297" s="79"/>
      <c r="G297" s="79"/>
      <c r="I297" s="80"/>
      <c r="J297" s="79"/>
      <c r="K297" s="81"/>
      <c r="L297" s="81"/>
    </row>
    <row r="298" spans="2:16" ht="23.25" customHeight="1" x14ac:dyDescent="0.25">
      <c r="B298" s="82" t="s">
        <v>40</v>
      </c>
      <c r="C298" s="79"/>
      <c r="D298" s="79"/>
      <c r="E298" s="79"/>
      <c r="F298" s="79"/>
      <c r="G298" s="79"/>
      <c r="H298" s="79"/>
      <c r="I298" s="79"/>
      <c r="J298" s="79"/>
      <c r="K298" s="79"/>
      <c r="L298" s="79"/>
    </row>
    <row r="299" spans="2:16" ht="18" customHeight="1" x14ac:dyDescent="0.25">
      <c r="B299" s="9" t="s">
        <v>15</v>
      </c>
      <c r="C299" s="9" t="s">
        <v>0</v>
      </c>
      <c r="D299" s="228" t="s">
        <v>41</v>
      </c>
      <c r="E299" s="229"/>
      <c r="F299" s="229"/>
      <c r="G299" s="229"/>
      <c r="H299" s="229"/>
      <c r="I299" s="230"/>
      <c r="J299" s="9" t="s">
        <v>15</v>
      </c>
      <c r="K299" s="9" t="s">
        <v>0</v>
      </c>
      <c r="L299" s="79"/>
    </row>
    <row r="300" spans="2:16" ht="18" customHeight="1" x14ac:dyDescent="0.25">
      <c r="B300" s="15" t="str">
        <f>IF(H294=3,B294,"")</f>
        <v/>
      </c>
      <c r="C300" s="15" t="str">
        <f>IFERROR(IF(B300="","",VLOOKUP(B300,LISTAS!$F$5:$G$1004,2,0)),"0")</f>
        <v/>
      </c>
      <c r="D300" s="223"/>
      <c r="E300" s="224"/>
      <c r="F300" s="223" t="s">
        <v>38</v>
      </c>
      <c r="G300" s="224"/>
      <c r="H300" s="223"/>
      <c r="I300" s="224"/>
      <c r="J300" s="21" t="str">
        <f>IF(H294=3,B296,"")</f>
        <v/>
      </c>
      <c r="K300" s="15" t="str">
        <f>IFERROR(IF(J300="","",VLOOKUP(J300,LISTAS!$F$5:$G$1004,2,0)),"0")</f>
        <v/>
      </c>
      <c r="L300" s="81"/>
    </row>
    <row r="301" spans="2:16" ht="18" customHeight="1" x14ac:dyDescent="0.25">
      <c r="B301" s="15" t="str">
        <f>IF(H294=3,B295,"")</f>
        <v/>
      </c>
      <c r="C301" s="15" t="str">
        <f>IFERROR(IF(B301="","",VLOOKUP(B301,LISTAS!$F$5:$G$1004,2,0)),"0")</f>
        <v/>
      </c>
      <c r="D301" s="223"/>
      <c r="E301" s="224"/>
      <c r="F301" s="223" t="s">
        <v>38</v>
      </c>
      <c r="G301" s="224"/>
      <c r="H301" s="223"/>
      <c r="I301" s="224"/>
      <c r="J301" s="21" t="str">
        <f>IF(H294=3,B296,"")</f>
        <v/>
      </c>
      <c r="K301" s="15" t="str">
        <f>IFERROR(IF(J301="","",VLOOKUP(J301,LISTAS!$F$5:$G$1004,2,0)),"0")</f>
        <v/>
      </c>
      <c r="L301" s="79"/>
    </row>
    <row r="302" spans="2:16" ht="18" customHeight="1" x14ac:dyDescent="0.25">
      <c r="B302" s="15" t="str">
        <f>IF(H294=3,B294,"")</f>
        <v/>
      </c>
      <c r="C302" s="15" t="str">
        <f>IFERROR(IF(B302="","",VLOOKUP(B302,LISTAS!$F$5:$G$1004,2,0)),"0")</f>
        <v/>
      </c>
      <c r="D302" s="223"/>
      <c r="E302" s="224"/>
      <c r="F302" s="223" t="s">
        <v>38</v>
      </c>
      <c r="G302" s="224"/>
      <c r="H302" s="223"/>
      <c r="I302" s="224"/>
      <c r="J302" s="21" t="str">
        <f>IF(H294=3,B295,"")</f>
        <v/>
      </c>
      <c r="K302" s="15" t="str">
        <f>IFERROR(IF(J302="","",VLOOKUP(J302,LISTAS!$F$5:$G$1004,2,0)),"0")</f>
        <v/>
      </c>
      <c r="L302" s="81"/>
    </row>
    <row r="305" spans="2:16" ht="30" customHeight="1" x14ac:dyDescent="0.25">
      <c r="B305" s="161" t="s">
        <v>67</v>
      </c>
      <c r="C305" s="79"/>
      <c r="D305" s="225" t="s">
        <v>42</v>
      </c>
      <c r="E305" s="226"/>
      <c r="F305" s="226"/>
      <c r="G305" s="227"/>
      <c r="H305" s="113"/>
      <c r="I305" s="225" t="s">
        <v>3</v>
      </c>
      <c r="J305" s="226"/>
      <c r="K305" s="226"/>
      <c r="L305" s="226"/>
    </row>
    <row r="306" spans="2:16" ht="18" customHeight="1" x14ac:dyDescent="0.25">
      <c r="B306" s="9" t="s">
        <v>15</v>
      </c>
      <c r="C306" s="9" t="s">
        <v>0</v>
      </c>
      <c r="D306" s="9" t="s">
        <v>43</v>
      </c>
      <c r="E306" s="9" t="s">
        <v>44</v>
      </c>
      <c r="F306" s="9" t="s">
        <v>77</v>
      </c>
      <c r="G306" s="9" t="s">
        <v>78</v>
      </c>
      <c r="H306" s="114"/>
      <c r="I306" s="9" t="s">
        <v>18</v>
      </c>
      <c r="J306" s="9" t="s">
        <v>15</v>
      </c>
      <c r="K306" s="9" t="s">
        <v>0</v>
      </c>
      <c r="L306" s="9" t="s">
        <v>45</v>
      </c>
    </row>
    <row r="307" spans="2:16" ht="18" customHeight="1" x14ac:dyDescent="0.25">
      <c r="B307" s="15"/>
      <c r="C307" s="15" t="str">
        <f>IFERROR(IF(B307="","",VLOOKUP(B307,LISTAS!$F$5:$G$1004,2,0)),"0")</f>
        <v/>
      </c>
      <c r="D307" s="15" t="str">
        <f>IF(H307&lt;3,"",IF(H307=3,IF(D313&lt;&gt;"",IF(H313&lt;&gt;"",IF(D313&lt;&gt;H313,IF(D313&gt;H313,"V","D"),""),""),"")))</f>
        <v/>
      </c>
      <c r="E307" s="15" t="str">
        <f>IF(H307&lt;3,"",IF(H307=3,IF(D315&lt;&gt;"",IF(H315&lt;&gt;"",IF(D315&lt;&gt;H315,IF(D315&gt;H315,"V","D"),""),""),"")))</f>
        <v/>
      </c>
      <c r="F307" s="15" t="s">
        <v>81</v>
      </c>
      <c r="G307" s="15" t="s">
        <v>81</v>
      </c>
      <c r="H307" s="117">
        <f>COUNTA(B307:B309)</f>
        <v>0</v>
      </c>
      <c r="I307" s="15" t="str">
        <f>IF(B307&lt;&gt;"",1,"")</f>
        <v/>
      </c>
      <c r="J307" s="15" t="str">
        <f>IF(I307&lt;&gt;"",P307,"")</f>
        <v/>
      </c>
      <c r="K307" s="15" t="str">
        <f>IFERROR(IF(J307="","",VLOOKUP(J307,LISTAS!$F$5:$G$1004,2,0)),"0")</f>
        <v/>
      </c>
      <c r="L307" s="119" t="str">
        <f>IF(H307=3,"OURO",IF(H307=4,"OURO",IF(H307=5,"OURO","")))</f>
        <v/>
      </c>
      <c r="M307" s="20" t="str">
        <f>IF(B307&lt;&gt;"",COUNTIF(D307:G307,"V")+(SUMIF(B313:B315,B307,D313:E315)/1000)+(SUMIF(J313:J315,B307,H313:I315)/1000)-(SUMIF(B313:B315,B307,H313:I315)/1000)-(SUMIF(J313:J315,B307,D313:E315)/1000)+0.003,"")</f>
        <v/>
      </c>
      <c r="N307" s="20" t="str">
        <f>IF(B307="","",B307)</f>
        <v/>
      </c>
      <c r="O307" s="20" t="str">
        <f>IF(B307&lt;&gt;"",LARGE(M307:M309,1),"")</f>
        <v/>
      </c>
      <c r="P307" s="20" t="str">
        <f>VLOOKUP(O307,M307:N309,2,0)</f>
        <v/>
      </c>
    </row>
    <row r="308" spans="2:16" ht="18" customHeight="1" x14ac:dyDescent="0.25">
      <c r="B308" s="15"/>
      <c r="C308" s="15" t="str">
        <f>IFERROR(IF(B308="","",VLOOKUP(B308,LISTAS!$F$5:$G$1004,2,0)),"0")</f>
        <v/>
      </c>
      <c r="D308" s="15" t="str">
        <f>IF(H307&lt;3,"",IF(H307=3,IF(D314&lt;&gt;"",IF(H314&lt;&gt;"",IF(D314&lt;&gt;H314,IF(D314&gt;H314,"V","D"),""),""),"")))</f>
        <v/>
      </c>
      <c r="E308" s="15" t="str">
        <f>IF(H307&lt;3,"",IF(H307=3,IF(D315&lt;&gt;"",IF(H315&lt;&gt;"",IF(D315&lt;&gt;H315,IF(D315&gt;H315,"D","V"),""),""),"")))</f>
        <v/>
      </c>
      <c r="F308" s="15" t="s">
        <v>81</v>
      </c>
      <c r="G308" s="15" t="s">
        <v>81</v>
      </c>
      <c r="H308" s="115"/>
      <c r="I308" s="15" t="str">
        <f>IF(B308&lt;&gt;"",2,"")</f>
        <v/>
      </c>
      <c r="J308" s="15" t="str">
        <f>IF(I308&lt;&gt;"",P308,"")</f>
        <v/>
      </c>
      <c r="K308" s="15" t="str">
        <f>IFERROR(IF(J308="","",VLOOKUP(J308,LISTAS!$F$5:$G$1004,2,0)),"0")</f>
        <v/>
      </c>
      <c r="L308" s="119" t="str">
        <f>IF(H307=3,"PRATA",IF(H307=4,"OURO",IF(H307=5,"OURO","")))</f>
        <v/>
      </c>
      <c r="M308" s="20" t="str">
        <f>IF(B308&lt;&gt;"",COUNTIF(D308:G308,"V")+(SUMIF(B313:B315,B308,D313:E315)/1000)+(SUMIF(J313:J315,B308,H313:I315)/1000)-(SUMIF(B313:B315,B308,H313:I315)/1000)-(SUMIF(J313:J315,B308,D313:E315)/1000)+0.002,"")</f>
        <v/>
      </c>
      <c r="N308" s="20" t="str">
        <f t="shared" ref="N308" si="22">IF(B308="","",B308)</f>
        <v/>
      </c>
      <c r="O308" s="20" t="str">
        <f>IF(B308&lt;&gt;"",LARGE(M307:M309,2),"")</f>
        <v/>
      </c>
      <c r="P308" s="20" t="str">
        <f>VLOOKUP(O308,M307:N309,2,0)</f>
        <v/>
      </c>
    </row>
    <row r="309" spans="2:16" ht="18" customHeight="1" x14ac:dyDescent="0.25">
      <c r="B309" s="15"/>
      <c r="C309" s="15" t="str">
        <f>IFERROR(IF(B309="","",VLOOKUP(B309,LISTAS!$F$5:$G$1004,2,0)),"0")</f>
        <v/>
      </c>
      <c r="D309" s="15" t="str">
        <f>IF(H307&lt;3,"",IF(H307=3,IF(D313&lt;&gt;"",IF(H313&lt;&gt;"",IF(D313&lt;&gt;H313,IF(D313&gt;H313,"D","V"),""),""),"")))</f>
        <v/>
      </c>
      <c r="E309" s="15" t="str">
        <f>IF(H307&lt;3,"",IF(H307=3,IF(D314&lt;&gt;"",IF(H314&lt;&gt;"",IF(D314&lt;&gt;H314,IF(D314&gt;H314,"D","V"),""),""),"")))</f>
        <v/>
      </c>
      <c r="F309" s="15" t="s">
        <v>81</v>
      </c>
      <c r="G309" s="15" t="s">
        <v>81</v>
      </c>
      <c r="H309" s="115"/>
      <c r="I309" s="15" t="str">
        <f>IF(B309&lt;&gt;"",3,"")</f>
        <v/>
      </c>
      <c r="J309" s="15" t="str">
        <f>IF(I309&lt;&gt;"",P309,"")</f>
        <v/>
      </c>
      <c r="K309" s="15" t="str">
        <f>IFERROR(IF(J309="","",VLOOKUP(J309,LISTAS!$F$5:$G$1004,2,0)),"0")</f>
        <v/>
      </c>
      <c r="L309" s="119" t="str">
        <f>IF(H307=3,"BRONZE",IF(H307=4,"PRATA",IF(H307=5,"OURO","")))</f>
        <v/>
      </c>
      <c r="M309" s="20" t="str">
        <f>IF(B309&lt;&gt;"",COUNTIF(D309:G309,"V")+(SUMIF(B313:B315,B309,D313:E315)/1000)+(SUMIF(J313:J315,B309,H313:I315)/1000)-(SUMIF(B313:B315,B309,H313:I315)/1000)-(SUMIF(J313:J315,B309,D313:E315)/1000)+0.001,"")</f>
        <v/>
      </c>
      <c r="N309" s="20" t="str">
        <f>IF(B309="","",B309)</f>
        <v/>
      </c>
      <c r="O309" s="20" t="str">
        <f>IF(B309&lt;&gt;"",LARGE(M307:M309,3),"")</f>
        <v/>
      </c>
      <c r="P309" s="20" t="str">
        <f>VLOOKUP(O309,M307:N309,2,0)</f>
        <v/>
      </c>
    </row>
    <row r="310" spans="2:16" ht="18" customHeight="1" x14ac:dyDescent="0.25">
      <c r="B310" s="79"/>
      <c r="C310" s="79"/>
      <c r="D310" s="79"/>
      <c r="E310" s="79"/>
      <c r="F310" s="79"/>
      <c r="G310" s="79"/>
      <c r="I310" s="80"/>
      <c r="J310" s="79"/>
      <c r="K310" s="81"/>
      <c r="L310" s="81"/>
    </row>
    <row r="311" spans="2:16" ht="23.25" customHeight="1" x14ac:dyDescent="0.25">
      <c r="B311" s="82" t="s">
        <v>40</v>
      </c>
      <c r="C311" s="79"/>
      <c r="D311" s="79"/>
      <c r="E311" s="79"/>
      <c r="F311" s="79"/>
      <c r="G311" s="79"/>
      <c r="H311" s="79"/>
      <c r="I311" s="79"/>
      <c r="J311" s="79"/>
      <c r="K311" s="79"/>
      <c r="L311" s="79"/>
    </row>
    <row r="312" spans="2:16" ht="18" customHeight="1" x14ac:dyDescent="0.25">
      <c r="B312" s="9" t="s">
        <v>15</v>
      </c>
      <c r="C312" s="9" t="s">
        <v>0</v>
      </c>
      <c r="D312" s="228" t="s">
        <v>41</v>
      </c>
      <c r="E312" s="229"/>
      <c r="F312" s="229"/>
      <c r="G312" s="229"/>
      <c r="H312" s="229"/>
      <c r="I312" s="230"/>
      <c r="J312" s="9" t="s">
        <v>15</v>
      </c>
      <c r="K312" s="9" t="s">
        <v>0</v>
      </c>
      <c r="L312" s="79"/>
    </row>
    <row r="313" spans="2:16" ht="18" customHeight="1" x14ac:dyDescent="0.25">
      <c r="B313" s="15" t="str">
        <f>IF(H307=3,B307,"")</f>
        <v/>
      </c>
      <c r="C313" s="15" t="str">
        <f>IFERROR(IF(B313="","",VLOOKUP(B313,LISTAS!$F$5:$G$1004,2,0)),"0")</f>
        <v/>
      </c>
      <c r="D313" s="223"/>
      <c r="E313" s="224"/>
      <c r="F313" s="223" t="s">
        <v>38</v>
      </c>
      <c r="G313" s="224"/>
      <c r="H313" s="223"/>
      <c r="I313" s="224"/>
      <c r="J313" s="21" t="str">
        <f>IF(H307=3,B309,"")</f>
        <v/>
      </c>
      <c r="K313" s="15" t="str">
        <f>IFERROR(IF(J313="","",VLOOKUP(J313,LISTAS!$F$5:$G$1004,2,0)),"0")</f>
        <v/>
      </c>
      <c r="L313" s="81"/>
    </row>
    <row r="314" spans="2:16" ht="18" customHeight="1" x14ac:dyDescent="0.25">
      <c r="B314" s="15" t="str">
        <f>IF(H307=3,B308,"")</f>
        <v/>
      </c>
      <c r="C314" s="15" t="str">
        <f>IFERROR(IF(B314="","",VLOOKUP(B314,LISTAS!$F$5:$G$1004,2,0)),"0")</f>
        <v/>
      </c>
      <c r="D314" s="223"/>
      <c r="E314" s="224"/>
      <c r="F314" s="223" t="s">
        <v>38</v>
      </c>
      <c r="G314" s="224"/>
      <c r="H314" s="223"/>
      <c r="I314" s="224"/>
      <c r="J314" s="21" t="str">
        <f>IF(H307=3,B309,"")</f>
        <v/>
      </c>
      <c r="K314" s="15" t="str">
        <f>IFERROR(IF(J314="","",VLOOKUP(J314,LISTAS!$F$5:$G$1004,2,0)),"0")</f>
        <v/>
      </c>
      <c r="L314" s="79"/>
    </row>
    <row r="315" spans="2:16" ht="18" customHeight="1" x14ac:dyDescent="0.25">
      <c r="B315" s="15" t="str">
        <f>IF(H307=3,B307,"")</f>
        <v/>
      </c>
      <c r="C315" s="15" t="str">
        <f>IFERROR(IF(B315="","",VLOOKUP(B315,LISTAS!$F$5:$G$1004,2,0)),"0")</f>
        <v/>
      </c>
      <c r="D315" s="223"/>
      <c r="E315" s="224"/>
      <c r="F315" s="223" t="s">
        <v>38</v>
      </c>
      <c r="G315" s="224"/>
      <c r="H315" s="223"/>
      <c r="I315" s="224"/>
      <c r="J315" s="21" t="str">
        <f>IF(H307=3,B308,"")</f>
        <v/>
      </c>
      <c r="K315" s="15" t="str">
        <f>IFERROR(IF(J315="","",VLOOKUP(J315,LISTAS!$F$5:$G$1004,2,0)),"0")</f>
        <v/>
      </c>
      <c r="L315" s="81"/>
    </row>
    <row r="318" spans="2:16" ht="30" customHeight="1" x14ac:dyDescent="0.25">
      <c r="B318" s="161" t="s">
        <v>68</v>
      </c>
      <c r="C318" s="79"/>
      <c r="D318" s="225" t="s">
        <v>42</v>
      </c>
      <c r="E318" s="226"/>
      <c r="F318" s="226"/>
      <c r="G318" s="227"/>
      <c r="H318" s="113"/>
      <c r="I318" s="225" t="s">
        <v>3</v>
      </c>
      <c r="J318" s="226"/>
      <c r="K318" s="226"/>
      <c r="L318" s="226"/>
    </row>
    <row r="319" spans="2:16" ht="18" customHeight="1" x14ac:dyDescent="0.25">
      <c r="B319" s="9" t="s">
        <v>15</v>
      </c>
      <c r="C319" s="9" t="s">
        <v>0</v>
      </c>
      <c r="D319" s="9" t="s">
        <v>43</v>
      </c>
      <c r="E319" s="9" t="s">
        <v>44</v>
      </c>
      <c r="F319" s="9" t="s">
        <v>77</v>
      </c>
      <c r="G319" s="9" t="s">
        <v>78</v>
      </c>
      <c r="H319" s="114"/>
      <c r="I319" s="9" t="s">
        <v>18</v>
      </c>
      <c r="J319" s="9" t="s">
        <v>15</v>
      </c>
      <c r="K319" s="9" t="s">
        <v>0</v>
      </c>
      <c r="L319" s="9" t="s">
        <v>45</v>
      </c>
    </row>
    <row r="320" spans="2:16" ht="18" customHeight="1" x14ac:dyDescent="0.25">
      <c r="B320" s="15"/>
      <c r="C320" s="15" t="str">
        <f>IFERROR(IF(B320="","",VLOOKUP(B320,LISTAS!$F$5:$G$1004,2,0)),"0")</f>
        <v/>
      </c>
      <c r="D320" s="15" t="str">
        <f>IF(H320&lt;3,"",IF(H320=3,IF(D326&lt;&gt;"",IF(H326&lt;&gt;"",IF(D326&lt;&gt;H326,IF(D326&gt;H326,"V","D"),""),""),"")))</f>
        <v/>
      </c>
      <c r="E320" s="15" t="str">
        <f>IF(H320&lt;3,"",IF(H320=3,IF(D328&lt;&gt;"",IF(H328&lt;&gt;"",IF(D328&lt;&gt;H328,IF(D328&gt;H328,"V","D"),""),""),"")))</f>
        <v/>
      </c>
      <c r="F320" s="15" t="s">
        <v>81</v>
      </c>
      <c r="G320" s="15" t="s">
        <v>81</v>
      </c>
      <c r="H320" s="117">
        <f>COUNTA(B320:B322)</f>
        <v>0</v>
      </c>
      <c r="I320" s="15" t="str">
        <f>IF(B320&lt;&gt;"",1,"")</f>
        <v/>
      </c>
      <c r="J320" s="15" t="str">
        <f>IF(I320&lt;&gt;"",P320,"")</f>
        <v/>
      </c>
      <c r="K320" s="15" t="str">
        <f>IFERROR(IF(J320="","",VLOOKUP(J320,LISTAS!$F$5:$G$1004,2,0)),"0")</f>
        <v/>
      </c>
      <c r="L320" s="119" t="str">
        <f>IF(H320=3,"OURO",IF(H320=4,"OURO",IF(H320=5,"OURO","")))</f>
        <v/>
      </c>
      <c r="M320" s="20" t="str">
        <f>IF(B320&lt;&gt;"",COUNTIF(D320:G320,"V")+(SUMIF(B326:B328,B320,D326:E328)/1000)+(SUMIF(J326:J328,B320,H326:I328)/1000)-(SUMIF(B326:B328,B320,H326:I328)/1000)-(SUMIF(J326:J328,B320,D326:E328)/1000)+0.003,"")</f>
        <v/>
      </c>
      <c r="N320" s="20" t="str">
        <f>IF(B320="","",B320)</f>
        <v/>
      </c>
      <c r="O320" s="20" t="str">
        <f>IF(B320&lt;&gt;"",LARGE(M320:M322,1),"")</f>
        <v/>
      </c>
      <c r="P320" s="20" t="str">
        <f>VLOOKUP(O320,M320:N322,2,0)</f>
        <v/>
      </c>
    </row>
    <row r="321" spans="2:16" ht="18" customHeight="1" x14ac:dyDescent="0.25">
      <c r="B321" s="15"/>
      <c r="C321" s="15" t="str">
        <f>IFERROR(IF(B321="","",VLOOKUP(B321,LISTAS!$F$5:$G$1004,2,0)),"0")</f>
        <v/>
      </c>
      <c r="D321" s="15" t="str">
        <f>IF(H320&lt;3,"",IF(H320=3,IF(D327&lt;&gt;"",IF(H327&lt;&gt;"",IF(D327&lt;&gt;H327,IF(D327&gt;H327,"V","D"),""),""),"")))</f>
        <v/>
      </c>
      <c r="E321" s="15" t="str">
        <f>IF(H320&lt;3,"",IF(H320=3,IF(D328&lt;&gt;"",IF(H328&lt;&gt;"",IF(D328&lt;&gt;H328,IF(D328&gt;H328,"D","V"),""),""),"")))</f>
        <v/>
      </c>
      <c r="F321" s="15" t="s">
        <v>81</v>
      </c>
      <c r="G321" s="15" t="s">
        <v>81</v>
      </c>
      <c r="H321" s="115"/>
      <c r="I321" s="15" t="str">
        <f>IF(B321&lt;&gt;"",2,"")</f>
        <v/>
      </c>
      <c r="J321" s="15" t="str">
        <f>IF(I321&lt;&gt;"",P321,"")</f>
        <v/>
      </c>
      <c r="K321" s="15" t="str">
        <f>IFERROR(IF(J321="","",VLOOKUP(J321,LISTAS!$F$5:$G$1004,2,0)),"0")</f>
        <v/>
      </c>
      <c r="L321" s="119" t="str">
        <f>IF(H320=3,"PRATA",IF(H320=4,"OURO",IF(H320=5,"OURO","")))</f>
        <v/>
      </c>
      <c r="M321" s="20" t="str">
        <f>IF(B321&lt;&gt;"",COUNTIF(D321:G321,"V")+(SUMIF(B326:B328,B321,D326:E328)/1000)+(SUMIF(J326:J328,B321,H326:I328)/1000)-(SUMIF(B326:B328,B321,H326:I328)/1000)-(SUMIF(J326:J328,B321,D326:E328)/1000)+0.002,"")</f>
        <v/>
      </c>
      <c r="N321" s="20" t="str">
        <f t="shared" ref="N321" si="23">IF(B321="","",B321)</f>
        <v/>
      </c>
      <c r="O321" s="20" t="str">
        <f>IF(B321&lt;&gt;"",LARGE(M320:M322,2),"")</f>
        <v/>
      </c>
      <c r="P321" s="20" t="str">
        <f>VLOOKUP(O321,M320:N322,2,0)</f>
        <v/>
      </c>
    </row>
    <row r="322" spans="2:16" ht="18" customHeight="1" x14ac:dyDescent="0.25">
      <c r="B322" s="15"/>
      <c r="C322" s="15" t="str">
        <f>IFERROR(IF(B322="","",VLOOKUP(B322,LISTAS!$F$5:$G$1004,2,0)),"0")</f>
        <v/>
      </c>
      <c r="D322" s="15" t="str">
        <f>IF(H320&lt;3,"",IF(H320=3,IF(D326&lt;&gt;"",IF(H326&lt;&gt;"",IF(D326&lt;&gt;H326,IF(D326&gt;H326,"D","V"),""),""),"")))</f>
        <v/>
      </c>
      <c r="E322" s="15" t="str">
        <f>IF(H320&lt;3,"",IF(H320=3,IF(D327&lt;&gt;"",IF(H327&lt;&gt;"",IF(D327&lt;&gt;H327,IF(D327&gt;H327,"D","V"),""),""),"")))</f>
        <v/>
      </c>
      <c r="F322" s="15" t="s">
        <v>81</v>
      </c>
      <c r="G322" s="15" t="s">
        <v>81</v>
      </c>
      <c r="H322" s="115"/>
      <c r="I322" s="15" t="str">
        <f>IF(B322&lt;&gt;"",3,"")</f>
        <v/>
      </c>
      <c r="J322" s="15" t="str">
        <f>IF(I322&lt;&gt;"",P322,"")</f>
        <v/>
      </c>
      <c r="K322" s="15" t="str">
        <f>IFERROR(IF(J322="","",VLOOKUP(J322,LISTAS!$F$5:$G$1004,2,0)),"0")</f>
        <v/>
      </c>
      <c r="L322" s="119" t="str">
        <f>IF(H320=3,"BRONZE",IF(H320=4,"PRATA",IF(H320=5,"OURO","")))</f>
        <v/>
      </c>
      <c r="M322" s="20" t="str">
        <f>IF(B322&lt;&gt;"",COUNTIF(D322:G322,"V")+(SUMIF(B326:B328,B322,D326:E328)/1000)+(SUMIF(J326:J328,B322,H326:I328)/1000)-(SUMIF(B326:B328,B322,H326:I328)/1000)-(SUMIF(J326:J328,B322,D326:E328)/1000)+0.001,"")</f>
        <v/>
      </c>
      <c r="N322" s="20" t="str">
        <f>IF(B322="","",B322)</f>
        <v/>
      </c>
      <c r="O322" s="20" t="str">
        <f>IF(B322&lt;&gt;"",LARGE(M320:M322,3),"")</f>
        <v/>
      </c>
      <c r="P322" s="20" t="str">
        <f>VLOOKUP(O322,M320:N322,2,0)</f>
        <v/>
      </c>
    </row>
    <row r="323" spans="2:16" ht="18" customHeight="1" x14ac:dyDescent="0.25">
      <c r="B323" s="79"/>
      <c r="C323" s="79"/>
      <c r="D323" s="79"/>
      <c r="E323" s="79"/>
      <c r="F323" s="79"/>
      <c r="G323" s="79"/>
      <c r="I323" s="80"/>
      <c r="J323" s="79"/>
      <c r="K323" s="81"/>
      <c r="L323" s="81"/>
    </row>
    <row r="324" spans="2:16" ht="23.25" customHeight="1" x14ac:dyDescent="0.25">
      <c r="B324" s="82" t="s">
        <v>40</v>
      </c>
      <c r="C324" s="79"/>
      <c r="D324" s="79"/>
      <c r="E324" s="79"/>
      <c r="F324" s="79"/>
      <c r="G324" s="79"/>
      <c r="H324" s="79"/>
      <c r="I324" s="79"/>
      <c r="J324" s="79"/>
      <c r="K324" s="79"/>
      <c r="L324" s="79"/>
    </row>
    <row r="325" spans="2:16" ht="18" customHeight="1" x14ac:dyDescent="0.25">
      <c r="B325" s="9" t="s">
        <v>15</v>
      </c>
      <c r="C325" s="9" t="s">
        <v>0</v>
      </c>
      <c r="D325" s="228" t="s">
        <v>41</v>
      </c>
      <c r="E325" s="229"/>
      <c r="F325" s="229"/>
      <c r="G325" s="229"/>
      <c r="H325" s="229"/>
      <c r="I325" s="230"/>
      <c r="J325" s="9" t="s">
        <v>15</v>
      </c>
      <c r="K325" s="9" t="s">
        <v>0</v>
      </c>
      <c r="L325" s="79"/>
    </row>
    <row r="326" spans="2:16" ht="18" customHeight="1" x14ac:dyDescent="0.25">
      <c r="B326" s="15" t="str">
        <f>IF(H320=3,B320,"")</f>
        <v/>
      </c>
      <c r="C326" s="15" t="str">
        <f>IFERROR(IF(B326="","",VLOOKUP(B326,LISTAS!$F$5:$G$1004,2,0)),"0")</f>
        <v/>
      </c>
      <c r="D326" s="223"/>
      <c r="E326" s="224"/>
      <c r="F326" s="223" t="s">
        <v>38</v>
      </c>
      <c r="G326" s="224"/>
      <c r="H326" s="223"/>
      <c r="I326" s="224"/>
      <c r="J326" s="21" t="str">
        <f>IF(H320=3,B322,"")</f>
        <v/>
      </c>
      <c r="K326" s="15" t="str">
        <f>IFERROR(IF(J326="","",VLOOKUP(J326,LISTAS!$F$5:$G$1004,2,0)),"0")</f>
        <v/>
      </c>
      <c r="L326" s="81"/>
    </row>
    <row r="327" spans="2:16" ht="18" customHeight="1" x14ac:dyDescent="0.25">
      <c r="B327" s="15" t="str">
        <f>IF(H320=3,B321,"")</f>
        <v/>
      </c>
      <c r="C327" s="15" t="str">
        <f>IFERROR(IF(B327="","",VLOOKUP(B327,LISTAS!$F$5:$G$1004,2,0)),"0")</f>
        <v/>
      </c>
      <c r="D327" s="223"/>
      <c r="E327" s="224"/>
      <c r="F327" s="223" t="s">
        <v>38</v>
      </c>
      <c r="G327" s="224"/>
      <c r="H327" s="223"/>
      <c r="I327" s="224"/>
      <c r="J327" s="21" t="str">
        <f>IF(H320=3,B322,"")</f>
        <v/>
      </c>
      <c r="K327" s="15" t="str">
        <f>IFERROR(IF(J327="","",VLOOKUP(J327,LISTAS!$F$5:$G$1004,2,0)),"0")</f>
        <v/>
      </c>
      <c r="L327" s="79"/>
    </row>
    <row r="328" spans="2:16" ht="18" customHeight="1" x14ac:dyDescent="0.25">
      <c r="B328" s="15" t="str">
        <f>IF(H320=3,B320,"")</f>
        <v/>
      </c>
      <c r="C328" s="15" t="str">
        <f>IFERROR(IF(B328="","",VLOOKUP(B328,LISTAS!$F$5:$G$1004,2,0)),"0")</f>
        <v/>
      </c>
      <c r="D328" s="223"/>
      <c r="E328" s="224"/>
      <c r="F328" s="223" t="s">
        <v>38</v>
      </c>
      <c r="G328" s="224"/>
      <c r="H328" s="223"/>
      <c r="I328" s="224"/>
      <c r="J328" s="21" t="str">
        <f>IF(H320=3,B321,"")</f>
        <v/>
      </c>
      <c r="K328" s="15" t="str">
        <f>IFERROR(IF(J328="","",VLOOKUP(J328,LISTAS!$F$5:$G$1004,2,0)),"0")</f>
        <v/>
      </c>
      <c r="L328" s="81"/>
    </row>
    <row r="331" spans="2:16" ht="30" customHeight="1" x14ac:dyDescent="0.25">
      <c r="B331" s="161" t="s">
        <v>69</v>
      </c>
      <c r="C331" s="79"/>
      <c r="D331" s="225" t="s">
        <v>42</v>
      </c>
      <c r="E331" s="226"/>
      <c r="F331" s="226"/>
      <c r="G331" s="227"/>
      <c r="H331" s="113"/>
      <c r="I331" s="225" t="s">
        <v>3</v>
      </c>
      <c r="J331" s="226"/>
      <c r="K331" s="226"/>
      <c r="L331" s="226"/>
    </row>
    <row r="332" spans="2:16" ht="18" customHeight="1" x14ac:dyDescent="0.25">
      <c r="B332" s="9" t="s">
        <v>15</v>
      </c>
      <c r="C332" s="9" t="s">
        <v>0</v>
      </c>
      <c r="D332" s="9" t="s">
        <v>43</v>
      </c>
      <c r="E332" s="9" t="s">
        <v>44</v>
      </c>
      <c r="F332" s="9" t="s">
        <v>77</v>
      </c>
      <c r="G332" s="9" t="s">
        <v>78</v>
      </c>
      <c r="H332" s="114"/>
      <c r="I332" s="9" t="s">
        <v>18</v>
      </c>
      <c r="J332" s="9" t="s">
        <v>15</v>
      </c>
      <c r="K332" s="9" t="s">
        <v>0</v>
      </c>
      <c r="L332" s="9" t="s">
        <v>45</v>
      </c>
    </row>
    <row r="333" spans="2:16" ht="18" customHeight="1" x14ac:dyDescent="0.25">
      <c r="B333" s="15"/>
      <c r="C333" s="15" t="str">
        <f>IFERROR(IF(B333="","",VLOOKUP(B333,LISTAS!$F$5:$G$1004,2,0)),"0")</f>
        <v/>
      </c>
      <c r="D333" s="15" t="str">
        <f>IF(H333&lt;3,"",IF(H333=3,IF(D339&lt;&gt;"",IF(H339&lt;&gt;"",IF(D339&lt;&gt;H339,IF(D339&gt;H339,"V","D"),""),""),"")))</f>
        <v/>
      </c>
      <c r="E333" s="15" t="str">
        <f>IF(H333&lt;3,"",IF(H333=3,IF(D341&lt;&gt;"",IF(H341&lt;&gt;"",IF(D341&lt;&gt;H341,IF(D341&gt;H341,"V","D"),""),""),"")))</f>
        <v/>
      </c>
      <c r="F333" s="15" t="s">
        <v>81</v>
      </c>
      <c r="G333" s="15" t="s">
        <v>81</v>
      </c>
      <c r="H333" s="117">
        <f>COUNTA(B333:B335)</f>
        <v>0</v>
      </c>
      <c r="I333" s="15" t="str">
        <f>IF(B333&lt;&gt;"",1,"")</f>
        <v/>
      </c>
      <c r="J333" s="15" t="str">
        <f>IF(I333&lt;&gt;"",P333,"")</f>
        <v/>
      </c>
      <c r="K333" s="15" t="str">
        <f>IFERROR(IF(J333="","",VLOOKUP(J333,LISTAS!$F$5:$G$1004,2,0)),"0")</f>
        <v/>
      </c>
      <c r="L333" s="119" t="str">
        <f>IF(H333=3,"OURO",IF(H333=4,"OURO",IF(H333=5,"OURO","")))</f>
        <v/>
      </c>
      <c r="M333" s="20" t="str">
        <f>IF(B333&lt;&gt;"",COUNTIF(D333:G333,"V")+(SUMIF(B339:B341,B333,D339:E341)/1000)+(SUMIF(J339:J341,B333,H339:I341)/1000)-(SUMIF(B339:B341,B333,H339:I341)/1000)-(SUMIF(J339:J341,B333,D339:E341)/1000)+0.003,"")</f>
        <v/>
      </c>
      <c r="N333" s="20" t="str">
        <f>IF(B333="","",B333)</f>
        <v/>
      </c>
      <c r="O333" s="20" t="str">
        <f>IF(B333&lt;&gt;"",LARGE(M333:M335,1),"")</f>
        <v/>
      </c>
      <c r="P333" s="20" t="str">
        <f>VLOOKUP(O333,M333:N335,2,0)</f>
        <v/>
      </c>
    </row>
    <row r="334" spans="2:16" ht="18" customHeight="1" x14ac:dyDescent="0.25">
      <c r="B334" s="15"/>
      <c r="C334" s="15" t="str">
        <f>IFERROR(IF(B334="","",VLOOKUP(B334,LISTAS!$F$5:$G$1004,2,0)),"0")</f>
        <v/>
      </c>
      <c r="D334" s="15" t="str">
        <f>IF(H333&lt;3,"",IF(H333=3,IF(D340&lt;&gt;"",IF(H340&lt;&gt;"",IF(D340&lt;&gt;H340,IF(D340&gt;H340,"V","D"),""),""),"")))</f>
        <v/>
      </c>
      <c r="E334" s="15" t="str">
        <f>IF(H333&lt;3,"",IF(H333=3,IF(D341&lt;&gt;"",IF(H341&lt;&gt;"",IF(D341&lt;&gt;H341,IF(D341&gt;H341,"D","V"),""),""),"")))</f>
        <v/>
      </c>
      <c r="F334" s="15" t="s">
        <v>81</v>
      </c>
      <c r="G334" s="15" t="s">
        <v>81</v>
      </c>
      <c r="H334" s="115"/>
      <c r="I334" s="15" t="str">
        <f>IF(B334&lt;&gt;"",2,"")</f>
        <v/>
      </c>
      <c r="J334" s="15" t="str">
        <f>IF(I334&lt;&gt;"",P334,"")</f>
        <v/>
      </c>
      <c r="K334" s="15" t="str">
        <f>IFERROR(IF(J334="","",VLOOKUP(J334,LISTAS!$F$5:$G$1004,2,0)),"0")</f>
        <v/>
      </c>
      <c r="L334" s="119" t="str">
        <f>IF(H333=3,"PRATA",IF(H333=4,"OURO",IF(H333=5,"OURO","")))</f>
        <v/>
      </c>
      <c r="M334" s="20" t="str">
        <f>IF(B334&lt;&gt;"",COUNTIF(D334:G334,"V")+(SUMIF(B339:B341,B334,D339:E341)/1000)+(SUMIF(J339:J341,B334,H339:I341)/1000)-(SUMIF(B339:B341,B334,H339:I341)/1000)-(SUMIF(J339:J341,B334,D339:E341)/1000)+0.002,"")</f>
        <v/>
      </c>
      <c r="N334" s="20" t="str">
        <f t="shared" ref="N334" si="24">IF(B334="","",B334)</f>
        <v/>
      </c>
      <c r="O334" s="20" t="str">
        <f>IF(B334&lt;&gt;"",LARGE(M333:M335,2),"")</f>
        <v/>
      </c>
      <c r="P334" s="20" t="str">
        <f>VLOOKUP(O334,M333:N335,2,0)</f>
        <v/>
      </c>
    </row>
    <row r="335" spans="2:16" ht="18" customHeight="1" x14ac:dyDescent="0.25">
      <c r="B335" s="15"/>
      <c r="C335" s="15" t="str">
        <f>IFERROR(IF(B335="","",VLOOKUP(B335,LISTAS!$F$5:$G$1004,2,0)),"0")</f>
        <v/>
      </c>
      <c r="D335" s="15" t="str">
        <f>IF(H333&lt;3,"",IF(H333=3,IF(D339&lt;&gt;"",IF(H339&lt;&gt;"",IF(D339&lt;&gt;H339,IF(D339&gt;H339,"D","V"),""),""),"")))</f>
        <v/>
      </c>
      <c r="E335" s="15" t="str">
        <f>IF(H333&lt;3,"",IF(H333=3,IF(D340&lt;&gt;"",IF(H340&lt;&gt;"",IF(D340&lt;&gt;H340,IF(D340&gt;H340,"D","V"),""),""),"")))</f>
        <v/>
      </c>
      <c r="F335" s="15" t="s">
        <v>81</v>
      </c>
      <c r="G335" s="15" t="s">
        <v>81</v>
      </c>
      <c r="H335" s="115"/>
      <c r="I335" s="15" t="str">
        <f>IF(B335&lt;&gt;"",3,"")</f>
        <v/>
      </c>
      <c r="J335" s="15" t="str">
        <f>IF(I335&lt;&gt;"",P335,"")</f>
        <v/>
      </c>
      <c r="K335" s="15" t="str">
        <f>IFERROR(IF(J335="","",VLOOKUP(J335,LISTAS!$F$5:$G$1004,2,0)),"0")</f>
        <v/>
      </c>
      <c r="L335" s="119" t="str">
        <f>IF(H333=3,"BRONZE",IF(H333=4,"PRATA",IF(H333=5,"OURO","")))</f>
        <v/>
      </c>
      <c r="M335" s="20" t="str">
        <f>IF(B335&lt;&gt;"",COUNTIF(D335:G335,"V")+(SUMIF(B339:B341,B335,D339:E341)/1000)+(SUMIF(J339:J341,B335,H339:I341)/1000)-(SUMIF(B339:B341,B335,H339:I341)/1000)-(SUMIF(J339:J341,B335,D339:E341)/1000)+0.001,"")</f>
        <v/>
      </c>
      <c r="N335" s="20" t="str">
        <f>IF(B335="","",B335)</f>
        <v/>
      </c>
      <c r="O335" s="20" t="str">
        <f>IF(B335&lt;&gt;"",LARGE(M333:M335,3),"")</f>
        <v/>
      </c>
      <c r="P335" s="20" t="str">
        <f>VLOOKUP(O335,M333:N335,2,0)</f>
        <v/>
      </c>
    </row>
    <row r="336" spans="2:16" ht="18" customHeight="1" x14ac:dyDescent="0.25">
      <c r="B336" s="79"/>
      <c r="C336" s="79"/>
      <c r="D336" s="79"/>
      <c r="E336" s="79"/>
      <c r="F336" s="79"/>
      <c r="G336" s="79"/>
      <c r="I336" s="80"/>
      <c r="J336" s="79"/>
      <c r="K336" s="81"/>
      <c r="L336" s="81"/>
    </row>
    <row r="337" spans="2:16" ht="23.25" customHeight="1" x14ac:dyDescent="0.25">
      <c r="B337" s="82" t="s">
        <v>40</v>
      </c>
      <c r="C337" s="79"/>
      <c r="D337" s="79"/>
      <c r="E337" s="79"/>
      <c r="F337" s="79"/>
      <c r="G337" s="79"/>
      <c r="H337" s="79"/>
      <c r="I337" s="79"/>
      <c r="J337" s="79"/>
      <c r="K337" s="79"/>
      <c r="L337" s="79"/>
    </row>
    <row r="338" spans="2:16" ht="18" customHeight="1" x14ac:dyDescent="0.25">
      <c r="B338" s="9" t="s">
        <v>15</v>
      </c>
      <c r="C338" s="9" t="s">
        <v>0</v>
      </c>
      <c r="D338" s="228" t="s">
        <v>41</v>
      </c>
      <c r="E338" s="229"/>
      <c r="F338" s="229"/>
      <c r="G338" s="229"/>
      <c r="H338" s="229"/>
      <c r="I338" s="230"/>
      <c r="J338" s="9" t="s">
        <v>15</v>
      </c>
      <c r="K338" s="9" t="s">
        <v>0</v>
      </c>
      <c r="L338" s="79"/>
    </row>
    <row r="339" spans="2:16" ht="18" customHeight="1" x14ac:dyDescent="0.25">
      <c r="B339" s="15" t="str">
        <f>IF(H333=3,B333,"")</f>
        <v/>
      </c>
      <c r="C339" s="15" t="str">
        <f>IFERROR(IF(B339="","",VLOOKUP(B339,LISTAS!$F$5:$G$1004,2,0)),"0")</f>
        <v/>
      </c>
      <c r="D339" s="223"/>
      <c r="E339" s="224"/>
      <c r="F339" s="223" t="s">
        <v>38</v>
      </c>
      <c r="G339" s="224"/>
      <c r="H339" s="223"/>
      <c r="I339" s="224"/>
      <c r="J339" s="21" t="str">
        <f>IF(H333=3,B335,"")</f>
        <v/>
      </c>
      <c r="K339" s="15" t="str">
        <f>IFERROR(IF(J339="","",VLOOKUP(J339,LISTAS!$F$5:$G$1004,2,0)),"0")</f>
        <v/>
      </c>
      <c r="L339" s="81"/>
    </row>
    <row r="340" spans="2:16" ht="18" customHeight="1" x14ac:dyDescent="0.25">
      <c r="B340" s="15" t="str">
        <f>IF(H333=3,B334,"")</f>
        <v/>
      </c>
      <c r="C340" s="15" t="str">
        <f>IFERROR(IF(B340="","",VLOOKUP(B340,LISTAS!$F$5:$G$1004,2,0)),"0")</f>
        <v/>
      </c>
      <c r="D340" s="223"/>
      <c r="E340" s="224"/>
      <c r="F340" s="223" t="s">
        <v>38</v>
      </c>
      <c r="G340" s="224"/>
      <c r="H340" s="223"/>
      <c r="I340" s="224"/>
      <c r="J340" s="21" t="str">
        <f>IF(H333=3,B335,"")</f>
        <v/>
      </c>
      <c r="K340" s="15" t="str">
        <f>IFERROR(IF(J340="","",VLOOKUP(J340,LISTAS!$F$5:$G$1004,2,0)),"0")</f>
        <v/>
      </c>
      <c r="L340" s="79"/>
    </row>
    <row r="341" spans="2:16" ht="18" customHeight="1" x14ac:dyDescent="0.25">
      <c r="B341" s="15" t="str">
        <f>IF(H333=3,B333,"")</f>
        <v/>
      </c>
      <c r="C341" s="15" t="str">
        <f>IFERROR(IF(B341="","",VLOOKUP(B341,LISTAS!$F$5:$G$1004,2,0)),"0")</f>
        <v/>
      </c>
      <c r="D341" s="223"/>
      <c r="E341" s="224"/>
      <c r="F341" s="223" t="s">
        <v>38</v>
      </c>
      <c r="G341" s="224"/>
      <c r="H341" s="223"/>
      <c r="I341" s="224"/>
      <c r="J341" s="21" t="str">
        <f>IF(H333=3,B334,"")</f>
        <v/>
      </c>
      <c r="K341" s="15" t="str">
        <f>IFERROR(IF(J341="","",VLOOKUP(J341,LISTAS!$F$5:$G$1004,2,0)),"0")</f>
        <v/>
      </c>
      <c r="L341" s="81"/>
    </row>
    <row r="344" spans="2:16" ht="30" customHeight="1" x14ac:dyDescent="0.25">
      <c r="B344" s="161" t="s">
        <v>70</v>
      </c>
      <c r="C344" s="79"/>
      <c r="D344" s="225" t="s">
        <v>42</v>
      </c>
      <c r="E344" s="226"/>
      <c r="F344" s="226"/>
      <c r="G344" s="227"/>
      <c r="H344" s="113"/>
      <c r="I344" s="225" t="s">
        <v>3</v>
      </c>
      <c r="J344" s="226"/>
      <c r="K344" s="226"/>
      <c r="L344" s="226"/>
    </row>
    <row r="345" spans="2:16" ht="18" customHeight="1" x14ac:dyDescent="0.25">
      <c r="B345" s="9" t="s">
        <v>15</v>
      </c>
      <c r="C345" s="9" t="s">
        <v>0</v>
      </c>
      <c r="D345" s="9" t="s">
        <v>43</v>
      </c>
      <c r="E345" s="9" t="s">
        <v>44</v>
      </c>
      <c r="F345" s="9" t="s">
        <v>77</v>
      </c>
      <c r="G345" s="9" t="s">
        <v>78</v>
      </c>
      <c r="H345" s="114"/>
      <c r="I345" s="9" t="s">
        <v>18</v>
      </c>
      <c r="J345" s="9" t="s">
        <v>15</v>
      </c>
      <c r="K345" s="9" t="s">
        <v>0</v>
      </c>
      <c r="L345" s="9" t="s">
        <v>45</v>
      </c>
    </row>
    <row r="346" spans="2:16" ht="18" customHeight="1" x14ac:dyDescent="0.25">
      <c r="B346" s="15"/>
      <c r="C346" s="15" t="str">
        <f>IFERROR(IF(B346="","",VLOOKUP(B346,LISTAS!$F$5:$G$1004,2,0)),"0")</f>
        <v/>
      </c>
      <c r="D346" s="15" t="str">
        <f>IF(H346&lt;3,"",IF(H346=3,IF(D352&lt;&gt;"",IF(H352&lt;&gt;"",IF(D352&lt;&gt;H352,IF(D352&gt;H352,"V","D"),""),""),"")))</f>
        <v/>
      </c>
      <c r="E346" s="15" t="str">
        <f>IF(H346&lt;3,"",IF(H346=3,IF(D354&lt;&gt;"",IF(H354&lt;&gt;"",IF(D354&lt;&gt;H354,IF(D354&gt;H354,"V","D"),""),""),"")))</f>
        <v/>
      </c>
      <c r="F346" s="15" t="s">
        <v>81</v>
      </c>
      <c r="G346" s="15" t="s">
        <v>81</v>
      </c>
      <c r="H346" s="117">
        <f>COUNTA(B346:B348)</f>
        <v>0</v>
      </c>
      <c r="I346" s="15" t="str">
        <f>IF(B346&lt;&gt;"",1,"")</f>
        <v/>
      </c>
      <c r="J346" s="15" t="str">
        <f>IF(I346&lt;&gt;"",P346,"")</f>
        <v/>
      </c>
      <c r="K346" s="15" t="str">
        <f>IFERROR(IF(J346="","",VLOOKUP(J346,LISTAS!$F$5:$G$1004,2,0)),"0")</f>
        <v/>
      </c>
      <c r="L346" s="119" t="str">
        <f>IF(H346=3,"OURO",IF(H346=4,"OURO",IF(H346=5,"OURO","")))</f>
        <v/>
      </c>
      <c r="M346" s="20" t="str">
        <f>IF(B346&lt;&gt;"",COUNTIF(D346:G346,"V")+(SUMIF(B352:B354,B346,D352:E354)/1000)+(SUMIF(J352:J354,B346,H352:I354)/1000)-(SUMIF(B352:B354,B346,H352:I354)/1000)-(SUMIF(J352:J354,B346,D352:E354)/1000)+0.003,"")</f>
        <v/>
      </c>
      <c r="N346" s="20" t="str">
        <f>IF(B346="","",B346)</f>
        <v/>
      </c>
      <c r="O346" s="20" t="str">
        <f>IF(B346&lt;&gt;"",LARGE(M346:M348,1),"")</f>
        <v/>
      </c>
      <c r="P346" s="20" t="str">
        <f>VLOOKUP(O346,M346:N348,2,0)</f>
        <v/>
      </c>
    </row>
    <row r="347" spans="2:16" ht="18" customHeight="1" x14ac:dyDescent="0.25">
      <c r="B347" s="15"/>
      <c r="C347" s="15" t="str">
        <f>IFERROR(IF(B347="","",VLOOKUP(B347,LISTAS!$F$5:$G$1004,2,0)),"0")</f>
        <v/>
      </c>
      <c r="D347" s="15" t="str">
        <f>IF(H346&lt;3,"",IF(H346=3,IF(D353&lt;&gt;"",IF(H353&lt;&gt;"",IF(D353&lt;&gt;H353,IF(D353&gt;H353,"V","D"),""),""),"")))</f>
        <v/>
      </c>
      <c r="E347" s="15" t="str">
        <f>IF(H346&lt;3,"",IF(H346=3,IF(D354&lt;&gt;"",IF(H354&lt;&gt;"",IF(D354&lt;&gt;H354,IF(D354&gt;H354,"D","V"),""),""),"")))</f>
        <v/>
      </c>
      <c r="F347" s="15" t="s">
        <v>81</v>
      </c>
      <c r="G347" s="15" t="s">
        <v>81</v>
      </c>
      <c r="H347" s="115"/>
      <c r="I347" s="15" t="str">
        <f>IF(B347&lt;&gt;"",2,"")</f>
        <v/>
      </c>
      <c r="J347" s="15" t="str">
        <f>IF(I347&lt;&gt;"",P347,"")</f>
        <v/>
      </c>
      <c r="K347" s="15" t="str">
        <f>IFERROR(IF(J347="","",VLOOKUP(J347,LISTAS!$F$5:$G$1004,2,0)),"0")</f>
        <v/>
      </c>
      <c r="L347" s="119" t="str">
        <f>IF(H346=3,"PRATA",IF(H346=4,"OURO",IF(H346=5,"OURO","")))</f>
        <v/>
      </c>
      <c r="M347" s="20" t="str">
        <f>IF(B347&lt;&gt;"",COUNTIF(D347:G347,"V")+(SUMIF(B352:B354,B347,D352:E354)/1000)+(SUMIF(J352:J354,B347,H352:I354)/1000)-(SUMIF(B352:B354,B347,H352:I354)/1000)-(SUMIF(J352:J354,B347,D352:E354)/1000)+0.002,"")</f>
        <v/>
      </c>
      <c r="N347" s="20" t="str">
        <f t="shared" ref="N347" si="25">IF(B347="","",B347)</f>
        <v/>
      </c>
      <c r="O347" s="20" t="str">
        <f>IF(B347&lt;&gt;"",LARGE(M346:M348,2),"")</f>
        <v/>
      </c>
      <c r="P347" s="20" t="str">
        <f>VLOOKUP(O347,M346:N348,2,0)</f>
        <v/>
      </c>
    </row>
    <row r="348" spans="2:16" ht="18" customHeight="1" x14ac:dyDescent="0.25">
      <c r="B348" s="15"/>
      <c r="C348" s="15" t="str">
        <f>IFERROR(IF(B348="","",VLOOKUP(B348,LISTAS!$F$5:$G$1004,2,0)),"0")</f>
        <v/>
      </c>
      <c r="D348" s="15" t="str">
        <f>IF(H346&lt;3,"",IF(H346=3,IF(D352&lt;&gt;"",IF(H352&lt;&gt;"",IF(D352&lt;&gt;H352,IF(D352&gt;H352,"D","V"),""),""),"")))</f>
        <v/>
      </c>
      <c r="E348" s="15" t="str">
        <f>IF(H346&lt;3,"",IF(H346=3,IF(D353&lt;&gt;"",IF(H353&lt;&gt;"",IF(D353&lt;&gt;H353,IF(D353&gt;H353,"D","V"),""),""),"")))</f>
        <v/>
      </c>
      <c r="F348" s="15" t="s">
        <v>81</v>
      </c>
      <c r="G348" s="15" t="s">
        <v>81</v>
      </c>
      <c r="H348" s="115"/>
      <c r="I348" s="15" t="str">
        <f>IF(B348&lt;&gt;"",3,"")</f>
        <v/>
      </c>
      <c r="J348" s="15" t="str">
        <f>IF(I348&lt;&gt;"",P348,"")</f>
        <v/>
      </c>
      <c r="K348" s="15" t="str">
        <f>IFERROR(IF(J348="","",VLOOKUP(J348,LISTAS!$F$5:$G$1004,2,0)),"0")</f>
        <v/>
      </c>
      <c r="L348" s="119" t="str">
        <f>IF(H346=3,"BRONZE",IF(H346=4,"PRATA",IF(H346=5,"OURO","")))</f>
        <v/>
      </c>
      <c r="M348" s="20" t="str">
        <f>IF(B348&lt;&gt;"",COUNTIF(D348:G348,"V")+(SUMIF(B352:B354,B348,D352:E354)/1000)+(SUMIF(J352:J354,B348,H352:I354)/1000)-(SUMIF(B352:B354,B348,H352:I354)/1000)-(SUMIF(J352:J354,B348,D352:E354)/1000)+0.001,"")</f>
        <v/>
      </c>
      <c r="N348" s="20" t="str">
        <f>IF(B348="","",B348)</f>
        <v/>
      </c>
      <c r="O348" s="20" t="str">
        <f>IF(B348&lt;&gt;"",LARGE(M346:M348,3),"")</f>
        <v/>
      </c>
      <c r="P348" s="20" t="str">
        <f>VLOOKUP(O348,M346:N348,2,0)</f>
        <v/>
      </c>
    </row>
    <row r="349" spans="2:16" ht="18" customHeight="1" x14ac:dyDescent="0.25">
      <c r="B349" s="79"/>
      <c r="C349" s="79"/>
      <c r="D349" s="79"/>
      <c r="E349" s="79"/>
      <c r="F349" s="79"/>
      <c r="G349" s="79"/>
      <c r="I349" s="80"/>
      <c r="J349" s="79"/>
      <c r="K349" s="81"/>
      <c r="L349" s="81"/>
    </row>
    <row r="350" spans="2:16" ht="23.25" customHeight="1" x14ac:dyDescent="0.25">
      <c r="B350" s="82" t="s">
        <v>40</v>
      </c>
      <c r="C350" s="79"/>
      <c r="D350" s="79"/>
      <c r="E350" s="79"/>
      <c r="F350" s="79"/>
      <c r="G350" s="79"/>
      <c r="H350" s="79"/>
      <c r="I350" s="79"/>
      <c r="J350" s="79"/>
      <c r="K350" s="79"/>
      <c r="L350" s="79"/>
    </row>
    <row r="351" spans="2:16" ht="18" customHeight="1" x14ac:dyDescent="0.25">
      <c r="B351" s="9" t="s">
        <v>15</v>
      </c>
      <c r="C351" s="9" t="s">
        <v>0</v>
      </c>
      <c r="D351" s="228" t="s">
        <v>41</v>
      </c>
      <c r="E351" s="229"/>
      <c r="F351" s="229"/>
      <c r="G351" s="229"/>
      <c r="H351" s="229"/>
      <c r="I351" s="230"/>
      <c r="J351" s="9" t="s">
        <v>15</v>
      </c>
      <c r="K351" s="9" t="s">
        <v>0</v>
      </c>
      <c r="L351" s="79"/>
    </row>
    <row r="352" spans="2:16" ht="18" customHeight="1" x14ac:dyDescent="0.25">
      <c r="B352" s="15" t="str">
        <f>IF(H346=3,B346,"")</f>
        <v/>
      </c>
      <c r="C352" s="15" t="str">
        <f>IFERROR(IF(B352="","",VLOOKUP(B352,LISTAS!$F$5:$G$1004,2,0)),"0")</f>
        <v/>
      </c>
      <c r="D352" s="223"/>
      <c r="E352" s="224"/>
      <c r="F352" s="223" t="s">
        <v>38</v>
      </c>
      <c r="G352" s="224"/>
      <c r="H352" s="223"/>
      <c r="I352" s="224"/>
      <c r="J352" s="21" t="str">
        <f>IF(H346=3,B348,"")</f>
        <v/>
      </c>
      <c r="K352" s="15" t="str">
        <f>IFERROR(IF(J352="","",VLOOKUP(J352,LISTAS!$F$5:$G$1004,2,0)),"0")</f>
        <v/>
      </c>
      <c r="L352" s="81"/>
    </row>
    <row r="353" spans="2:16" ht="18" customHeight="1" x14ac:dyDescent="0.25">
      <c r="B353" s="15" t="str">
        <f>IF(H346=3,B347,"")</f>
        <v/>
      </c>
      <c r="C353" s="15" t="str">
        <f>IFERROR(IF(B353="","",VLOOKUP(B353,LISTAS!$F$5:$G$1004,2,0)),"0")</f>
        <v/>
      </c>
      <c r="D353" s="223"/>
      <c r="E353" s="224"/>
      <c r="F353" s="223" t="s">
        <v>38</v>
      </c>
      <c r="G353" s="224"/>
      <c r="H353" s="223"/>
      <c r="I353" s="224"/>
      <c r="J353" s="21" t="str">
        <f>IF(H346=3,B348,"")</f>
        <v/>
      </c>
      <c r="K353" s="15" t="str">
        <f>IFERROR(IF(J353="","",VLOOKUP(J353,LISTAS!$F$5:$G$1004,2,0)),"0")</f>
        <v/>
      </c>
      <c r="L353" s="79"/>
    </row>
    <row r="354" spans="2:16" ht="18" customHeight="1" x14ac:dyDescent="0.25">
      <c r="B354" s="15" t="str">
        <f>IF(H346=3,B346,"")</f>
        <v/>
      </c>
      <c r="C354" s="15" t="str">
        <f>IFERROR(IF(B354="","",VLOOKUP(B354,LISTAS!$F$5:$G$1004,2,0)),"0")</f>
        <v/>
      </c>
      <c r="D354" s="223"/>
      <c r="E354" s="224"/>
      <c r="F354" s="223" t="s">
        <v>38</v>
      </c>
      <c r="G354" s="224"/>
      <c r="H354" s="223"/>
      <c r="I354" s="224"/>
      <c r="J354" s="21" t="str">
        <f>IF(H346=3,B347,"")</f>
        <v/>
      </c>
      <c r="K354" s="15" t="str">
        <f>IFERROR(IF(J354="","",VLOOKUP(J354,LISTAS!$F$5:$G$1004,2,0)),"0")</f>
        <v/>
      </c>
      <c r="L354" s="81"/>
    </row>
    <row r="357" spans="2:16" ht="30" customHeight="1" x14ac:dyDescent="0.25">
      <c r="B357" s="161" t="s">
        <v>71</v>
      </c>
      <c r="C357" s="79"/>
      <c r="D357" s="225" t="s">
        <v>42</v>
      </c>
      <c r="E357" s="226"/>
      <c r="F357" s="226"/>
      <c r="G357" s="227"/>
      <c r="H357" s="113"/>
      <c r="I357" s="225" t="s">
        <v>3</v>
      </c>
      <c r="J357" s="226"/>
      <c r="K357" s="226"/>
      <c r="L357" s="226"/>
    </row>
    <row r="358" spans="2:16" ht="18" customHeight="1" x14ac:dyDescent="0.25">
      <c r="B358" s="9" t="s">
        <v>15</v>
      </c>
      <c r="C358" s="9" t="s">
        <v>0</v>
      </c>
      <c r="D358" s="9" t="s">
        <v>43</v>
      </c>
      <c r="E358" s="9" t="s">
        <v>44</v>
      </c>
      <c r="F358" s="9" t="s">
        <v>77</v>
      </c>
      <c r="G358" s="9" t="s">
        <v>78</v>
      </c>
      <c r="H358" s="114"/>
      <c r="I358" s="9" t="s">
        <v>18</v>
      </c>
      <c r="J358" s="9" t="s">
        <v>15</v>
      </c>
      <c r="K358" s="9" t="s">
        <v>0</v>
      </c>
      <c r="L358" s="9" t="s">
        <v>45</v>
      </c>
    </row>
    <row r="359" spans="2:16" ht="18" customHeight="1" x14ac:dyDescent="0.25">
      <c r="B359" s="15"/>
      <c r="C359" s="15" t="str">
        <f>IFERROR(IF(B359="","",VLOOKUP(B359,LISTAS!$F$5:$G$1004,2,0)),"0")</f>
        <v/>
      </c>
      <c r="D359" s="15" t="str">
        <f>IF(H359&lt;3,"",IF(H359=3,IF(D365&lt;&gt;"",IF(H365&lt;&gt;"",IF(D365&lt;&gt;H365,IF(D365&gt;H365,"V","D"),""),""),"")))</f>
        <v/>
      </c>
      <c r="E359" s="15" t="str">
        <f>IF(H359&lt;3,"",IF(H359=3,IF(D367&lt;&gt;"",IF(H367&lt;&gt;"",IF(D367&lt;&gt;H367,IF(D367&gt;H367,"V","D"),""),""),"")))</f>
        <v/>
      </c>
      <c r="F359" s="15" t="s">
        <v>81</v>
      </c>
      <c r="G359" s="15" t="s">
        <v>81</v>
      </c>
      <c r="H359" s="117">
        <f>COUNTA(B359:B361)</f>
        <v>0</v>
      </c>
      <c r="I359" s="15" t="str">
        <f>IF(B359&lt;&gt;"",1,"")</f>
        <v/>
      </c>
      <c r="J359" s="15" t="str">
        <f>IF(I359&lt;&gt;"",P359,"")</f>
        <v/>
      </c>
      <c r="K359" s="15" t="str">
        <f>IFERROR(IF(J359="","",VLOOKUP(J359,LISTAS!$F$5:$G$1004,2,0)),"0")</f>
        <v/>
      </c>
      <c r="L359" s="119" t="str">
        <f>IF(H359=3,"OURO",IF(H359=4,"OURO",IF(H359=5,"OURO","")))</f>
        <v/>
      </c>
      <c r="M359" s="20" t="str">
        <f>IF(B359&lt;&gt;"",COUNTIF(D359:G359,"V")+(SUMIF(B365:B367,B359,D365:E367)/1000)+(SUMIF(J365:J367,B359,H365:I367)/1000)-(SUMIF(B365:B367,B359,H365:I367)/1000)-(SUMIF(J365:J367,B359,D365:E367)/1000)+0.003,"")</f>
        <v/>
      </c>
      <c r="N359" s="20" t="str">
        <f>IF(B359="","",B359)</f>
        <v/>
      </c>
      <c r="O359" s="20" t="str">
        <f>IF(B359&lt;&gt;"",LARGE(M359:M361,1),"")</f>
        <v/>
      </c>
      <c r="P359" s="20" t="str">
        <f>VLOOKUP(O359,M359:N361,2,0)</f>
        <v/>
      </c>
    </row>
    <row r="360" spans="2:16" ht="18" customHeight="1" x14ac:dyDescent="0.25">
      <c r="B360" s="15"/>
      <c r="C360" s="15" t="str">
        <f>IFERROR(IF(B360="","",VLOOKUP(B360,LISTAS!$F$5:$G$1004,2,0)),"0")</f>
        <v/>
      </c>
      <c r="D360" s="15" t="str">
        <f>IF(H359&lt;3,"",IF(H359=3,IF(D366&lt;&gt;"",IF(H366&lt;&gt;"",IF(D366&lt;&gt;H366,IF(D366&gt;H366,"V","D"),""),""),"")))</f>
        <v/>
      </c>
      <c r="E360" s="15" t="str">
        <f>IF(H359&lt;3,"",IF(H359=3,IF(D367&lt;&gt;"",IF(H367&lt;&gt;"",IF(D367&lt;&gt;H367,IF(D367&gt;H367,"D","V"),""),""),"")))</f>
        <v/>
      </c>
      <c r="F360" s="15" t="s">
        <v>81</v>
      </c>
      <c r="G360" s="15" t="s">
        <v>81</v>
      </c>
      <c r="H360" s="115"/>
      <c r="I360" s="15" t="str">
        <f>IF(B360&lt;&gt;"",2,"")</f>
        <v/>
      </c>
      <c r="J360" s="15" t="str">
        <f>IF(I360&lt;&gt;"",P360,"")</f>
        <v/>
      </c>
      <c r="K360" s="15" t="str">
        <f>IFERROR(IF(J360="","",VLOOKUP(J360,LISTAS!$F$5:$G$1004,2,0)),"0")</f>
        <v/>
      </c>
      <c r="L360" s="119" t="str">
        <f>IF(H359=3,"PRATA",IF(H359=4,"OURO",IF(H359=5,"OURO","")))</f>
        <v/>
      </c>
      <c r="M360" s="20" t="str">
        <f>IF(B360&lt;&gt;"",COUNTIF(D360:G360,"V")+(SUMIF(B365:B367,B360,D365:E367)/1000)+(SUMIF(J365:J367,B360,H365:I367)/1000)-(SUMIF(B365:B367,B360,H365:I367)/1000)-(SUMIF(J365:J367,B360,D365:E367)/1000)+0.002,"")</f>
        <v/>
      </c>
      <c r="N360" s="20" t="str">
        <f t="shared" ref="N360" si="26">IF(B360="","",B360)</f>
        <v/>
      </c>
      <c r="O360" s="20" t="str">
        <f>IF(B360&lt;&gt;"",LARGE(M359:M361,2),"")</f>
        <v/>
      </c>
      <c r="P360" s="20" t="str">
        <f>VLOOKUP(O360,M359:N361,2,0)</f>
        <v/>
      </c>
    </row>
    <row r="361" spans="2:16" ht="18" customHeight="1" x14ac:dyDescent="0.25">
      <c r="B361" s="15"/>
      <c r="C361" s="15" t="str">
        <f>IFERROR(IF(B361="","",VLOOKUP(B361,LISTAS!$F$5:$G$1004,2,0)),"0")</f>
        <v/>
      </c>
      <c r="D361" s="15" t="str">
        <f>IF(H359&lt;3,"",IF(H359=3,IF(D365&lt;&gt;"",IF(H365&lt;&gt;"",IF(D365&lt;&gt;H365,IF(D365&gt;H365,"D","V"),""),""),"")))</f>
        <v/>
      </c>
      <c r="E361" s="15" t="str">
        <f>IF(H359&lt;3,"",IF(H359=3,IF(D366&lt;&gt;"",IF(H366&lt;&gt;"",IF(D366&lt;&gt;H366,IF(D366&gt;H366,"D","V"),""),""),"")))</f>
        <v/>
      </c>
      <c r="F361" s="15" t="s">
        <v>81</v>
      </c>
      <c r="G361" s="15" t="s">
        <v>81</v>
      </c>
      <c r="H361" s="115"/>
      <c r="I361" s="15" t="str">
        <f>IF(B361&lt;&gt;"",3,"")</f>
        <v/>
      </c>
      <c r="J361" s="15" t="str">
        <f>IF(I361&lt;&gt;"",P361,"")</f>
        <v/>
      </c>
      <c r="K361" s="15" t="str">
        <f>IFERROR(IF(J361="","",VLOOKUP(J361,LISTAS!$F$5:$G$1004,2,0)),"0")</f>
        <v/>
      </c>
      <c r="L361" s="119" t="str">
        <f>IF(H359=3,"BRONZE",IF(H359=4,"PRATA",IF(H359=5,"OURO","")))</f>
        <v/>
      </c>
      <c r="M361" s="20" t="str">
        <f>IF(B361&lt;&gt;"",COUNTIF(D361:G361,"V")+(SUMIF(B365:B367,B361,D365:E367)/1000)+(SUMIF(J365:J367,B361,H365:I367)/1000)-(SUMIF(B365:B367,B361,H365:I367)/1000)-(SUMIF(J365:J367,B361,D365:E367)/1000)+0.001,"")</f>
        <v/>
      </c>
      <c r="N361" s="20" t="str">
        <f>IF(B361="","",B361)</f>
        <v/>
      </c>
      <c r="O361" s="20" t="str">
        <f>IF(B361&lt;&gt;"",LARGE(M359:M361,3),"")</f>
        <v/>
      </c>
      <c r="P361" s="20" t="str">
        <f>VLOOKUP(O361,M359:N361,2,0)</f>
        <v/>
      </c>
    </row>
    <row r="362" spans="2:16" ht="18" customHeight="1" x14ac:dyDescent="0.25">
      <c r="B362" s="79"/>
      <c r="C362" s="79"/>
      <c r="D362" s="79"/>
      <c r="E362" s="79"/>
      <c r="F362" s="79"/>
      <c r="G362" s="79"/>
      <c r="I362" s="80"/>
      <c r="J362" s="79"/>
      <c r="K362" s="81"/>
      <c r="L362" s="81"/>
    </row>
    <row r="363" spans="2:16" ht="23.25" customHeight="1" x14ac:dyDescent="0.25">
      <c r="B363" s="82" t="s">
        <v>40</v>
      </c>
      <c r="C363" s="79"/>
      <c r="D363" s="79"/>
      <c r="E363" s="79"/>
      <c r="F363" s="79"/>
      <c r="G363" s="79"/>
      <c r="H363" s="79"/>
      <c r="I363" s="79"/>
      <c r="J363" s="79"/>
      <c r="K363" s="79"/>
      <c r="L363" s="79"/>
    </row>
    <row r="364" spans="2:16" ht="18" customHeight="1" x14ac:dyDescent="0.25">
      <c r="B364" s="9" t="s">
        <v>15</v>
      </c>
      <c r="C364" s="9" t="s">
        <v>0</v>
      </c>
      <c r="D364" s="228" t="s">
        <v>41</v>
      </c>
      <c r="E364" s="229"/>
      <c r="F364" s="229"/>
      <c r="G364" s="229"/>
      <c r="H364" s="229"/>
      <c r="I364" s="230"/>
      <c r="J364" s="9" t="s">
        <v>15</v>
      </c>
      <c r="K364" s="9" t="s">
        <v>0</v>
      </c>
      <c r="L364" s="79"/>
    </row>
    <row r="365" spans="2:16" ht="18" customHeight="1" x14ac:dyDescent="0.25">
      <c r="B365" s="15" t="str">
        <f>IF(H359=3,B359,"")</f>
        <v/>
      </c>
      <c r="C365" s="15" t="str">
        <f>IFERROR(IF(B365="","",VLOOKUP(B365,LISTAS!$F$5:$G$1004,2,0)),"0")</f>
        <v/>
      </c>
      <c r="D365" s="223"/>
      <c r="E365" s="224"/>
      <c r="F365" s="223" t="s">
        <v>38</v>
      </c>
      <c r="G365" s="224"/>
      <c r="H365" s="223"/>
      <c r="I365" s="224"/>
      <c r="J365" s="21" t="str">
        <f>IF(H359=3,B361,"")</f>
        <v/>
      </c>
      <c r="K365" s="15" t="str">
        <f>IFERROR(IF(J365="","",VLOOKUP(J365,LISTAS!$F$5:$G$1004,2,0)),"0")</f>
        <v/>
      </c>
      <c r="L365" s="81"/>
    </row>
    <row r="366" spans="2:16" ht="18" customHeight="1" x14ac:dyDescent="0.25">
      <c r="B366" s="15" t="str">
        <f>IF(H359=3,B360,"")</f>
        <v/>
      </c>
      <c r="C366" s="15" t="str">
        <f>IFERROR(IF(B366="","",VLOOKUP(B366,LISTAS!$F$5:$G$1004,2,0)),"0")</f>
        <v/>
      </c>
      <c r="D366" s="223"/>
      <c r="E366" s="224"/>
      <c r="F366" s="223" t="s">
        <v>38</v>
      </c>
      <c r="G366" s="224"/>
      <c r="H366" s="223"/>
      <c r="I366" s="224"/>
      <c r="J366" s="21" t="str">
        <f>IF(H359=3,B361,"")</f>
        <v/>
      </c>
      <c r="K366" s="15" t="str">
        <f>IFERROR(IF(J366="","",VLOOKUP(J366,LISTAS!$F$5:$G$1004,2,0)),"0")</f>
        <v/>
      </c>
      <c r="L366" s="79"/>
    </row>
    <row r="367" spans="2:16" ht="18" customHeight="1" x14ac:dyDescent="0.25">
      <c r="B367" s="15" t="str">
        <f>IF(H359=3,B359,"")</f>
        <v/>
      </c>
      <c r="C367" s="15" t="str">
        <f>IFERROR(IF(B367="","",VLOOKUP(B367,LISTAS!$F$5:$G$1004,2,0)),"0")</f>
        <v/>
      </c>
      <c r="D367" s="223"/>
      <c r="E367" s="224"/>
      <c r="F367" s="223" t="s">
        <v>38</v>
      </c>
      <c r="G367" s="224"/>
      <c r="H367" s="223"/>
      <c r="I367" s="224"/>
      <c r="J367" s="21" t="str">
        <f>IF(H359=3,B360,"")</f>
        <v/>
      </c>
      <c r="K367" s="15" t="str">
        <f>IFERROR(IF(J367="","",VLOOKUP(J367,LISTAS!$F$5:$G$1004,2,0)),"0")</f>
        <v/>
      </c>
      <c r="L367" s="81"/>
    </row>
    <row r="370" spans="2:16" ht="30" customHeight="1" x14ac:dyDescent="0.25">
      <c r="B370" s="161" t="s">
        <v>72</v>
      </c>
      <c r="C370" s="79"/>
      <c r="D370" s="225" t="s">
        <v>42</v>
      </c>
      <c r="E370" s="226"/>
      <c r="F370" s="226"/>
      <c r="G370" s="227"/>
      <c r="H370" s="113"/>
      <c r="I370" s="225" t="s">
        <v>3</v>
      </c>
      <c r="J370" s="226"/>
      <c r="K370" s="226"/>
      <c r="L370" s="226"/>
    </row>
    <row r="371" spans="2:16" ht="18" customHeight="1" x14ac:dyDescent="0.25">
      <c r="B371" s="9" t="s">
        <v>15</v>
      </c>
      <c r="C371" s="9" t="s">
        <v>0</v>
      </c>
      <c r="D371" s="9" t="s">
        <v>43</v>
      </c>
      <c r="E371" s="9" t="s">
        <v>44</v>
      </c>
      <c r="F371" s="9" t="s">
        <v>77</v>
      </c>
      <c r="G371" s="9" t="s">
        <v>78</v>
      </c>
      <c r="H371" s="114"/>
      <c r="I371" s="9" t="s">
        <v>18</v>
      </c>
      <c r="J371" s="9" t="s">
        <v>15</v>
      </c>
      <c r="K371" s="9" t="s">
        <v>0</v>
      </c>
      <c r="L371" s="9" t="s">
        <v>45</v>
      </c>
    </row>
    <row r="372" spans="2:16" ht="18" customHeight="1" x14ac:dyDescent="0.25">
      <c r="B372" s="15"/>
      <c r="C372" s="15" t="str">
        <f>IFERROR(IF(B372="","",VLOOKUP(B372,LISTAS!$F$5:$G$1004,2,0)),"0")</f>
        <v/>
      </c>
      <c r="D372" s="15" t="str">
        <f>IF(H372&lt;3,"",IF(H372=3,IF(D378&lt;&gt;"",IF(H378&lt;&gt;"",IF(D378&lt;&gt;H378,IF(D378&gt;H378,"V","D"),""),""),"")))</f>
        <v/>
      </c>
      <c r="E372" s="15" t="str">
        <f>IF(H372&lt;3,"",IF(H372=3,IF(D380&lt;&gt;"",IF(H380&lt;&gt;"",IF(D380&lt;&gt;H380,IF(D380&gt;H380,"V","D"),""),""),"")))</f>
        <v/>
      </c>
      <c r="F372" s="15" t="s">
        <v>81</v>
      </c>
      <c r="G372" s="15" t="s">
        <v>81</v>
      </c>
      <c r="H372" s="117">
        <f>COUNTA(B372:B374)</f>
        <v>0</v>
      </c>
      <c r="I372" s="15" t="str">
        <f>IF(B372&lt;&gt;"",1,"")</f>
        <v/>
      </c>
      <c r="J372" s="15" t="str">
        <f>IF(I372&lt;&gt;"",P372,"")</f>
        <v/>
      </c>
      <c r="K372" s="15" t="str">
        <f>IFERROR(IF(J372="","",VLOOKUP(J372,LISTAS!$F$5:$G$1004,2,0)),"0")</f>
        <v/>
      </c>
      <c r="L372" s="119" t="str">
        <f>IF(H372=3,"OURO",IF(H372=4,"OURO",IF(H372=5,"OURO","")))</f>
        <v/>
      </c>
      <c r="M372" s="20" t="str">
        <f>IF(B372&lt;&gt;"",COUNTIF(D372:G372,"V")+(SUMIF(B378:B380,B372,D378:E380)/1000)+(SUMIF(J378:J380,B372,H378:I380)/1000)-(SUMIF(B378:B380,B372,H378:I380)/1000)-(SUMIF(J378:J380,B372,D378:E380)/1000)+0.003,"")</f>
        <v/>
      </c>
      <c r="N372" s="20" t="str">
        <f>IF(B372="","",B372)</f>
        <v/>
      </c>
      <c r="O372" s="20" t="str">
        <f>IF(B372&lt;&gt;"",LARGE(M372:M374,1),"")</f>
        <v/>
      </c>
      <c r="P372" s="20" t="str">
        <f>VLOOKUP(O372,M372:N374,2,0)</f>
        <v/>
      </c>
    </row>
    <row r="373" spans="2:16" ht="18" customHeight="1" x14ac:dyDescent="0.25">
      <c r="B373" s="15"/>
      <c r="C373" s="15" t="str">
        <f>IFERROR(IF(B373="","",VLOOKUP(B373,LISTAS!$F$5:$G$1004,2,0)),"0")</f>
        <v/>
      </c>
      <c r="D373" s="15" t="str">
        <f>IF(H372&lt;3,"",IF(H372=3,IF(D379&lt;&gt;"",IF(H379&lt;&gt;"",IF(D379&lt;&gt;H379,IF(D379&gt;H379,"V","D"),""),""),"")))</f>
        <v/>
      </c>
      <c r="E373" s="15" t="str">
        <f>IF(H372&lt;3,"",IF(H372=3,IF(D380&lt;&gt;"",IF(H380&lt;&gt;"",IF(D380&lt;&gt;H380,IF(D380&gt;H380,"D","V"),""),""),"")))</f>
        <v/>
      </c>
      <c r="F373" s="15" t="s">
        <v>81</v>
      </c>
      <c r="G373" s="15" t="s">
        <v>81</v>
      </c>
      <c r="H373" s="115"/>
      <c r="I373" s="15" t="str">
        <f>IF(B373&lt;&gt;"",2,"")</f>
        <v/>
      </c>
      <c r="J373" s="15" t="str">
        <f>IF(I373&lt;&gt;"",P373,"")</f>
        <v/>
      </c>
      <c r="K373" s="15" t="str">
        <f>IFERROR(IF(J373="","",VLOOKUP(J373,LISTAS!$F$5:$G$1004,2,0)),"0")</f>
        <v/>
      </c>
      <c r="L373" s="119" t="str">
        <f>IF(H372=3,"PRATA",IF(H372=4,"OURO",IF(H372=5,"OURO","")))</f>
        <v/>
      </c>
      <c r="M373" s="20" t="str">
        <f>IF(B373&lt;&gt;"",COUNTIF(D373:G373,"V")+(SUMIF(B378:B380,B373,D378:E380)/1000)+(SUMIF(J378:J380,B373,H378:I380)/1000)-(SUMIF(B378:B380,B373,H378:I380)/1000)-(SUMIF(J378:J380,B373,D378:E380)/1000)+0.002,"")</f>
        <v/>
      </c>
      <c r="N373" s="20" t="str">
        <f t="shared" ref="N373" si="27">IF(B373="","",B373)</f>
        <v/>
      </c>
      <c r="O373" s="20" t="str">
        <f>IF(B373&lt;&gt;"",LARGE(M372:M374,2),"")</f>
        <v/>
      </c>
      <c r="P373" s="20" t="str">
        <f>VLOOKUP(O373,M372:N374,2,0)</f>
        <v/>
      </c>
    </row>
    <row r="374" spans="2:16" ht="18" customHeight="1" x14ac:dyDescent="0.25">
      <c r="B374" s="15"/>
      <c r="C374" s="15" t="str">
        <f>IFERROR(IF(B374="","",VLOOKUP(B374,LISTAS!$F$5:$G$1004,2,0)),"0")</f>
        <v/>
      </c>
      <c r="D374" s="15" t="str">
        <f>IF(H372&lt;3,"",IF(H372=3,IF(D378&lt;&gt;"",IF(H378&lt;&gt;"",IF(D378&lt;&gt;H378,IF(D378&gt;H378,"D","V"),""),""),"")))</f>
        <v/>
      </c>
      <c r="E374" s="15" t="str">
        <f>IF(H372&lt;3,"",IF(H372=3,IF(D379&lt;&gt;"",IF(H379&lt;&gt;"",IF(D379&lt;&gt;H379,IF(D379&gt;H379,"D","V"),""),""),"")))</f>
        <v/>
      </c>
      <c r="F374" s="15" t="s">
        <v>81</v>
      </c>
      <c r="G374" s="15" t="s">
        <v>81</v>
      </c>
      <c r="H374" s="115"/>
      <c r="I374" s="15" t="str">
        <f>IF(B374&lt;&gt;"",3,"")</f>
        <v/>
      </c>
      <c r="J374" s="15" t="str">
        <f>IF(I374&lt;&gt;"",P374,"")</f>
        <v/>
      </c>
      <c r="K374" s="15" t="str">
        <f>IFERROR(IF(J374="","",VLOOKUP(J374,LISTAS!$F$5:$G$1004,2,0)),"0")</f>
        <v/>
      </c>
      <c r="L374" s="119" t="str">
        <f>IF(H372=3,"BRONZE",IF(H372=4,"PRATA",IF(H372=5,"OURO","")))</f>
        <v/>
      </c>
      <c r="M374" s="20" t="str">
        <f>IF(B374&lt;&gt;"",COUNTIF(D374:G374,"V")+(SUMIF(B378:B380,B374,D378:E380)/1000)+(SUMIF(J378:J380,B374,H378:I380)/1000)-(SUMIF(B378:B380,B374,H378:I380)/1000)-(SUMIF(J378:J380,B374,D378:E380)/1000)+0.001,"")</f>
        <v/>
      </c>
      <c r="N374" s="20" t="str">
        <f>IF(B374="","",B374)</f>
        <v/>
      </c>
      <c r="O374" s="20" t="str">
        <f>IF(B374&lt;&gt;"",LARGE(M372:M374,3),"")</f>
        <v/>
      </c>
      <c r="P374" s="20" t="str">
        <f>VLOOKUP(O374,M372:N374,2,0)</f>
        <v/>
      </c>
    </row>
    <row r="375" spans="2:16" ht="18" customHeight="1" x14ac:dyDescent="0.25">
      <c r="B375" s="79"/>
      <c r="C375" s="79"/>
      <c r="D375" s="79"/>
      <c r="E375" s="79"/>
      <c r="F375" s="79"/>
      <c r="G375" s="79"/>
      <c r="I375" s="80"/>
      <c r="J375" s="79"/>
      <c r="K375" s="81"/>
      <c r="L375" s="81"/>
    </row>
    <row r="376" spans="2:16" ht="23.25" customHeight="1" x14ac:dyDescent="0.25">
      <c r="B376" s="82" t="s">
        <v>40</v>
      </c>
      <c r="C376" s="79"/>
      <c r="D376" s="79"/>
      <c r="E376" s="79"/>
      <c r="F376" s="79"/>
      <c r="G376" s="79"/>
      <c r="H376" s="79"/>
      <c r="I376" s="79"/>
      <c r="J376" s="79"/>
      <c r="K376" s="79"/>
      <c r="L376" s="79"/>
    </row>
    <row r="377" spans="2:16" ht="18" customHeight="1" x14ac:dyDescent="0.25">
      <c r="B377" s="9" t="s">
        <v>15</v>
      </c>
      <c r="C377" s="9" t="s">
        <v>0</v>
      </c>
      <c r="D377" s="228" t="s">
        <v>41</v>
      </c>
      <c r="E377" s="229"/>
      <c r="F377" s="229"/>
      <c r="G377" s="229"/>
      <c r="H377" s="229"/>
      <c r="I377" s="230"/>
      <c r="J377" s="9" t="s">
        <v>15</v>
      </c>
      <c r="K377" s="9" t="s">
        <v>0</v>
      </c>
      <c r="L377" s="79"/>
    </row>
    <row r="378" spans="2:16" ht="18" customHeight="1" x14ac:dyDescent="0.25">
      <c r="B378" s="15" t="str">
        <f>IF(H372=3,B372,"")</f>
        <v/>
      </c>
      <c r="C378" s="15" t="str">
        <f>IFERROR(IF(B378="","",VLOOKUP(B378,LISTAS!$F$5:$G$1004,2,0)),"0")</f>
        <v/>
      </c>
      <c r="D378" s="223"/>
      <c r="E378" s="224"/>
      <c r="F378" s="223" t="s">
        <v>38</v>
      </c>
      <c r="G378" s="224"/>
      <c r="H378" s="223"/>
      <c r="I378" s="224"/>
      <c r="J378" s="21" t="str">
        <f>IF(H372=3,B374,"")</f>
        <v/>
      </c>
      <c r="K378" s="15" t="str">
        <f>IFERROR(IF(J378="","",VLOOKUP(J378,LISTAS!$F$5:$G$1004,2,0)),"0")</f>
        <v/>
      </c>
      <c r="L378" s="81"/>
    </row>
    <row r="379" spans="2:16" ht="18" customHeight="1" x14ac:dyDescent="0.25">
      <c r="B379" s="15" t="str">
        <f>IF(H372=3,B373,"")</f>
        <v/>
      </c>
      <c r="C379" s="15" t="str">
        <f>IFERROR(IF(B379="","",VLOOKUP(B379,LISTAS!$F$5:$G$1004,2,0)),"0")</f>
        <v/>
      </c>
      <c r="D379" s="223"/>
      <c r="E379" s="224"/>
      <c r="F379" s="223" t="s">
        <v>38</v>
      </c>
      <c r="G379" s="224"/>
      <c r="H379" s="223"/>
      <c r="I379" s="224"/>
      <c r="J379" s="21" t="str">
        <f>IF(H372=3,B374,"")</f>
        <v/>
      </c>
      <c r="K379" s="15" t="str">
        <f>IFERROR(IF(J379="","",VLOOKUP(J379,LISTAS!$F$5:$G$1004,2,0)),"0")</f>
        <v/>
      </c>
      <c r="L379" s="79"/>
    </row>
    <row r="380" spans="2:16" ht="18" customHeight="1" x14ac:dyDescent="0.25">
      <c r="B380" s="15" t="str">
        <f>IF(H372=3,B372,"")</f>
        <v/>
      </c>
      <c r="C380" s="15" t="str">
        <f>IFERROR(IF(B380="","",VLOOKUP(B380,LISTAS!$F$5:$G$1004,2,0)),"0")</f>
        <v/>
      </c>
      <c r="D380" s="223"/>
      <c r="E380" s="224"/>
      <c r="F380" s="223" t="s">
        <v>38</v>
      </c>
      <c r="G380" s="224"/>
      <c r="H380" s="223"/>
      <c r="I380" s="224"/>
      <c r="J380" s="21" t="str">
        <f>IF(H372=3,B373,"")</f>
        <v/>
      </c>
      <c r="K380" s="15" t="str">
        <f>IFERROR(IF(J380="","",VLOOKUP(J380,LISTAS!$F$5:$G$1004,2,0)),"0")</f>
        <v/>
      </c>
      <c r="L380" s="81"/>
    </row>
    <row r="383" spans="2:16" ht="30" customHeight="1" x14ac:dyDescent="0.25">
      <c r="B383" s="161" t="s">
        <v>73</v>
      </c>
      <c r="C383" s="79"/>
      <c r="D383" s="225" t="s">
        <v>42</v>
      </c>
      <c r="E383" s="226"/>
      <c r="F383" s="226"/>
      <c r="G383" s="227"/>
      <c r="H383" s="113"/>
      <c r="I383" s="225" t="s">
        <v>3</v>
      </c>
      <c r="J383" s="226"/>
      <c r="K383" s="226"/>
      <c r="L383" s="226"/>
    </row>
    <row r="384" spans="2:16" ht="18" customHeight="1" x14ac:dyDescent="0.25">
      <c r="B384" s="9" t="s">
        <v>15</v>
      </c>
      <c r="C384" s="9" t="s">
        <v>0</v>
      </c>
      <c r="D384" s="9" t="s">
        <v>43</v>
      </c>
      <c r="E384" s="9" t="s">
        <v>44</v>
      </c>
      <c r="F384" s="9" t="s">
        <v>77</v>
      </c>
      <c r="G384" s="9" t="s">
        <v>78</v>
      </c>
      <c r="H384" s="114"/>
      <c r="I384" s="9" t="s">
        <v>18</v>
      </c>
      <c r="J384" s="9" t="s">
        <v>15</v>
      </c>
      <c r="K384" s="9" t="s">
        <v>0</v>
      </c>
      <c r="L384" s="9" t="s">
        <v>45</v>
      </c>
    </row>
    <row r="385" spans="2:16" ht="18" customHeight="1" x14ac:dyDescent="0.25">
      <c r="B385" s="15"/>
      <c r="C385" s="15" t="str">
        <f>IFERROR(IF(B385="","",VLOOKUP(B385,LISTAS!$F$5:$G$1004,2,0)),"0")</f>
        <v/>
      </c>
      <c r="D385" s="15" t="str">
        <f>IF(H385&lt;3,"",IF(H385=3,IF(D391&lt;&gt;"",IF(H391&lt;&gt;"",IF(D391&lt;&gt;H391,IF(D391&gt;H391,"V","D"),""),""),"")))</f>
        <v/>
      </c>
      <c r="E385" s="15" t="str">
        <f>IF(H385&lt;3,"",IF(H385=3,IF(D393&lt;&gt;"",IF(H393&lt;&gt;"",IF(D393&lt;&gt;H393,IF(D393&gt;H393,"V","D"),""),""),"")))</f>
        <v/>
      </c>
      <c r="F385" s="15" t="s">
        <v>81</v>
      </c>
      <c r="G385" s="15" t="s">
        <v>81</v>
      </c>
      <c r="H385" s="117">
        <f>COUNTA(B385:B387)</f>
        <v>0</v>
      </c>
      <c r="I385" s="15" t="str">
        <f>IF(B385&lt;&gt;"",1,"")</f>
        <v/>
      </c>
      <c r="J385" s="15" t="str">
        <f>IF(I385&lt;&gt;"",P385,"")</f>
        <v/>
      </c>
      <c r="K385" s="15" t="str">
        <f>IFERROR(IF(J385="","",VLOOKUP(J385,LISTAS!$F$5:$G$1004,2,0)),"0")</f>
        <v/>
      </c>
      <c r="L385" s="119" t="str">
        <f>IF(H385=3,"OURO",IF(H385=4,"OURO",IF(H385=5,"OURO","")))</f>
        <v/>
      </c>
      <c r="M385" s="20" t="str">
        <f>IF(B385&lt;&gt;"",COUNTIF(D385:G385,"V")+(SUMIF(B391:B393,B385,D391:E393)/1000)+(SUMIF(J391:J393,B385,H391:I393)/1000)-(SUMIF(B391:B393,B385,H391:I393)/1000)-(SUMIF(J391:J393,B385,D391:E393)/1000)+0.003,"")</f>
        <v/>
      </c>
      <c r="N385" s="20" t="str">
        <f>IF(B385="","",B385)</f>
        <v/>
      </c>
      <c r="O385" s="20" t="str">
        <f>IF(B385&lt;&gt;"",LARGE(M385:M387,1),"")</f>
        <v/>
      </c>
      <c r="P385" s="20" t="str">
        <f>VLOOKUP(O385,M385:N387,2,0)</f>
        <v/>
      </c>
    </row>
    <row r="386" spans="2:16" ht="18" customHeight="1" x14ac:dyDescent="0.25">
      <c r="B386" s="15"/>
      <c r="C386" s="15" t="str">
        <f>IFERROR(IF(B386="","",VLOOKUP(B386,LISTAS!$F$5:$G$1004,2,0)),"0")</f>
        <v/>
      </c>
      <c r="D386" s="15" t="str">
        <f>IF(H385&lt;3,"",IF(H385=3,IF(D392&lt;&gt;"",IF(H392&lt;&gt;"",IF(D392&lt;&gt;H392,IF(D392&gt;H392,"V","D"),""),""),"")))</f>
        <v/>
      </c>
      <c r="E386" s="15" t="str">
        <f>IF(H385&lt;3,"",IF(H385=3,IF(D393&lt;&gt;"",IF(H393&lt;&gt;"",IF(D393&lt;&gt;H393,IF(D393&gt;H393,"D","V"),""),""),"")))</f>
        <v/>
      </c>
      <c r="F386" s="15" t="s">
        <v>81</v>
      </c>
      <c r="G386" s="15" t="s">
        <v>81</v>
      </c>
      <c r="H386" s="115"/>
      <c r="I386" s="15" t="str">
        <f>IF(B386&lt;&gt;"",2,"")</f>
        <v/>
      </c>
      <c r="J386" s="15" t="str">
        <f>IF(I386&lt;&gt;"",P386,"")</f>
        <v/>
      </c>
      <c r="K386" s="15" t="str">
        <f>IFERROR(IF(J386="","",VLOOKUP(J386,LISTAS!$F$5:$G$1004,2,0)),"0")</f>
        <v/>
      </c>
      <c r="L386" s="119" t="str">
        <f>IF(H385=3,"PRATA",IF(H385=4,"OURO",IF(H385=5,"OURO","")))</f>
        <v/>
      </c>
      <c r="M386" s="20" t="str">
        <f>IF(B386&lt;&gt;"",COUNTIF(D386:G386,"V")+(SUMIF(B391:B393,B386,D391:E393)/1000)+(SUMIF(J391:J393,B386,H391:I393)/1000)-(SUMIF(B391:B393,B386,H391:I393)/1000)-(SUMIF(J391:J393,B386,D391:E393)/1000)+0.002,"")</f>
        <v/>
      </c>
      <c r="N386" s="20" t="str">
        <f t="shared" ref="N386" si="28">IF(B386="","",B386)</f>
        <v/>
      </c>
      <c r="O386" s="20" t="str">
        <f>IF(B386&lt;&gt;"",LARGE(M385:M387,2),"")</f>
        <v/>
      </c>
      <c r="P386" s="20" t="str">
        <f>VLOOKUP(O386,M385:N387,2,0)</f>
        <v/>
      </c>
    </row>
    <row r="387" spans="2:16" ht="18" customHeight="1" x14ac:dyDescent="0.25">
      <c r="B387" s="15"/>
      <c r="C387" s="15" t="str">
        <f>IFERROR(IF(B387="","",VLOOKUP(B387,LISTAS!$F$5:$G$1004,2,0)),"0")</f>
        <v/>
      </c>
      <c r="D387" s="15" t="str">
        <f>IF(H385&lt;3,"",IF(H385=3,IF(D391&lt;&gt;"",IF(H391&lt;&gt;"",IF(D391&lt;&gt;H391,IF(D391&gt;H391,"D","V"),""),""),"")))</f>
        <v/>
      </c>
      <c r="E387" s="15" t="str">
        <f>IF(H385&lt;3,"",IF(H385=3,IF(D392&lt;&gt;"",IF(H392&lt;&gt;"",IF(D392&lt;&gt;H392,IF(D392&gt;H392,"D","V"),""),""),"")))</f>
        <v/>
      </c>
      <c r="F387" s="15" t="s">
        <v>81</v>
      </c>
      <c r="G387" s="15" t="s">
        <v>81</v>
      </c>
      <c r="H387" s="115"/>
      <c r="I387" s="15" t="str">
        <f>IF(B387&lt;&gt;"",3,"")</f>
        <v/>
      </c>
      <c r="J387" s="15" t="str">
        <f>IF(I387&lt;&gt;"",P387,"")</f>
        <v/>
      </c>
      <c r="K387" s="15" t="str">
        <f>IFERROR(IF(J387="","",VLOOKUP(J387,LISTAS!$F$5:$G$1004,2,0)),"0")</f>
        <v/>
      </c>
      <c r="L387" s="119" t="str">
        <f>IF(H385=3,"BRONZE",IF(H385=4,"PRATA",IF(H385=5,"OURO","")))</f>
        <v/>
      </c>
      <c r="M387" s="20" t="str">
        <f>IF(B387&lt;&gt;"",COUNTIF(D387:G387,"V")+(SUMIF(B391:B393,B387,D391:E393)/1000)+(SUMIF(J391:J393,B387,H391:I393)/1000)-(SUMIF(B391:B393,B387,H391:I393)/1000)-(SUMIF(J391:J393,B387,D391:E393)/1000)+0.001,"")</f>
        <v/>
      </c>
      <c r="N387" s="20" t="str">
        <f>IF(B387="","",B387)</f>
        <v/>
      </c>
      <c r="O387" s="20" t="str">
        <f>IF(B387&lt;&gt;"",LARGE(M385:M387,3),"")</f>
        <v/>
      </c>
      <c r="P387" s="20" t="str">
        <f>VLOOKUP(O387,M385:N387,2,0)</f>
        <v/>
      </c>
    </row>
    <row r="388" spans="2:16" ht="18" customHeight="1" x14ac:dyDescent="0.25">
      <c r="B388" s="79"/>
      <c r="C388" s="79"/>
      <c r="D388" s="79"/>
      <c r="E388" s="79"/>
      <c r="F388" s="79"/>
      <c r="G388" s="79"/>
      <c r="I388" s="80"/>
      <c r="J388" s="79"/>
      <c r="K388" s="81"/>
      <c r="L388" s="81"/>
    </row>
    <row r="389" spans="2:16" ht="23.25" customHeight="1" x14ac:dyDescent="0.25">
      <c r="B389" s="82" t="s">
        <v>40</v>
      </c>
      <c r="C389" s="79"/>
      <c r="D389" s="79"/>
      <c r="E389" s="79"/>
      <c r="F389" s="79"/>
      <c r="G389" s="79"/>
      <c r="H389" s="79"/>
      <c r="I389" s="79"/>
      <c r="J389" s="79"/>
      <c r="K389" s="79"/>
      <c r="L389" s="79"/>
    </row>
    <row r="390" spans="2:16" ht="18" customHeight="1" x14ac:dyDescent="0.25">
      <c r="B390" s="9" t="s">
        <v>15</v>
      </c>
      <c r="C390" s="9" t="s">
        <v>0</v>
      </c>
      <c r="D390" s="228" t="s">
        <v>41</v>
      </c>
      <c r="E390" s="229"/>
      <c r="F390" s="229"/>
      <c r="G390" s="229"/>
      <c r="H390" s="229"/>
      <c r="I390" s="230"/>
      <c r="J390" s="9" t="s">
        <v>15</v>
      </c>
      <c r="K390" s="9" t="s">
        <v>0</v>
      </c>
      <c r="L390" s="79"/>
    </row>
    <row r="391" spans="2:16" ht="18" customHeight="1" x14ac:dyDescent="0.25">
      <c r="B391" s="15" t="str">
        <f>IF(H385=3,B385,"")</f>
        <v/>
      </c>
      <c r="C391" s="15" t="str">
        <f>IFERROR(IF(B391="","",VLOOKUP(B391,LISTAS!$F$5:$G$1004,2,0)),"0")</f>
        <v/>
      </c>
      <c r="D391" s="223"/>
      <c r="E391" s="224"/>
      <c r="F391" s="223" t="s">
        <v>38</v>
      </c>
      <c r="G391" s="224"/>
      <c r="H391" s="223"/>
      <c r="I391" s="224"/>
      <c r="J391" s="21" t="str">
        <f>IF(H385=3,B387,"")</f>
        <v/>
      </c>
      <c r="K391" s="15" t="str">
        <f>IFERROR(IF(J391="","",VLOOKUP(J391,LISTAS!$F$5:$G$1004,2,0)),"0")</f>
        <v/>
      </c>
      <c r="L391" s="81"/>
    </row>
    <row r="392" spans="2:16" ht="18" customHeight="1" x14ac:dyDescent="0.25">
      <c r="B392" s="15" t="str">
        <f>IF(H385=3,B386,"")</f>
        <v/>
      </c>
      <c r="C392" s="15" t="str">
        <f>IFERROR(IF(B392="","",VLOOKUP(B392,LISTAS!$F$5:$G$1004,2,0)),"0")</f>
        <v/>
      </c>
      <c r="D392" s="223"/>
      <c r="E392" s="224"/>
      <c r="F392" s="223" t="s">
        <v>38</v>
      </c>
      <c r="G392" s="224"/>
      <c r="H392" s="223"/>
      <c r="I392" s="224"/>
      <c r="J392" s="21" t="str">
        <f>IF(H385=3,B387,"")</f>
        <v/>
      </c>
      <c r="K392" s="15" t="str">
        <f>IFERROR(IF(J392="","",VLOOKUP(J392,LISTAS!$F$5:$G$1004,2,0)),"0")</f>
        <v/>
      </c>
      <c r="L392" s="79"/>
    </row>
    <row r="393" spans="2:16" ht="18" customHeight="1" x14ac:dyDescent="0.25">
      <c r="B393" s="15" t="str">
        <f>IF(H385=3,B385,"")</f>
        <v/>
      </c>
      <c r="C393" s="15" t="str">
        <f>IFERROR(IF(B393="","",VLOOKUP(B393,LISTAS!$F$5:$G$1004,2,0)),"0")</f>
        <v/>
      </c>
      <c r="D393" s="223"/>
      <c r="E393" s="224"/>
      <c r="F393" s="223" t="s">
        <v>38</v>
      </c>
      <c r="G393" s="224"/>
      <c r="H393" s="223"/>
      <c r="I393" s="224"/>
      <c r="J393" s="21" t="str">
        <f>IF(H385=3,B386,"")</f>
        <v/>
      </c>
      <c r="K393" s="15" t="str">
        <f>IFERROR(IF(J393="","",VLOOKUP(J393,LISTAS!$F$5:$G$1004,2,0)),"0")</f>
        <v/>
      </c>
      <c r="L393" s="81"/>
    </row>
    <row r="396" spans="2:16" ht="30" customHeight="1" x14ac:dyDescent="0.25">
      <c r="B396" s="161" t="s">
        <v>74</v>
      </c>
      <c r="C396" s="79"/>
      <c r="D396" s="225" t="s">
        <v>42</v>
      </c>
      <c r="E396" s="226"/>
      <c r="F396" s="226"/>
      <c r="G396" s="227"/>
      <c r="H396" s="113"/>
      <c r="I396" s="225" t="s">
        <v>3</v>
      </c>
      <c r="J396" s="226"/>
      <c r="K396" s="226"/>
      <c r="L396" s="226"/>
    </row>
    <row r="397" spans="2:16" ht="18" customHeight="1" x14ac:dyDescent="0.25">
      <c r="B397" s="9" t="s">
        <v>15</v>
      </c>
      <c r="C397" s="9" t="s">
        <v>0</v>
      </c>
      <c r="D397" s="9" t="s">
        <v>43</v>
      </c>
      <c r="E397" s="9" t="s">
        <v>44</v>
      </c>
      <c r="F397" s="9" t="s">
        <v>77</v>
      </c>
      <c r="G397" s="9" t="s">
        <v>78</v>
      </c>
      <c r="H397" s="114"/>
      <c r="I397" s="9" t="s">
        <v>18</v>
      </c>
      <c r="J397" s="9" t="s">
        <v>15</v>
      </c>
      <c r="K397" s="9" t="s">
        <v>0</v>
      </c>
      <c r="L397" s="9" t="s">
        <v>45</v>
      </c>
    </row>
    <row r="398" spans="2:16" ht="18" customHeight="1" x14ac:dyDescent="0.25">
      <c r="B398" s="15"/>
      <c r="C398" s="15" t="str">
        <f>IFERROR(IF(B398="","",VLOOKUP(B398,LISTAS!$F$5:$G$1004,2,0)),"0")</f>
        <v/>
      </c>
      <c r="D398" s="15" t="str">
        <f>IF(H398&lt;3,"",IF(H398=3,IF(D404&lt;&gt;"",IF(H404&lt;&gt;"",IF(D404&lt;&gt;H404,IF(D404&gt;H404,"V","D"),""),""),"")))</f>
        <v/>
      </c>
      <c r="E398" s="15" t="str">
        <f>IF(H398&lt;3,"",IF(H398=3,IF(D406&lt;&gt;"",IF(H406&lt;&gt;"",IF(D406&lt;&gt;H406,IF(D406&gt;H406,"V","D"),""),""),"")))</f>
        <v/>
      </c>
      <c r="F398" s="15" t="s">
        <v>81</v>
      </c>
      <c r="G398" s="15" t="s">
        <v>81</v>
      </c>
      <c r="H398" s="117">
        <f>COUNTA(B398:B400)</f>
        <v>0</v>
      </c>
      <c r="I398" s="15" t="str">
        <f>IF(B398&lt;&gt;"",1,"")</f>
        <v/>
      </c>
      <c r="J398" s="15" t="str">
        <f>IF(I398&lt;&gt;"",P398,"")</f>
        <v/>
      </c>
      <c r="K398" s="15" t="str">
        <f>IFERROR(IF(J398="","",VLOOKUP(J398,LISTAS!$F$5:$G$1004,2,0)),"0")</f>
        <v/>
      </c>
      <c r="L398" s="119" t="str">
        <f>IF(H398=3,"OURO",IF(H398=4,"OURO",IF(H398=5,"OURO","")))</f>
        <v/>
      </c>
      <c r="M398" s="20" t="str">
        <f>IF(B398&lt;&gt;"",COUNTIF(D398:G398,"V")+(SUMIF(B404:B406,B398,D404:E406)/1000)+(SUMIF(J404:J406,B398,H404:I406)/1000)-(SUMIF(B404:B406,B398,H404:I406)/1000)-(SUMIF(J404:J406,B398,D404:E406)/1000)+0.003,"")</f>
        <v/>
      </c>
      <c r="N398" s="20" t="str">
        <f>IF(B398="","",B398)</f>
        <v/>
      </c>
      <c r="O398" s="20" t="str">
        <f>IF(B398&lt;&gt;"",LARGE(M398:M400,1),"")</f>
        <v/>
      </c>
      <c r="P398" s="20" t="str">
        <f>VLOOKUP(O398,M398:N400,2,0)</f>
        <v/>
      </c>
    </row>
    <row r="399" spans="2:16" ht="18" customHeight="1" x14ac:dyDescent="0.25">
      <c r="B399" s="15"/>
      <c r="C399" s="15" t="str">
        <f>IFERROR(IF(B399="","",VLOOKUP(B399,LISTAS!$F$5:$G$1004,2,0)),"0")</f>
        <v/>
      </c>
      <c r="D399" s="15" t="str">
        <f>IF(H398&lt;3,"",IF(H398=3,IF(D405&lt;&gt;"",IF(H405&lt;&gt;"",IF(D405&lt;&gt;H405,IF(D405&gt;H405,"V","D"),""),""),"")))</f>
        <v/>
      </c>
      <c r="E399" s="15" t="str">
        <f>IF(H398&lt;3,"",IF(H398=3,IF(D406&lt;&gt;"",IF(H406&lt;&gt;"",IF(D406&lt;&gt;H406,IF(D406&gt;H406,"D","V"),""),""),"")))</f>
        <v/>
      </c>
      <c r="F399" s="15" t="s">
        <v>81</v>
      </c>
      <c r="G399" s="15" t="s">
        <v>81</v>
      </c>
      <c r="H399" s="115"/>
      <c r="I399" s="15" t="str">
        <f>IF(B399&lt;&gt;"",2,"")</f>
        <v/>
      </c>
      <c r="J399" s="15" t="str">
        <f>IF(I399&lt;&gt;"",P399,"")</f>
        <v/>
      </c>
      <c r="K399" s="15" t="str">
        <f>IFERROR(IF(J399="","",VLOOKUP(J399,LISTAS!$F$5:$G$1004,2,0)),"0")</f>
        <v/>
      </c>
      <c r="L399" s="119" t="str">
        <f>IF(H398=3,"PRATA",IF(H398=4,"OURO",IF(H398=5,"OURO","")))</f>
        <v/>
      </c>
      <c r="M399" s="20" t="str">
        <f>IF(B399&lt;&gt;"",COUNTIF(D399:G399,"V")+(SUMIF(B404:B406,B399,D404:E406)/1000)+(SUMIF(J404:J406,B399,H404:I406)/1000)-(SUMIF(B404:B406,B399,H404:I406)/1000)-(SUMIF(J404:J406,B399,D404:E406)/1000)+0.002,"")</f>
        <v/>
      </c>
      <c r="N399" s="20" t="str">
        <f t="shared" ref="N399" si="29">IF(B399="","",B399)</f>
        <v/>
      </c>
      <c r="O399" s="20" t="str">
        <f>IF(B399&lt;&gt;"",LARGE(M398:M400,2),"")</f>
        <v/>
      </c>
      <c r="P399" s="20" t="str">
        <f>VLOOKUP(O399,M398:N400,2,0)</f>
        <v/>
      </c>
    </row>
    <row r="400" spans="2:16" ht="18" customHeight="1" x14ac:dyDescent="0.25">
      <c r="B400" s="15"/>
      <c r="C400" s="15" t="str">
        <f>IFERROR(IF(B400="","",VLOOKUP(B400,LISTAS!$F$5:$G$1004,2,0)),"0")</f>
        <v/>
      </c>
      <c r="D400" s="15" t="str">
        <f>IF(H398&lt;3,"",IF(H398=3,IF(D404&lt;&gt;"",IF(H404&lt;&gt;"",IF(D404&lt;&gt;H404,IF(D404&gt;H404,"D","V"),""),""),"")))</f>
        <v/>
      </c>
      <c r="E400" s="15" t="str">
        <f>IF(H398&lt;3,"",IF(H398=3,IF(D405&lt;&gt;"",IF(H405&lt;&gt;"",IF(D405&lt;&gt;H405,IF(D405&gt;H405,"D","V"),""),""),"")))</f>
        <v/>
      </c>
      <c r="F400" s="15" t="s">
        <v>81</v>
      </c>
      <c r="G400" s="15" t="s">
        <v>81</v>
      </c>
      <c r="H400" s="115"/>
      <c r="I400" s="15" t="str">
        <f>IF(B400&lt;&gt;"",3,"")</f>
        <v/>
      </c>
      <c r="J400" s="15" t="str">
        <f>IF(I400&lt;&gt;"",P400,"")</f>
        <v/>
      </c>
      <c r="K400" s="15" t="str">
        <f>IFERROR(IF(J400="","",VLOOKUP(J400,LISTAS!$F$5:$G$1004,2,0)),"0")</f>
        <v/>
      </c>
      <c r="L400" s="119" t="str">
        <f>IF(H398=3,"BRONZE",IF(H398=4,"PRATA",IF(H398=5,"OURO","")))</f>
        <v/>
      </c>
      <c r="M400" s="20" t="str">
        <f>IF(B400&lt;&gt;"",COUNTIF(D400:G400,"V")+(SUMIF(B404:B406,B400,D404:E406)/1000)+(SUMIF(J404:J406,B400,H404:I406)/1000)-(SUMIF(B404:B406,B400,H404:I406)/1000)-(SUMIF(J404:J406,B400,D404:E406)/1000)+0.001,"")</f>
        <v/>
      </c>
      <c r="N400" s="20" t="str">
        <f>IF(B400="","",B400)</f>
        <v/>
      </c>
      <c r="O400" s="20" t="str">
        <f>IF(B400&lt;&gt;"",LARGE(M398:M400,3),"")</f>
        <v/>
      </c>
      <c r="P400" s="20" t="str">
        <f>VLOOKUP(O400,M398:N400,2,0)</f>
        <v/>
      </c>
    </row>
    <row r="401" spans="2:16" ht="18" customHeight="1" x14ac:dyDescent="0.25">
      <c r="B401" s="79"/>
      <c r="C401" s="79"/>
      <c r="D401" s="79"/>
      <c r="E401" s="79"/>
      <c r="F401" s="79"/>
      <c r="G401" s="79"/>
      <c r="I401" s="80"/>
      <c r="J401" s="79"/>
      <c r="K401" s="81"/>
      <c r="L401" s="81"/>
    </row>
    <row r="402" spans="2:16" ht="23.25" customHeight="1" x14ac:dyDescent="0.25">
      <c r="B402" s="82" t="s">
        <v>40</v>
      </c>
      <c r="C402" s="79"/>
      <c r="D402" s="79"/>
      <c r="E402" s="79"/>
      <c r="F402" s="79"/>
      <c r="G402" s="79"/>
      <c r="H402" s="79"/>
      <c r="I402" s="79"/>
      <c r="J402" s="79"/>
      <c r="K402" s="79"/>
      <c r="L402" s="79"/>
    </row>
    <row r="403" spans="2:16" ht="18" customHeight="1" x14ac:dyDescent="0.25">
      <c r="B403" s="9" t="s">
        <v>15</v>
      </c>
      <c r="C403" s="9" t="s">
        <v>0</v>
      </c>
      <c r="D403" s="228" t="s">
        <v>41</v>
      </c>
      <c r="E403" s="229"/>
      <c r="F403" s="229"/>
      <c r="G403" s="229"/>
      <c r="H403" s="229"/>
      <c r="I403" s="230"/>
      <c r="J403" s="9" t="s">
        <v>15</v>
      </c>
      <c r="K403" s="9" t="s">
        <v>0</v>
      </c>
      <c r="L403" s="79"/>
    </row>
    <row r="404" spans="2:16" ht="18" customHeight="1" x14ac:dyDescent="0.25">
      <c r="B404" s="15" t="str">
        <f>IF(H398=3,B398,"")</f>
        <v/>
      </c>
      <c r="C404" s="15" t="str">
        <f>IFERROR(IF(B404="","",VLOOKUP(B404,LISTAS!$F$5:$G$1004,2,0)),"0")</f>
        <v/>
      </c>
      <c r="D404" s="223"/>
      <c r="E404" s="224"/>
      <c r="F404" s="223" t="s">
        <v>38</v>
      </c>
      <c r="G404" s="224"/>
      <c r="H404" s="223"/>
      <c r="I404" s="224"/>
      <c r="J404" s="21" t="str">
        <f>IF(H398=3,B400,"")</f>
        <v/>
      </c>
      <c r="K404" s="15" t="str">
        <f>IFERROR(IF(J404="","",VLOOKUP(J404,LISTAS!$F$5:$G$1004,2,0)),"0")</f>
        <v/>
      </c>
      <c r="L404" s="81"/>
    </row>
    <row r="405" spans="2:16" ht="18" customHeight="1" x14ac:dyDescent="0.25">
      <c r="B405" s="15" t="str">
        <f>IF(H398=3,B399,"")</f>
        <v/>
      </c>
      <c r="C405" s="15" t="str">
        <f>IFERROR(IF(B405="","",VLOOKUP(B405,LISTAS!$F$5:$G$1004,2,0)),"0")</f>
        <v/>
      </c>
      <c r="D405" s="223"/>
      <c r="E405" s="224"/>
      <c r="F405" s="223" t="s">
        <v>38</v>
      </c>
      <c r="G405" s="224"/>
      <c r="H405" s="223"/>
      <c r="I405" s="224"/>
      <c r="J405" s="21" t="str">
        <f>IF(H398=3,B400,"")</f>
        <v/>
      </c>
      <c r="K405" s="15" t="str">
        <f>IFERROR(IF(J405="","",VLOOKUP(J405,LISTAS!$F$5:$G$1004,2,0)),"0")</f>
        <v/>
      </c>
      <c r="L405" s="79"/>
    </row>
    <row r="406" spans="2:16" ht="18" customHeight="1" x14ac:dyDescent="0.25">
      <c r="B406" s="15" t="str">
        <f>IF(H398=3,B398,"")</f>
        <v/>
      </c>
      <c r="C406" s="15" t="str">
        <f>IFERROR(IF(B406="","",VLOOKUP(B406,LISTAS!$F$5:$G$1004,2,0)),"0")</f>
        <v/>
      </c>
      <c r="D406" s="223"/>
      <c r="E406" s="224"/>
      <c r="F406" s="223" t="s">
        <v>38</v>
      </c>
      <c r="G406" s="224"/>
      <c r="H406" s="223"/>
      <c r="I406" s="224"/>
      <c r="J406" s="21" t="str">
        <f>IF(H398=3,B399,"")</f>
        <v/>
      </c>
      <c r="K406" s="15" t="str">
        <f>IFERROR(IF(J406="","",VLOOKUP(J406,LISTAS!$F$5:$G$1004,2,0)),"0")</f>
        <v/>
      </c>
      <c r="L406" s="81"/>
    </row>
    <row r="409" spans="2:16" ht="30" customHeight="1" x14ac:dyDescent="0.25">
      <c r="B409" s="161" t="s">
        <v>75</v>
      </c>
      <c r="C409" s="79"/>
      <c r="D409" s="225" t="s">
        <v>42</v>
      </c>
      <c r="E409" s="226"/>
      <c r="F409" s="226"/>
      <c r="G409" s="227"/>
      <c r="H409" s="113"/>
      <c r="I409" s="225" t="s">
        <v>3</v>
      </c>
      <c r="J409" s="226"/>
      <c r="K409" s="226"/>
      <c r="L409" s="226"/>
    </row>
    <row r="410" spans="2:16" ht="18" customHeight="1" x14ac:dyDescent="0.25">
      <c r="B410" s="9" t="s">
        <v>15</v>
      </c>
      <c r="C410" s="9" t="s">
        <v>0</v>
      </c>
      <c r="D410" s="9" t="s">
        <v>43</v>
      </c>
      <c r="E410" s="9" t="s">
        <v>44</v>
      </c>
      <c r="F410" s="9" t="s">
        <v>77</v>
      </c>
      <c r="G410" s="9" t="s">
        <v>78</v>
      </c>
      <c r="H410" s="114"/>
      <c r="I410" s="9" t="s">
        <v>18</v>
      </c>
      <c r="J410" s="9" t="s">
        <v>15</v>
      </c>
      <c r="K410" s="9" t="s">
        <v>0</v>
      </c>
      <c r="L410" s="9" t="s">
        <v>45</v>
      </c>
    </row>
    <row r="411" spans="2:16" ht="18" customHeight="1" x14ac:dyDescent="0.25">
      <c r="B411" s="15"/>
      <c r="C411" s="15" t="str">
        <f>IFERROR(IF(B411="","",VLOOKUP(B411,LISTAS!$F$5:$G$1004,2,0)),"0")</f>
        <v/>
      </c>
      <c r="D411" s="15" t="str">
        <f>IF(H411&lt;3,"",IF(H411=3,IF(D417&lt;&gt;"",IF(H417&lt;&gt;"",IF(D417&lt;&gt;H417,IF(D417&gt;H417,"V","D"),""),""),"")))</f>
        <v/>
      </c>
      <c r="E411" s="15" t="str">
        <f>IF(H411&lt;3,"",IF(H411=3,IF(D419&lt;&gt;"",IF(H419&lt;&gt;"",IF(D419&lt;&gt;H419,IF(D419&gt;H419,"V","D"),""),""),"")))</f>
        <v/>
      </c>
      <c r="F411" s="15" t="s">
        <v>81</v>
      </c>
      <c r="G411" s="15" t="s">
        <v>81</v>
      </c>
      <c r="H411" s="117">
        <f>COUNTA(B411:B413)</f>
        <v>0</v>
      </c>
      <c r="I411" s="15" t="str">
        <f>IF(B411&lt;&gt;"",1,"")</f>
        <v/>
      </c>
      <c r="J411" s="15" t="str">
        <f>IF(I411&lt;&gt;"",P411,"")</f>
        <v/>
      </c>
      <c r="K411" s="15" t="str">
        <f>IFERROR(IF(J411="","",VLOOKUP(J411,LISTAS!$F$5:$G$1004,2,0)),"0")</f>
        <v/>
      </c>
      <c r="L411" s="119" t="str">
        <f>IF(H411=3,"OURO",IF(H411=4,"OURO",IF(H411=5,"OURO","")))</f>
        <v/>
      </c>
      <c r="M411" s="20" t="str">
        <f>IF(B411&lt;&gt;"",COUNTIF(D411:G411,"V")+(SUMIF(B417:B419,B411,D417:E419)/1000)+(SUMIF(J417:J419,B411,H417:I419)/1000)-(SUMIF(B417:B419,B411,H417:I419)/1000)-(SUMIF(J417:J419,B411,D417:E419)/1000)+0.003,"")</f>
        <v/>
      </c>
      <c r="N411" s="20" t="str">
        <f>IF(B411="","",B411)</f>
        <v/>
      </c>
      <c r="O411" s="20" t="str">
        <f>IF(B411&lt;&gt;"",LARGE(M411:M413,1),"")</f>
        <v/>
      </c>
      <c r="P411" s="20" t="str">
        <f>VLOOKUP(O411,M411:N413,2,0)</f>
        <v/>
      </c>
    </row>
    <row r="412" spans="2:16" ht="18" customHeight="1" x14ac:dyDescent="0.25">
      <c r="B412" s="15"/>
      <c r="C412" s="15" t="str">
        <f>IFERROR(IF(B412="","",VLOOKUP(B412,LISTAS!$F$5:$G$1004,2,0)),"0")</f>
        <v/>
      </c>
      <c r="D412" s="15" t="str">
        <f>IF(H411&lt;3,"",IF(H411=3,IF(D418&lt;&gt;"",IF(H418&lt;&gt;"",IF(D418&lt;&gt;H418,IF(D418&gt;H418,"V","D"),""),""),"")))</f>
        <v/>
      </c>
      <c r="E412" s="15" t="str">
        <f>IF(H411&lt;3,"",IF(H411=3,IF(D419&lt;&gt;"",IF(H419&lt;&gt;"",IF(D419&lt;&gt;H419,IF(D419&gt;H419,"D","V"),""),""),"")))</f>
        <v/>
      </c>
      <c r="F412" s="15" t="s">
        <v>81</v>
      </c>
      <c r="G412" s="15" t="s">
        <v>81</v>
      </c>
      <c r="H412" s="115"/>
      <c r="I412" s="15" t="str">
        <f>IF(B412&lt;&gt;"",2,"")</f>
        <v/>
      </c>
      <c r="J412" s="15" t="str">
        <f>IF(I412&lt;&gt;"",P412,"")</f>
        <v/>
      </c>
      <c r="K412" s="15" t="str">
        <f>IFERROR(IF(J412="","",VLOOKUP(J412,LISTAS!$F$5:$G$1004,2,0)),"0")</f>
        <v/>
      </c>
      <c r="L412" s="119" t="str">
        <f>IF(H411=3,"PRATA",IF(H411=4,"OURO",IF(H411=5,"OURO","")))</f>
        <v/>
      </c>
      <c r="M412" s="20" t="str">
        <f>IF(B412&lt;&gt;"",COUNTIF(D412:G412,"V")+(SUMIF(B417:B419,B412,D417:E419)/1000)+(SUMIF(J417:J419,B412,H417:I419)/1000)-(SUMIF(B417:B419,B412,H417:I419)/1000)-(SUMIF(J417:J419,B412,D417:E419)/1000)+0.002,"")</f>
        <v/>
      </c>
      <c r="N412" s="20" t="str">
        <f t="shared" ref="N412" si="30">IF(B412="","",B412)</f>
        <v/>
      </c>
      <c r="O412" s="20" t="str">
        <f>IF(B412&lt;&gt;"",LARGE(M411:M413,2),"")</f>
        <v/>
      </c>
      <c r="P412" s="20" t="str">
        <f>VLOOKUP(O412,M411:N413,2,0)</f>
        <v/>
      </c>
    </row>
    <row r="413" spans="2:16" ht="18" customHeight="1" x14ac:dyDescent="0.25">
      <c r="B413" s="15"/>
      <c r="C413" s="15" t="str">
        <f>IFERROR(IF(B413="","",VLOOKUP(B413,LISTAS!$F$5:$G$1004,2,0)),"0")</f>
        <v/>
      </c>
      <c r="D413" s="15" t="str">
        <f>IF(H411&lt;3,"",IF(H411=3,IF(D417&lt;&gt;"",IF(H417&lt;&gt;"",IF(D417&lt;&gt;H417,IF(D417&gt;H417,"D","V"),""),""),"")))</f>
        <v/>
      </c>
      <c r="E413" s="15" t="str">
        <f>IF(H411&lt;3,"",IF(H411=3,IF(D418&lt;&gt;"",IF(H418&lt;&gt;"",IF(D418&lt;&gt;H418,IF(D418&gt;H418,"D","V"),""),""),"")))</f>
        <v/>
      </c>
      <c r="F413" s="15" t="s">
        <v>81</v>
      </c>
      <c r="G413" s="15" t="s">
        <v>81</v>
      </c>
      <c r="H413" s="115"/>
      <c r="I413" s="15" t="str">
        <f>IF(B413&lt;&gt;"",3,"")</f>
        <v/>
      </c>
      <c r="J413" s="15" t="str">
        <f>IF(I413&lt;&gt;"",P413,"")</f>
        <v/>
      </c>
      <c r="K413" s="15" t="str">
        <f>IFERROR(IF(J413="","",VLOOKUP(J413,LISTAS!$F$5:$G$1004,2,0)),"0")</f>
        <v/>
      </c>
      <c r="L413" s="119" t="str">
        <f>IF(H411=3,"BRONZE",IF(H411=4,"PRATA",IF(H411=5,"OURO","")))</f>
        <v/>
      </c>
      <c r="M413" s="20" t="str">
        <f>IF(B413&lt;&gt;"",COUNTIF(D413:G413,"V")+(SUMIF(B417:B419,B413,D417:E419)/1000)+(SUMIF(J417:J419,B413,H417:I419)/1000)-(SUMIF(B417:B419,B413,H417:I419)/1000)-(SUMIF(J417:J419,B413,D417:E419)/1000)+0.001,"")</f>
        <v/>
      </c>
      <c r="N413" s="20" t="str">
        <f>IF(B413="","",B413)</f>
        <v/>
      </c>
      <c r="O413" s="20" t="str">
        <f>IF(B413&lt;&gt;"",LARGE(M411:M413,3),"")</f>
        <v/>
      </c>
      <c r="P413" s="20" t="str">
        <f>VLOOKUP(O413,M411:N413,2,0)</f>
        <v/>
      </c>
    </row>
    <row r="414" spans="2:16" ht="18" customHeight="1" x14ac:dyDescent="0.25">
      <c r="B414" s="79"/>
      <c r="C414" s="79"/>
      <c r="D414" s="79"/>
      <c r="E414" s="79"/>
      <c r="F414" s="79"/>
      <c r="G414" s="79"/>
      <c r="I414" s="80"/>
      <c r="J414" s="79"/>
      <c r="K414" s="81"/>
      <c r="L414" s="81"/>
    </row>
    <row r="415" spans="2:16" ht="23.25" customHeight="1" x14ac:dyDescent="0.25">
      <c r="B415" s="82" t="s">
        <v>40</v>
      </c>
      <c r="C415" s="79"/>
      <c r="D415" s="79"/>
      <c r="E415" s="79"/>
      <c r="F415" s="79"/>
      <c r="G415" s="79"/>
      <c r="H415" s="79"/>
      <c r="I415" s="79"/>
      <c r="J415" s="79"/>
      <c r="K415" s="79"/>
      <c r="L415" s="79"/>
    </row>
    <row r="416" spans="2:16" ht="18" customHeight="1" x14ac:dyDescent="0.25">
      <c r="B416" s="9" t="s">
        <v>15</v>
      </c>
      <c r="C416" s="9" t="s">
        <v>0</v>
      </c>
      <c r="D416" s="228" t="s">
        <v>41</v>
      </c>
      <c r="E416" s="229"/>
      <c r="F416" s="229"/>
      <c r="G416" s="229"/>
      <c r="H416" s="229"/>
      <c r="I416" s="230"/>
      <c r="J416" s="9" t="s">
        <v>15</v>
      </c>
      <c r="K416" s="9" t="s">
        <v>0</v>
      </c>
      <c r="L416" s="79"/>
    </row>
    <row r="417" spans="2:16" ht="18" customHeight="1" x14ac:dyDescent="0.25">
      <c r="B417" s="15" t="str">
        <f>IF(H411=3,B411,"")</f>
        <v/>
      </c>
      <c r="C417" s="15" t="str">
        <f>IFERROR(IF(B417="","",VLOOKUP(B417,LISTAS!$F$5:$G$1004,2,0)),"0")</f>
        <v/>
      </c>
      <c r="D417" s="223"/>
      <c r="E417" s="224"/>
      <c r="F417" s="223" t="s">
        <v>38</v>
      </c>
      <c r="G417" s="224"/>
      <c r="H417" s="223"/>
      <c r="I417" s="224"/>
      <c r="J417" s="21" t="str">
        <f>IF(H411=3,B413,"")</f>
        <v/>
      </c>
      <c r="K417" s="15" t="str">
        <f>IFERROR(IF(J417="","",VLOOKUP(J417,LISTAS!$F$5:$G$1004,2,0)),"0")</f>
        <v/>
      </c>
      <c r="L417" s="81"/>
    </row>
    <row r="418" spans="2:16" ht="18" customHeight="1" x14ac:dyDescent="0.25">
      <c r="B418" s="15" t="str">
        <f>IF(H411=3,B412,"")</f>
        <v/>
      </c>
      <c r="C418" s="15" t="str">
        <f>IFERROR(IF(B418="","",VLOOKUP(B418,LISTAS!$F$5:$G$1004,2,0)),"0")</f>
        <v/>
      </c>
      <c r="D418" s="223"/>
      <c r="E418" s="224"/>
      <c r="F418" s="223" t="s">
        <v>38</v>
      </c>
      <c r="G418" s="224"/>
      <c r="H418" s="223"/>
      <c r="I418" s="224"/>
      <c r="J418" s="21" t="str">
        <f>IF(H411=3,B413,"")</f>
        <v/>
      </c>
      <c r="K418" s="15" t="str">
        <f>IFERROR(IF(J418="","",VLOOKUP(J418,LISTAS!$F$5:$G$1004,2,0)),"0")</f>
        <v/>
      </c>
      <c r="L418" s="79"/>
    </row>
    <row r="419" spans="2:16" ht="18" customHeight="1" x14ac:dyDescent="0.25">
      <c r="B419" s="15" t="str">
        <f>IF(H411=3,B411,"")</f>
        <v/>
      </c>
      <c r="C419" s="15" t="str">
        <f>IFERROR(IF(B419="","",VLOOKUP(B419,LISTAS!$F$5:$G$1004,2,0)),"0")</f>
        <v/>
      </c>
      <c r="D419" s="223"/>
      <c r="E419" s="224"/>
      <c r="F419" s="223" t="s">
        <v>38</v>
      </c>
      <c r="G419" s="224"/>
      <c r="H419" s="223"/>
      <c r="I419" s="224"/>
      <c r="J419" s="21" t="str">
        <f>IF(H411=3,B412,"")</f>
        <v/>
      </c>
      <c r="K419" s="15" t="str">
        <f>IFERROR(IF(J419="","",VLOOKUP(J419,LISTAS!$F$5:$G$1004,2,0)),"0")</f>
        <v/>
      </c>
      <c r="L419" s="81"/>
    </row>
    <row r="422" spans="2:16" ht="30" customHeight="1" x14ac:dyDescent="0.25">
      <c r="B422" s="161" t="s">
        <v>76</v>
      </c>
      <c r="C422" s="79"/>
      <c r="D422" s="225" t="s">
        <v>42</v>
      </c>
      <c r="E422" s="226"/>
      <c r="F422" s="226"/>
      <c r="G422" s="227"/>
      <c r="H422" s="113"/>
      <c r="I422" s="225" t="s">
        <v>3</v>
      </c>
      <c r="J422" s="226"/>
      <c r="K422" s="226"/>
      <c r="L422" s="226"/>
    </row>
    <row r="423" spans="2:16" ht="18" customHeight="1" x14ac:dyDescent="0.25">
      <c r="B423" s="9" t="s">
        <v>15</v>
      </c>
      <c r="C423" s="9" t="s">
        <v>0</v>
      </c>
      <c r="D423" s="9" t="s">
        <v>43</v>
      </c>
      <c r="E423" s="9" t="s">
        <v>44</v>
      </c>
      <c r="F423" s="9" t="s">
        <v>77</v>
      </c>
      <c r="G423" s="9" t="s">
        <v>78</v>
      </c>
      <c r="H423" s="114"/>
      <c r="I423" s="9" t="s">
        <v>18</v>
      </c>
      <c r="J423" s="9" t="s">
        <v>15</v>
      </c>
      <c r="K423" s="9" t="s">
        <v>0</v>
      </c>
      <c r="L423" s="9" t="s">
        <v>45</v>
      </c>
    </row>
    <row r="424" spans="2:16" ht="18" customHeight="1" x14ac:dyDescent="0.25">
      <c r="B424" s="15"/>
      <c r="C424" s="15" t="str">
        <f>IFERROR(IF(B424="","",VLOOKUP(B424,LISTAS!$F$5:$G$1004,2,0)),"0")</f>
        <v/>
      </c>
      <c r="D424" s="15" t="str">
        <f>IF(H424&lt;3,"",IF(H424=3,IF(D430&lt;&gt;"",IF(H430&lt;&gt;"",IF(D430&lt;&gt;H430,IF(D430&gt;H430,"V","D"),""),""),"")))</f>
        <v/>
      </c>
      <c r="E424" s="15" t="str">
        <f>IF(H424&lt;3,"",IF(H424=3,IF(D432&lt;&gt;"",IF(H432&lt;&gt;"",IF(D432&lt;&gt;H432,IF(D432&gt;H432,"V","D"),""),""),"")))</f>
        <v/>
      </c>
      <c r="F424" s="15" t="s">
        <v>81</v>
      </c>
      <c r="G424" s="15" t="s">
        <v>81</v>
      </c>
      <c r="H424" s="117">
        <f>COUNTA(B424:B426)</f>
        <v>0</v>
      </c>
      <c r="I424" s="15" t="str">
        <f>IF(B424&lt;&gt;"",1,"")</f>
        <v/>
      </c>
      <c r="J424" s="15" t="str">
        <f>IF(I424&lt;&gt;"",P424,"")</f>
        <v/>
      </c>
      <c r="K424" s="15" t="str">
        <f>IFERROR(IF(J424="","",VLOOKUP(J424,LISTAS!$F$5:$G$1004,2,0)),"0")</f>
        <v/>
      </c>
      <c r="L424" s="119" t="str">
        <f>IF(H424=3,"OURO",IF(H424=4,"OURO",IF(H424=5,"OURO","")))</f>
        <v/>
      </c>
      <c r="M424" s="20" t="str">
        <f>IF(B424&lt;&gt;"",COUNTIF(D424:G424,"V")+(SUMIF(B430:B432,B424,D430:E432)/1000)+(SUMIF(J430:J432,B424,H430:I432)/1000)-(SUMIF(B430:B432,B424,H430:I432)/1000)-(SUMIF(J430:J432,B424,D430:E432)/1000)+0.003,"")</f>
        <v/>
      </c>
      <c r="N424" s="20" t="str">
        <f>IF(B424="","",B424)</f>
        <v/>
      </c>
      <c r="O424" s="20" t="str">
        <f>IF(B424&lt;&gt;"",LARGE(M424:M426,1),"")</f>
        <v/>
      </c>
      <c r="P424" s="20" t="str">
        <f>VLOOKUP(O424,M424:N426,2,0)</f>
        <v/>
      </c>
    </row>
    <row r="425" spans="2:16" ht="18" customHeight="1" x14ac:dyDescent="0.25">
      <c r="B425" s="15"/>
      <c r="C425" s="15" t="str">
        <f>IFERROR(IF(B425="","",VLOOKUP(B425,LISTAS!$F$5:$G$1004,2,0)),"0")</f>
        <v/>
      </c>
      <c r="D425" s="15" t="str">
        <f>IF(H424&lt;3,"",IF(H424=3,IF(D431&lt;&gt;"",IF(H431&lt;&gt;"",IF(D431&lt;&gt;H431,IF(D431&gt;H431,"V","D"),""),""),"")))</f>
        <v/>
      </c>
      <c r="E425" s="15" t="str">
        <f>IF(H424&lt;3,"",IF(H424=3,IF(D432&lt;&gt;"",IF(H432&lt;&gt;"",IF(D432&lt;&gt;H432,IF(D432&gt;H432,"D","V"),""),""),"")))</f>
        <v/>
      </c>
      <c r="F425" s="15" t="s">
        <v>81</v>
      </c>
      <c r="G425" s="15" t="s">
        <v>81</v>
      </c>
      <c r="H425" s="115"/>
      <c r="I425" s="15" t="str">
        <f>IF(B425&lt;&gt;"",2,"")</f>
        <v/>
      </c>
      <c r="J425" s="15" t="str">
        <f>IF(I425&lt;&gt;"",P425,"")</f>
        <v/>
      </c>
      <c r="K425" s="15" t="str">
        <f>IFERROR(IF(J425="","",VLOOKUP(J425,LISTAS!$F$5:$G$1004,2,0)),"0")</f>
        <v/>
      </c>
      <c r="L425" s="119" t="str">
        <f>IF(H424=3,"PRATA",IF(H424=4,"OURO",IF(H424=5,"OURO","")))</f>
        <v/>
      </c>
      <c r="M425" s="20" t="str">
        <f>IF(B425&lt;&gt;"",COUNTIF(D425:G425,"V")+(SUMIF(B430:B432,B425,D430:E432)/1000)+(SUMIF(J430:J432,B425,H430:I432)/1000)-(SUMIF(B430:B432,B425,H430:I432)/1000)-(SUMIF(J430:J432,B425,D430:E432)/1000)+0.002,"")</f>
        <v/>
      </c>
      <c r="N425" s="20" t="str">
        <f t="shared" ref="N425" si="31">IF(B425="","",B425)</f>
        <v/>
      </c>
      <c r="O425" s="20" t="str">
        <f>IF(B425&lt;&gt;"",LARGE(M424:M426,2),"")</f>
        <v/>
      </c>
      <c r="P425" s="20" t="str">
        <f>VLOOKUP(O425,M424:N426,2,0)</f>
        <v/>
      </c>
    </row>
    <row r="426" spans="2:16" ht="18" customHeight="1" x14ac:dyDescent="0.25">
      <c r="B426" s="15"/>
      <c r="C426" s="15" t="str">
        <f>IFERROR(IF(B426="","",VLOOKUP(B426,LISTAS!$F$5:$G$1004,2,0)),"0")</f>
        <v/>
      </c>
      <c r="D426" s="15" t="str">
        <f>IF(H424&lt;3,"",IF(H424=3,IF(D430&lt;&gt;"",IF(H430&lt;&gt;"",IF(D430&lt;&gt;H430,IF(D430&gt;H430,"D","V"),""),""),"")))</f>
        <v/>
      </c>
      <c r="E426" s="15" t="str">
        <f>IF(H424&lt;3,"",IF(H424=3,IF(D431&lt;&gt;"",IF(H431&lt;&gt;"",IF(D431&lt;&gt;H431,IF(D431&gt;H431,"D","V"),""),""),"")))</f>
        <v/>
      </c>
      <c r="F426" s="15" t="s">
        <v>81</v>
      </c>
      <c r="G426" s="15" t="s">
        <v>81</v>
      </c>
      <c r="H426" s="115"/>
      <c r="I426" s="15" t="str">
        <f>IF(B426&lt;&gt;"",3,"")</f>
        <v/>
      </c>
      <c r="J426" s="15" t="str">
        <f>IF(I426&lt;&gt;"",P426,"")</f>
        <v/>
      </c>
      <c r="K426" s="15" t="str">
        <f>IFERROR(IF(J426="","",VLOOKUP(J426,LISTAS!$F$5:$G$1004,2,0)),"0")</f>
        <v/>
      </c>
      <c r="L426" s="119" t="str">
        <f>IF(H424=3,"BRONZE",IF(H424=4,"PRATA",IF(H424=5,"OURO","")))</f>
        <v/>
      </c>
      <c r="M426" s="20" t="str">
        <f>IF(B426&lt;&gt;"",COUNTIF(D426:G426,"V")+(SUMIF(B430:B432,B426,D430:E432)/1000)+(SUMIF(J430:J432,B426,H430:I432)/1000)-(SUMIF(B430:B432,B426,H430:I432)/1000)-(SUMIF(J430:J432,B426,D430:E432)/1000)+0.001,"")</f>
        <v/>
      </c>
      <c r="N426" s="20" t="str">
        <f>IF(B426="","",B426)</f>
        <v/>
      </c>
      <c r="O426" s="20" t="str">
        <f>IF(B426&lt;&gt;"",LARGE(M424:M426,3),"")</f>
        <v/>
      </c>
      <c r="P426" s="20" t="str">
        <f>VLOOKUP(O426,M424:N426,2,0)</f>
        <v/>
      </c>
    </row>
    <row r="427" spans="2:16" ht="18" customHeight="1" x14ac:dyDescent="0.25">
      <c r="B427" s="79"/>
      <c r="C427" s="79"/>
      <c r="D427" s="79"/>
      <c r="E427" s="79"/>
      <c r="F427" s="79"/>
      <c r="G427" s="79"/>
      <c r="I427" s="80"/>
      <c r="J427" s="79"/>
      <c r="K427" s="81"/>
      <c r="L427" s="81"/>
    </row>
    <row r="428" spans="2:16" ht="23.25" customHeight="1" x14ac:dyDescent="0.25">
      <c r="B428" s="82" t="s">
        <v>40</v>
      </c>
      <c r="C428" s="79"/>
      <c r="D428" s="79"/>
      <c r="E428" s="79"/>
      <c r="F428" s="79"/>
      <c r="G428" s="79"/>
      <c r="H428" s="79"/>
      <c r="I428" s="79"/>
      <c r="J428" s="79"/>
      <c r="K428" s="79"/>
      <c r="L428" s="79"/>
    </row>
    <row r="429" spans="2:16" ht="18" customHeight="1" x14ac:dyDescent="0.25">
      <c r="B429" s="9" t="s">
        <v>15</v>
      </c>
      <c r="C429" s="9" t="s">
        <v>0</v>
      </c>
      <c r="D429" s="228" t="s">
        <v>41</v>
      </c>
      <c r="E429" s="229"/>
      <c r="F429" s="229"/>
      <c r="G429" s="229"/>
      <c r="H429" s="229"/>
      <c r="I429" s="230"/>
      <c r="J429" s="9" t="s">
        <v>15</v>
      </c>
      <c r="K429" s="9" t="s">
        <v>0</v>
      </c>
      <c r="L429" s="79"/>
    </row>
    <row r="430" spans="2:16" ht="18" customHeight="1" x14ac:dyDescent="0.25">
      <c r="B430" s="15" t="str">
        <f>IF(H424=3,B424,"")</f>
        <v/>
      </c>
      <c r="C430" s="15" t="str">
        <f>IFERROR(IF(B430="","",VLOOKUP(B430,LISTAS!$F$5:$G$1004,2,0)),"0")</f>
        <v/>
      </c>
      <c r="D430" s="223"/>
      <c r="E430" s="224"/>
      <c r="F430" s="223" t="s">
        <v>38</v>
      </c>
      <c r="G430" s="224"/>
      <c r="H430" s="223"/>
      <c r="I430" s="224"/>
      <c r="J430" s="21" t="str">
        <f>IF(H424=3,B426,"")</f>
        <v/>
      </c>
      <c r="K430" s="15" t="str">
        <f>IFERROR(IF(J430="","",VLOOKUP(J430,LISTAS!$F$5:$G$1004,2,0)),"0")</f>
        <v/>
      </c>
      <c r="L430" s="81"/>
    </row>
    <row r="431" spans="2:16" ht="18" customHeight="1" x14ac:dyDescent="0.25">
      <c r="B431" s="15" t="str">
        <f>IF(H424=3,B425,"")</f>
        <v/>
      </c>
      <c r="C431" s="15" t="str">
        <f>IFERROR(IF(B431="","",VLOOKUP(B431,LISTAS!$F$5:$G$1004,2,0)),"0")</f>
        <v/>
      </c>
      <c r="D431" s="223"/>
      <c r="E431" s="224"/>
      <c r="F431" s="223" t="s">
        <v>38</v>
      </c>
      <c r="G431" s="224"/>
      <c r="H431" s="223"/>
      <c r="I431" s="224"/>
      <c r="J431" s="21" t="str">
        <f>IF(H424=3,B426,"")</f>
        <v/>
      </c>
      <c r="K431" s="15" t="str">
        <f>IFERROR(IF(J431="","",VLOOKUP(J431,LISTAS!$F$5:$G$1004,2,0)),"0")</f>
        <v/>
      </c>
      <c r="L431" s="79"/>
    </row>
    <row r="432" spans="2:16" ht="18" customHeight="1" x14ac:dyDescent="0.25">
      <c r="B432" s="15" t="str">
        <f>IF(H424=3,B424,"")</f>
        <v/>
      </c>
      <c r="C432" s="15" t="str">
        <f>IFERROR(IF(B432="","",VLOOKUP(B432,LISTAS!$F$5:$G$1004,2,0)),"0")</f>
        <v/>
      </c>
      <c r="D432" s="223"/>
      <c r="E432" s="224"/>
      <c r="F432" s="223" t="s">
        <v>38</v>
      </c>
      <c r="G432" s="224"/>
      <c r="H432" s="223"/>
      <c r="I432" s="224"/>
      <c r="J432" s="21" t="str">
        <f>IF(H424=3,B425,"")</f>
        <v/>
      </c>
      <c r="K432" s="15" t="str">
        <f>IFERROR(IF(J432="","",VLOOKUP(J432,LISTAS!$F$5:$G$1004,2,0)),"0")</f>
        <v/>
      </c>
      <c r="L432" s="81"/>
    </row>
  </sheetData>
  <mergeCells count="416">
    <mergeCell ref="B2:L4"/>
    <mergeCell ref="C5:F5"/>
    <mergeCell ref="D6:G6"/>
    <mergeCell ref="I6:L6"/>
    <mergeCell ref="D15:I15"/>
    <mergeCell ref="D16:E16"/>
    <mergeCell ref="F16:G16"/>
    <mergeCell ref="H16:I16"/>
    <mergeCell ref="D19:E19"/>
    <mergeCell ref="F19:G19"/>
    <mergeCell ref="H19:I19"/>
    <mergeCell ref="D20:E20"/>
    <mergeCell ref="F20:G20"/>
    <mergeCell ref="H20:I20"/>
    <mergeCell ref="D17:E17"/>
    <mergeCell ref="F17:G17"/>
    <mergeCell ref="H17:I17"/>
    <mergeCell ref="D18:E18"/>
    <mergeCell ref="F18:G18"/>
    <mergeCell ref="H18:I18"/>
    <mergeCell ref="D23:E23"/>
    <mergeCell ref="F23:G23"/>
    <mergeCell ref="H23:I23"/>
    <mergeCell ref="D24:E24"/>
    <mergeCell ref="F24:G24"/>
    <mergeCell ref="H24:I24"/>
    <mergeCell ref="D21:E21"/>
    <mergeCell ref="F21:G21"/>
    <mergeCell ref="H21:I21"/>
    <mergeCell ref="D22:E22"/>
    <mergeCell ref="F22:G22"/>
    <mergeCell ref="H22:I22"/>
    <mergeCell ref="D37:E37"/>
    <mergeCell ref="F37:G37"/>
    <mergeCell ref="H37:I37"/>
    <mergeCell ref="D38:E38"/>
    <mergeCell ref="F38:G38"/>
    <mergeCell ref="H38:I38"/>
    <mergeCell ref="D25:E25"/>
    <mergeCell ref="F25:G25"/>
    <mergeCell ref="H25:I25"/>
    <mergeCell ref="D28:G28"/>
    <mergeCell ref="I28:L28"/>
    <mergeCell ref="D36:I36"/>
    <mergeCell ref="D41:E41"/>
    <mergeCell ref="F41:G41"/>
    <mergeCell ref="H41:I41"/>
    <mergeCell ref="D42:E42"/>
    <mergeCell ref="F42:G42"/>
    <mergeCell ref="H42:I42"/>
    <mergeCell ref="D39:E39"/>
    <mergeCell ref="F39:G39"/>
    <mergeCell ref="H39:I39"/>
    <mergeCell ref="D40:E40"/>
    <mergeCell ref="F40:G40"/>
    <mergeCell ref="H40:I40"/>
    <mergeCell ref="D54:E54"/>
    <mergeCell ref="F54:G54"/>
    <mergeCell ref="H54:I54"/>
    <mergeCell ref="D55:E55"/>
    <mergeCell ref="F55:G55"/>
    <mergeCell ref="H55:I55"/>
    <mergeCell ref="D45:G45"/>
    <mergeCell ref="I45:L45"/>
    <mergeCell ref="D52:I52"/>
    <mergeCell ref="D53:E53"/>
    <mergeCell ref="F53:G53"/>
    <mergeCell ref="H53:I53"/>
    <mergeCell ref="D67:E67"/>
    <mergeCell ref="F67:G67"/>
    <mergeCell ref="H67:I67"/>
    <mergeCell ref="D68:E68"/>
    <mergeCell ref="F68:G68"/>
    <mergeCell ref="H68:I68"/>
    <mergeCell ref="D58:G58"/>
    <mergeCell ref="I58:L58"/>
    <mergeCell ref="D65:I65"/>
    <mergeCell ref="D66:E66"/>
    <mergeCell ref="F66:G66"/>
    <mergeCell ref="H66:I66"/>
    <mergeCell ref="D80:E80"/>
    <mergeCell ref="F80:G80"/>
    <mergeCell ref="H80:I80"/>
    <mergeCell ref="D81:E81"/>
    <mergeCell ref="F81:G81"/>
    <mergeCell ref="H81:I81"/>
    <mergeCell ref="D71:G71"/>
    <mergeCell ref="I71:L71"/>
    <mergeCell ref="D78:I78"/>
    <mergeCell ref="D79:E79"/>
    <mergeCell ref="F79:G79"/>
    <mergeCell ref="H79:I79"/>
    <mergeCell ref="D93:E93"/>
    <mergeCell ref="F93:G93"/>
    <mergeCell ref="H93:I93"/>
    <mergeCell ref="D94:E94"/>
    <mergeCell ref="F94:G94"/>
    <mergeCell ref="H94:I94"/>
    <mergeCell ref="D84:G84"/>
    <mergeCell ref="I84:L84"/>
    <mergeCell ref="D91:I91"/>
    <mergeCell ref="D92:E92"/>
    <mergeCell ref="F92:G92"/>
    <mergeCell ref="H92:I92"/>
    <mergeCell ref="D106:E106"/>
    <mergeCell ref="F106:G106"/>
    <mergeCell ref="H106:I106"/>
    <mergeCell ref="D107:E107"/>
    <mergeCell ref="F107:G107"/>
    <mergeCell ref="H107:I107"/>
    <mergeCell ref="D97:G97"/>
    <mergeCell ref="I97:L97"/>
    <mergeCell ref="D104:I104"/>
    <mergeCell ref="D105:E105"/>
    <mergeCell ref="F105:G105"/>
    <mergeCell ref="H105:I105"/>
    <mergeCell ref="D119:E119"/>
    <mergeCell ref="F119:G119"/>
    <mergeCell ref="H119:I119"/>
    <mergeCell ref="D120:E120"/>
    <mergeCell ref="F120:G120"/>
    <mergeCell ref="H120:I120"/>
    <mergeCell ref="D110:G110"/>
    <mergeCell ref="I110:L110"/>
    <mergeCell ref="D117:I117"/>
    <mergeCell ref="D118:E118"/>
    <mergeCell ref="F118:G118"/>
    <mergeCell ref="H118:I118"/>
    <mergeCell ref="D132:E132"/>
    <mergeCell ref="F132:G132"/>
    <mergeCell ref="H132:I132"/>
    <mergeCell ref="D133:E133"/>
    <mergeCell ref="F133:G133"/>
    <mergeCell ref="H133:I133"/>
    <mergeCell ref="D123:G123"/>
    <mergeCell ref="I123:L123"/>
    <mergeCell ref="D130:I130"/>
    <mergeCell ref="D131:E131"/>
    <mergeCell ref="F131:G131"/>
    <mergeCell ref="H131:I131"/>
    <mergeCell ref="D145:E145"/>
    <mergeCell ref="F145:G145"/>
    <mergeCell ref="H145:I145"/>
    <mergeCell ref="D146:E146"/>
    <mergeCell ref="F146:G146"/>
    <mergeCell ref="H146:I146"/>
    <mergeCell ref="D136:G136"/>
    <mergeCell ref="I136:L136"/>
    <mergeCell ref="D143:I143"/>
    <mergeCell ref="D144:E144"/>
    <mergeCell ref="F144:G144"/>
    <mergeCell ref="H144:I144"/>
    <mergeCell ref="D158:E158"/>
    <mergeCell ref="F158:G158"/>
    <mergeCell ref="H158:I158"/>
    <mergeCell ref="D159:E159"/>
    <mergeCell ref="F159:G159"/>
    <mergeCell ref="H159:I159"/>
    <mergeCell ref="D149:G149"/>
    <mergeCell ref="I149:L149"/>
    <mergeCell ref="D156:I156"/>
    <mergeCell ref="D157:E157"/>
    <mergeCell ref="F157:G157"/>
    <mergeCell ref="H157:I157"/>
    <mergeCell ref="D171:E171"/>
    <mergeCell ref="F171:G171"/>
    <mergeCell ref="H171:I171"/>
    <mergeCell ref="D172:E172"/>
    <mergeCell ref="F172:G172"/>
    <mergeCell ref="H172:I172"/>
    <mergeCell ref="D162:G162"/>
    <mergeCell ref="I162:L162"/>
    <mergeCell ref="D169:I169"/>
    <mergeCell ref="D170:E170"/>
    <mergeCell ref="F170:G170"/>
    <mergeCell ref="H170:I170"/>
    <mergeCell ref="D184:E184"/>
    <mergeCell ref="F184:G184"/>
    <mergeCell ref="H184:I184"/>
    <mergeCell ref="D185:E185"/>
    <mergeCell ref="F185:G185"/>
    <mergeCell ref="H185:I185"/>
    <mergeCell ref="D175:G175"/>
    <mergeCell ref="I175:L175"/>
    <mergeCell ref="D182:I182"/>
    <mergeCell ref="D183:E183"/>
    <mergeCell ref="F183:G183"/>
    <mergeCell ref="H183:I183"/>
    <mergeCell ref="D197:E197"/>
    <mergeCell ref="F197:G197"/>
    <mergeCell ref="H197:I197"/>
    <mergeCell ref="D198:E198"/>
    <mergeCell ref="F198:G198"/>
    <mergeCell ref="H198:I198"/>
    <mergeCell ref="D188:G188"/>
    <mergeCell ref="I188:L188"/>
    <mergeCell ref="D195:I195"/>
    <mergeCell ref="D196:E196"/>
    <mergeCell ref="F196:G196"/>
    <mergeCell ref="H196:I196"/>
    <mergeCell ref="D210:E210"/>
    <mergeCell ref="F210:G210"/>
    <mergeCell ref="H210:I210"/>
    <mergeCell ref="D211:E211"/>
    <mergeCell ref="F211:G211"/>
    <mergeCell ref="H211:I211"/>
    <mergeCell ref="D201:G201"/>
    <mergeCell ref="I201:L201"/>
    <mergeCell ref="D208:I208"/>
    <mergeCell ref="D209:E209"/>
    <mergeCell ref="F209:G209"/>
    <mergeCell ref="H209:I209"/>
    <mergeCell ref="D223:E223"/>
    <mergeCell ref="F223:G223"/>
    <mergeCell ref="H223:I223"/>
    <mergeCell ref="D224:E224"/>
    <mergeCell ref="F224:G224"/>
    <mergeCell ref="H224:I224"/>
    <mergeCell ref="D214:G214"/>
    <mergeCell ref="I214:L214"/>
    <mergeCell ref="D221:I221"/>
    <mergeCell ref="D222:E222"/>
    <mergeCell ref="F222:G222"/>
    <mergeCell ref="H222:I222"/>
    <mergeCell ref="D236:E236"/>
    <mergeCell ref="F236:G236"/>
    <mergeCell ref="H236:I236"/>
    <mergeCell ref="D237:E237"/>
    <mergeCell ref="F237:G237"/>
    <mergeCell ref="H237:I237"/>
    <mergeCell ref="D227:G227"/>
    <mergeCell ref="I227:L227"/>
    <mergeCell ref="D234:I234"/>
    <mergeCell ref="D235:E235"/>
    <mergeCell ref="F235:G235"/>
    <mergeCell ref="H235:I235"/>
    <mergeCell ref="D249:E249"/>
    <mergeCell ref="F249:G249"/>
    <mergeCell ref="H249:I249"/>
    <mergeCell ref="D250:E250"/>
    <mergeCell ref="F250:G250"/>
    <mergeCell ref="H250:I250"/>
    <mergeCell ref="D240:G240"/>
    <mergeCell ref="I240:L240"/>
    <mergeCell ref="D247:I247"/>
    <mergeCell ref="D248:E248"/>
    <mergeCell ref="F248:G248"/>
    <mergeCell ref="H248:I248"/>
    <mergeCell ref="D262:E262"/>
    <mergeCell ref="F262:G262"/>
    <mergeCell ref="H262:I262"/>
    <mergeCell ref="D263:E263"/>
    <mergeCell ref="F263:G263"/>
    <mergeCell ref="H263:I263"/>
    <mergeCell ref="D253:G253"/>
    <mergeCell ref="I253:L253"/>
    <mergeCell ref="D260:I260"/>
    <mergeCell ref="D261:E261"/>
    <mergeCell ref="F261:G261"/>
    <mergeCell ref="H261:I261"/>
    <mergeCell ref="D275:E275"/>
    <mergeCell ref="F275:G275"/>
    <mergeCell ref="H275:I275"/>
    <mergeCell ref="D276:E276"/>
    <mergeCell ref="F276:G276"/>
    <mergeCell ref="H276:I276"/>
    <mergeCell ref="D266:G266"/>
    <mergeCell ref="I266:L266"/>
    <mergeCell ref="D273:I273"/>
    <mergeCell ref="D274:E274"/>
    <mergeCell ref="F274:G274"/>
    <mergeCell ref="H274:I274"/>
    <mergeCell ref="D288:E288"/>
    <mergeCell ref="F288:G288"/>
    <mergeCell ref="H288:I288"/>
    <mergeCell ref="D289:E289"/>
    <mergeCell ref="F289:G289"/>
    <mergeCell ref="H289:I289"/>
    <mergeCell ref="D279:G279"/>
    <mergeCell ref="I279:L279"/>
    <mergeCell ref="D286:I286"/>
    <mergeCell ref="D287:E287"/>
    <mergeCell ref="F287:G287"/>
    <mergeCell ref="H287:I287"/>
    <mergeCell ref="D301:E301"/>
    <mergeCell ref="F301:G301"/>
    <mergeCell ref="H301:I301"/>
    <mergeCell ref="D302:E302"/>
    <mergeCell ref="F302:G302"/>
    <mergeCell ref="H302:I302"/>
    <mergeCell ref="D292:G292"/>
    <mergeCell ref="I292:L292"/>
    <mergeCell ref="D299:I299"/>
    <mergeCell ref="D300:E300"/>
    <mergeCell ref="F300:G300"/>
    <mergeCell ref="H300:I300"/>
    <mergeCell ref="D314:E314"/>
    <mergeCell ref="F314:G314"/>
    <mergeCell ref="H314:I314"/>
    <mergeCell ref="D315:E315"/>
    <mergeCell ref="F315:G315"/>
    <mergeCell ref="H315:I315"/>
    <mergeCell ref="D305:G305"/>
    <mergeCell ref="I305:L305"/>
    <mergeCell ref="D312:I312"/>
    <mergeCell ref="D313:E313"/>
    <mergeCell ref="F313:G313"/>
    <mergeCell ref="H313:I313"/>
    <mergeCell ref="D327:E327"/>
    <mergeCell ref="F327:G327"/>
    <mergeCell ref="H327:I327"/>
    <mergeCell ref="D328:E328"/>
    <mergeCell ref="F328:G328"/>
    <mergeCell ref="H328:I328"/>
    <mergeCell ref="D318:G318"/>
    <mergeCell ref="I318:L318"/>
    <mergeCell ref="D325:I325"/>
    <mergeCell ref="D326:E326"/>
    <mergeCell ref="F326:G326"/>
    <mergeCell ref="H326:I326"/>
    <mergeCell ref="D340:E340"/>
    <mergeCell ref="F340:G340"/>
    <mergeCell ref="H340:I340"/>
    <mergeCell ref="D341:E341"/>
    <mergeCell ref="F341:G341"/>
    <mergeCell ref="H341:I341"/>
    <mergeCell ref="D331:G331"/>
    <mergeCell ref="I331:L331"/>
    <mergeCell ref="D338:I338"/>
    <mergeCell ref="D339:E339"/>
    <mergeCell ref="F339:G339"/>
    <mergeCell ref="H339:I339"/>
    <mergeCell ref="D353:E353"/>
    <mergeCell ref="F353:G353"/>
    <mergeCell ref="H353:I353"/>
    <mergeCell ref="D354:E354"/>
    <mergeCell ref="F354:G354"/>
    <mergeCell ref="H354:I354"/>
    <mergeCell ref="D344:G344"/>
    <mergeCell ref="I344:L344"/>
    <mergeCell ref="D351:I351"/>
    <mergeCell ref="D352:E352"/>
    <mergeCell ref="F352:G352"/>
    <mergeCell ref="H352:I352"/>
    <mergeCell ref="D366:E366"/>
    <mergeCell ref="F366:G366"/>
    <mergeCell ref="H366:I366"/>
    <mergeCell ref="D367:E367"/>
    <mergeCell ref="F367:G367"/>
    <mergeCell ref="H367:I367"/>
    <mergeCell ref="D357:G357"/>
    <mergeCell ref="I357:L357"/>
    <mergeCell ref="D364:I364"/>
    <mergeCell ref="D365:E365"/>
    <mergeCell ref="F365:G365"/>
    <mergeCell ref="H365:I365"/>
    <mergeCell ref="D379:E379"/>
    <mergeCell ref="F379:G379"/>
    <mergeCell ref="H379:I379"/>
    <mergeCell ref="D380:E380"/>
    <mergeCell ref="F380:G380"/>
    <mergeCell ref="H380:I380"/>
    <mergeCell ref="D370:G370"/>
    <mergeCell ref="I370:L370"/>
    <mergeCell ref="D377:I377"/>
    <mergeCell ref="D378:E378"/>
    <mergeCell ref="F378:G378"/>
    <mergeCell ref="H378:I378"/>
    <mergeCell ref="D392:E392"/>
    <mergeCell ref="F392:G392"/>
    <mergeCell ref="H392:I392"/>
    <mergeCell ref="D393:E393"/>
    <mergeCell ref="F393:G393"/>
    <mergeCell ref="H393:I393"/>
    <mergeCell ref="D383:G383"/>
    <mergeCell ref="I383:L383"/>
    <mergeCell ref="D390:I390"/>
    <mergeCell ref="D391:E391"/>
    <mergeCell ref="F391:G391"/>
    <mergeCell ref="H391:I391"/>
    <mergeCell ref="D405:E405"/>
    <mergeCell ref="F405:G405"/>
    <mergeCell ref="H405:I405"/>
    <mergeCell ref="D406:E406"/>
    <mergeCell ref="F406:G406"/>
    <mergeCell ref="H406:I406"/>
    <mergeCell ref="D396:G396"/>
    <mergeCell ref="I396:L396"/>
    <mergeCell ref="D403:I403"/>
    <mergeCell ref="D404:E404"/>
    <mergeCell ref="F404:G404"/>
    <mergeCell ref="H404:I404"/>
    <mergeCell ref="D418:E418"/>
    <mergeCell ref="F418:G418"/>
    <mergeCell ref="H418:I418"/>
    <mergeCell ref="D419:E419"/>
    <mergeCell ref="F419:G419"/>
    <mergeCell ref="H419:I419"/>
    <mergeCell ref="D409:G409"/>
    <mergeCell ref="I409:L409"/>
    <mergeCell ref="D416:I416"/>
    <mergeCell ref="D417:E417"/>
    <mergeCell ref="F417:G417"/>
    <mergeCell ref="H417:I417"/>
    <mergeCell ref="D431:E431"/>
    <mergeCell ref="F431:G431"/>
    <mergeCell ref="H431:I431"/>
    <mergeCell ref="D432:E432"/>
    <mergeCell ref="F432:G432"/>
    <mergeCell ref="H432:I432"/>
    <mergeCell ref="D422:G422"/>
    <mergeCell ref="I422:L422"/>
    <mergeCell ref="D429:I429"/>
    <mergeCell ref="D430:E430"/>
    <mergeCell ref="F430:G430"/>
    <mergeCell ref="H430:I430"/>
  </mergeCells>
  <conditionalFormatting sqref="L8:L12">
    <cfRule type="cellIs" dxfId="593" priority="94" operator="equal">
      <formula>"BRONZE"</formula>
    </cfRule>
    <cfRule type="cellIs" dxfId="592" priority="95" operator="equal">
      <formula>"PRATA"</formula>
    </cfRule>
    <cfRule type="containsText" dxfId="591" priority="96" operator="containsText" text="OURO">
      <formula>NOT(ISERROR(SEARCH("OURO",L8)))</formula>
    </cfRule>
  </conditionalFormatting>
  <conditionalFormatting sqref="L30:L33">
    <cfRule type="cellIs" dxfId="590" priority="1" operator="equal">
      <formula>"BRONZE"</formula>
    </cfRule>
    <cfRule type="cellIs" dxfId="589" priority="2" operator="equal">
      <formula>"PRATA"</formula>
    </cfRule>
    <cfRule type="containsText" dxfId="588" priority="3" operator="containsText" text="OURO">
      <formula>NOT(ISERROR(SEARCH("OURO",L30)))</formula>
    </cfRule>
  </conditionalFormatting>
  <conditionalFormatting sqref="L47:L49">
    <cfRule type="cellIs" dxfId="587" priority="91" operator="equal">
      <formula>"BRONZE"</formula>
    </cfRule>
    <cfRule type="cellIs" dxfId="586" priority="92" operator="equal">
      <formula>"PRATA"</formula>
    </cfRule>
    <cfRule type="containsText" dxfId="585" priority="93" operator="containsText" text="OURO">
      <formula>NOT(ISERROR(SEARCH("OURO",L47)))</formula>
    </cfRule>
  </conditionalFormatting>
  <conditionalFormatting sqref="L60:L62">
    <cfRule type="cellIs" dxfId="584" priority="88" operator="equal">
      <formula>"BRONZE"</formula>
    </cfRule>
    <cfRule type="cellIs" dxfId="583" priority="89" operator="equal">
      <formula>"PRATA"</formula>
    </cfRule>
    <cfRule type="containsText" dxfId="582" priority="90" operator="containsText" text="OURO">
      <formula>NOT(ISERROR(SEARCH("OURO",L60)))</formula>
    </cfRule>
  </conditionalFormatting>
  <conditionalFormatting sqref="L73:L75">
    <cfRule type="cellIs" dxfId="581" priority="85" operator="equal">
      <formula>"BRONZE"</formula>
    </cfRule>
    <cfRule type="cellIs" dxfId="580" priority="86" operator="equal">
      <formula>"PRATA"</formula>
    </cfRule>
    <cfRule type="containsText" dxfId="579" priority="87" operator="containsText" text="OURO">
      <formula>NOT(ISERROR(SEARCH("OURO",L73)))</formula>
    </cfRule>
  </conditionalFormatting>
  <conditionalFormatting sqref="L86:L88">
    <cfRule type="cellIs" dxfId="578" priority="82" operator="equal">
      <formula>"BRONZE"</formula>
    </cfRule>
    <cfRule type="cellIs" dxfId="577" priority="83" operator="equal">
      <formula>"PRATA"</formula>
    </cfRule>
    <cfRule type="containsText" dxfId="576" priority="84" operator="containsText" text="OURO">
      <formula>NOT(ISERROR(SEARCH("OURO",L86)))</formula>
    </cfRule>
  </conditionalFormatting>
  <conditionalFormatting sqref="L99:L101">
    <cfRule type="cellIs" dxfId="575" priority="79" operator="equal">
      <formula>"BRONZE"</formula>
    </cfRule>
    <cfRule type="cellIs" dxfId="574" priority="80" operator="equal">
      <formula>"PRATA"</formula>
    </cfRule>
    <cfRule type="containsText" dxfId="573" priority="81" operator="containsText" text="OURO">
      <formula>NOT(ISERROR(SEARCH("OURO",L99)))</formula>
    </cfRule>
  </conditionalFormatting>
  <conditionalFormatting sqref="L112:L114">
    <cfRule type="cellIs" dxfId="572" priority="76" operator="equal">
      <formula>"BRONZE"</formula>
    </cfRule>
    <cfRule type="cellIs" dxfId="571" priority="77" operator="equal">
      <formula>"PRATA"</formula>
    </cfRule>
    <cfRule type="containsText" dxfId="570" priority="78" operator="containsText" text="OURO">
      <formula>NOT(ISERROR(SEARCH("OURO",L112)))</formula>
    </cfRule>
  </conditionalFormatting>
  <conditionalFormatting sqref="L125:L127">
    <cfRule type="cellIs" dxfId="569" priority="73" operator="equal">
      <formula>"BRONZE"</formula>
    </cfRule>
    <cfRule type="cellIs" dxfId="568" priority="74" operator="equal">
      <formula>"PRATA"</formula>
    </cfRule>
    <cfRule type="containsText" dxfId="567" priority="75" operator="containsText" text="OURO">
      <formula>NOT(ISERROR(SEARCH("OURO",L125)))</formula>
    </cfRule>
  </conditionalFormatting>
  <conditionalFormatting sqref="L138:L140">
    <cfRule type="cellIs" dxfId="566" priority="70" operator="equal">
      <formula>"BRONZE"</formula>
    </cfRule>
    <cfRule type="cellIs" dxfId="565" priority="71" operator="equal">
      <formula>"PRATA"</formula>
    </cfRule>
    <cfRule type="containsText" dxfId="564" priority="72" operator="containsText" text="OURO">
      <formula>NOT(ISERROR(SEARCH("OURO",L138)))</formula>
    </cfRule>
  </conditionalFormatting>
  <conditionalFormatting sqref="L151:L153">
    <cfRule type="cellIs" dxfId="563" priority="67" operator="equal">
      <formula>"BRONZE"</formula>
    </cfRule>
    <cfRule type="cellIs" dxfId="562" priority="68" operator="equal">
      <formula>"PRATA"</formula>
    </cfRule>
    <cfRule type="containsText" dxfId="561" priority="69" operator="containsText" text="OURO">
      <formula>NOT(ISERROR(SEARCH("OURO",L151)))</formula>
    </cfRule>
  </conditionalFormatting>
  <conditionalFormatting sqref="L164:L166">
    <cfRule type="cellIs" dxfId="560" priority="64" operator="equal">
      <formula>"BRONZE"</formula>
    </cfRule>
    <cfRule type="cellIs" dxfId="559" priority="65" operator="equal">
      <formula>"PRATA"</formula>
    </cfRule>
    <cfRule type="containsText" dxfId="558" priority="66" operator="containsText" text="OURO">
      <formula>NOT(ISERROR(SEARCH("OURO",L164)))</formula>
    </cfRule>
  </conditionalFormatting>
  <conditionalFormatting sqref="L177:L179">
    <cfRule type="cellIs" dxfId="557" priority="61" operator="equal">
      <formula>"BRONZE"</formula>
    </cfRule>
    <cfRule type="cellIs" dxfId="556" priority="62" operator="equal">
      <formula>"PRATA"</formula>
    </cfRule>
    <cfRule type="containsText" dxfId="555" priority="63" operator="containsText" text="OURO">
      <formula>NOT(ISERROR(SEARCH("OURO",L177)))</formula>
    </cfRule>
  </conditionalFormatting>
  <conditionalFormatting sqref="L190:L192">
    <cfRule type="cellIs" dxfId="554" priority="58" operator="equal">
      <formula>"BRONZE"</formula>
    </cfRule>
    <cfRule type="cellIs" dxfId="553" priority="59" operator="equal">
      <formula>"PRATA"</formula>
    </cfRule>
    <cfRule type="containsText" dxfId="552" priority="60" operator="containsText" text="OURO">
      <formula>NOT(ISERROR(SEARCH("OURO",L190)))</formula>
    </cfRule>
  </conditionalFormatting>
  <conditionalFormatting sqref="L203:L205">
    <cfRule type="cellIs" dxfId="551" priority="55" operator="equal">
      <formula>"BRONZE"</formula>
    </cfRule>
    <cfRule type="cellIs" dxfId="550" priority="56" operator="equal">
      <formula>"PRATA"</formula>
    </cfRule>
    <cfRule type="containsText" dxfId="549" priority="57" operator="containsText" text="OURO">
      <formula>NOT(ISERROR(SEARCH("OURO",L203)))</formula>
    </cfRule>
  </conditionalFormatting>
  <conditionalFormatting sqref="L216:L218">
    <cfRule type="cellIs" dxfId="548" priority="52" operator="equal">
      <formula>"BRONZE"</formula>
    </cfRule>
    <cfRule type="cellIs" dxfId="547" priority="53" operator="equal">
      <formula>"PRATA"</formula>
    </cfRule>
    <cfRule type="containsText" dxfId="546" priority="54" operator="containsText" text="OURO">
      <formula>NOT(ISERROR(SEARCH("OURO",L216)))</formula>
    </cfRule>
  </conditionalFormatting>
  <conditionalFormatting sqref="L229:L231">
    <cfRule type="cellIs" dxfId="545" priority="49" operator="equal">
      <formula>"BRONZE"</formula>
    </cfRule>
    <cfRule type="cellIs" dxfId="544" priority="50" operator="equal">
      <formula>"PRATA"</formula>
    </cfRule>
    <cfRule type="containsText" dxfId="543" priority="51" operator="containsText" text="OURO">
      <formula>NOT(ISERROR(SEARCH("OURO",L229)))</formula>
    </cfRule>
  </conditionalFormatting>
  <conditionalFormatting sqref="L242:L244">
    <cfRule type="cellIs" dxfId="542" priority="46" operator="equal">
      <formula>"BRONZE"</formula>
    </cfRule>
    <cfRule type="cellIs" dxfId="541" priority="47" operator="equal">
      <formula>"PRATA"</formula>
    </cfRule>
    <cfRule type="containsText" dxfId="540" priority="48" operator="containsText" text="OURO">
      <formula>NOT(ISERROR(SEARCH("OURO",L242)))</formula>
    </cfRule>
  </conditionalFormatting>
  <conditionalFormatting sqref="L255:L257">
    <cfRule type="cellIs" dxfId="539" priority="43" operator="equal">
      <formula>"BRONZE"</formula>
    </cfRule>
    <cfRule type="cellIs" dxfId="538" priority="44" operator="equal">
      <formula>"PRATA"</formula>
    </cfRule>
    <cfRule type="containsText" dxfId="537" priority="45" operator="containsText" text="OURO">
      <formula>NOT(ISERROR(SEARCH("OURO",L255)))</formula>
    </cfRule>
  </conditionalFormatting>
  <conditionalFormatting sqref="L268:L270">
    <cfRule type="cellIs" dxfId="536" priority="40" operator="equal">
      <formula>"BRONZE"</formula>
    </cfRule>
    <cfRule type="cellIs" dxfId="535" priority="41" operator="equal">
      <formula>"PRATA"</formula>
    </cfRule>
    <cfRule type="containsText" dxfId="534" priority="42" operator="containsText" text="OURO">
      <formula>NOT(ISERROR(SEARCH("OURO",L268)))</formula>
    </cfRule>
  </conditionalFormatting>
  <conditionalFormatting sqref="L281:L283">
    <cfRule type="cellIs" dxfId="533" priority="37" operator="equal">
      <formula>"BRONZE"</formula>
    </cfRule>
    <cfRule type="cellIs" dxfId="532" priority="38" operator="equal">
      <formula>"PRATA"</formula>
    </cfRule>
    <cfRule type="containsText" dxfId="531" priority="39" operator="containsText" text="OURO">
      <formula>NOT(ISERROR(SEARCH("OURO",L281)))</formula>
    </cfRule>
  </conditionalFormatting>
  <conditionalFormatting sqref="L294:L296">
    <cfRule type="cellIs" dxfId="530" priority="34" operator="equal">
      <formula>"BRONZE"</formula>
    </cfRule>
    <cfRule type="cellIs" dxfId="529" priority="35" operator="equal">
      <formula>"PRATA"</formula>
    </cfRule>
    <cfRule type="containsText" dxfId="528" priority="36" operator="containsText" text="OURO">
      <formula>NOT(ISERROR(SEARCH("OURO",L294)))</formula>
    </cfRule>
  </conditionalFormatting>
  <conditionalFormatting sqref="L307:L309">
    <cfRule type="cellIs" dxfId="527" priority="31" operator="equal">
      <formula>"BRONZE"</formula>
    </cfRule>
    <cfRule type="cellIs" dxfId="526" priority="32" operator="equal">
      <formula>"PRATA"</formula>
    </cfRule>
    <cfRule type="containsText" dxfId="525" priority="33" operator="containsText" text="OURO">
      <formula>NOT(ISERROR(SEARCH("OURO",L307)))</formula>
    </cfRule>
  </conditionalFormatting>
  <conditionalFormatting sqref="L320:L322">
    <cfRule type="cellIs" dxfId="524" priority="28" operator="equal">
      <formula>"BRONZE"</formula>
    </cfRule>
    <cfRule type="cellIs" dxfId="523" priority="29" operator="equal">
      <formula>"PRATA"</formula>
    </cfRule>
    <cfRule type="containsText" dxfId="522" priority="30" operator="containsText" text="OURO">
      <formula>NOT(ISERROR(SEARCH("OURO",L320)))</formula>
    </cfRule>
  </conditionalFormatting>
  <conditionalFormatting sqref="L333:L335">
    <cfRule type="cellIs" dxfId="521" priority="25" operator="equal">
      <formula>"BRONZE"</formula>
    </cfRule>
    <cfRule type="cellIs" dxfId="520" priority="26" operator="equal">
      <formula>"PRATA"</formula>
    </cfRule>
    <cfRule type="containsText" dxfId="519" priority="27" operator="containsText" text="OURO">
      <formula>NOT(ISERROR(SEARCH("OURO",L333)))</formula>
    </cfRule>
  </conditionalFormatting>
  <conditionalFormatting sqref="L346:L348">
    <cfRule type="cellIs" dxfId="518" priority="22" operator="equal">
      <formula>"BRONZE"</formula>
    </cfRule>
    <cfRule type="cellIs" dxfId="517" priority="23" operator="equal">
      <formula>"PRATA"</formula>
    </cfRule>
    <cfRule type="containsText" dxfId="516" priority="24" operator="containsText" text="OURO">
      <formula>NOT(ISERROR(SEARCH("OURO",L346)))</formula>
    </cfRule>
  </conditionalFormatting>
  <conditionalFormatting sqref="L359:L361">
    <cfRule type="cellIs" dxfId="515" priority="19" operator="equal">
      <formula>"BRONZE"</formula>
    </cfRule>
    <cfRule type="cellIs" dxfId="514" priority="20" operator="equal">
      <formula>"PRATA"</formula>
    </cfRule>
    <cfRule type="containsText" dxfId="513" priority="21" operator="containsText" text="OURO">
      <formula>NOT(ISERROR(SEARCH("OURO",L359)))</formula>
    </cfRule>
  </conditionalFormatting>
  <conditionalFormatting sqref="L372:L374">
    <cfRule type="cellIs" dxfId="512" priority="16" operator="equal">
      <formula>"BRONZE"</formula>
    </cfRule>
    <cfRule type="cellIs" dxfId="511" priority="17" operator="equal">
      <formula>"PRATA"</formula>
    </cfRule>
    <cfRule type="containsText" dxfId="510" priority="18" operator="containsText" text="OURO">
      <formula>NOT(ISERROR(SEARCH("OURO",L372)))</formula>
    </cfRule>
  </conditionalFormatting>
  <conditionalFormatting sqref="L385:L387">
    <cfRule type="cellIs" dxfId="509" priority="13" operator="equal">
      <formula>"BRONZE"</formula>
    </cfRule>
    <cfRule type="cellIs" dxfId="508" priority="14" operator="equal">
      <formula>"PRATA"</formula>
    </cfRule>
    <cfRule type="containsText" dxfId="507" priority="15" operator="containsText" text="OURO">
      <formula>NOT(ISERROR(SEARCH("OURO",L385)))</formula>
    </cfRule>
  </conditionalFormatting>
  <conditionalFormatting sqref="L398:L400">
    <cfRule type="cellIs" dxfId="506" priority="10" operator="equal">
      <formula>"BRONZE"</formula>
    </cfRule>
    <cfRule type="cellIs" dxfId="505" priority="11" operator="equal">
      <formula>"PRATA"</formula>
    </cfRule>
    <cfRule type="containsText" dxfId="504" priority="12" operator="containsText" text="OURO">
      <formula>NOT(ISERROR(SEARCH("OURO",L398)))</formula>
    </cfRule>
  </conditionalFormatting>
  <conditionalFormatting sqref="L411:L413">
    <cfRule type="cellIs" dxfId="503" priority="7" operator="equal">
      <formula>"BRONZE"</formula>
    </cfRule>
    <cfRule type="cellIs" dxfId="502" priority="8" operator="equal">
      <formula>"PRATA"</formula>
    </cfRule>
    <cfRule type="containsText" dxfId="501" priority="9" operator="containsText" text="OURO">
      <formula>NOT(ISERROR(SEARCH("OURO",L411)))</formula>
    </cfRule>
  </conditionalFormatting>
  <conditionalFormatting sqref="L424:L426">
    <cfRule type="cellIs" dxfId="500" priority="4" operator="equal">
      <formula>"BRONZE"</formula>
    </cfRule>
    <cfRule type="cellIs" dxfId="499" priority="5" operator="equal">
      <formula>"PRATA"</formula>
    </cfRule>
    <cfRule type="containsText" dxfId="498" priority="6" operator="containsText" text="OURO">
      <formula>NOT(ISERROR(SEARCH("OURO",L424)))</formula>
    </cfRule>
  </conditionalFormatting>
  <pageMargins left="0.51181102362204722" right="0.51181102362204722" top="0.78740157480314965" bottom="0.78740157480314965" header="0.31496062992125984" footer="0.31496062992125984"/>
  <pageSetup paperSize="9" scale="60" orientation="landscape"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0000000}">
          <x14:formula1>
            <xm:f>LISTAS!$D$10:$D$41</xm:f>
          </x14:formula1>
          <xm:sqref>G5</xm:sqref>
        </x14:dataValidation>
        <x14:dataValidation type="list" allowBlank="1" showInputMessage="1" showErrorMessage="1" xr:uid="{00000000-0002-0000-0800-000001000000}">
          <x14:formula1>
            <xm:f>LISTAS!$F$5:$F$1004</xm:f>
          </x14:formula1>
          <xm:sqref>B8:B12 B30:B33 B47:B49 B74:B75 B424:B426 B86:B88 B99:B101 B112:B114 B125:B127 B138:B140 B151:B153 B164:B166 B177:B179 B190:B192 B203:B205 B216:B218 B229:B231 B242:B244 B255:B257 B268:B270 B281:B283 B294:B296 B307:B309 B320:B322 B333:B335 B346:B348 B359:B361 B372:B374 B385:B387 B398:B400 B411:B413 B60 B62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22</vt:i4>
      </vt:variant>
    </vt:vector>
  </HeadingPairs>
  <TitlesOfParts>
    <vt:vector size="22" baseType="lpstr">
      <vt:lpstr>09F GRP</vt:lpstr>
      <vt:lpstr>09F</vt:lpstr>
      <vt:lpstr>09M GRP</vt:lpstr>
      <vt:lpstr>09M</vt:lpstr>
      <vt:lpstr>11F GRP</vt:lpstr>
      <vt:lpstr>11F</vt:lpstr>
      <vt:lpstr>11M GRP</vt:lpstr>
      <vt:lpstr>11M</vt:lpstr>
      <vt:lpstr>13F GRP</vt:lpstr>
      <vt:lpstr>13F</vt:lpstr>
      <vt:lpstr>13M GRP</vt:lpstr>
      <vt:lpstr>13M</vt:lpstr>
      <vt:lpstr>15F GRP</vt:lpstr>
      <vt:lpstr>15F</vt:lpstr>
      <vt:lpstr>15M GRP</vt:lpstr>
      <vt:lpstr>15M</vt:lpstr>
      <vt:lpstr>17F GRP</vt:lpstr>
      <vt:lpstr>17F</vt:lpstr>
      <vt:lpstr>17M GRP</vt:lpstr>
      <vt:lpstr>17M</vt:lpstr>
      <vt:lpstr>LISTAS</vt:lpstr>
      <vt:lpstr>EFICIÊNCIA 1º ETAPA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Walter</dc:creator>
  <cp:lastModifiedBy>Eduardo Zanata</cp:lastModifiedBy>
  <cp:lastPrinted>2026-05-16T21:01:46Z</cp:lastPrinted>
  <dcterms:created xsi:type="dcterms:W3CDTF">2022-03-28T12:33:06Z</dcterms:created>
  <dcterms:modified xsi:type="dcterms:W3CDTF">2026-05-18T19:52:08Z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ffa9833-e735-44bd-b745-0e79d7c2d5cb_Enabled">
    <vt:lpwstr>true</vt:lpwstr>
  </property>
  <property fmtid="{D5CDD505-2E9C-101B-9397-08002B2CF9AE}" pid="3" name="MSIP_Label_8ffa9833-e735-44bd-b745-0e79d7c2d5cb_SetDate">
    <vt:lpwstr>2023-09-28T16:57:09Z</vt:lpwstr>
  </property>
  <property fmtid="{D5CDD505-2E9C-101B-9397-08002B2CF9AE}" pid="4" name="MSIP_Label_8ffa9833-e735-44bd-b745-0e79d7c2d5cb_Method">
    <vt:lpwstr>Standard</vt:lpwstr>
  </property>
  <property fmtid="{D5CDD505-2E9C-101B-9397-08002B2CF9AE}" pid="5" name="MSIP_Label_8ffa9833-e735-44bd-b745-0e79d7c2d5cb_Name">
    <vt:lpwstr>Pública</vt:lpwstr>
  </property>
  <property fmtid="{D5CDD505-2E9C-101B-9397-08002B2CF9AE}" pid="6" name="MSIP_Label_8ffa9833-e735-44bd-b745-0e79d7c2d5cb_SiteId">
    <vt:lpwstr>2676c77b-5d75-4293-a4fc-3b5fa84d3e1a</vt:lpwstr>
  </property>
  <property fmtid="{D5CDD505-2E9C-101B-9397-08002B2CF9AE}" pid="7" name="MSIP_Label_8ffa9833-e735-44bd-b745-0e79d7c2d5cb_ActionId">
    <vt:lpwstr>af7fb025-313c-4c7a-be28-28454d8c7ca7</vt:lpwstr>
  </property>
  <property fmtid="{D5CDD505-2E9C-101B-9397-08002B2CF9AE}" pid="8" name="MSIP_Label_8ffa9833-e735-44bd-b745-0e79d7c2d5cb_ContentBits">
    <vt:lpwstr>0</vt:lpwstr>
  </property>
</Properties>
</file>